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luzhou/Desktop/umass/research/immune_score_review/review/data/moredata/"/>
    </mc:Choice>
  </mc:AlternateContent>
  <xr:revisionPtr revIDLastSave="0" documentId="13_ncr:1_{C897175B-4184-1E49-BFCD-71C816B1F603}" xr6:coauthVersionLast="47" xr6:coauthVersionMax="47" xr10:uidLastSave="{00000000-0000-0000-0000-000000000000}"/>
  <bookViews>
    <workbookView xWindow="2260" yWindow="1840" windowWidth="24660" windowHeight="16940" firstSheet="3" activeTab="8" xr2:uid="{752A59C8-EFD2-FC42-A971-46FA83DD7126}"/>
  </bookViews>
  <sheets>
    <sheet name="Sheet1" sheetId="4" r:id="rId1"/>
    <sheet name="Supplementary Data 1" sheetId="11" r:id="rId2"/>
    <sheet name="Supplementary Data 2" sheetId="1" r:id="rId3"/>
    <sheet name="Supplementary Data 3" sheetId="7" r:id="rId4"/>
    <sheet name="Supplementary Data 4" sheetId="15" r:id="rId5"/>
    <sheet name="Supplementary Data 5" sheetId="2" r:id="rId6"/>
    <sheet name="Supplementary Data 6" sheetId="3" r:id="rId7"/>
    <sheet name="Supplementary Data 7" sheetId="6" r:id="rId8"/>
    <sheet name="Supplementary Data 8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40" i="13" l="1"/>
  <c r="F3239" i="13"/>
  <c r="F3238" i="13"/>
  <c r="F3237" i="13"/>
  <c r="F3236" i="13"/>
  <c r="F3235" i="13"/>
  <c r="F3234" i="13"/>
  <c r="F3233" i="13"/>
  <c r="F3232" i="13"/>
  <c r="F3231" i="13"/>
  <c r="F3230" i="13"/>
  <c r="F3229" i="13"/>
  <c r="F3228" i="13"/>
  <c r="F3227" i="13"/>
  <c r="F3226" i="13"/>
  <c r="F3225" i="13"/>
  <c r="F3224" i="13"/>
  <c r="F3223" i="13"/>
  <c r="F3222" i="13"/>
  <c r="F3221" i="13"/>
  <c r="F3220" i="13"/>
  <c r="F3219" i="13"/>
  <c r="F3218" i="13"/>
  <c r="F3217" i="13"/>
  <c r="F3216" i="13"/>
  <c r="F3215" i="13"/>
  <c r="F3214" i="13"/>
  <c r="F3213" i="13"/>
  <c r="F3212" i="13"/>
  <c r="F3211" i="13"/>
  <c r="F3210" i="13"/>
  <c r="F3209" i="13"/>
  <c r="F3208" i="13"/>
  <c r="F3207" i="13"/>
  <c r="F3206" i="13"/>
  <c r="F3205" i="13"/>
  <c r="F3204" i="13"/>
  <c r="F3203" i="13"/>
  <c r="F3202" i="13"/>
  <c r="F3201" i="13"/>
  <c r="F3200" i="13"/>
  <c r="F3199" i="13"/>
  <c r="F3198" i="13"/>
  <c r="F3197" i="13"/>
  <c r="F3196" i="13"/>
  <c r="F3195" i="13"/>
  <c r="F3194" i="13"/>
  <c r="F3193" i="13"/>
  <c r="F3192" i="13"/>
  <c r="F3191" i="13"/>
  <c r="F3190" i="13"/>
  <c r="F3189" i="13"/>
  <c r="F3188" i="13"/>
  <c r="F3187" i="13"/>
  <c r="F3186" i="13"/>
  <c r="F3185" i="13"/>
  <c r="F3184" i="13"/>
  <c r="F3183" i="13"/>
  <c r="F3182" i="13"/>
  <c r="F3181" i="13"/>
  <c r="F3180" i="13"/>
  <c r="F3179" i="13"/>
  <c r="F3178" i="13"/>
  <c r="F3177" i="13"/>
  <c r="F3176" i="13"/>
  <c r="F3175" i="13"/>
  <c r="F3174" i="13"/>
  <c r="F3173" i="13"/>
  <c r="F3172" i="13"/>
  <c r="F3171" i="13"/>
  <c r="F3170" i="13"/>
  <c r="F3169" i="13"/>
  <c r="F3168" i="13"/>
  <c r="F3167" i="13"/>
  <c r="F3166" i="13"/>
  <c r="F3165" i="13"/>
  <c r="F3164" i="13"/>
  <c r="F3163" i="13"/>
  <c r="F3162" i="13"/>
  <c r="F3161" i="13"/>
  <c r="F3160" i="13"/>
  <c r="F3159" i="13"/>
  <c r="F3158" i="13"/>
  <c r="F3157" i="13"/>
  <c r="F3156" i="13"/>
  <c r="F3155" i="13"/>
  <c r="F3154" i="13"/>
  <c r="F3153" i="13"/>
  <c r="F3152" i="13"/>
  <c r="F3151" i="13"/>
  <c r="F3150" i="13"/>
  <c r="F3149" i="13"/>
  <c r="F3148" i="13"/>
  <c r="F3147" i="13"/>
  <c r="F3146" i="13"/>
  <c r="F3145" i="13"/>
  <c r="F3144" i="13"/>
  <c r="F3143" i="13"/>
  <c r="F3142" i="13"/>
  <c r="F3141" i="13"/>
  <c r="F3140" i="13"/>
  <c r="F3139" i="13"/>
  <c r="F3138" i="13"/>
  <c r="F3137" i="13"/>
  <c r="F3136" i="13"/>
  <c r="F3135" i="13"/>
  <c r="F3134" i="13"/>
  <c r="F3133" i="13"/>
  <c r="F3132" i="13"/>
  <c r="F3131" i="13"/>
  <c r="F3130" i="13"/>
  <c r="F3129" i="13"/>
  <c r="F3128" i="13"/>
  <c r="F3127" i="13"/>
  <c r="F3126" i="13"/>
  <c r="F3125" i="13"/>
  <c r="F3124" i="13"/>
  <c r="F3123" i="13"/>
  <c r="F3122" i="13"/>
  <c r="F3121" i="13"/>
  <c r="F3120" i="13"/>
  <c r="F3119" i="13"/>
  <c r="F3118" i="13"/>
  <c r="F3117" i="13"/>
  <c r="F3116" i="13"/>
  <c r="F3115" i="13"/>
  <c r="F3114" i="13"/>
  <c r="F3113" i="13"/>
  <c r="F3112" i="13"/>
  <c r="F3111" i="13"/>
  <c r="F3110" i="13"/>
  <c r="F3109" i="13"/>
  <c r="F3108" i="13"/>
  <c r="F3107" i="13"/>
  <c r="F3106" i="13"/>
  <c r="F3105" i="13"/>
  <c r="F3104" i="13"/>
  <c r="F3103" i="13"/>
  <c r="F3102" i="13"/>
  <c r="F3101" i="13"/>
  <c r="F3100" i="13"/>
  <c r="F3099" i="13"/>
  <c r="F3098" i="13"/>
  <c r="F3097" i="13"/>
  <c r="F3096" i="13"/>
  <c r="F3095" i="13"/>
  <c r="F3094" i="13"/>
  <c r="F3093" i="13"/>
  <c r="F3092" i="13"/>
  <c r="F3091" i="13"/>
  <c r="F3090" i="13"/>
  <c r="F3089" i="13"/>
  <c r="F3088" i="13"/>
  <c r="F3087" i="13"/>
  <c r="F3086" i="13"/>
  <c r="F3085" i="13"/>
  <c r="F3084" i="13"/>
  <c r="F3083" i="13"/>
  <c r="F3082" i="13"/>
  <c r="F3081" i="13"/>
  <c r="F3080" i="13"/>
  <c r="F3079" i="13"/>
  <c r="F3078" i="13"/>
  <c r="F3077" i="13"/>
  <c r="F3076" i="13"/>
  <c r="F3075" i="13"/>
  <c r="F3074" i="13"/>
  <c r="F3073" i="13"/>
  <c r="F3072" i="13"/>
  <c r="F3071" i="13"/>
  <c r="F3070" i="13"/>
  <c r="F3069" i="13"/>
  <c r="F3068" i="13"/>
  <c r="F3067" i="13"/>
  <c r="F3066" i="13"/>
  <c r="F3065" i="13"/>
  <c r="F3064" i="13"/>
  <c r="F3063" i="13"/>
  <c r="F3062" i="13"/>
  <c r="F3061" i="13"/>
  <c r="F3060" i="13"/>
  <c r="F3059" i="13"/>
  <c r="F3058" i="13"/>
  <c r="F3057" i="13"/>
  <c r="F3056" i="13"/>
  <c r="F3055" i="13"/>
  <c r="F3054" i="13"/>
  <c r="F3053" i="13"/>
  <c r="F3052" i="13"/>
  <c r="F3051" i="13"/>
  <c r="F3050" i="13"/>
  <c r="F3049" i="13"/>
  <c r="F3048" i="13"/>
  <c r="F3047" i="13"/>
  <c r="F3046" i="13"/>
  <c r="F3045" i="13"/>
  <c r="F3044" i="13"/>
  <c r="F3043" i="13"/>
  <c r="F3042" i="13"/>
  <c r="F3041" i="13"/>
  <c r="F3040" i="13"/>
  <c r="F3039" i="13"/>
  <c r="F3038" i="13"/>
  <c r="F3037" i="13"/>
  <c r="F3036" i="13"/>
  <c r="F3035" i="13"/>
  <c r="F3034" i="13"/>
  <c r="F3033" i="13"/>
  <c r="F3032" i="13"/>
  <c r="F3031" i="13"/>
  <c r="F3030" i="13"/>
  <c r="F3029" i="13"/>
  <c r="F3028" i="13"/>
  <c r="F3027" i="13"/>
  <c r="F3026" i="13"/>
  <c r="F3025" i="13"/>
  <c r="F3024" i="13"/>
  <c r="F3023" i="13"/>
  <c r="F3022" i="13"/>
  <c r="F3021" i="13"/>
  <c r="F3020" i="13"/>
  <c r="F3019" i="13"/>
  <c r="F3018" i="13"/>
  <c r="F3017" i="13"/>
  <c r="F3016" i="13"/>
  <c r="F3015" i="13"/>
  <c r="F3014" i="13"/>
  <c r="F3013" i="13"/>
  <c r="F3012" i="13"/>
  <c r="F3011" i="13"/>
  <c r="F3010" i="13"/>
  <c r="F3009" i="13"/>
  <c r="F3008" i="13"/>
  <c r="F3007" i="13"/>
  <c r="F3006" i="13"/>
  <c r="F3005" i="13"/>
  <c r="F3004" i="13"/>
  <c r="F3003" i="13"/>
  <c r="F3002" i="13"/>
  <c r="F3001" i="13"/>
  <c r="F3000" i="13"/>
  <c r="F2999" i="13"/>
  <c r="F2998" i="13"/>
  <c r="F2997" i="13"/>
  <c r="F2996" i="13"/>
  <c r="F2995" i="13"/>
  <c r="F2994" i="13"/>
  <c r="F2993" i="13"/>
  <c r="F2992" i="13"/>
  <c r="F2991" i="13"/>
  <c r="F2990" i="13"/>
  <c r="F2989" i="13"/>
  <c r="F2988" i="13"/>
  <c r="F2987" i="13"/>
  <c r="F2986" i="13"/>
  <c r="F2985" i="13"/>
  <c r="F2984" i="13"/>
  <c r="F2983" i="13"/>
  <c r="F2982" i="13"/>
  <c r="F2981" i="13"/>
  <c r="F2980" i="13"/>
  <c r="F2979" i="13"/>
  <c r="F2978" i="13"/>
  <c r="F2977" i="13"/>
  <c r="F2976" i="13"/>
  <c r="F2975" i="13"/>
  <c r="F2974" i="13"/>
  <c r="F2973" i="13"/>
  <c r="F2972" i="13"/>
  <c r="F2971" i="13"/>
  <c r="F2970" i="13"/>
  <c r="F2969" i="13"/>
  <c r="F2968" i="13"/>
  <c r="F2967" i="13"/>
  <c r="F2966" i="13"/>
  <c r="F2965" i="13"/>
  <c r="F2964" i="13"/>
  <c r="F2963" i="13"/>
  <c r="F2962" i="13"/>
  <c r="F2961" i="13"/>
  <c r="F2960" i="13"/>
  <c r="F2959" i="13"/>
  <c r="F2958" i="13"/>
  <c r="F2957" i="13"/>
  <c r="F2956" i="13"/>
  <c r="F2955" i="13"/>
  <c r="F2954" i="13"/>
  <c r="F2953" i="13"/>
  <c r="F2952" i="13"/>
  <c r="F2951" i="13"/>
  <c r="F2950" i="13"/>
  <c r="F2949" i="13"/>
  <c r="F2948" i="13"/>
  <c r="F2947" i="13"/>
  <c r="F2946" i="13"/>
  <c r="F2945" i="13"/>
  <c r="F2944" i="13"/>
  <c r="F2943" i="13"/>
  <c r="F2942" i="13"/>
  <c r="F2941" i="13"/>
  <c r="F2940" i="13"/>
  <c r="F2939" i="13"/>
  <c r="F2938" i="13"/>
  <c r="F2937" i="13"/>
  <c r="F2936" i="13"/>
  <c r="F2935" i="13"/>
  <c r="F2934" i="13"/>
  <c r="F2933" i="13"/>
  <c r="F2932" i="13"/>
  <c r="F2931" i="13"/>
  <c r="F2930" i="13"/>
  <c r="F2929" i="13"/>
  <c r="F2928" i="13"/>
  <c r="F2927" i="13"/>
  <c r="F2926" i="13"/>
  <c r="F2925" i="13"/>
  <c r="F2924" i="13"/>
  <c r="F2923" i="13"/>
  <c r="F2922" i="13"/>
  <c r="F2921" i="13"/>
  <c r="F2920" i="13"/>
  <c r="F2919" i="13"/>
  <c r="F2918" i="13"/>
  <c r="F2917" i="13"/>
  <c r="F2916" i="13"/>
  <c r="F2915" i="13"/>
  <c r="F2914" i="13"/>
  <c r="F2913" i="13"/>
  <c r="F2912" i="13"/>
  <c r="F2911" i="13"/>
  <c r="F2910" i="13"/>
  <c r="F2909" i="13"/>
  <c r="F2908" i="13"/>
  <c r="F2907" i="13"/>
  <c r="F2906" i="13"/>
  <c r="F2905" i="13"/>
  <c r="F2904" i="13"/>
  <c r="F2903" i="13"/>
  <c r="F2902" i="13"/>
  <c r="F2901" i="13"/>
  <c r="F2900" i="13"/>
  <c r="F2899" i="13"/>
  <c r="F2898" i="13"/>
  <c r="F2897" i="13"/>
  <c r="F2896" i="13"/>
  <c r="F2895" i="13"/>
  <c r="F2894" i="13"/>
  <c r="F2893" i="13"/>
  <c r="F2892" i="13"/>
  <c r="F2891" i="13"/>
  <c r="F2890" i="13"/>
  <c r="F2889" i="13"/>
  <c r="F2888" i="13"/>
  <c r="F2887" i="13"/>
  <c r="F2886" i="13"/>
  <c r="F2885" i="13"/>
  <c r="F2884" i="13"/>
  <c r="F2883" i="13"/>
  <c r="F2882" i="13"/>
  <c r="F2881" i="13"/>
  <c r="F2880" i="13"/>
  <c r="F2879" i="13"/>
  <c r="F2878" i="13"/>
  <c r="F2877" i="13"/>
  <c r="F2876" i="13"/>
  <c r="F2875" i="13"/>
  <c r="F2874" i="13"/>
  <c r="F2873" i="13"/>
  <c r="F2872" i="13"/>
  <c r="F2871" i="13"/>
  <c r="F2870" i="13"/>
  <c r="F2869" i="13"/>
  <c r="F2868" i="13"/>
  <c r="F2867" i="13"/>
  <c r="F2866" i="13"/>
  <c r="F2865" i="13"/>
  <c r="F2864" i="13"/>
  <c r="F2863" i="13"/>
  <c r="F2862" i="13"/>
  <c r="F2861" i="13"/>
  <c r="F2860" i="13"/>
  <c r="F2859" i="13"/>
  <c r="F2858" i="13"/>
  <c r="F2857" i="13"/>
  <c r="F2856" i="13"/>
  <c r="F2855" i="13"/>
  <c r="F2854" i="13"/>
  <c r="F2853" i="13"/>
  <c r="F2852" i="13"/>
  <c r="F2851" i="13"/>
  <c r="F2850" i="13"/>
  <c r="F2849" i="13"/>
  <c r="F2848" i="13"/>
  <c r="F2847" i="13"/>
  <c r="F2846" i="13"/>
  <c r="F2845" i="13"/>
  <c r="F2844" i="13"/>
  <c r="F2843" i="13"/>
  <c r="F2842" i="13"/>
  <c r="F2841" i="13"/>
  <c r="F2840" i="13"/>
  <c r="F2839" i="13"/>
  <c r="F2838" i="13"/>
  <c r="F2837" i="13"/>
  <c r="F2836" i="13"/>
  <c r="F2835" i="13"/>
  <c r="F2834" i="13"/>
  <c r="F2833" i="13"/>
  <c r="F2832" i="13"/>
  <c r="F2831" i="13"/>
  <c r="F2830" i="13"/>
  <c r="F2829" i="13"/>
  <c r="F2828" i="13"/>
  <c r="F2827" i="13"/>
  <c r="F2826" i="13"/>
  <c r="F2825" i="13"/>
  <c r="F2824" i="13"/>
  <c r="F2823" i="13"/>
  <c r="F2822" i="13"/>
  <c r="F2821" i="13"/>
  <c r="F2820" i="13"/>
  <c r="F2819" i="13"/>
  <c r="F2818" i="13"/>
  <c r="F2817" i="13"/>
  <c r="F2816" i="13"/>
  <c r="F2815" i="13"/>
  <c r="F2814" i="13"/>
  <c r="F2813" i="13"/>
  <c r="F2812" i="13"/>
  <c r="F2811" i="13"/>
  <c r="F2810" i="13"/>
  <c r="F2809" i="13"/>
  <c r="F2808" i="13"/>
  <c r="F2807" i="13"/>
  <c r="F2806" i="13"/>
  <c r="F2805" i="13"/>
  <c r="F2804" i="13"/>
  <c r="F2803" i="13"/>
  <c r="F2802" i="13"/>
  <c r="F2801" i="13"/>
  <c r="F2800" i="13"/>
  <c r="F2799" i="13"/>
  <c r="F2798" i="13"/>
  <c r="F2797" i="13"/>
  <c r="F2796" i="13"/>
  <c r="F2795" i="13"/>
  <c r="F2794" i="13"/>
  <c r="F2793" i="13"/>
  <c r="F2792" i="13"/>
  <c r="F2791" i="13"/>
  <c r="F2790" i="13"/>
  <c r="F2789" i="13"/>
  <c r="F2788" i="13"/>
  <c r="F2787" i="13"/>
  <c r="F2786" i="13"/>
  <c r="F2785" i="13"/>
  <c r="F2784" i="13"/>
  <c r="F2783" i="13"/>
  <c r="F2782" i="13"/>
  <c r="F2781" i="13"/>
  <c r="F2780" i="13"/>
  <c r="F2779" i="13"/>
  <c r="F2778" i="13"/>
  <c r="F2777" i="13"/>
  <c r="F2776" i="13"/>
  <c r="F2775" i="13"/>
  <c r="F2774" i="13"/>
  <c r="F2773" i="13"/>
  <c r="F2772" i="13"/>
  <c r="F2771" i="13"/>
  <c r="F2770" i="13"/>
  <c r="F2769" i="13"/>
  <c r="F2768" i="13"/>
  <c r="F2767" i="13"/>
  <c r="F2766" i="13"/>
  <c r="F2765" i="13"/>
  <c r="F2764" i="13"/>
  <c r="F2763" i="13"/>
  <c r="F2762" i="13"/>
  <c r="F2761" i="13"/>
  <c r="F2760" i="13"/>
  <c r="F2759" i="13"/>
  <c r="F2758" i="13"/>
  <c r="F2757" i="13"/>
  <c r="F2756" i="13"/>
  <c r="F2755" i="13"/>
  <c r="F2754" i="13"/>
  <c r="F2753" i="13"/>
  <c r="F2752" i="13"/>
  <c r="F2751" i="13"/>
  <c r="F2750" i="13"/>
  <c r="F2749" i="13"/>
  <c r="F2748" i="13"/>
  <c r="F2747" i="13"/>
  <c r="F2746" i="13"/>
  <c r="F2745" i="13"/>
  <c r="F2744" i="13"/>
  <c r="F2743" i="13"/>
  <c r="F2742" i="13"/>
  <c r="F2741" i="13"/>
  <c r="F2740" i="13"/>
  <c r="F2739" i="13"/>
  <c r="F2738" i="13"/>
  <c r="F2737" i="13"/>
  <c r="F2736" i="13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C22" i="1"/>
  <c r="D22" i="1"/>
  <c r="E22" i="1"/>
  <c r="F22" i="1"/>
  <c r="G22" i="1"/>
  <c r="H22" i="1"/>
  <c r="I22" i="1"/>
  <c r="J22" i="1"/>
  <c r="B22" i="1"/>
</calcChain>
</file>

<file path=xl/sharedStrings.xml><?xml version="1.0" encoding="utf-8"?>
<sst xmlns="http://schemas.openxmlformats.org/spreadsheetml/2006/main" count="10889" uniqueCount="2891">
  <si>
    <t>Term</t>
  </si>
  <si>
    <t>Overlap</t>
  </si>
  <si>
    <t>P-value</t>
  </si>
  <si>
    <t>Adjusted P-value</t>
  </si>
  <si>
    <t>Odds Ratio</t>
  </si>
  <si>
    <t>Genes</t>
  </si>
  <si>
    <t>score</t>
  </si>
  <si>
    <t>regulation of immune response (GO:0050776)</t>
  </si>
  <si>
    <t>SH2D1A;ITGB2;HLA-B;HLA-C;CD3G;HLA-A;CXCL13;CD1B;CD1A;FCGR3A;CD40LG;CD8A;CD19;HLA-DRA;B2M;CD300LG;HLA-DRB1</t>
  </si>
  <si>
    <t>IS_immune</t>
  </si>
  <si>
    <t>cellular response to interferon-gamma (GO:0071346)</t>
  </si>
  <si>
    <t>GBP5;HLA-B;HLA-C;HLA-A;IFNG;CCL5;HLA-DPB1;HLA-DRA;CCL19;B2M;HLA-DQA2;HLA-DRB1;HLA-DQA1;HLA-DPA1</t>
  </si>
  <si>
    <t>antigen receptor-mediated signaling pathway (GO:0050851)</t>
  </si>
  <si>
    <t>ITK;TRAT1;THEMIS;CD3G;HLA-A;PTPRC;CD19;HLA-DPB1;HLA-DRA;NCKAP1L;MS4A1;HLA-DQA2;HLA-DRB1;HLA-DQA1;HLA-DPA1</t>
  </si>
  <si>
    <t>interferon-gamma-mediated signaling pathway (GO:0060333)</t>
  </si>
  <si>
    <t>IFNG;HLA-B;HLA-DPB1;HLA-C;HLA-DRA;HLA-A;B2M;HLA-DQA2;HLA-DQA1;HLA-DRB1;HLA-DPA1</t>
  </si>
  <si>
    <t>cytokine-mediated signaling pathway (GO:0019221)</t>
  </si>
  <si>
    <t>CXCL9;ITGB2;HLA-B;HLA-C;F13A1;HLA-A;CXCL13;CXCL10;FCER2;CD40LG;IFNG;CCL5;HLA-DPB1;HLA-DRA;LCP1;CCL19;IL7R;B2M;HLA-DQA2;HLA-DRB1;HLA-DQA1;CCR2;HLA-DPA1</t>
  </si>
  <si>
    <t>regulation of T cell proliferation (GO:0042129)</t>
  </si>
  <si>
    <t>PLA2G2D;CR1;CD40LG;PTPRC;CCL5;HLA-DPB1;NCKAP1L;VSIG4;CCL19;HLA-DRB1;HLA-DPA1</t>
  </si>
  <si>
    <t>regulation of T cell mediated cytotoxicity (GO:0001914)</t>
  </si>
  <si>
    <t>PTPRC;HLA-B;HLA-DRA;CD1E;HLA-A;CD1B;CD1A;HLA-DRB1</t>
  </si>
  <si>
    <t>positive regulation of T cell mediated immunity (GO:0002711)</t>
  </si>
  <si>
    <t>HLA-B;HLA-DRA;CD1E;HLA-A;CD1B;B2M;CD1A;HLA-DRB1</t>
  </si>
  <si>
    <t>T cell receptor signaling pathway (GO:0050852)</t>
  </si>
  <si>
    <t>ITK;PTPRC;TRAT1;THEMIS;HLA-DPB1;HLA-DRA;CD3G;HLA-A;HLA-DQA2;HLA-DRB1;HLA-DQA1;HLA-DPA1</t>
  </si>
  <si>
    <t>positive regulation of T cell mediated cytotoxicity (GO:0001916)</t>
  </si>
  <si>
    <t>HLA-B;HLA-DRA;CD1E;HLA-A;CD1B;CD1A;HLA-DRB1</t>
  </si>
  <si>
    <t>positive regulation of immune response (GO:0050778)</t>
  </si>
  <si>
    <t>GBP5;CD74;PTPRC;IFNG;CCL5;ITGB2;TLR8;HLA-DRA;HLA-DRB1</t>
  </si>
  <si>
    <t>positive regulation of lymphocyte proliferation (GO:0050671)</t>
  </si>
  <si>
    <t>CD74;CD40LG;PTPRC;FCRL3;CCL5;HLA-DPB1;NCKAP1L;CCL19;HLA-DPA1</t>
  </si>
  <si>
    <t>positive regulation of T cell activation (GO:0050870)</t>
  </si>
  <si>
    <t>CD40LG;PTPRC;CCL5;HLA-DPB1;NCKAP1L;HLA-A;CCL19;CCR2;HLA-DPA1</t>
  </si>
  <si>
    <t>inflammatory response (GO:0006954)</t>
  </si>
  <si>
    <t>PLA2G2D;CXCL9;ITGB2;CYBB;CXCL13;LYZ;PIK3CG;CXCL10;CD40LG;IFNG;CCL5;CCL19;CCR2</t>
  </si>
  <si>
    <t>regulation of immune effector process (GO:0002697)</t>
  </si>
  <si>
    <t>ZNF683;C1QB;C1QA;CR1;CD19;HLA-DRA;HLA-DRB1;C1QC</t>
  </si>
  <si>
    <t>positive regulation of T cell proliferation (GO:0042102)</t>
  </si>
  <si>
    <t>CD40LG;PTPRC;CCL5;HLA-DPB1;NCKAP1L;CCL19;CCR2;HLA-DPA1</t>
  </si>
  <si>
    <t>positive regulation of leukocyte mediated cytotoxicity (GO:0001912)</t>
  </si>
  <si>
    <t>positive regulation of cytokine production (GO:0001819)</t>
  </si>
  <si>
    <t>CD74;GBP5;ITK;LAPTM5;HLA-A;PIK3CG;PTPRC;CD40LG;IFNG;HLA-DPB1;TLR8;CCL19;CCR2;HLA-DPA1</t>
  </si>
  <si>
    <t>neutrophil chemotaxis (GO:0030593)</t>
  </si>
  <si>
    <t>CXCL10;CXCL9;CCL5;ITGB2;NCKAP1L;CCL19;CXCL13;PIK3CG</t>
  </si>
  <si>
    <t>antigen processing and presentation of exogenous peptide antigen (GO:0002478)</t>
  </si>
  <si>
    <t>CD74;HLA-DPB1;HLA-DRA;HLA-A;HLA-DOA;HLA-DQA2;HLA-DQA1;HLA-DRB1;HLA-DPA1</t>
  </si>
  <si>
    <t>cellular response to lipopolysaccharide (GO:0071222)</t>
  </si>
  <si>
    <t>CXCL10;CD274;CXCL11;CXCL9;CCL5</t>
  </si>
  <si>
    <t>TIP Hot</t>
  </si>
  <si>
    <t>positive regulation of T cell apoptotic process (GO:0070234)</t>
  </si>
  <si>
    <t>CD274;CCL5;PDCD1</t>
  </si>
  <si>
    <t>chemokine-mediated signaling pathway (GO:0070098)</t>
  </si>
  <si>
    <t>CXCL10;CXCL11;CXCL9;CCL5</t>
  </si>
  <si>
    <t>regulation of T cell apoptotic process (GO:0070232)</t>
  </si>
  <si>
    <t>cellular response to chemokine (GO:1990869)</t>
  </si>
  <si>
    <t>granulocyte chemotaxis (GO:0071621)</t>
  </si>
  <si>
    <t>neutrophil migration (GO:1990266)</t>
  </si>
  <si>
    <t>positive regulation of calcium ion transmembrane transport (GO:1904427)</t>
  </si>
  <si>
    <t>CXCL10;CXCL11;CXCL9</t>
  </si>
  <si>
    <t>cellular response to molecule of bacterial origin (GO:0071219)</t>
  </si>
  <si>
    <t>CXCL10;CD274;CXCL11;CXCL9</t>
  </si>
  <si>
    <t>positive regulation of calcium ion transport into cytosol (GO:0010524)</t>
  </si>
  <si>
    <t>positive regulation of release of sequestered calcium ion into cytosol (GO:0051281)</t>
  </si>
  <si>
    <t>response to lipopolysaccharide (GO:0032496)</t>
  </si>
  <si>
    <t>lymphocyte chemotaxis (GO:0048247)</t>
  </si>
  <si>
    <t>CXCL10;CXCL11;CCL5</t>
  </si>
  <si>
    <t>regulation of release of sequestered calcium ion into cytosol (GO:0051279)</t>
  </si>
  <si>
    <t>cellular response to lipid (GO:0071396)</t>
  </si>
  <si>
    <t>antimicrobial humoral immune response mediated by antimicrobial peptide (GO:0061844)</t>
  </si>
  <si>
    <t>positive regulation of lymphocyte apoptotic process (GO:0070230)</t>
  </si>
  <si>
    <t>CCL5;PDCD1</t>
  </si>
  <si>
    <t>T cell chemotaxis (GO:0010818)</t>
  </si>
  <si>
    <t>CXCL10;CXCL11</t>
  </si>
  <si>
    <t>CXCL9;SPP1</t>
  </si>
  <si>
    <t>CS Polarity</t>
  </si>
  <si>
    <t>cellular response to testosterone stimulus (GO:0071394)</t>
  </si>
  <si>
    <t>SPP1</t>
  </si>
  <si>
    <t>response to testosterone (GO:0033574)</t>
  </si>
  <si>
    <t>response to vitamin (GO:0033273)</t>
  </si>
  <si>
    <t>response to vitamin D (GO:0033280)</t>
  </si>
  <si>
    <t>positive regulation of bone resorption (GO:0045780)</t>
  </si>
  <si>
    <t>positive regulation of lipid transport (GO:0032370)</t>
  </si>
  <si>
    <t>steroid catabolic process (GO:0006706)</t>
  </si>
  <si>
    <t>positive regulation of hormone secretion (GO:0046887)</t>
  </si>
  <si>
    <t>androgen metabolic process (GO:0008209)</t>
  </si>
  <si>
    <t>cellular response to ketone (GO:1901655)</t>
  </si>
  <si>
    <t>cellular defense response (GO:0006968)</t>
  </si>
  <si>
    <t>cancer</t>
  </si>
  <si>
    <t>n_total</t>
  </si>
  <si>
    <t>n_H</t>
  </si>
  <si>
    <t>n_L</t>
  </si>
  <si>
    <t>n_events</t>
  </si>
  <si>
    <t>coef</t>
  </si>
  <si>
    <t>HR</t>
  </si>
  <si>
    <t>HR_lower95</t>
  </si>
  <si>
    <t>HR_upper95</t>
  </si>
  <si>
    <t>p_value</t>
  </si>
  <si>
    <t>COAD</t>
  </si>
  <si>
    <t>CYT1</t>
  </si>
  <si>
    <t>CYT2</t>
  </si>
  <si>
    <t>TLS</t>
  </si>
  <si>
    <t>TIS</t>
  </si>
  <si>
    <t>TIP Cold</t>
  </si>
  <si>
    <t>IMPRES</t>
  </si>
  <si>
    <t>IS_stromal</t>
  </si>
  <si>
    <t>NetBio</t>
  </si>
  <si>
    <t>SIA</t>
  </si>
  <si>
    <t>TIDE</t>
  </si>
  <si>
    <t>B_cells</t>
  </si>
  <si>
    <t>CD8Treg</t>
  </si>
  <si>
    <t>LUSC</t>
  </si>
  <si>
    <t>COADREAD</t>
  </si>
  <si>
    <t>SKCM</t>
  </si>
  <si>
    <t>HNSC</t>
  </si>
  <si>
    <t>KIRC</t>
  </si>
  <si>
    <t>BRCA</t>
  </si>
  <si>
    <t>BLCA</t>
  </si>
  <si>
    <t>cohort</t>
  </si>
  <si>
    <t>U_stat</t>
  </si>
  <si>
    <t>neglog_p</t>
  </si>
  <si>
    <t>MELANOMA-II</t>
  </si>
  <si>
    <t>ccRCC</t>
  </si>
  <si>
    <t>UNC-108</t>
  </si>
  <si>
    <t>UC-II</t>
  </si>
  <si>
    <t>NIVOBIO</t>
  </si>
  <si>
    <t>NSCLC-II</t>
  </si>
  <si>
    <t>CLB-IHN</t>
  </si>
  <si>
    <t>covariate</t>
  </si>
  <si>
    <t>exp(coef)</t>
  </si>
  <si>
    <t>se(coef)</t>
  </si>
  <si>
    <t>coef lower 90%</t>
  </si>
  <si>
    <t>coef upper 90%</t>
  </si>
  <si>
    <t>exp(coef) lower 90%</t>
  </si>
  <si>
    <t>exp(coef) upper 90%</t>
  </si>
  <si>
    <t>z</t>
  </si>
  <si>
    <t>p</t>
  </si>
  <si>
    <t>-log2(p)</t>
  </si>
  <si>
    <t>c-index</t>
  </si>
  <si>
    <t>regression</t>
  </si>
  <si>
    <t>source</t>
  </si>
  <si>
    <t>multivariate</t>
  </si>
  <si>
    <t>age</t>
  </si>
  <si>
    <t>gender1</t>
  </si>
  <si>
    <t>treatment1</t>
  </si>
  <si>
    <t>univariate</t>
  </si>
  <si>
    <t>MERGED-ICI</t>
  </si>
  <si>
    <t>MELANOMA-I</t>
  </si>
  <si>
    <t>TCGA</t>
  </si>
  <si>
    <t>method</t>
  </si>
  <si>
    <t>mean entropy</t>
  </si>
  <si>
    <t>ComBat</t>
  </si>
  <si>
    <t>Harmony</t>
  </si>
  <si>
    <t>scBatch</t>
  </si>
  <si>
    <t>before</t>
  </si>
  <si>
    <t>apoptotic process (GO:0006915)</t>
  </si>
  <si>
    <t>GZMA;PRF1</t>
  </si>
  <si>
    <t>positive regulation of programmed cell death (GO:0043068)</t>
  </si>
  <si>
    <t>positive regulation of killing of cells of other organism (GO:0051712)</t>
  </si>
  <si>
    <t>PRF1</t>
  </si>
  <si>
    <t>immunological synapse formation (GO:0001771)</t>
  </si>
  <si>
    <t>regulation of endodeoxyribonuclease activity (GO:0032071)</t>
  </si>
  <si>
    <t>GZMA</t>
  </si>
  <si>
    <t>defense response to tumor cell (GO:0002357)</t>
  </si>
  <si>
    <t>negative regulation of oxidoreductase activity (GO:0051354)</t>
  </si>
  <si>
    <t>regulation of oxidoreductase activity (GO:0051341)</t>
  </si>
  <si>
    <t>positive regulation of cell killing (GO:0031343)</t>
  </si>
  <si>
    <t>pyroptosis (GO:0070269)</t>
  </si>
  <si>
    <t>negative regulation of catalytic activity (GO:0043086)</t>
  </si>
  <si>
    <t>negative regulation of DNA binding (GO:0043392)</t>
  </si>
  <si>
    <t>regulation of DNA binding (GO:0051101)</t>
  </si>
  <si>
    <t>cellular protein catabolic process (GO:0044257)</t>
  </si>
  <si>
    <t>proteolysis involved in cellular protein catabolic process (GO:0051603)</t>
  </si>
  <si>
    <t>negative regulation of binding (GO:0051100)</t>
  </si>
  <si>
    <t>protein complex oligomerization (GO:0051259)</t>
  </si>
  <si>
    <t>protein homooligomerization (GO:0051260)</t>
  </si>
  <si>
    <t>defense response to symbiont (GO:0140546)</t>
  </si>
  <si>
    <t>antigen processing and presentation of exogenous peptide antigen via MHC class I, TAP-independent (GO:0002480)</t>
  </si>
  <si>
    <t>HLA-B;HLA-C;HLA-A;B2M</t>
  </si>
  <si>
    <t>antigen processing and presentation of peptide antigen via MHC class I (GO:0002474)</t>
  </si>
  <si>
    <t>CASP8;HLA-B;HLA-C;HLA-A;B2M</t>
  </si>
  <si>
    <t>antigen processing and presentation of endogenous peptide antigen via MHC class I via ER pathway (GO:0002484)</t>
  </si>
  <si>
    <t>HLA-B;HLA-C;HLA-A</t>
  </si>
  <si>
    <t>antigen processing and presentation of endogenous peptide antigen via MHC class I via ER pathway, TAP-independent (GO:0002486)</t>
  </si>
  <si>
    <t>antigen processing and presentation of exogenous peptide antigen via MHC class I, TAP-dependent (GO:0002479)</t>
  </si>
  <si>
    <t>antigen processing and presentation of exogenous peptide antigen via MHC class I (GO:0042590)</t>
  </si>
  <si>
    <t>HLA-B;HLA-A;B2M</t>
  </si>
  <si>
    <t>type I interferon signaling pathway (GO:0060337)</t>
  </si>
  <si>
    <t>cellular response to type I interferon (GO:0071357)</t>
  </si>
  <si>
    <t>protection from natural killer cell mediated cytotoxicity (GO:0042270)</t>
  </si>
  <si>
    <t>HLA-B;HLA-A</t>
  </si>
  <si>
    <t>antigen processing and presentation of endogenous peptide antigen via MHC class I (GO:0019885)</t>
  </si>
  <si>
    <t>HLA-A;B2M</t>
  </si>
  <si>
    <t>detection of bacterium (GO:0016045)</t>
  </si>
  <si>
    <t>antigen processing and presentation of endogenous peptide antigen (GO:0002483)</t>
  </si>
  <si>
    <t>negative regulation of natural killer cell mediated cytotoxicity (GO:0045953)</t>
  </si>
  <si>
    <t>regulation of T cell cytokine production (GO:0002724)</t>
  </si>
  <si>
    <t>positive regulation of T cell cytokine production (GO:0002726)</t>
  </si>
  <si>
    <t>CXCL10;CIITA;STAT1;CCL5;HLA-DRA;IL2RG;CXCL3;HLA-E</t>
  </si>
  <si>
    <t>CIITA;STAT1;CCL5;HLA-DRA;HLA-E</t>
  </si>
  <si>
    <t>CIITA;STAT1;HLA-DRA;HLA-E</t>
  </si>
  <si>
    <t>LAG3;HLA-DRA;CD3E;CD3D;HLA-E</t>
  </si>
  <si>
    <t>positive thymic T cell selection (GO:0045059)</t>
  </si>
  <si>
    <t>CD3E;CD3D</t>
  </si>
  <si>
    <t>positive regulation of cell-cell adhesion mediated by integrin (GO:0033634)</t>
  </si>
  <si>
    <t>CCL5;CD3E</t>
  </si>
  <si>
    <t>CCL5;IDO1</t>
  </si>
  <si>
    <t>CXCL10;CCL5;CXCL3</t>
  </si>
  <si>
    <t>cellular response to interleukin-21 (GO:0098757)</t>
  </si>
  <si>
    <t>STAT1;IL2RG</t>
  </si>
  <si>
    <t>interleukin-21-mediated signaling pathway (GO:0038114)</t>
  </si>
  <si>
    <t>cellular response to interleukin-9 (GO:0071355)</t>
  </si>
  <si>
    <t>interleukin-9-mediated signaling pathway (GO:0038113)</t>
  </si>
  <si>
    <t>regulation of cell-cell adhesion mediated by integrin (GO:0033632)</t>
  </si>
  <si>
    <t>CCL5;CD3E;HLA-E</t>
  </si>
  <si>
    <t>CCL5;CD3E;IDO1</t>
  </si>
  <si>
    <t>dendritic cell chemotaxis (GO:0002407)</t>
  </si>
  <si>
    <t>CCL21;CXCR4;CCR7;CCL19</t>
  </si>
  <si>
    <t>dendritic cell migration (GO:0036336)</t>
  </si>
  <si>
    <t>establishment of T cell polarity (GO:0001768)</t>
  </si>
  <si>
    <t>CCL21;CCR7;CCL19</t>
  </si>
  <si>
    <t>response to prostaglandin (GO:0034694)</t>
  </si>
  <si>
    <t>positive regulation of antigen processing and presentation (GO:0002579)</t>
  </si>
  <si>
    <t>establishment of lymphocyte polarity (GO:0001767)</t>
  </si>
  <si>
    <t>positive regulation of dendritic cell antigen processing and presentation (GO:0002606)</t>
  </si>
  <si>
    <t>negative regulation of dendritic cell apoptotic process (GO:2000669)</t>
  </si>
  <si>
    <t>regulation of dendritic cell antigen processing and presentation (GO:0002604)</t>
  </si>
  <si>
    <t>response to prostaglandin E (GO:0034695)</t>
  </si>
  <si>
    <t>regulation of dendritic cell apoptotic process (GO:2000668)</t>
  </si>
  <si>
    <t>negative regulation of leukocyte apoptotic process (GO:2000107)</t>
  </si>
  <si>
    <t>cellular response to cytokine stimulus (GO:0071345)</t>
  </si>
  <si>
    <t>CD86;BCL6;CCL21;CXCR4;CCR7;CCL19</t>
  </si>
  <si>
    <t>positive regulation of glycoprotein biosynthetic process (GO:0010560)</t>
  </si>
  <si>
    <t>CCL21;CXCR4;CCR7;CCL19;CXCL13</t>
  </si>
  <si>
    <t>positive regulation of neutrophil chemotaxis (GO:0090023)</t>
  </si>
  <si>
    <t>positive regulation of neutrophil migration (GO:1902624)</t>
  </si>
  <si>
    <t>positive regulation of granulocyte chemotaxis (GO:0071624)</t>
  </si>
  <si>
    <t>negative regulation of sequestering of calcium ion (GO:0051283)</t>
  </si>
  <si>
    <t>CD274;CCL5;PDCD1LG2;HLA-DRB1;CD276;IDO1</t>
  </si>
  <si>
    <t>CD274;CCL5;PDCD1LG2;CD276;HLA-E</t>
  </si>
  <si>
    <t>CXCL9;STAT1;CCL5;CD27;PSMB10;HLA-DQA1;HLA-DRB1;HLA-E</t>
  </si>
  <si>
    <t>STAT1;CCL5;HLA-DQA1;HLA-DRB1;HLA-E</t>
  </si>
  <si>
    <t>negative regulation of T cell activation (GO:0050868)</t>
  </si>
  <si>
    <t>CD274;PDCD1LG2;TIGIT;HLA-DRB1</t>
  </si>
  <si>
    <t>CD274;CCL5;IDO1</t>
  </si>
  <si>
    <t>regulation of interleukin-10 production (GO:0032653)</t>
  </si>
  <si>
    <t>CD274;CCL5;PDCD1LG2;CD276</t>
  </si>
  <si>
    <t>STAT1;HLA-DQA1;HLA-DRB1;HLA-E</t>
  </si>
  <si>
    <t>LAG3;CD8A;HLA-DRB1;CD276;HLA-E</t>
  </si>
  <si>
    <t>negative regulation of cytokine production (GO:0001818)</t>
  </si>
  <si>
    <t>CD274;PDCD1LG2;TIGIT;HLA-DRB1;CMKLR1</t>
  </si>
  <si>
    <t>regulation of interferon-gamma production (GO:0032649)</t>
  </si>
  <si>
    <t>CD274;PDCD1LG2;HLA-DRB1;CD276</t>
  </si>
  <si>
    <t>LAG3;HLA-DQA1;HLA-DRB1;HLA-E</t>
  </si>
  <si>
    <t>negative regulation of interferon-gamma production (GO:0032689)</t>
  </si>
  <si>
    <t>CD274;PDCD1LG2;HLA-DRB1</t>
  </si>
  <si>
    <t>CD274;CXCL9;CCL5;PDCD1LG2</t>
  </si>
  <si>
    <t>regulation of activated T cell proliferation (GO:0046006)</t>
  </si>
  <si>
    <t>CD274;PDCD1LG2;IDO1</t>
  </si>
  <si>
    <t>negative regulation of T cell proliferation (GO:0042130)</t>
  </si>
  <si>
    <t>negative regulation of lymphocyte proliferation (GO:0050672)</t>
  </si>
  <si>
    <t>CCL20;CXCL1;CXCL2</t>
  </si>
  <si>
    <t>CXCL1;CXCL2</t>
  </si>
  <si>
    <t>cellular response to oxygen-containing compound (GO:1901701)</t>
  </si>
  <si>
    <t>positive regulation of lymphocyte migration (GO:2000403)</t>
  </si>
  <si>
    <t>CCL20</t>
  </si>
  <si>
    <t>T cell migration (GO:0072678)</t>
  </si>
  <si>
    <t>regulation of T cell migration (GO:2000404)</t>
  </si>
  <si>
    <t>calcium-mediated signaling using intracellular calcium source (GO:0035584)</t>
  </si>
  <si>
    <t>positive regulation of T cell migration (GO:2000406)</t>
  </si>
  <si>
    <t>lymphocyte migration (GO:0072676)</t>
  </si>
  <si>
    <t>CD86;CD274;CD40;CD80;TNFSF4;CD28;TNFRSF14;CD200;CD276;HAVCR2</t>
  </si>
  <si>
    <t>CD86;CD274;CD80;TNFSF4;CD28;TNFSF9;CD276</t>
  </si>
  <si>
    <t>CD86;CD274;CD40;CD80;TNFSF4;CD28;CD276</t>
  </si>
  <si>
    <t>CD86;CD274;CD80;TNFSF4;CD28;CD276</t>
  </si>
  <si>
    <t>positive regulation of interleukin-4 production (GO:0032753)</t>
  </si>
  <si>
    <t>CD86;TNFSF4;CD28;HAVCR2</t>
  </si>
  <si>
    <t>regulation of interleukin-4 production (GO:0032673)</t>
  </si>
  <si>
    <t>CD274;TNFSF4;VSIR;CD276;HAVCR2</t>
  </si>
  <si>
    <t>CD274;TNFSF4;VSIR;HAVCR2</t>
  </si>
  <si>
    <t>CD86;CD274;CD80;TNFRSF14</t>
  </si>
  <si>
    <t>CD86;CD274;CD80;CTLA4</t>
  </si>
  <si>
    <t>tumor necrosis factor-mediated signaling pathway (GO:0033209)</t>
  </si>
  <si>
    <t>CD40;TNFSF4;TNFSF9;CD27;TNFRSF14</t>
  </si>
  <si>
    <t>CD86;CD274;CD80;HAVCR2</t>
  </si>
  <si>
    <t>CD274;TNFSF4;CD28;VSIR</t>
  </si>
  <si>
    <t>regulation of interleukin-2 production (GO:0032663)</t>
  </si>
  <si>
    <t>CD86;CD80;CD28;HAVCR2</t>
  </si>
  <si>
    <t>negative regulation of alpha-beta T cell proliferation (GO:0046642)</t>
  </si>
  <si>
    <t>CD274;TNFRSF14;VSIR</t>
  </si>
  <si>
    <t>positive regulation of T-helper cell differentiation (GO:0045624)</t>
  </si>
  <si>
    <t>CD86;CD80;TNFSF4</t>
  </si>
  <si>
    <t>CD86;CD40;CD80;TNFSF4;TNFSF9;CD27;TNFRSF14</t>
  </si>
  <si>
    <t>CD40;TNFSF4;PDCD1;CD200;CD276</t>
  </si>
  <si>
    <t>CD274;TNFSF4;VSIR;CD200;HAVCR2</t>
  </si>
  <si>
    <t>negative regulation of transmembrane receptor protein serine/threonine kinase signaling pathway (GO:0090101)</t>
  </si>
  <si>
    <t>negative regulation of transforming growth factor beta receptor signaling pathway (GO:0030512)</t>
  </si>
  <si>
    <t>regulation of BMP signaling pathway (GO:0030510)</t>
  </si>
  <si>
    <t>BMPR2;XIAP;SKIL</t>
  </si>
  <si>
    <t>regulation of transforming growth factor beta receptor signaling pathway (GO:0017015)</t>
  </si>
  <si>
    <t>regulation of protein ubiquitination (GO:0031396)</t>
  </si>
  <si>
    <t>transmembrane receptor protein serine/threonine kinase signaling pathway (GO:0007178)</t>
  </si>
  <si>
    <t>mesenchyme development (GO:0060485)</t>
  </si>
  <si>
    <t>pharyngeal system development (GO:0060037)</t>
  </si>
  <si>
    <t>heart development (GO:0007507)</t>
  </si>
  <si>
    <t>heart trabecula morphogenesis (GO:0061384)</t>
  </si>
  <si>
    <t>artery development (GO:0060840)</t>
  </si>
  <si>
    <t>ventricular septum morphogenesis (GO:0060412)</t>
  </si>
  <si>
    <t>artery morphogenesis (GO:0048844)</t>
  </si>
  <si>
    <t>regulation of transmembrane receptor protein serine/threonine kinase signaling pathway (GO:0090092)</t>
  </si>
  <si>
    <t>FKBP1A;XIAP</t>
  </si>
  <si>
    <t>ventricular cardiac muscle tissue morphogenesis (GO:0055010)</t>
  </si>
  <si>
    <t>ventricular septum development (GO:0003281)</t>
  </si>
  <si>
    <t>response to growth factor (GO:0070848)</t>
  </si>
  <si>
    <t>positive regulation of pathway-restricted SMAD protein phosphorylation (GO:0010862)</t>
  </si>
  <si>
    <t>negative regulation of BMP signaling pathway (GO:0030514)</t>
  </si>
  <si>
    <t>BMPR2;SKIL</t>
  </si>
  <si>
    <t>heart morphogenesis (GO:0003007)</t>
  </si>
  <si>
    <t>glycolytic process (GO:0006096)</t>
  </si>
  <si>
    <t>LDHA;TPI1;ENO1;ALDOA;GAPDH</t>
  </si>
  <si>
    <t>platelet aggregation (GO:0070527)</t>
  </si>
  <si>
    <t>FN1;HSPB1;MYH9;ACTB;ACTG1</t>
  </si>
  <si>
    <t>carbohydrate catabolic process (GO:0016052)</t>
  </si>
  <si>
    <t>homotypic cell-cell adhesion (GO:0034109)</t>
  </si>
  <si>
    <t>pyruvate metabolic process (GO:0006090)</t>
  </si>
  <si>
    <t>canonical glycolysis (GO:0061621)</t>
  </si>
  <si>
    <t>TPI1;ENO1;ALDOA;GAPDH</t>
  </si>
  <si>
    <t>glucose catabolic process to pyruvate (GO:0061718)</t>
  </si>
  <si>
    <t>supramolecular fiber organization (GO:0097435)</t>
  </si>
  <si>
    <t>COL1A1;DSP;COL3A1;COL1A2;HSP90AB1;COL11A1;UBC;P4HB;ALDOA</t>
  </si>
  <si>
    <t>glycolytic process through glucose-6-phosphate (GO:0061620)</t>
  </si>
  <si>
    <t>skin morphogenesis (GO:0043589)</t>
  </si>
  <si>
    <t>COL1A1;ERRFI1;COL1A2</t>
  </si>
  <si>
    <t>skin development (GO:0043588)</t>
  </si>
  <si>
    <t>COL1A1;DSP;ERRFI1;COL3A1;COL1A2</t>
  </si>
  <si>
    <t>endothelial cell migration (GO:0043542)</t>
  </si>
  <si>
    <t>S100A2;MYH9;S100P;VEGFA</t>
  </si>
  <si>
    <t>collagen fibril organization (GO:0030199)</t>
  </si>
  <si>
    <t>COL1A1;COL3A1;COL1A2;COL11A1;P4HB</t>
  </si>
  <si>
    <t>gluconeogenesis (GO:0006094)</t>
  </si>
  <si>
    <t>hexose biosynthetic process (GO:0019319)</t>
  </si>
  <si>
    <t>neutrophil degranulation (GO:0043312)</t>
  </si>
  <si>
    <t>DSP;HSP90AB1;JUP;TUBB;FTH1;S100P;MIF;ALDOA;HSPA1A</t>
  </si>
  <si>
    <t>neutrophil activation involved in immune response (GO:0002283)</t>
  </si>
  <si>
    <t>protein localization to cell-cell junction (GO:0150105)</t>
  </si>
  <si>
    <t>DSP;ACTB;ACTG1</t>
  </si>
  <si>
    <t>neutrophil mediated immunity (GO:0002446)</t>
  </si>
  <si>
    <t>extracellular matrix organization (GO:0030198)</t>
  </si>
  <si>
    <t>COL1A1;COL3A1;MMP13;COL1A2;COL11A1;FN1;P4HB</t>
  </si>
  <si>
    <t>cell junction disassembly (GO:0150146)</t>
  </si>
  <si>
    <t>C1QA</t>
  </si>
  <si>
    <t>synapse pruning (GO:0098883)</t>
  </si>
  <si>
    <t>complement activation, classical pathway (GO:0006958)</t>
  </si>
  <si>
    <t>neuron remodeling (GO:0016322)</t>
  </si>
  <si>
    <t>humoral immune response mediated by circulating immunoglobulin (GO:0002455)</t>
  </si>
  <si>
    <t>lymphocyte mediated immunity (GO:0002449)</t>
  </si>
  <si>
    <t>CD8A</t>
  </si>
  <si>
    <t>T cell mediated immunity (GO:0002456)</t>
  </si>
  <si>
    <t>neuron maturation (GO:0042551)</t>
  </si>
  <si>
    <t>adaptive immune response based on somatic recombination of immune receptors built from immunoglobulin superfamily domains (GO:0002460)</t>
  </si>
  <si>
    <t>microglial cell activation (GO:0001774)</t>
  </si>
  <si>
    <t>macrophage activation (GO:0042116)</t>
  </si>
  <si>
    <t>T cell differentiation (GO:0030217)</t>
  </si>
  <si>
    <t>visual system development (GO:0150063)</t>
  </si>
  <si>
    <t>positive regulation of neuron death (GO:1901216)</t>
  </si>
  <si>
    <t>regulation of complement activation (GO:0030449)</t>
  </si>
  <si>
    <t>regulation of humoral immune response (GO:0002920)</t>
  </si>
  <si>
    <t>positive regulation of cell death (GO:0010942)</t>
  </si>
  <si>
    <t>cell junction organization (GO:0034330)</t>
  </si>
  <si>
    <t>regulation of neuron death (GO:1901214)</t>
  </si>
  <si>
    <t>average c-index</t>
  </si>
  <si>
    <t>average</t>
  </si>
  <si>
    <t>variance</t>
  </si>
  <si>
    <t>TGFβ</t>
  </si>
  <si>
    <t>IFNγ</t>
  </si>
  <si>
    <t>label</t>
  </si>
  <si>
    <t>auc</t>
  </si>
  <si>
    <t>(MELANOMA-II, CS Polarity)</t>
  </si>
  <si>
    <t>(MELANOMA-II, CD8Treg)</t>
  </si>
  <si>
    <t>(MELANOMA-II, TIDE)</t>
  </si>
  <si>
    <t>(MELANOMA-II, TLS)</t>
  </si>
  <si>
    <t>(MELANOMA-II, IS_stromal)</t>
  </si>
  <si>
    <t>(MELANOMA-II, B_cells)</t>
  </si>
  <si>
    <t>(MELANOMA-II, NetBio)</t>
  </si>
  <si>
    <t>(MELANOMA-II, IMPRES)</t>
  </si>
  <si>
    <t>(MELANOMA-II, CYT2)</t>
  </si>
  <si>
    <t>(MELANOMA-II, IS_immune)</t>
  </si>
  <si>
    <t>(MELANOMA-II, TIS)</t>
  </si>
  <si>
    <t>(MELANOMA-II, TIP Hot)</t>
  </si>
  <si>
    <t>(MELANOMA-II, SIA)</t>
  </si>
  <si>
    <t>(MELANOMA-II, TIP Cold)</t>
  </si>
  <si>
    <t>(MELANOMA-II, CYT1)</t>
  </si>
  <si>
    <t>(ccRCC, B_cells)</t>
  </si>
  <si>
    <t>(ccRCC, CYT1)</t>
  </si>
  <si>
    <t>(ccRCC, TIS)</t>
  </si>
  <si>
    <t>(ccRCC, TLS)</t>
  </si>
  <si>
    <t>(ccRCC, IS_stromal)</t>
  </si>
  <si>
    <t>(ccRCC, CYT2)</t>
  </si>
  <si>
    <t>(ccRCC, TIDE)</t>
  </si>
  <si>
    <t>(ccRCC, IS_immune)</t>
  </si>
  <si>
    <t>(ccRCC, CS Polarity)</t>
  </si>
  <si>
    <t>(ccRCC, TIP Cold)</t>
  </si>
  <si>
    <t>(ccRCC, SIA)</t>
  </si>
  <si>
    <t>(ccRCC, TIP Hot)</t>
  </si>
  <si>
    <t>(ccRCC, CD8Treg)</t>
  </si>
  <si>
    <t>(ccRCC, NetBio)</t>
  </si>
  <si>
    <t>(ccRCC, IMPRES)</t>
  </si>
  <si>
    <t>(UNC-108, IS_immune)</t>
  </si>
  <si>
    <t>(UNC-108, CS Polarity)</t>
  </si>
  <si>
    <t>(UNC-108, B_cells)</t>
  </si>
  <si>
    <t>(UNC-108, TIDE)</t>
  </si>
  <si>
    <t>(UNC-108, CD8Treg)</t>
  </si>
  <si>
    <t>(UNC-108, TIP Hot)</t>
  </si>
  <si>
    <t>(UNC-108, NetBio)</t>
  </si>
  <si>
    <t>(UNC-108, TLS)</t>
  </si>
  <si>
    <t>(UNC-108, CYT1)</t>
  </si>
  <si>
    <t>(UNC-108, IS_stromal)</t>
  </si>
  <si>
    <t>(UNC-108, CYT2)</t>
  </si>
  <si>
    <t>(UNC-108, IMPRES)</t>
  </si>
  <si>
    <t>(UNC-108, SIA)</t>
  </si>
  <si>
    <t>(UNC-108, TIS)</t>
  </si>
  <si>
    <t>(UNC-108, TIP Cold)</t>
  </si>
  <si>
    <t>(UC-II, TIP Hot)</t>
  </si>
  <si>
    <t>(UC-II, TIDE)</t>
  </si>
  <si>
    <t>(UC-II, TIS)</t>
  </si>
  <si>
    <t>(UC-II, CYT1)</t>
  </si>
  <si>
    <t>(UC-II, CS Polarity)</t>
  </si>
  <si>
    <t>(UC-II, IS_immune)</t>
  </si>
  <si>
    <t>(UC-II, B_cells)</t>
  </si>
  <si>
    <t>(UC-II, NetBio)</t>
  </si>
  <si>
    <t>(UC-II, CYT2)</t>
  </si>
  <si>
    <t>(UC-II, SIA)</t>
  </si>
  <si>
    <t>(UC-II, IS_stromal)</t>
  </si>
  <si>
    <t>(UC-II, TLS)</t>
  </si>
  <si>
    <t>(UC-II, TIP Cold)</t>
  </si>
  <si>
    <t>(UC-II, IMPRES)</t>
  </si>
  <si>
    <t>(UC-II, CD8Treg)</t>
  </si>
  <si>
    <t>(NIVOBIO, CD8Treg)</t>
  </si>
  <si>
    <t>(NIVOBIO, TIDE)</t>
  </si>
  <si>
    <t>(NIVOBIO, IS_immune)</t>
  </si>
  <si>
    <t>(NIVOBIO, CS Polarity)</t>
  </si>
  <si>
    <t>(NIVOBIO, B_cells)</t>
  </si>
  <si>
    <t>(NIVOBIO, TIS)</t>
  </si>
  <si>
    <t>(NIVOBIO, TIP Hot)</t>
  </si>
  <si>
    <t>(NIVOBIO, NetBio)</t>
  </si>
  <si>
    <t>(NIVOBIO, SIA)</t>
  </si>
  <si>
    <t>(NIVOBIO, CYT1)</t>
  </si>
  <si>
    <t>(NIVOBIO, IMPRES)</t>
  </si>
  <si>
    <t>(NIVOBIO, CYT2)</t>
  </si>
  <si>
    <t>(NIVOBIO, TIP Cold)</t>
  </si>
  <si>
    <t>(NIVOBIO, TLS)</t>
  </si>
  <si>
    <t>(NIVOBIO, IS_stromal)</t>
  </si>
  <si>
    <t>(NSCLC-II, CS Polarity)</t>
  </si>
  <si>
    <t>(NSCLC-II, CYT2)</t>
  </si>
  <si>
    <t>(NSCLC-II, SIA)</t>
  </si>
  <si>
    <t>(NSCLC-II, TIDE)</t>
  </si>
  <si>
    <t>(NSCLC-II, TIP Hot)</t>
  </si>
  <si>
    <t>(NSCLC-II, TIS)</t>
  </si>
  <si>
    <t>(NSCLC-II, IS_immune)</t>
  </si>
  <si>
    <t>(NSCLC-II, CYT1)</t>
  </si>
  <si>
    <t>(NSCLC-II, NetBio)</t>
  </si>
  <si>
    <t>(NSCLC-II, B_cells)</t>
  </si>
  <si>
    <t>(NSCLC-II, TLS)</t>
  </si>
  <si>
    <t>(NSCLC-II, TIP Cold)</t>
  </si>
  <si>
    <t>(NSCLC-II, CD8Treg)</t>
  </si>
  <si>
    <t>(NSCLC-II, IMPRES)</t>
  </si>
  <si>
    <t>(NSCLC-II, IS_stromal)</t>
  </si>
  <si>
    <t>(CLB-IHN, SIA)</t>
  </si>
  <si>
    <t>(CLB-IHN, CYT1)</t>
  </si>
  <si>
    <t>(CLB-IHN, TIS)</t>
  </si>
  <si>
    <t>(CLB-IHN, TLS)</t>
  </si>
  <si>
    <t>(CLB-IHN, TIP Hot)</t>
  </si>
  <si>
    <t>(CLB-IHN, NetBio)</t>
  </si>
  <si>
    <t>(CLB-IHN, TIDE)</t>
  </si>
  <si>
    <t>(CLB-IHN, IMPRES)</t>
  </si>
  <si>
    <t>(CLB-IHN, B_cells)</t>
  </si>
  <si>
    <t>(CLB-IHN, CYT2)</t>
  </si>
  <si>
    <t>(CLB-IHN, CS Polarity)</t>
  </si>
  <si>
    <t>(CLB-IHN, IS_stromal)</t>
  </si>
  <si>
    <t>(CLB-IHN, TIP Cold)</t>
  </si>
  <si>
    <t>(CLB-IHN, IS_immune)</t>
  </si>
  <si>
    <t>(CLB-IHN, CD8Treg)</t>
  </si>
  <si>
    <t>(MELANOMA-II, IFNγ)</t>
  </si>
  <si>
    <t>(ccRCC, IFNγ)</t>
  </si>
  <si>
    <t>(UNC-108, IFNγ)</t>
  </si>
  <si>
    <t>(UC-II, IFNγ)</t>
  </si>
  <si>
    <t>(NIVOBIO, IFNγ)</t>
  </si>
  <si>
    <t>(NSCLC-II, IFNγ)</t>
  </si>
  <si>
    <t>(CLB-IHN, IFNγ)</t>
  </si>
  <si>
    <t>(MELANOMA-II, TGFβ)</t>
  </si>
  <si>
    <t>(ccRCC, TGFβ)</t>
  </si>
  <si>
    <t>(UNC-108, TGFβ)</t>
  </si>
  <si>
    <t>(UC-II, TGFβ)</t>
  </si>
  <si>
    <t>(NIVOBIO, TGFβ)</t>
  </si>
  <si>
    <t>(NSCLC-II, TGFβ)</t>
  </si>
  <si>
    <t>(CLB-IHN, TGFβ)</t>
  </si>
  <si>
    <t>-LOG2_p</t>
  </si>
  <si>
    <t>MERGED-ICI R</t>
  </si>
  <si>
    <t>MERGED-ICI NR</t>
  </si>
  <si>
    <t>MELANOMA-I R</t>
  </si>
  <si>
    <t>MELANOMA-I NR</t>
  </si>
  <si>
    <t>NIVOBIO R</t>
  </si>
  <si>
    <t>NIVOBIO NR</t>
  </si>
  <si>
    <t>NSCLC-II R</t>
  </si>
  <si>
    <t>NSCLC-II NR</t>
  </si>
  <si>
    <t>CLB-IHN R</t>
  </si>
  <si>
    <t>CLB-IHN NR</t>
  </si>
  <si>
    <t>CCRCC R</t>
  </si>
  <si>
    <t>CCRCC NR</t>
  </si>
  <si>
    <t>NES</t>
  </si>
  <si>
    <t>NOM p-val</t>
  </si>
  <si>
    <t>FDR q-val</t>
  </si>
  <si>
    <t>Tag %</t>
  </si>
  <si>
    <t>Gene %</t>
  </si>
  <si>
    <t>extracellular structure organization (GO:0043062)</t>
  </si>
  <si>
    <t>external encapsulating structure organization (GO:0045229)</t>
  </si>
  <si>
    <t>regulation of cell migration (GO:0030334)</t>
  </si>
  <si>
    <t>mRNA splicing, via spliceosome (GO:0000398)</t>
  </si>
  <si>
    <t>mRNA processing (GO:0006397)</t>
  </si>
  <si>
    <t>cell junction assembly (GO:0034329)</t>
  </si>
  <si>
    <t>skeletal system development (GO:0001501)</t>
  </si>
  <si>
    <t>embryonic skeletal system development (GO:0048706)</t>
  </si>
  <si>
    <t>nervous system development (GO:0007399)</t>
  </si>
  <si>
    <t>RNA splicing, via transesterification reactions with bulged adenosine as nucleophile (GO:0000377)</t>
  </si>
  <si>
    <t>synapse organization (GO:0050808)</t>
  </si>
  <si>
    <t>gene expression (GO:0010467)</t>
  </si>
  <si>
    <t>positive regulation of cell motility (GO:2000147)</t>
  </si>
  <si>
    <t>cell-cell adhesion via plasma-membrane adhesion molecules (GO:0098742)</t>
  </si>
  <si>
    <t>positive regulation of cell migration (GO:0030335)</t>
  </si>
  <si>
    <t>DNA metabolic process (GO:0006259)</t>
  </si>
  <si>
    <t>synapse assembly (GO:0007416)</t>
  </si>
  <si>
    <t>embryonic skeletal system morphogenesis (GO:0048704)</t>
  </si>
  <si>
    <t>aortic valve development (GO:0003176)</t>
  </si>
  <si>
    <t>regulation of angiogenesis (GO:0045765)</t>
  </si>
  <si>
    <t>embryonic organ morphogenesis (GO:0048562)</t>
  </si>
  <si>
    <t>DNA-dependent DNA replication (GO:0006261)</t>
  </si>
  <si>
    <t>axon guidance (GO:0007411)</t>
  </si>
  <si>
    <t>anterior/posterior pattern specification (GO:0009952)</t>
  </si>
  <si>
    <t>regulation of osteoblast differentiation (GO:0045667)</t>
  </si>
  <si>
    <t>cellular macromolecule biosynthetic process (GO:0034645)</t>
  </si>
  <si>
    <t>defense response to virus (GO:0051607)</t>
  </si>
  <si>
    <t>T cell activation (GO:0042110)</t>
  </si>
  <si>
    <t>cellular response to DNA damage stimulus (GO:0006974)</t>
  </si>
  <si>
    <t>response to interferon-gamma (GO:0034341)</t>
  </si>
  <si>
    <t>B cell activation (GO:0042113)</t>
  </si>
  <si>
    <t>translational termination (GO:0006415)</t>
  </si>
  <si>
    <t>regulation of mitotic cell cycle phase transition (GO:1901990)</t>
  </si>
  <si>
    <t>positive regulation of cell differentiation (GO:0045597)</t>
  </si>
  <si>
    <t>circulatory system development (GO:0072359)</t>
  </si>
  <si>
    <t>aortic valve morphogenesis (GO:0003180)</t>
  </si>
  <si>
    <t>mitochondrial translation (GO:0032543)</t>
  </si>
  <si>
    <t>mitochondrial translational elongation (GO:0070125)</t>
  </si>
  <si>
    <t>mitochondrial translational termination (GO:0070126)</t>
  </si>
  <si>
    <t>calcium-dependent cell-cell adhesion via plasma membrane cell adhesion molecules (GO:0016339)</t>
  </si>
  <si>
    <t>translation (GO:0006412)</t>
  </si>
  <si>
    <t>anaphase-promoting complex-dependent catabolic process (GO:0031145)</t>
  </si>
  <si>
    <t>negative regulation of cell migration (GO:0030336)</t>
  </si>
  <si>
    <t>odontogenesis (GO:0042476)</t>
  </si>
  <si>
    <t>positive regulation of angiogenesis (GO:0045766)</t>
  </si>
  <si>
    <t>regulation of innate immune response (GO:0045088)</t>
  </si>
  <si>
    <t>positive regulation of vasculature development (GO:1904018)</t>
  </si>
  <si>
    <t>protein-DNA complex assembly (GO:0065004)</t>
  </si>
  <si>
    <t>RNA export from nucleus (GO:0006405)</t>
  </si>
  <si>
    <t>chordate embryonic development (GO:0043009)</t>
  </si>
  <si>
    <t>regulation of T cell activation (GO:0050863)</t>
  </si>
  <si>
    <t>defense response to bacterium (GO:0042742)</t>
  </si>
  <si>
    <t>axonogenesis (GO:0007409)</t>
  </si>
  <si>
    <t>rRNA processing (GO:0006364)</t>
  </si>
  <si>
    <t>regulation of epithelial to mesenchymal transition (GO:0010717)</t>
  </si>
  <si>
    <t>mRNA export from nucleus (GO:0006406)</t>
  </si>
  <si>
    <t>epithelial to mesenchymal transition (GO:0001837)</t>
  </si>
  <si>
    <t>ribosome biogenesis (GO:0042254)</t>
  </si>
  <si>
    <t>mesenchymal cell differentiation (GO:0048762)</t>
  </si>
  <si>
    <t>cell-cell junction organization (GO:0045216)</t>
  </si>
  <si>
    <t>cellular response to growth factor stimulus (GO:0071363)</t>
  </si>
  <si>
    <t>DNA repair (GO:0006281)</t>
  </si>
  <si>
    <t>microtubule cytoskeleton organization involved in mitosis (GO:1902850)</t>
  </si>
  <si>
    <t>innate immune response (GO:0045087)</t>
  </si>
  <si>
    <t>ncRNA processing (GO:0034470)</t>
  </si>
  <si>
    <t>positive regulation of interferon-gamma production (GO:0032729)</t>
  </si>
  <si>
    <t>anterograde trans-synaptic signaling (GO:0098916)</t>
  </si>
  <si>
    <t>regulation of natural killer cell mediated cytotoxicity (GO:0042269)</t>
  </si>
  <si>
    <t>regulation of smoothened signaling pathway (GO:0008589)</t>
  </si>
  <si>
    <t>skeletal system morphogenesis (GO:0048705)</t>
  </si>
  <si>
    <t>DNA replication (GO:0006260)</t>
  </si>
  <si>
    <t>translational elongation (GO:0006414)</t>
  </si>
  <si>
    <t>mRNA-containing ribonucleoprotein complex export from nucleus (GO:0071427)</t>
  </si>
  <si>
    <t>regulation of G2/M transition of mitotic cell cycle (GO:0010389)</t>
  </si>
  <si>
    <t>NIK/NF-kappaB signaling (GO:0038061)</t>
  </si>
  <si>
    <t>sprouting angiogenesis (GO:0002040)</t>
  </si>
  <si>
    <t>regulation of cytokine production (GO:0001817)</t>
  </si>
  <si>
    <t>B cell proliferation (GO:0042100)</t>
  </si>
  <si>
    <t>negative regulation of cell differentiation (GO:0045596)</t>
  </si>
  <si>
    <t>cotranslational protein targeting to membrane (GO:0006613)</t>
  </si>
  <si>
    <t>ubiquitin-dependent protein catabolic process (GO:0006511)</t>
  </si>
  <si>
    <t>glycosaminoglycan catabolic process (GO:0006027)</t>
  </si>
  <si>
    <t>rRNA metabolic process (GO:0016072)</t>
  </si>
  <si>
    <t>positive regulation of epithelial to mesenchymal transition (GO:0010718)</t>
  </si>
  <si>
    <t>homophilic cell adhesion via plasma membrane adhesion molecules (GO:0007156)</t>
  </si>
  <si>
    <t>mitotic spindle organization (GO:0007052)</t>
  </si>
  <si>
    <t>regulation of type I interferon production (GO:0032479)</t>
  </si>
  <si>
    <t>regulation of interleukin-12 production (GO:0032655)</t>
  </si>
  <si>
    <t>positive regulation of epithelial cell proliferation (GO:0050679)</t>
  </si>
  <si>
    <t>regulation of B cell activation (GO:0050864)</t>
  </si>
  <si>
    <t>mRNA transport (GO:0051028)</t>
  </si>
  <si>
    <t>protein modification by small protein removal (GO:0070646)</t>
  </si>
  <si>
    <t>double-strand break repair (GO:0006302)</t>
  </si>
  <si>
    <t>regulation of B cell proliferation (GO:0030888)</t>
  </si>
  <si>
    <t>cell-cell junction assembly (GO:0007043)</t>
  </si>
  <si>
    <t>pre-replicative complex assembly (GO:0036388)</t>
  </si>
  <si>
    <t>negative regulation of antigen receptor-mediated signaling pathway (GO:0050858)</t>
  </si>
  <si>
    <t>cardiac epithelial to mesenchymal transition (GO:0060317)</t>
  </si>
  <si>
    <t>B cell receptor signaling pathway (GO:0050853)</t>
  </si>
  <si>
    <t>cell surface receptor signaling pathway involved in heart development (GO:0061311)</t>
  </si>
  <si>
    <t>bone development (GO:0060348)</t>
  </si>
  <si>
    <t>positive regulation of immune effector process (GO:0002699)</t>
  </si>
  <si>
    <t>positive regulation of signal transduction (GO:0009967)</t>
  </si>
  <si>
    <t>RNA processing (GO:0006396)</t>
  </si>
  <si>
    <t>protein ubiquitination (GO:0016567)</t>
  </si>
  <si>
    <t>negative regulation of viral genome replication (GO:0045071)</t>
  </si>
  <si>
    <t>retinoid metabolic process (GO:0001523)</t>
  </si>
  <si>
    <t>negative regulation of viral process (GO:0048525)</t>
  </si>
  <si>
    <t>proteasome-mediated ubiquitin-dependent protein catabolic process (GO:0043161)</t>
  </si>
  <si>
    <t>mitochondrial respiratory chain complex assembly (GO:0033108)</t>
  </si>
  <si>
    <t>muscle contraction (GO:0006936)</t>
  </si>
  <si>
    <t>protein modification by small protein conjugation (GO:0032446)</t>
  </si>
  <si>
    <t>stimulatory C-type lectin receptor signaling pathway (GO:0002223)</t>
  </si>
  <si>
    <t>cellular response to lectin (GO:1990858)</t>
  </si>
  <si>
    <t>Fc-epsilon receptor signaling pathway (GO:0038095)</t>
  </si>
  <si>
    <t>protein deubiquitination (GO:0016579)</t>
  </si>
  <si>
    <t>regulation of axonogenesis (GO:0050770)</t>
  </si>
  <si>
    <t>regulation of mRNA catabolic process (GO:0061013)</t>
  </si>
  <si>
    <t>positive regulation of phosphorylation (GO:0042327)</t>
  </si>
  <si>
    <t>epidermis development (GO:0008544)</t>
  </si>
  <si>
    <t>Fc receptor signaling pathway (GO:0038093)</t>
  </si>
  <si>
    <t>Wnt signaling pathway (GO:0016055)</t>
  </si>
  <si>
    <t>negative regulation of signal transduction (GO:0009968)</t>
  </si>
  <si>
    <t>regulation of endothelial cell migration (GO:0010594)</t>
  </si>
  <si>
    <t>innate immune response activating cell surface receptor signaling pathway (GO:0002220)</t>
  </si>
  <si>
    <t>nuclear-transcribed mRNA catabolic process (GO:0000956)</t>
  </si>
  <si>
    <t>negative regulation of osteoblast differentiation (GO:0045668)</t>
  </si>
  <si>
    <t>regulation of signal transduction by p53 class mediator (GO:1901796)</t>
  </si>
  <si>
    <t>SRP-dependent cotranslational protein targeting to membrane (GO:0006614)</t>
  </si>
  <si>
    <t>pulmonary valve development (GO:0003177)</t>
  </si>
  <si>
    <t>embryonic organ development (GO:0048568)</t>
  </si>
  <si>
    <t>ribonucleoprotein complex assembly (GO:0022618)</t>
  </si>
  <si>
    <t>regulation of epithelial cell proliferation (GO:0050678)</t>
  </si>
  <si>
    <t>membrane depolarization during cardiac muscle cell action potential (GO:0086012)</t>
  </si>
  <si>
    <t>atrioventricular valve morphogenesis (GO:0003181)</t>
  </si>
  <si>
    <t>canonical Wnt signaling pathway (GO:0060070)</t>
  </si>
  <si>
    <t>positive regulation of type I interferon production (GO:0032481)</t>
  </si>
  <si>
    <t>cell-matrix adhesion (GO:0007160)</t>
  </si>
  <si>
    <t>chemical synaptic transmission (GO:0007268)</t>
  </si>
  <si>
    <t>immune response-activating cell surface receptor signaling pathway (GO:0002429)</t>
  </si>
  <si>
    <t>semaphorin-plexin signaling pathway (GO:0071526)</t>
  </si>
  <si>
    <t>male gonad development (GO:0008584)</t>
  </si>
  <si>
    <t>lymphocyte proliferation (GO:0046651)</t>
  </si>
  <si>
    <t>blood vessel morphogenesis (GO:0048514)</t>
  </si>
  <si>
    <t>negative regulation of cell motility (GO:2000146)</t>
  </si>
  <si>
    <t>pulmonary valve morphogenesis (GO:0003184)</t>
  </si>
  <si>
    <t>regulation of regulatory T cell differentiation (GO:0045589)</t>
  </si>
  <si>
    <t>tRNA transport (GO:0051031)</t>
  </si>
  <si>
    <t>positive regulation of cell projection organization (GO:0031346)</t>
  </si>
  <si>
    <t>regulation of pathway-restricted SMAD protein phosphorylation (GO:0060393)</t>
  </si>
  <si>
    <t>regulation of smooth muscle cell migration (GO:0014910)</t>
  </si>
  <si>
    <t>regulation of osteoblast proliferation (GO:0033688)</t>
  </si>
  <si>
    <t>RNA splicing (GO:0008380)</t>
  </si>
  <si>
    <t>connective tissue development (GO:0061448)</t>
  </si>
  <si>
    <t>regulation of gene silencing by RNA (GO:0060966)</t>
  </si>
  <si>
    <t>regulation of posttranscriptional gene silencing (GO:0060147)</t>
  </si>
  <si>
    <t>negative regulation of cell adhesion (GO:0007162)</t>
  </si>
  <si>
    <t>tRNA-containing ribonucleoprotein complex export from nucleus (GO:0071431)</t>
  </si>
  <si>
    <t>tRNA export from nucleus (GO:0006409)</t>
  </si>
  <si>
    <t>response to cytokine (GO:0034097)</t>
  </si>
  <si>
    <t>protein polyubiquitination (GO:0000209)</t>
  </si>
  <si>
    <t>cardiac muscle tissue development (GO:0048738)</t>
  </si>
  <si>
    <t>protein targeting to ER (GO:0045047)</t>
  </si>
  <si>
    <t>cardiac ventricle development (GO:0003231)</t>
  </si>
  <si>
    <t>eye morphogenesis (GO:0048592)</t>
  </si>
  <si>
    <t>negative chemotaxis (GO:0050919)</t>
  </si>
  <si>
    <t>development of primary male sexual characteristics (GO:0046546)</t>
  </si>
  <si>
    <t>negative regulation of cellular response to growth factor stimulus (GO:0090288)</t>
  </si>
  <si>
    <t>cellular response to transforming growth factor beta stimulus (GO:0071560)</t>
  </si>
  <si>
    <t>regulation of cell cycle phase transition (GO:1901987)</t>
  </si>
  <si>
    <t>glycosaminoglycan biosynthetic process (GO:0006024)</t>
  </si>
  <si>
    <t>regulation of cellular amine metabolic process (GO:0033238)</t>
  </si>
  <si>
    <t>negative regulation of T cell receptor signaling pathway (GO:0050860)</t>
  </si>
  <si>
    <t>intrinsic apoptotic signaling pathway in response to DNA damage (GO:0008630)</t>
  </si>
  <si>
    <t>ncRNA export from nucleus (GO:0097064)</t>
  </si>
  <si>
    <t>transcription, DNA-templated (GO:0006351)</t>
  </si>
  <si>
    <t>aorta morphogenesis (GO:0035909)</t>
  </si>
  <si>
    <t>gonad development (GO:0008406)</t>
  </si>
  <si>
    <t>cell-substrate junction assembly (GO:0007044)</t>
  </si>
  <si>
    <t>positive regulation of interleukin-12 production (GO:0032735)</t>
  </si>
  <si>
    <t>cytoplasmic translation (GO:0002181)</t>
  </si>
  <si>
    <t>mitotic sister chromatid segregation (GO:0000070)</t>
  </si>
  <si>
    <t>cellular response to tumor necrosis factor (GO:0071356)</t>
  </si>
  <si>
    <t>nuclear-transcribed mRNA catabolic process, nonsense-mediated decay (GO:0000184)</t>
  </si>
  <si>
    <t>regulated exocytosis (GO:0045055)</t>
  </si>
  <si>
    <t>nucleic acid metabolic process (GO:0090304)</t>
  </si>
  <si>
    <t>regulation of generation of precursor metabolites and energy (GO:0043467)</t>
  </si>
  <si>
    <t>regulation of ATP metabolic process (GO:1903578)</t>
  </si>
  <si>
    <t>extracellular matrix assembly (GO:0085029)</t>
  </si>
  <si>
    <t>wound healing (GO:0042060)</t>
  </si>
  <si>
    <t>regulation of cellular amino acid metabolic process (GO:0006521)</t>
  </si>
  <si>
    <t>blood vessel endothelial cell migration (GO:0043534)</t>
  </si>
  <si>
    <t>RNA 3'-end processing (GO:0031123)</t>
  </si>
  <si>
    <t>regulation of cellular ketone metabolic process (GO:0010565)</t>
  </si>
  <si>
    <t>diterpenoid metabolic process (GO:0016101)</t>
  </si>
  <si>
    <t>positive regulation of osteoblast differentiation (GO:0045669)</t>
  </si>
  <si>
    <t>regulation of defense response to virus by host (GO:0050691)</t>
  </si>
  <si>
    <t>interleukin-1-mediated signaling pathway (GO:0070498)</t>
  </si>
  <si>
    <t>negative regulation of lymphocyte activation (GO:0051250)</t>
  </si>
  <si>
    <t>transmembrane receptor protein tyrosine kinase signaling pathway (GO:0007169)</t>
  </si>
  <si>
    <t>mitochondrial respiratory chain complex I assembly (GO:0032981)</t>
  </si>
  <si>
    <t>NADH dehydrogenase complex assembly (GO:0010257)</t>
  </si>
  <si>
    <t>generation of neurons (GO:0048699)</t>
  </si>
  <si>
    <t>kidney development (GO:0001822)</t>
  </si>
  <si>
    <t>regulation of cytokine-mediated signaling pathway (GO:0001959)</t>
  </si>
  <si>
    <t>regulation of fat cell differentiation (GO:0045598)</t>
  </si>
  <si>
    <t>regulation of viral genome replication (GO:0045069)</t>
  </si>
  <si>
    <t>peptide biosynthetic process (GO:0043043)</t>
  </si>
  <si>
    <t>DNA replication-independent nucleosome assembly (GO:0006336)</t>
  </si>
  <si>
    <t>platelet degranulation (GO:0002576)</t>
  </si>
  <si>
    <t>mitochondrial gene expression (GO:0140053)</t>
  </si>
  <si>
    <t>positive regulation of T cell differentiation (GO:0045582)</t>
  </si>
  <si>
    <t>mitochondrial cytochrome c oxidase assembly (GO:0033617)</t>
  </si>
  <si>
    <t>positive regulation of epithelial cell migration (GO:0010634)</t>
  </si>
  <si>
    <t>RNA metabolic process (GO:0016070)</t>
  </si>
  <si>
    <t>regulation of axon extension involved in axon guidance (GO:0048841)</t>
  </si>
  <si>
    <t>sulfur compound catabolic process (GO:0044273)</t>
  </si>
  <si>
    <t>endocrine system development (GO:0035270)</t>
  </si>
  <si>
    <t>negative regulation of chemotaxis (GO:0050922)</t>
  </si>
  <si>
    <t>negative regulation of smoothened signaling pathway (GO:0045879)</t>
  </si>
  <si>
    <t>cartilage development (GO:0051216)</t>
  </si>
  <si>
    <t>adherens junction organization (GO:0034332)</t>
  </si>
  <si>
    <t>cellular response to vascular endothelial growth factor stimulus (GO:0035924)</t>
  </si>
  <si>
    <t>basement membrane organization (GO:0071711)</t>
  </si>
  <si>
    <t>nucleotide-excision repair (GO:0006289)</t>
  </si>
  <si>
    <t>positive regulation of cytosolic calcium ion concentration (GO:0007204)</t>
  </si>
  <si>
    <t>neural crest cell migration (GO:0001755)</t>
  </si>
  <si>
    <t>cardiac muscle cell action potential (GO:0086001)</t>
  </si>
  <si>
    <t>mRNA 3'-end processing (GO:0031124)</t>
  </si>
  <si>
    <t>regulation of heart rate by cardiac conduction (GO:0086091)</t>
  </si>
  <si>
    <t>base-excision repair (GO:0006284)</t>
  </si>
  <si>
    <t>adenylate cyclase-activating G protein-coupled receptor signaling pathway (GO:0007189)</t>
  </si>
  <si>
    <t>endoderm formation (GO:0001706)</t>
  </si>
  <si>
    <t>dendritic cell differentiation (GO:0097028)</t>
  </si>
  <si>
    <t>ephrin receptor signaling pathway (GO:0048013)</t>
  </si>
  <si>
    <t>metanephros development (GO:0001656)</t>
  </si>
  <si>
    <t>renal system development (GO:0072001)</t>
  </si>
  <si>
    <t>double-strand break repair via homologous recombination (GO:0000724)</t>
  </si>
  <si>
    <t>mitochondrial electron transport, NADH to ubiquinone (GO:0006120)</t>
  </si>
  <si>
    <t>regulation of carbohydrate catabolic process (GO:0043470)</t>
  </si>
  <si>
    <t>regulation of mitotic cell cycle (GO:0007346)</t>
  </si>
  <si>
    <t>regulation of immunoglobulin production (GO:0002637)</t>
  </si>
  <si>
    <t>cardiac muscle cell action potential involved in contraction (GO:0086002)</t>
  </si>
  <si>
    <t>regulation of Wnt signaling pathway (GO:0030111)</t>
  </si>
  <si>
    <t>positive regulation of cell population proliferation (GO:0008284)</t>
  </si>
  <si>
    <t>regulation of mRNA stability (GO:0043488)</t>
  </si>
  <si>
    <t>DNA replication initiation (GO:0006270)</t>
  </si>
  <si>
    <t>regulation of viral entry into host cell (GO:0046596)</t>
  </si>
  <si>
    <t>regulation of ion transmembrane transporter activity (GO:0032412)</t>
  </si>
  <si>
    <t>cellular response to decreased oxygen levels (GO:0036294)</t>
  </si>
  <si>
    <t>SCF-dependent proteasomal ubiquitin-dependent protein catabolic process (GO:0031146)</t>
  </si>
  <si>
    <t>positive regulation of wound healing (GO:0090303)</t>
  </si>
  <si>
    <t>regulation of T cell receptor signaling pathway (GO:0050856)</t>
  </si>
  <si>
    <t>branching morphogenesis of an epithelial tube (GO:0048754)</t>
  </si>
  <si>
    <t>enzyme linked receptor protein signaling pathway (GO:0007167)</t>
  </si>
  <si>
    <t>cardiac muscle cell development (GO:0055013)</t>
  </si>
  <si>
    <t>modification-dependent protein catabolic process (GO:0019941)</t>
  </si>
  <si>
    <t>extracellular matrix disassembly (GO:0022617)</t>
  </si>
  <si>
    <t>chondrocyte differentiation (GO:0002062)</t>
  </si>
  <si>
    <t>respiratory chain complex IV assembly (GO:0008535)</t>
  </si>
  <si>
    <t>histone mRNA metabolic process (GO:0008334)</t>
  </si>
  <si>
    <t>regulation of type I interferon-mediated signaling pathway (GO:0060338)</t>
  </si>
  <si>
    <t>histone H4-K5 acetylation (GO:0043981)</t>
  </si>
  <si>
    <t>histone H4-K8 acetylation (GO:0043982)</t>
  </si>
  <si>
    <t>transcription-coupled nucleotide-excision repair (GO:0006283)</t>
  </si>
  <si>
    <t>positive regulation of B cell activation (GO:0050871)</t>
  </si>
  <si>
    <t>regulation of cell differentiation (GO:0045595)</t>
  </si>
  <si>
    <t>positive regulation of interferon-beta production (GO:0032728)</t>
  </si>
  <si>
    <t>regulation of focal adhesion assembly (GO:0051893)</t>
  </si>
  <si>
    <t>positive regulation of natural killer cell mediated cytotoxicity (GO:0045954)</t>
  </si>
  <si>
    <t>regulation of endothelial cell proliferation (GO:0001936)</t>
  </si>
  <si>
    <t>modulation of excitatory postsynaptic potential (GO:0098815)</t>
  </si>
  <si>
    <t>positive regulation of production of molecular mediator of immune response (GO:0002702)</t>
  </si>
  <si>
    <t>regulation of cell cycle G2/M phase transition (GO:1902749)</t>
  </si>
  <si>
    <t>ciliary basal body-plasma membrane docking (GO:0097711)</t>
  </si>
  <si>
    <t>regulation of interferon-beta production (GO:0032648)</t>
  </si>
  <si>
    <t>positive regulation of tyrosine phosphorylation of STAT protein (GO:0042531)</t>
  </si>
  <si>
    <t>RNA transport (GO:0050658)</t>
  </si>
  <si>
    <t>telomere maintenance (GO:0000723)</t>
  </si>
  <si>
    <t>positive regulation of natural killer cell mediated immunity (GO:0002717)</t>
  </si>
  <si>
    <t>negative regulation of innate immune response (GO:0045824)</t>
  </si>
  <si>
    <t>import into nucleus (GO:0051170)</t>
  </si>
  <si>
    <t>regulation of tumor necrosis factor production (GO:0032680)</t>
  </si>
  <si>
    <t>mitotic cell cycle phase transition (GO:0044772)</t>
  </si>
  <si>
    <t>regulation of cytosolic calcium ion concentration (GO:0051480)</t>
  </si>
  <si>
    <t>regulation of neuron projection development (GO:0010975)</t>
  </si>
  <si>
    <t>histone exchange (GO:0043486)</t>
  </si>
  <si>
    <t>RNA methylation (GO:0001510)</t>
  </si>
  <si>
    <t>ribosomal large subunit biogenesis (GO:0042273)</t>
  </si>
  <si>
    <t>ameboidal-type cell migration (GO:0001667)</t>
  </si>
  <si>
    <t>response to interferon-beta (GO:0035456)</t>
  </si>
  <si>
    <t>cellular response to BMP stimulus (GO:0071773)</t>
  </si>
  <si>
    <t>toll-like receptor signaling pathway (GO:0002224)</t>
  </si>
  <si>
    <t>transforming growth factor beta receptor signaling pathway (GO:0007179)</t>
  </si>
  <si>
    <t>protein hydroxylation (GO:0018126)</t>
  </si>
  <si>
    <t>regulation of viral transcription (GO:0046782)</t>
  </si>
  <si>
    <t>regulation of B cell differentiation (GO:0045577)</t>
  </si>
  <si>
    <t>outflow tract septum morphogenesis (GO:0003148)</t>
  </si>
  <si>
    <t>ear morphogenesis (GO:0042471)</t>
  </si>
  <si>
    <t>proteasomal ubiquitin-independent protein catabolic process (GO:0010499)</t>
  </si>
  <si>
    <t>positive regulation of excitatory postsynaptic potential (GO:2000463)</t>
  </si>
  <si>
    <t>transcription elongation from RNA polymerase II promoter (GO:0006368)</t>
  </si>
  <si>
    <t>cellular component disassembly (GO:0022411)</t>
  </si>
  <si>
    <t>RNA modification (GO:0009451)</t>
  </si>
  <si>
    <t>regulation of hematopoietic progenitor cell differentiation (GO:1901532)</t>
  </si>
  <si>
    <t>regulation of phagocytosis (GO:0050764)</t>
  </si>
  <si>
    <t>activation of protein kinase B activity (GO:0032148)</t>
  </si>
  <si>
    <t>regulation of chondrocyte differentiation (GO:0032330)</t>
  </si>
  <si>
    <t>substrate adhesion-dependent cell spreading (GO:0034446)</t>
  </si>
  <si>
    <t>lymphocyte differentiation (GO:0030098)</t>
  </si>
  <si>
    <t>positive regulation of MAPK cascade (GO:0043410)</t>
  </si>
  <si>
    <t>DNA-templated transcription, termination (GO:0006353)</t>
  </si>
  <si>
    <t>telomere organization (GO:0032200)</t>
  </si>
  <si>
    <t>regulation of ossification (GO:0030278)</t>
  </si>
  <si>
    <t>regulation of interleukin-17 production (GO:0032660)</t>
  </si>
  <si>
    <t>phagosome maturation (GO:0090382)</t>
  </si>
  <si>
    <t>DNA-dependent DNA replication maintenance of fidelity (GO:0045005)</t>
  </si>
  <si>
    <t>positive regulation of fat cell differentiation (GO:0045600)</t>
  </si>
  <si>
    <t>CENP-A containing nucleosome assembly (GO:0034080)</t>
  </si>
  <si>
    <t>CENP-A containing chromatin organization (GO:0061641)</t>
  </si>
  <si>
    <t>regulation of interleukin-6 production (GO:0032675)</t>
  </si>
  <si>
    <t>chromatin organization (GO:0006325)</t>
  </si>
  <si>
    <t>regulation of purine nucleotide metabolic process (GO:1900542)</t>
  </si>
  <si>
    <t>negative regulation of axon extension involved in axon guidance (GO:0048843)</t>
  </si>
  <si>
    <t>regulation of autophagy (GO:0010506)</t>
  </si>
  <si>
    <t>regulation of substrate adhesion-dependent cell spreading (GO:1900024)</t>
  </si>
  <si>
    <t>chromatin remodeling (GO:0006338)</t>
  </si>
  <si>
    <t>regulation of cell adhesion (GO:0030155)</t>
  </si>
  <si>
    <t>positive regulation of B cell proliferation (GO:0030890)</t>
  </si>
  <si>
    <t>negative regulation of blood vessel morphogenesis (GO:2000181)</t>
  </si>
  <si>
    <t>regulation of collagen biosynthetic process (GO:0032965)</t>
  </si>
  <si>
    <t>positive regulation of transmembrane receptor protein serine/threonine kinase signaling pathway (GO:0090100)</t>
  </si>
  <si>
    <t>neuron differentiation (GO:0030182)</t>
  </si>
  <si>
    <t>adenylate cyclase-modulating G protein-coupled receptor signaling pathway (GO:0007188)</t>
  </si>
  <si>
    <t>regulation of T cell differentiation (GO:0045580)</t>
  </si>
  <si>
    <t>base-excision repair, gap-filling (GO:0006287)</t>
  </si>
  <si>
    <t>negative regulation of cell cycle G2/M phase transition (GO:1902750)</t>
  </si>
  <si>
    <t>cell migration involved in sprouting angiogenesis (GO:0002042)</t>
  </si>
  <si>
    <t>neuromuscular junction development (GO:0007528)</t>
  </si>
  <si>
    <t>establishment of skin barrier (GO:0061436)</t>
  </si>
  <si>
    <t>regulation of water loss via skin (GO:0033561)</t>
  </si>
  <si>
    <t>negative regulation of type I interferon production (GO:0032480)</t>
  </si>
  <si>
    <t>positive regulation of reproductive process (GO:2000243)</t>
  </si>
  <si>
    <t>vasculogenesis (GO:0001570)</t>
  </si>
  <si>
    <t>regulation of interferon-alpha production (GO:0032647)</t>
  </si>
  <si>
    <t>positive regulation of stress fiber assembly (GO:0051496)</t>
  </si>
  <si>
    <t>cellular response to steroid hormone stimulus (GO:0071383)</t>
  </si>
  <si>
    <t>transport across blood-brain barrier (GO:0150104)</t>
  </si>
  <si>
    <t>aerobic electron transport chain (GO:0019646)</t>
  </si>
  <si>
    <t>positive regulation of I-kappaB kinase/NF-kappaB signaling (GO:0043123)</t>
  </si>
  <si>
    <t>modulation of chemical synaptic transmission (GO:0050804)</t>
  </si>
  <si>
    <t>regulation of vascular associated smooth muscle cell proliferation (GO:1904705)</t>
  </si>
  <si>
    <t>BMP signaling pathway (GO:0030509)</t>
  </si>
  <si>
    <t>positive regulation of calcium ion transport (GO:0051928)</t>
  </si>
  <si>
    <t>regulation of cartilage development (GO:0061035)</t>
  </si>
  <si>
    <t>histone H3 acetylation (GO:0043966)</t>
  </si>
  <si>
    <t>endocardial cushion development (GO:0003197)</t>
  </si>
  <si>
    <t>cell cycle G2/M phase transition (GO:0044839)</t>
  </si>
  <si>
    <t>recombinational repair (GO:0000725)</t>
  </si>
  <si>
    <t>positive regulation of phagocytosis (GO:0050766)</t>
  </si>
  <si>
    <t>regulation of B cell receptor signaling pathway (GO:0050855)</t>
  </si>
  <si>
    <t>mitotic nuclear membrane reassembly (GO:0007084)</t>
  </si>
  <si>
    <t>mitotic nuclear membrane organization (GO:0101024)</t>
  </si>
  <si>
    <t>transcription by RNA polymerase II (GO:0006366)</t>
  </si>
  <si>
    <t>mitochondrial ATP synthesis coupled electron transport (GO:0042775)</t>
  </si>
  <si>
    <t>cardiac conduction system development (GO:0003161)</t>
  </si>
  <si>
    <t>centromere complex assembly (GO:0034508)</t>
  </si>
  <si>
    <t>B cell differentiation (GO:0030183)</t>
  </si>
  <si>
    <t>negative regulation of cell-substrate adhesion (GO:0010812)</t>
  </si>
  <si>
    <t>regulation of extracellular matrix organization (GO:1903053)</t>
  </si>
  <si>
    <t>embryonic limb morphogenesis (GO:0030326)</t>
  </si>
  <si>
    <t>positive regulation of neurogenesis (GO:0050769)</t>
  </si>
  <si>
    <t>endodermal cell differentiation (GO:0035987)</t>
  </si>
  <si>
    <t>sensory perception of mechanical stimulus (GO:0050954)</t>
  </si>
  <si>
    <t>histone acetylation (GO:0016573)</t>
  </si>
  <si>
    <t>regulation of gene expression, epigenetic (GO:0040029)</t>
  </si>
  <si>
    <t>negative regulation of developmental process (GO:0051093)</t>
  </si>
  <si>
    <t>positive regulation of biomineral tissue development (GO:0070169)</t>
  </si>
  <si>
    <t>intrinsic apoptotic signaling pathway (GO:0097193)</t>
  </si>
  <si>
    <t>vasculature development (GO:0001944)</t>
  </si>
  <si>
    <t>regulation of interleukin-1 beta production (GO:0032651)</t>
  </si>
  <si>
    <t>organelle organization (GO:0006996)</t>
  </si>
  <si>
    <t>regulation of bone mineralization (GO:0030500)</t>
  </si>
  <si>
    <t>chromatin remodeling at centromere (GO:0031055)</t>
  </si>
  <si>
    <t>positive regulation of multicellular organismal process (GO:0051240)</t>
  </si>
  <si>
    <t>DNA-templated transcription, elongation (GO:0006354)</t>
  </si>
  <si>
    <t>muscle cell development (GO:0055001)</t>
  </si>
  <si>
    <t>nuclear-transcribed mRNA catabolic process, deadenylation-dependent decay (GO:0000288)</t>
  </si>
  <si>
    <t>extrinsic apoptotic signaling pathway (GO:0097191)</t>
  </si>
  <si>
    <t>regulation of cation channel activity (GO:2001257)</t>
  </si>
  <si>
    <t>replication fork processing (GO:0031297)</t>
  </si>
  <si>
    <t>G2/M transition of mitotic cell cycle (GO:0000086)</t>
  </si>
  <si>
    <t>sulfur compound biosynthetic process (GO:0044272)</t>
  </si>
  <si>
    <t>positive regulation of ossification (GO:0045778)</t>
  </si>
  <si>
    <t>camera-type eye development (GO:0043010)</t>
  </si>
  <si>
    <t>regulation of vasoconstriction (GO:0019229)</t>
  </si>
  <si>
    <t>positive regulation of alpha-beta T cell activation (GO:0046635)</t>
  </si>
  <si>
    <t>DNA strand elongation involved in DNA replication (GO:0006271)</t>
  </si>
  <si>
    <t>nuclear membrane reassembly (GO:0031468)</t>
  </si>
  <si>
    <t>tRNA modification (GO:0006400)</t>
  </si>
  <si>
    <t>positive regulation of endothelial cell migration (GO:0010595)</t>
  </si>
  <si>
    <t>regulation of tyrosine phosphorylation of STAT protein (GO:0042509)</t>
  </si>
  <si>
    <t>protein import into nucleus (GO:0006606)</t>
  </si>
  <si>
    <t>cellular response to hormone stimulus (GO:0032870)</t>
  </si>
  <si>
    <t>MyD88-independent toll-like receptor signaling pathway (GO:0002756)</t>
  </si>
  <si>
    <t>protein localization to chromosome (GO:0034502)</t>
  </si>
  <si>
    <t>DNA duplex unwinding (GO:0032508)</t>
  </si>
  <si>
    <t>protein ADP-ribosylation (GO:0006471)</t>
  </si>
  <si>
    <t>mitotic metaphase plate congression (GO:0007080)</t>
  </si>
  <si>
    <t>cellular response to interleukin-1 (GO:0071347)</t>
  </si>
  <si>
    <t>regulation of cellular response to heat (GO:1900034)</t>
  </si>
  <si>
    <t>positive regulation of protein ubiquitination (GO:0031398)</t>
  </si>
  <si>
    <t>protein import (GO:0017038)</t>
  </si>
  <si>
    <t>regulation of lymphocyte differentiation (GO:0045619)</t>
  </si>
  <si>
    <t>positive regulation of response to biotic stimulus (GO:0002833)</t>
  </si>
  <si>
    <t>cellular glucuronidation (GO:0052695)</t>
  </si>
  <si>
    <t>nuclear export (GO:0051168)</t>
  </si>
  <si>
    <t>regulation of canonical Wnt signaling pathway (GO:0060828)</t>
  </si>
  <si>
    <t>lipid catabolic process (GO:0016042)</t>
  </si>
  <si>
    <t>mucosal immune response (GO:0002385)</t>
  </si>
  <si>
    <t>regulation of neurotransmitter receptor activity (GO:0099601)</t>
  </si>
  <si>
    <t>steroid metabolic process (GO:0008202)</t>
  </si>
  <si>
    <t>retrograde transport, endosome to Golgi (GO:0042147)</t>
  </si>
  <si>
    <t>COPII-coated vesicle budding (GO:0090114)</t>
  </si>
  <si>
    <t>vitamin transport (GO:0051180)</t>
  </si>
  <si>
    <t>keratinocyte differentiation (GO:0030216)</t>
  </si>
  <si>
    <t>fatty acid biosynthetic process (GO:0006633)</t>
  </si>
  <si>
    <t>regulation of AMPA receptor activity (GO:2000311)</t>
  </si>
  <si>
    <t>negative regulation of canonical Wnt signaling pathway (GO:0090090)</t>
  </si>
  <si>
    <t>sensory perception of chemical stimulus (GO:0007606)</t>
  </si>
  <si>
    <t>eosinophil migration (GO:0072677)</t>
  </si>
  <si>
    <t>eosinophil chemotaxis (GO:0048245)</t>
  </si>
  <si>
    <t>protein targeting (GO:0006605)</t>
  </si>
  <si>
    <t>antigen processing and presentation of peptide antigen via MHC class II (GO:0002495)</t>
  </si>
  <si>
    <t>negative regulation of leukocyte mediated cytotoxicity (GO:0001911)</t>
  </si>
  <si>
    <t>Fc receptor mediated stimulatory signaling pathway (GO:0002431)</t>
  </si>
  <si>
    <t>endoplasmic reticulum to Golgi vesicle-mediated transport (GO:0006888)</t>
  </si>
  <si>
    <t>hexose metabolic process (GO:0019318)</t>
  </si>
  <si>
    <t>mitochondrion organization (GO:0007005)</t>
  </si>
  <si>
    <t>Fc-gamma receptor signaling pathway (GO:0038094)</t>
  </si>
  <si>
    <t>mitochondrial transport (GO:0006839)</t>
  </si>
  <si>
    <t>fatty acid metabolic process (GO:0006631)</t>
  </si>
  <si>
    <t>antigen processing and presentation of exogenous peptide antigen via MHC class II (GO:0019886)</t>
  </si>
  <si>
    <t>regulation of I-kappaB kinase/NF-kappaB signaling (GO:0043122)</t>
  </si>
  <si>
    <t>protein N-linked glycosylation (GO:0006487)</t>
  </si>
  <si>
    <t>multivesicular body assembly (GO:0036258)</t>
  </si>
  <si>
    <t>multivesicular body organization (GO:0036257)</t>
  </si>
  <si>
    <t>vesicle targeting, rough ER to cis-Golgi (GO:0048207)</t>
  </si>
  <si>
    <t>vesicle coating (GO:0006901)</t>
  </si>
  <si>
    <t>COPII vesicle coating (GO:0048208)</t>
  </si>
  <si>
    <t>positive regulation of viral process (GO:0048524)</t>
  </si>
  <si>
    <t>Fc-gamma receptor signaling pathway involved in phagocytosis (GO:0038096)</t>
  </si>
  <si>
    <t>positive regulation of tumor necrosis factor superfamily cytokine production (GO:1903557)</t>
  </si>
  <si>
    <t>positive regulation of tumor necrosis factor production (GO:0032760)</t>
  </si>
  <si>
    <t>cellular protein metabolic process (GO:0044267)</t>
  </si>
  <si>
    <t>cellular response to chemical stress (GO:0062197)</t>
  </si>
  <si>
    <t>mRNA metabolic process (GO:0016071)</t>
  </si>
  <si>
    <t>myeloid leukocyte differentiation (GO:0002573)</t>
  </si>
  <si>
    <t>regulation of mRNA processing (GO:0050684)</t>
  </si>
  <si>
    <t>glucose metabolic process (GO:0006006)</t>
  </si>
  <si>
    <t>regulation of viral release from host cell (GO:1902186)</t>
  </si>
  <si>
    <t>macroautophagy (GO:0016236)</t>
  </si>
  <si>
    <t>long-chain fatty acid metabolic process (GO:0001676)</t>
  </si>
  <si>
    <t>negative regulation of Wnt signaling pathway (GO:0030178)</t>
  </si>
  <si>
    <t>intracellular protein transport (GO:0006886)</t>
  </si>
  <si>
    <t>protein targeting to membrane (GO:0006612)</t>
  </si>
  <si>
    <t>glycerophospholipid biosynthetic process (GO:0046474)</t>
  </si>
  <si>
    <t>proteasomal protein catabolic process (GO:0010498)</t>
  </si>
  <si>
    <t>protein transport (GO:0015031)</t>
  </si>
  <si>
    <t>lysosome localization (GO:0032418)</t>
  </si>
  <si>
    <t>positive regulation of RNA metabolic process (GO:0051254)</t>
  </si>
  <si>
    <t>exogenous drug catabolic process (GO:0042738)</t>
  </si>
  <si>
    <t>estrogen metabolic process (GO:0008210)</t>
  </si>
  <si>
    <t>endosome transport via multivesicular body sorting pathway (GO:0032509)</t>
  </si>
  <si>
    <t>epoxygenase P450 pathway (GO:0019373)</t>
  </si>
  <si>
    <t>regulation of lymphocyte activation (GO:0051249)</t>
  </si>
  <si>
    <t>interleukin-12-mediated signaling pathway (GO:0035722)</t>
  </si>
  <si>
    <t>cellular response to interleukin-12 (GO:0071349)</t>
  </si>
  <si>
    <t>monocyte chemotaxis (GO:0002548)</t>
  </si>
  <si>
    <t>negative regulation of tumor necrosis factor superfamily cytokine production (GO:1903556)</t>
  </si>
  <si>
    <t>cytosolic transport (GO:0016482)</t>
  </si>
  <si>
    <t>neuronal action potential (GO:0019228)</t>
  </si>
  <si>
    <t>sarcomere organization (GO:0045214)</t>
  </si>
  <si>
    <t>water-soluble vitamin metabolic process (GO:0006767)</t>
  </si>
  <si>
    <t>negative regulation of interleukin-6 production (GO:0032715)</t>
  </si>
  <si>
    <t>regulation of translation (GO:0006417)</t>
  </si>
  <si>
    <t>positive regulation of response to external stimulus (GO:0032103)</t>
  </si>
  <si>
    <t>oligosaccharide metabolic process (GO:0009311)</t>
  </si>
  <si>
    <t>drug catabolic process (GO:0042737)</t>
  </si>
  <si>
    <t>negative regulation of inflammatory response (GO:0050728)</t>
  </si>
  <si>
    <t>protein-containing complex assembly (GO:0065003)</t>
  </si>
  <si>
    <t>innate immune response in mucosa (GO:0002227)</t>
  </si>
  <si>
    <t>IRE1-mediated unfolded protein response (GO:0036498)</t>
  </si>
  <si>
    <t>regulation of RNA splicing (GO:0043484)</t>
  </si>
  <si>
    <t>positive regulation of DNA-binding transcription factor activity (GO:0051091)</t>
  </si>
  <si>
    <t>regulation of transcription from RNA polymerase II promoter in response to stress (GO:0043618)</t>
  </si>
  <si>
    <t>protein sumoylation (GO:0016925)</t>
  </si>
  <si>
    <t>negative regulation of immune response (GO:0050777)</t>
  </si>
  <si>
    <t>phosphatidylinositol biosynthetic process (GO:0006661)</t>
  </si>
  <si>
    <t>triglyceride homeostasis (GO:0070328)</t>
  </si>
  <si>
    <t>action potential (GO:0001508)</t>
  </si>
  <si>
    <t>sulfation (GO:0051923)</t>
  </si>
  <si>
    <t>response to endoplasmic reticulum stress (GO:0034976)</t>
  </si>
  <si>
    <t>cell chemotaxis (GO:0060326)</t>
  </si>
  <si>
    <t>peptidyl-lysine modification (GO:0018205)</t>
  </si>
  <si>
    <t>cholesterol efflux (GO:0033344)</t>
  </si>
  <si>
    <t>ethanol metabolic process (GO:0006067)</t>
  </si>
  <si>
    <t>negative regulation of tumor necrosis factor production (GO:0032720)</t>
  </si>
  <si>
    <t>retinoic acid metabolic process (GO:0042573)</t>
  </si>
  <si>
    <t>regulation of inflammatory response (GO:0050727)</t>
  </si>
  <si>
    <t>positive regulation of fatty acid metabolic process (GO:0045923)</t>
  </si>
  <si>
    <t>ribosomal small subunit biogenesis (GO:0042274)</t>
  </si>
  <si>
    <t>regulation of leukocyte activation (GO:0002694)</t>
  </si>
  <si>
    <t>RNA polyadenylation (GO:0043631)</t>
  </si>
  <si>
    <t>mRNA polyadenylation (GO:0006378)</t>
  </si>
  <si>
    <t>regulation of fatty acid biosynthetic process (GO:0042304)</t>
  </si>
  <si>
    <t>post-translational protein modification (GO:0043687)</t>
  </si>
  <si>
    <t>ATP-dependent chromatin remodeling (GO:0043044)</t>
  </si>
  <si>
    <t>positive regulation of innate immune response (GO:0045089)</t>
  </si>
  <si>
    <t>positive regulation of NF-kappaB transcription factor activity (GO:0051092)</t>
  </si>
  <si>
    <t>late endosome to vacuole transport via multivesicular body sorting pathway (GO:0032511)</t>
  </si>
  <si>
    <t>sensory perception of smell (GO:0007608)</t>
  </si>
  <si>
    <t>snRNA transcription by RNA polymerase II (GO:0042795)</t>
  </si>
  <si>
    <t>fatty acid catabolic process (GO:0009062)</t>
  </si>
  <si>
    <t>snRNA transcription (GO:0009301)</t>
  </si>
  <si>
    <t>negative regulation of defense response (GO:0031348)</t>
  </si>
  <si>
    <t>regulation of toll-like receptor 4 signaling pathway (GO:0034143)</t>
  </si>
  <si>
    <t>nuclear envelope organization (GO:0006998)</t>
  </si>
  <si>
    <t>myotube differentiation (GO:0014902)</t>
  </si>
  <si>
    <t>vitamin D metabolic process (GO:0042359)</t>
  </si>
  <si>
    <t>negative regulation of apoptotic signaling pathway (GO:2001234)</t>
  </si>
  <si>
    <t>regulation of protein kinase activity (GO:0045859)</t>
  </si>
  <si>
    <t>organelle assembly (GO:0070925)</t>
  </si>
  <si>
    <t>positive regulation of viral life cycle (GO:1903902)</t>
  </si>
  <si>
    <t>positive regulation of translation (GO:0045727)</t>
  </si>
  <si>
    <t>protein localization to nucleus (GO:0034504)</t>
  </si>
  <si>
    <t>positive regulation of toll-like receptor signaling pathway (GO:0034123)</t>
  </si>
  <si>
    <t>toll-like receptor 4 signaling pathway (GO:0034142)</t>
  </si>
  <si>
    <t>negative regulation of interleukin-1 production (GO:0032692)</t>
  </si>
  <si>
    <t>triglyceride catabolic process (GO:0019433)</t>
  </si>
  <si>
    <t>cellular respiration (GO:0045333)</t>
  </si>
  <si>
    <t>positive regulation of mononuclear cell migration (GO:0071677)</t>
  </si>
  <si>
    <t>cellular amide metabolic process (GO:0043603)</t>
  </si>
  <si>
    <t>regulation of platelet aggregation (GO:0090330)</t>
  </si>
  <si>
    <t>regulation of monocyte chemotaxis (GO:0090025)</t>
  </si>
  <si>
    <t>mitotic cytokinetic process (GO:1902410)</t>
  </si>
  <si>
    <t>G protein-coupled receptor signaling pathway, coupled to cyclic nucleotide second messenger (GO:0007187)</t>
  </si>
  <si>
    <t>antibacterial humoral response (GO:0019731)</t>
  </si>
  <si>
    <t>membrane organization (GO:0061024)</t>
  </si>
  <si>
    <t>regulation of programmed cell death (GO:0043067)</t>
  </si>
  <si>
    <t>acylglycerol homeostasis (GO:0055090)</t>
  </si>
  <si>
    <t>negative regulation of intrinsic apoptotic signaling pathway (GO:2001243)</t>
  </si>
  <si>
    <t>regulation of cellular catabolic process (GO:0031329)</t>
  </si>
  <si>
    <t>regulation of cell cycle (GO:0051726)</t>
  </si>
  <si>
    <t>purine nucleoside bisphosphate metabolic process (GO:0034032)</t>
  </si>
  <si>
    <t>ribonucleoside bisphosphate metabolic process (GO:0033875)</t>
  </si>
  <si>
    <t>cellular response to oxidative stress (GO:0034599)</t>
  </si>
  <si>
    <t>negative regulation of interleukin-1 beta production (GO:0032691)</t>
  </si>
  <si>
    <t>positive regulation of lymphocyte activation (GO:0051251)</t>
  </si>
  <si>
    <t>organic anion transport (GO:0015711)</t>
  </si>
  <si>
    <t>I-kappaB kinase/NF-kappaB signaling (GO:0007249)</t>
  </si>
  <si>
    <t>positive regulation of monocyte chemotaxis (GO:0090026)</t>
  </si>
  <si>
    <t>long-chain fatty-acyl-CoA metabolic process (GO:0035336)</t>
  </si>
  <si>
    <t>regulation of translational initiation (GO:0006446)</t>
  </si>
  <si>
    <t>negative regulation of leukocyte cell-cell adhesion (GO:1903038)</t>
  </si>
  <si>
    <t>protein targeting to mitochondrion (GO:0006626)</t>
  </si>
  <si>
    <t>positive regulation of ubiquitin-dependent protein catabolic process (GO:2000060)</t>
  </si>
  <si>
    <t>phosphate-containing compound metabolic process (GO:0006796)</t>
  </si>
  <si>
    <t>negative regulation of secretion by cell (GO:1903531)</t>
  </si>
  <si>
    <t>positive regulation of leukocyte activation (GO:0002696)</t>
  </si>
  <si>
    <t>protein import into peroxisome membrane (GO:0045046)</t>
  </si>
  <si>
    <t>positive regulation of viral transcription (GO:0050434)</t>
  </si>
  <si>
    <t>positive regulation of cellular metabolic process (GO:0031325)</t>
  </si>
  <si>
    <t>regulation of mitochondrial membrane potential (GO:0051881)</t>
  </si>
  <si>
    <t>protein targeting to peroxisome (GO:0006625)</t>
  </si>
  <si>
    <t>positive regulation of interleukin-6 production (GO:0032755)</t>
  </si>
  <si>
    <t>iron-sulfur cluster assembly (GO:0016226)</t>
  </si>
  <si>
    <t>natural killer cell activation (GO:0030101)</t>
  </si>
  <si>
    <t>midbody abscission (GO:0061952)</t>
  </si>
  <si>
    <t>Golgi organization (GO:0007030)</t>
  </si>
  <si>
    <t>response to hydrogen peroxide (GO:0042542)</t>
  </si>
  <si>
    <t>ribosomal small subunit assembly (GO:0000028)</t>
  </si>
  <si>
    <t>regulation of receptor signaling pathway via JAK-STAT (GO:0046425)</t>
  </si>
  <si>
    <t>cellular transition metal ion homeostasis (GO:0046916)</t>
  </si>
  <si>
    <t>positive regulation of intracellular protein transport (GO:0090316)</t>
  </si>
  <si>
    <t>sterol homeostasis (GO:0055092)</t>
  </si>
  <si>
    <t>regulation of mast cell degranulation (GO:0043304)</t>
  </si>
  <si>
    <t>mitotic nuclear division (GO:0140014)</t>
  </si>
  <si>
    <t>regulation of release of cytochrome c from mitochondria (GO:0090199)</t>
  </si>
  <si>
    <t>retinol metabolic process (GO:0042572)</t>
  </si>
  <si>
    <t>regulation of interleukin-13 production (GO:0032656)</t>
  </si>
  <si>
    <t>pattern recognition receptor signaling pathway (GO:0002221)</t>
  </si>
  <si>
    <t>ribonucleoprotein complex biogenesis (GO:0022613)</t>
  </si>
  <si>
    <t>nuclear-transcribed mRNA catabolic process, exonucleolytic (GO:0000291)</t>
  </si>
  <si>
    <t>negative regulation of G2/M transition of mitotic cell cycle (GO:0010972)</t>
  </si>
  <si>
    <t>ion transport (GO:0006811)</t>
  </si>
  <si>
    <t>regulation of interleukin-8 production (GO:0032677)</t>
  </si>
  <si>
    <t>programmed necrotic cell death (GO:0097300)</t>
  </si>
  <si>
    <t>nucleotide-excision repair, DNA incision (GO:0033683)</t>
  </si>
  <si>
    <t>peroxisomal membrane transport (GO:0015919)</t>
  </si>
  <si>
    <t>mitochondrial electron transport, cytochrome c to oxygen (GO:0006123)</t>
  </si>
  <si>
    <t>carbohydrate biosynthetic process (GO:0016051)</t>
  </si>
  <si>
    <t>T cell activation involved in immune response (GO:0002286)</t>
  </si>
  <si>
    <t>inner mitochondrial membrane organization (GO:0007007)</t>
  </si>
  <si>
    <t>tRNA processing (GO:0008033)</t>
  </si>
  <si>
    <t>spliceosomal snRNP assembly (GO:0000387)</t>
  </si>
  <si>
    <t>synaptic transmission, cholinergic (GO:0007271)</t>
  </si>
  <si>
    <t>intra-Golgi vesicle-mediated transport (GO:0006891)</t>
  </si>
  <si>
    <t>axoneme assembly (GO:0035082)</t>
  </si>
  <si>
    <t>intracellular protein transmembrane transport (GO:0065002)</t>
  </si>
  <si>
    <t>cilium movement (GO:0003341)</t>
  </si>
  <si>
    <t>regulation of phosphatidylinositol 3-kinase activity (GO:0043551)</t>
  </si>
  <si>
    <t>neuropeptide signaling pathway (GO:0007218)</t>
  </si>
  <si>
    <t>cellular protein localization (GO:0034613)</t>
  </si>
  <si>
    <t>potassium ion transmembrane transport (GO:0071805)</t>
  </si>
  <si>
    <t>endomembrane system organization (GO:0010256)</t>
  </si>
  <si>
    <t>potassium ion transport (GO:0006813)</t>
  </si>
  <si>
    <t>intracellular steroid hormone receptor signaling pathway (GO:0030518)</t>
  </si>
  <si>
    <t>post-Golgi vesicle-mediated transport (GO:0006892)</t>
  </si>
  <si>
    <t>arachidonic acid metabolic process (GO:0019369)</t>
  </si>
  <si>
    <t>adrenergic receptor signaling pathway (GO:0071875)</t>
  </si>
  <si>
    <t>DNA strand elongation (GO:0022616)</t>
  </si>
  <si>
    <t>adenylate cyclase-activating adrenergic receptor signaling pathway (GO:0071880)</t>
  </si>
  <si>
    <t>positive regulation of lipid kinase activity (GO:0090218)</t>
  </si>
  <si>
    <t>membrane depolarization (GO:0051899)</t>
  </si>
  <si>
    <t>glutamate receptor signaling pathway (GO:0007215)</t>
  </si>
  <si>
    <t>cation transport (GO:0006812)</t>
  </si>
  <si>
    <t>protein monoubiquitination (GO:0006513)</t>
  </si>
  <si>
    <t>monovalent inorganic cation homeostasis (GO:0055067)</t>
  </si>
  <si>
    <t>positive regulation of phosphatidylinositol 3-kinase activity (GO:0043552)</t>
  </si>
  <si>
    <t>negative regulation of ubiquitin-dependent protein catabolic process (GO:2000059)</t>
  </si>
  <si>
    <t>glycogen metabolic process (GO:0005977)</t>
  </si>
  <si>
    <t>regulation of NMDA receptor activity (GO:2000310)</t>
  </si>
  <si>
    <t>sister chromatid segregation (GO:0000819)</t>
  </si>
  <si>
    <t>regulation of synaptic transmission, glutamatergic (GO:0051966)</t>
  </si>
  <si>
    <t>adenylate cyclase-inhibiting G protein-coupled receptor signaling pathway (GO:0007193)</t>
  </si>
  <si>
    <t>receptor-mediated endocytosis (GO:0006898)</t>
  </si>
  <si>
    <t>negative regulation of blood coagulation (GO:0030195)</t>
  </si>
  <si>
    <t>plasma membrane bounded cell projection assembly (GO:0120031)</t>
  </si>
  <si>
    <t>ureteric bud development (GO:0001657)</t>
  </si>
  <si>
    <t>mesonephric tubule development (GO:0072164)</t>
  </si>
  <si>
    <t>positive regulation of vasoconstriction (GO:0045907)</t>
  </si>
  <si>
    <t>cilium organization (GO:0044782)</t>
  </si>
  <si>
    <t>positive regulation of positive chemotaxis (GO:0050927)</t>
  </si>
  <si>
    <t>cilium assembly (GO:0060271)</t>
  </si>
  <si>
    <t>negative regulation of multicellular organismal process (GO:0051241)</t>
  </si>
  <si>
    <t>receptor internalization (GO:0031623)</t>
  </si>
  <si>
    <t>positive regulation of cell morphogenesis involved in differentiation (GO:0010770)</t>
  </si>
  <si>
    <t>positive regulation of nucleic acid-templated transcription (GO:1903508)</t>
  </si>
  <si>
    <t>negative regulation of peptidase activity (GO:0010466)</t>
  </si>
  <si>
    <t>integrin-mediated signaling pathway (GO:0007229)</t>
  </si>
  <si>
    <t>regulation of ERK1 and ERK2 cascade (GO:0070372)</t>
  </si>
  <si>
    <t>negative regulation of cellular macromolecule biosynthetic process (GO:2000113)</t>
  </si>
  <si>
    <t>beta-catenin-TCF complex assembly (GO:1904837)</t>
  </si>
  <si>
    <t>keratan sulfate metabolic process (GO:0042339)</t>
  </si>
  <si>
    <t>positive regulation of endocytosis (GO:0045807)</t>
  </si>
  <si>
    <t>cholesterol transport (GO:0030301)</t>
  </si>
  <si>
    <t>regulation of blood coagulation (GO:0030193)</t>
  </si>
  <si>
    <t>cellular response to reactive oxygen species (GO:0034614)</t>
  </si>
  <si>
    <t>regulation of stress fiber assembly (GO:0051492)</t>
  </si>
  <si>
    <t>protein stabilization (GO:0050821)</t>
  </si>
  <si>
    <t>regulation of sprouting angiogenesis (GO:1903670)</t>
  </si>
  <si>
    <t>receptor metabolic process (GO:0043112)</t>
  </si>
  <si>
    <t>positive regulation of substrate adhesion-dependent cell spreading (GO:1900026)</t>
  </si>
  <si>
    <t>positive regulation of ERK1 and ERK2 cascade (GO:0070374)</t>
  </si>
  <si>
    <t>positive regulation of chemotaxis (GO:0050921)</t>
  </si>
  <si>
    <t>epithelium development (GO:0060429)</t>
  </si>
  <si>
    <t>protein localization to cell surface (GO:0034394)</t>
  </si>
  <si>
    <t>vascular transport (GO:0010232)</t>
  </si>
  <si>
    <t>positive regulation of smooth muscle cell migration (GO:0014911)</t>
  </si>
  <si>
    <t>digestive tract development (GO:0048565)</t>
  </si>
  <si>
    <t>peptide metabolic process (GO:0006518)</t>
  </si>
  <si>
    <t>lung development (GO:0030324)</t>
  </si>
  <si>
    <t>negative regulation of myeloid leukocyte differentiation (GO:0002762)</t>
  </si>
  <si>
    <t>regulation of cell migration involved in sprouting angiogenesis (GO:0090049)</t>
  </si>
  <si>
    <t>positive regulation of cell-substrate adhesion (GO:0010811)</t>
  </si>
  <si>
    <t>regulation of endocytosis (GO:0030100)</t>
  </si>
  <si>
    <t>regulation of cellular response to growth factor stimulus (GO:0090287)</t>
  </si>
  <si>
    <t>lamellipodium organization (GO:0097581)</t>
  </si>
  <si>
    <t>regulation of protein phosphorylation (GO:0001932)</t>
  </si>
  <si>
    <t>respiratory tube development (GO:0030323)</t>
  </si>
  <si>
    <t>regulation of cellular response to stress (GO:0080135)</t>
  </si>
  <si>
    <t>cholesterol metabolic process (GO:0008203)</t>
  </si>
  <si>
    <t>glucose homeostasis (GO:0042593)</t>
  </si>
  <si>
    <t>endothelial cell proliferation (GO:0001935)</t>
  </si>
  <si>
    <t>regulation of heart contraction (GO:0008016)</t>
  </si>
  <si>
    <t>activation of adenylate cyclase activity (GO:0007190)</t>
  </si>
  <si>
    <t>protein localization to organelle (GO:0033365)</t>
  </si>
  <si>
    <t>cellular response to nutrient levels (GO:0031669)</t>
  </si>
  <si>
    <t>cellular response to insulin stimulus (GO:0032869)</t>
  </si>
  <si>
    <t>blood circulation (GO:0008015)</t>
  </si>
  <si>
    <t>positive regulation of blood coagulation (GO:0030194)</t>
  </si>
  <si>
    <t>protein localization to cilium (GO:0061512)</t>
  </si>
  <si>
    <t>monocarboxylic acid biosynthetic process (GO:0072330)</t>
  </si>
  <si>
    <t>positive regulation of vascular associated smooth muscle cell proliferation (GO:1904707)</t>
  </si>
  <si>
    <t>tRNA methylation (GO:0030488)</t>
  </si>
  <si>
    <t>negative regulation of cellular protein metabolic process (GO:0032269)</t>
  </si>
  <si>
    <t>positive regulation of endothelial cell proliferation (GO:0001938)</t>
  </si>
  <si>
    <t>neuron cell-cell adhesion (GO:0007158)</t>
  </si>
  <si>
    <t>negative regulation of blood vessel endothelial cell migration (GO:0043537)</t>
  </si>
  <si>
    <t>positive regulation of sprouting angiogenesis (GO:1903672)</t>
  </si>
  <si>
    <t>positive regulation of cell cycle process (GO:0090068)</t>
  </si>
  <si>
    <t>keratan sulfate biosynthetic process (GO:0018146)</t>
  </si>
  <si>
    <t>positive regulation of RNA splicing (GO:0033120)</t>
  </si>
  <si>
    <t>negative regulation of endopeptidase activity (GO:0010951)</t>
  </si>
  <si>
    <t>regulation of RNA metabolic process (GO:0051252)</t>
  </si>
  <si>
    <t>female gonad development (GO:0008585)</t>
  </si>
  <si>
    <t>lamellipodium assembly (GO:0030032)</t>
  </si>
  <si>
    <t>cholesterol homeostasis (GO:0042632)</t>
  </si>
  <si>
    <t>lipid homeostasis (GO:0055088)</t>
  </si>
  <si>
    <t>positive regulation of proteasomal protein catabolic process (GO:1901800)</t>
  </si>
  <si>
    <t>sulfur amino acid metabolic process (GO:0000096)</t>
  </si>
  <si>
    <t>respiratory system development (GO:0060541)</t>
  </si>
  <si>
    <t>positive regulation of phosphatidylinositol 3-kinase signaling (GO:0014068)</t>
  </si>
  <si>
    <t>negative regulation of cellular process (GO:0048523)</t>
  </si>
  <si>
    <t>negative regulation of intrinsic apoptotic signaling pathway by p53 class mediator (GO:1902254)</t>
  </si>
  <si>
    <t>negative regulation of biomineral tissue development (GO:0070168)</t>
  </si>
  <si>
    <t>cellular response to peptide hormone stimulus (GO:0071375)</t>
  </si>
  <si>
    <t>regulation of lipoprotein lipase activity (GO:0051004)</t>
  </si>
  <si>
    <t>monocarboxylic acid metabolic process (GO:0032787)</t>
  </si>
  <si>
    <t>negative regulation of intrinsic apoptotic signaling pathway in response to DNA damage (GO:1902230)</t>
  </si>
  <si>
    <t>negative regulation of epithelial cell migration (GO:0010633)</t>
  </si>
  <si>
    <t>negative regulation of angiogenesis (GO:0016525)</t>
  </si>
  <si>
    <t>regulation of protein tyrosine kinase activity (GO:0061097)</t>
  </si>
  <si>
    <t>blood vessel diameter maintenance (GO:0097746)</t>
  </si>
  <si>
    <t>negative regulation of inflammatory response to antigenic stimulus (GO:0002862)</t>
  </si>
  <si>
    <t>regulation of pri-miRNA transcription by RNA polymerase II (GO:1902893)</t>
  </si>
  <si>
    <t>DNA-templated transcription, initiation (GO:0006352)</t>
  </si>
  <si>
    <t>regulation of MAP kinase activity (GO:0043405)</t>
  </si>
  <si>
    <t>positive regulation of actin filament bundle assembly (GO:0032233)</t>
  </si>
  <si>
    <t>positive regulation of GTPase activity (GO:0043547)</t>
  </si>
  <si>
    <t>fat cell differentiation (GO:0045444)</t>
  </si>
  <si>
    <t>dendrite morphogenesis (GO:0048813)</t>
  </si>
  <si>
    <t>chondroitin sulfate biosynthetic process (GO:0030206)</t>
  </si>
  <si>
    <t>muscle organ development (GO:0007517)</t>
  </si>
  <si>
    <t>positive regulation of protein phosphorylation (GO:0001934)</t>
  </si>
  <si>
    <t>cyclic purine nucleotide metabolic process (GO:0052652)</t>
  </si>
  <si>
    <t>chondroitin sulfate metabolic process (GO:0030204)</t>
  </si>
  <si>
    <t>response to reactive oxygen species (GO:0000302)</t>
  </si>
  <si>
    <t>regulation of non-canonical Wnt signaling pathway (GO:2000050)</t>
  </si>
  <si>
    <t>regulation of protein targeting to mitochondrion (GO:1903214)</t>
  </si>
  <si>
    <t>hyaluronan catabolic process (GO:0030214)</t>
  </si>
  <si>
    <t>limb development (GO:0060173)</t>
  </si>
  <si>
    <t>positive regulation of cytokine production involved in immune response (GO:0002720)</t>
  </si>
  <si>
    <t>HLA-B;HLA-C;B2M</t>
  </si>
  <si>
    <t>CASP8;HLA-B</t>
  </si>
  <si>
    <t>cellular response to nicotine (GO:0071316)</t>
  </si>
  <si>
    <t>B2M</t>
  </si>
  <si>
    <t>cellular response to iron ion (GO:0071281)</t>
  </si>
  <si>
    <t>positive regulation of receptor binding (GO:1900122)</t>
  </si>
  <si>
    <t>death-inducing signaling complex assembly (GO:0071550)</t>
  </si>
  <si>
    <t>CASP8</t>
  </si>
  <si>
    <t>response to host defenses (GO:0052200)</t>
  </si>
  <si>
    <t>modulation by symbiont of host defense response (GO:0052031)</t>
  </si>
  <si>
    <t>regulation of T cell tolerance induction (GO:0002664)</t>
  </si>
  <si>
    <t>HLA-B</t>
  </si>
  <si>
    <t>TRAIL-activated apoptotic signaling pathway (GO:0036462)</t>
  </si>
  <si>
    <t>regulation of CD8-positive, alpha-beta T cell proliferation (GO:2000564)</t>
  </si>
  <si>
    <t>HLA-A</t>
  </si>
  <si>
    <t>alpha-beta T cell activation (GO:0046631)</t>
  </si>
  <si>
    <t>T cell mediated cytotoxicity (GO:0001913)</t>
  </si>
  <si>
    <t>positive regulation of cysteine-type endopeptidase activity involved in apoptotic signaling pathway (GO:2001269)</t>
  </si>
  <si>
    <t>self proteolysis (GO:0097264)</t>
  </si>
  <si>
    <t>regulation of CD8-positive, alpha-beta T cell activation (GO:2001185)</t>
  </si>
  <si>
    <t>positive regulation of CD8-positive, alpha-beta T cell activation (GO:2001187)</t>
  </si>
  <si>
    <t>negative regulation of necroptotic process (GO:0060546)</t>
  </si>
  <si>
    <t>regulation of receptor binding (GO:1900120)</t>
  </si>
  <si>
    <t>modulation by symbiont of host process (GO:0044003)</t>
  </si>
  <si>
    <t>negative regulation of receptor binding (GO:1900121)</t>
  </si>
  <si>
    <t>positive regulation of macrophage differentiation (GO:0045651)</t>
  </si>
  <si>
    <t>negative regulation of programmed necrotic cell death (GO:0062099)</t>
  </si>
  <si>
    <t>positive regulation of cellular senescence (GO:2000774)</t>
  </si>
  <si>
    <t>regulation of dendritic cell differentiation (GO:2001198)</t>
  </si>
  <si>
    <t>toll-like receptor 3 signaling pathway (GO:0034138)</t>
  </si>
  <si>
    <t>response to iron ion (GO:0010039)</t>
  </si>
  <si>
    <t>positive regulation of cell aging (GO:0090343)</t>
  </si>
  <si>
    <t>IFNr</t>
  </si>
  <si>
    <t>CXCL10;CIITA;CCL5;CXCL3</t>
  </si>
  <si>
    <t>CIITA;STAT1;CCL5</t>
  </si>
  <si>
    <t>HLA-DRA;HLA-E</t>
  </si>
  <si>
    <t>CXCL10;CCL5</t>
  </si>
  <si>
    <t>regulation of T cell chemotaxis (GO:0010819)</t>
  </si>
  <si>
    <t>LAG3;HLA-DRA;HLA-E</t>
  </si>
  <si>
    <t>positive regulation of cell adhesion mediated by integrin (GO:0033630)</t>
  </si>
  <si>
    <t>HLA-DRA;CD3E;CD3D</t>
  </si>
  <si>
    <t>cellular response to virus (GO:0098586)</t>
  </si>
  <si>
    <t>CCL5;HLA-E</t>
  </si>
  <si>
    <t>CXCL10;STAT1;CD3E</t>
  </si>
  <si>
    <t>positive regulation of smooth muscle cell proliferation (GO:0048661)</t>
  </si>
  <si>
    <t>STAT1;CCL5</t>
  </si>
  <si>
    <t>CXCL10;STAT1;CCL5;IL2RG</t>
  </si>
  <si>
    <t>positive regulation of cell-cell adhesion (GO:0022409)</t>
  </si>
  <si>
    <t>CD2;CCL5</t>
  </si>
  <si>
    <t>regulation of smooth muscle cell proliferation (GO:0048660)</t>
  </si>
  <si>
    <t>CXCL10;STAT1</t>
  </si>
  <si>
    <t>positive regulation of leukocyte chemotaxis (GO:0002690)</t>
  </si>
  <si>
    <t>regulation of neutrophil chemotaxis (GO:0090022)</t>
  </si>
  <si>
    <t>positive regulation of cellular component movement (GO:0051272)</t>
  </si>
  <si>
    <t>release of sequestered calcium ion into cytosol (GO:0051209)</t>
  </si>
  <si>
    <t>response to ketone (GO:1901654)</t>
  </si>
  <si>
    <t>response to alcohol (GO:0097305)</t>
  </si>
  <si>
    <t>positive regulation of locomotion (GO:0040017)</t>
  </si>
  <si>
    <t>regulation of chemotaxis (GO:0050920)</t>
  </si>
  <si>
    <t>CCL21;CXCR4;CCL19</t>
  </si>
  <si>
    <t>positive regulation of protein kinase B signaling (GO:0051897)</t>
  </si>
  <si>
    <t>CD86;CCL21;CCR7;CCL19</t>
  </si>
  <si>
    <t>calcium ion transmembrane import into cytosol (GO:0097553)</t>
  </si>
  <si>
    <t>CCL21;CCL19;CXCL13</t>
  </si>
  <si>
    <t>regulation of protein kinase B signaling (GO:0051896)</t>
  </si>
  <si>
    <t>CCL21;CCR7;CCL19;CXCL13</t>
  </si>
  <si>
    <t>mature conventional dendritic cell differentiation (GO:0097029)</t>
  </si>
  <si>
    <t>CCR7;CCL19</t>
  </si>
  <si>
    <t>positive regulation of glycoprotein metabolic process (GO:1903020)</t>
  </si>
  <si>
    <t>CCL21;CCL19</t>
  </si>
  <si>
    <t>CD86;BCL6;CCL21;CCL19;CXCL13</t>
  </si>
  <si>
    <t>CCL21;CXCR4;CCR7</t>
  </si>
  <si>
    <t>positive regulation of JNK cascade (GO:0046330)</t>
  </si>
  <si>
    <t>CD86;CCR7;CCL19</t>
  </si>
  <si>
    <t>positive regulation of dendritic cell chemotaxis (GO:2000510)</t>
  </si>
  <si>
    <t>CCL21;CCR7</t>
  </si>
  <si>
    <t>positive regulation of plasma membrane bounded cell projection assembly (GO:0120034)</t>
  </si>
  <si>
    <t>regulation of glycoprotein biosynthetic process (GO:0010559)</t>
  </si>
  <si>
    <t>positive regulation of stress-activated MAPK cascade (GO:0032874)</t>
  </si>
  <si>
    <t>activation of GTPase activity (GO:0090630)</t>
  </si>
  <si>
    <t>CCL21;CCR7;CXCL13</t>
  </si>
  <si>
    <t>regulation of JNK cascade (GO:0046328)</t>
  </si>
  <si>
    <t>regulation of pseudopodium assembly (GO:0031272)</t>
  </si>
  <si>
    <t>positive regulation of pseudopodium assembly (GO:0031274)</t>
  </si>
  <si>
    <t>response to nitric oxide (GO:0071731)</t>
  </si>
  <si>
    <t>positive regulation of kinase activity (GO:0033674)</t>
  </si>
  <si>
    <t>positive regulation of T cell chemotaxis (GO:0010820)</t>
  </si>
  <si>
    <t>CCL21;CXCL13</t>
  </si>
  <si>
    <t>CD86;CCL19</t>
  </si>
  <si>
    <t>regulation of cell motility (GO:2000145)</t>
  </si>
  <si>
    <t>ruffle organization (GO:0031529)</t>
  </si>
  <si>
    <t>positive regulation of lymphocyte chemotaxis (GO:0140131)</t>
  </si>
  <si>
    <t>CXCR4;CCR7;CXCL13</t>
  </si>
  <si>
    <t>LAMP3;CXCR4;CCR7</t>
  </si>
  <si>
    <t>positive regulation of protein kinase activity (GO:0045860)</t>
  </si>
  <si>
    <t>BCL6;SELL;CXCL13</t>
  </si>
  <si>
    <t>positive regulation of filopodium assembly (GO:0051491)</t>
  </si>
  <si>
    <t>positive regulation of intracellular signal transduction (GO:1902533)</t>
  </si>
  <si>
    <t>regulation of receptor-mediated endocytosis (GO:0048259)</t>
  </si>
  <si>
    <t>regulation of filopodium assembly (GO:0051489)</t>
  </si>
  <si>
    <t>positive regulation of cell-matrix adhesion (GO:0001954)</t>
  </si>
  <si>
    <t>positive regulation of receptor-mediated endocytosis (GO:0048260)</t>
  </si>
  <si>
    <t>positive regulation of actin filament polymerization (GO:0030838)</t>
  </si>
  <si>
    <t>positive regulation of NIK/NF-kappaB signaling (GO:1901224)</t>
  </si>
  <si>
    <t>CCR7;CXCL13</t>
  </si>
  <si>
    <t>regulation of cell-matrix adhesion (GO:0001952)</t>
  </si>
  <si>
    <t>positive regulation of protein polymerization (GO:0032273)</t>
  </si>
  <si>
    <t>regulation of actin filament polymerization (GO:0030833)</t>
  </si>
  <si>
    <t>positive regulation of cell adhesion (GO:0045785)</t>
  </si>
  <si>
    <t>regulation of NIK/NF-kappaB signaling (GO:1901222)</t>
  </si>
  <si>
    <t>positive regulation of cytoskeleton organization (GO:0051495)</t>
  </si>
  <si>
    <t>response to interleukin-1 (GO:0070555)</t>
  </si>
  <si>
    <t>second-messenger-mediated signaling (GO:0019932)</t>
  </si>
  <si>
    <t>CXCR4;CCR7</t>
  </si>
  <si>
    <t>positive regulation of supramolecular fiber organization (GO:1902905)</t>
  </si>
  <si>
    <t>calcium-mediated signaling (GO:0019722)</t>
  </si>
  <si>
    <t>response to tumor necrosis factor (GO:0034612)</t>
  </si>
  <si>
    <t>CD86;CXCL13</t>
  </si>
  <si>
    <t>cellular response to organic substance (GO:0071310)</t>
  </si>
  <si>
    <t>regulation of anatomical structure morphogenesis (GO:0022603)</t>
  </si>
  <si>
    <t>BCL6;CXCL13</t>
  </si>
  <si>
    <t>plasma membrane bounded cell projection organization (GO:0120036)</t>
  </si>
  <si>
    <t>positive regulation of macromolecule biosynthetic process (GO:0010557)</t>
  </si>
  <si>
    <t>regulation of response to external stimulus (GO:0032101)</t>
  </si>
  <si>
    <t>BCL6;CXCR4</t>
  </si>
  <si>
    <t>positive regulation of hydrolase activity (GO:0051345)</t>
  </si>
  <si>
    <t>BCL6;CCR7</t>
  </si>
  <si>
    <t>regulation of germinal center formation (GO:0002634)</t>
  </si>
  <si>
    <t>BCL6</t>
  </si>
  <si>
    <t>activation of protein kinase C activity (GO:1990051)</t>
  </si>
  <si>
    <t>CD86</t>
  </si>
  <si>
    <t>chemokine (C-X-C motif) ligand 12 signaling pathway (GO:0038146)</t>
  </si>
  <si>
    <t>CXCR4</t>
  </si>
  <si>
    <t>chronic inflammatory response (GO:0002544)</t>
  </si>
  <si>
    <t>CXCL13</t>
  </si>
  <si>
    <t>negative regulation of leukocyte adhesion to vascular endothelial cell (GO:1904995)</t>
  </si>
  <si>
    <t>CCL21</t>
  </si>
  <si>
    <t>negative regulation of cellular extravasation (GO:0002692)</t>
  </si>
  <si>
    <t>B cell chemotaxis (GO:0035754)</t>
  </si>
  <si>
    <t>positive regulation of T-helper 2 cell differentiation (GO:0045630)</t>
  </si>
  <si>
    <t>positive regulation of cellular biosynthetic process (GO:0031328)</t>
  </si>
  <si>
    <t>regulation of GTPase activity (GO:0043087)</t>
  </si>
  <si>
    <t>regulation of T-helper 1 cell differentiation (GO:0045625)</t>
  </si>
  <si>
    <t>CCL19</t>
  </si>
  <si>
    <t>positive regulation of humoral immune response (GO:0002922)</t>
  </si>
  <si>
    <t>CCR7</t>
  </si>
  <si>
    <t>regulation of endothelial cell chemotaxis to fibroblast growth factor (GO:2000544)</t>
  </si>
  <si>
    <t>negative regulation of B cell apoptotic process (GO:0002903)</t>
  </si>
  <si>
    <t>positive regulation of oligodendrocyte differentiation (GO:0048714)</t>
  </si>
  <si>
    <t>regulation of T-helper 2 cell differentiation (GO:0045628)</t>
  </si>
  <si>
    <t>fusion of virus membrane with host plasma membrane (GO:0019064)</t>
  </si>
  <si>
    <t>membrane fusion involved in viral entry into host cell (GO:0039663)</t>
  </si>
  <si>
    <t>regulation of dendritic cell chemotaxis (GO:2000508)</t>
  </si>
  <si>
    <t>CD40 signaling pathway (GO:0023035)</t>
  </si>
  <si>
    <t>endothelial cell chemotaxis (GO:0035767)</t>
  </si>
  <si>
    <t>regulation of leukocyte tethering or rolling (GO:1903236)</t>
  </si>
  <si>
    <t>negative regulation of lymphocyte apoptotic process (GO:0070229)</t>
  </si>
  <si>
    <t>myelin maintenance (GO:0043217)</t>
  </si>
  <si>
    <t>positive regulation of integrin activation (GO:0033625)</t>
  </si>
  <si>
    <t>regulation of B cell apoptotic process (GO:0002902)</t>
  </si>
  <si>
    <t>PSMB10;HLA-DQA1;HLA-DRB1;CD276</t>
  </si>
  <si>
    <t>positive regulation of immune response to tumor cell (GO:0002839)</t>
  </si>
  <si>
    <t>CD274;HLA-DRB1</t>
  </si>
  <si>
    <t>STAT1;CCL5;CD27;PSMB10</t>
  </si>
  <si>
    <t>CD274;HLA-E</t>
  </si>
  <si>
    <t>negative regulation of activated T cell proliferation (GO:0046007)</t>
  </si>
  <si>
    <t>CD274;PDCD1LG2</t>
  </si>
  <si>
    <t>HLA-DRB1;HLA-E</t>
  </si>
  <si>
    <t>negative regulation of interleukin-12 production (GO:0032695)</t>
  </si>
  <si>
    <t>TIGIT;CMKLR1</t>
  </si>
  <si>
    <t>positive regulation of macrophage chemotaxis (GO:0010759)</t>
  </si>
  <si>
    <t>CCL5;CMKLR1</t>
  </si>
  <si>
    <t>LAG3;HLA-DQA1;HLA-DRB1</t>
  </si>
  <si>
    <t>negative regulation of interleukin-10 production (GO:0032693)</t>
  </si>
  <si>
    <t>positive regulation of macrophage migration (GO:1905523)</t>
  </si>
  <si>
    <t>CD274;CXCL9;PDCD1LG2</t>
  </si>
  <si>
    <t>CD8A;HLA-DRB1</t>
  </si>
  <si>
    <t>regulation of granulocyte chemotaxis (GO:0071622)</t>
  </si>
  <si>
    <t>STAT1;CD27;PSMB10</t>
  </si>
  <si>
    <t>regulation of macrophage chemotaxis (GO:0010758)</t>
  </si>
  <si>
    <t>regulation of mononuclear cell migration (GO:0071675)</t>
  </si>
  <si>
    <t>CD274;TIGIT;CD276;HLA-E</t>
  </si>
  <si>
    <t>positive regulation of interleukin-10 production (GO:0032733)</t>
  </si>
  <si>
    <t>CD274;TIGIT</t>
  </si>
  <si>
    <t>CCL5;TIGIT</t>
  </si>
  <si>
    <t>CXCL9;CCL5;CMKLR1</t>
  </si>
  <si>
    <t>CXCL9;CCL5</t>
  </si>
  <si>
    <t>CXCL10;CXCL11;CXCL9;CD4;CCL5</t>
  </si>
  <si>
    <t>CD4;CD8B;CD8A</t>
  </si>
  <si>
    <t>CD4;CCL5</t>
  </si>
  <si>
    <t>CD8B;CD8A;PDCD1</t>
  </si>
  <si>
    <t>CD4;CD8A</t>
  </si>
  <si>
    <t>regulation of calcium ion transport (GO:0051924)</t>
  </si>
  <si>
    <t>CD274;CCL5</t>
  </si>
  <si>
    <t>TNFSF4;CTLA4;VSIR</t>
  </si>
  <si>
    <t>positive regulation of interleukin-2 production (GO:0032743)</t>
  </si>
  <si>
    <t>CD86;CD80;CD28</t>
  </si>
  <si>
    <t>CD86;CD274;CD80;TNFSF4</t>
  </si>
  <si>
    <t>CD274;TNFSF4;CD28</t>
  </si>
  <si>
    <t>CD86;TNFSF4;TNFRSF14</t>
  </si>
  <si>
    <t>TNFSF4;TNFSF9;VSIR</t>
  </si>
  <si>
    <t>negative regulation of regulatory T cell differentiation (GO:0045590)</t>
  </si>
  <si>
    <t>TNFSF4;CTLA4</t>
  </si>
  <si>
    <t>CD274;VSIR;HAVCR2</t>
  </si>
  <si>
    <t>CD40;TNFSF4;CD27</t>
  </si>
  <si>
    <t>negative regulation of CD8-positive, alpha-beta T cell activation (GO:2001186)</t>
  </si>
  <si>
    <t>CD274;VSIR</t>
  </si>
  <si>
    <t>CD86;TNFSF4</t>
  </si>
  <si>
    <t>CD80;TNFSF4</t>
  </si>
  <si>
    <t>negative regulation of CD4-positive, alpha-beta T cell proliferation (GO:2000562)</t>
  </si>
  <si>
    <t>regulation of alpha-beta T cell proliferation (GO:0046640)</t>
  </si>
  <si>
    <t>TNFSF4;TNFRSF14</t>
  </si>
  <si>
    <t>CD86;CD40</t>
  </si>
  <si>
    <t>negative regulation of alpha-beta T cell activation (GO:0046636)</t>
  </si>
  <si>
    <t>CD274;TNFRSF14</t>
  </si>
  <si>
    <t>CD274;PDCD1</t>
  </si>
  <si>
    <t>negative regulation of interleukin-17 production (GO:0032700)</t>
  </si>
  <si>
    <t>TNFSF4;VSIR</t>
  </si>
  <si>
    <t>regulation of CD4-positive, alpha-beta T cell proliferation (GO:2000561)</t>
  </si>
  <si>
    <t>CD86;CD40;CD80;CD28;CD27</t>
  </si>
  <si>
    <t>negative regulation of CD4-positive, alpha-beta T cell activation (GO:2000515)</t>
  </si>
  <si>
    <t>TNFSF4;CD28;CD276</t>
  </si>
  <si>
    <t>negative regulation of T cell differentiation (GO:0045581)</t>
  </si>
  <si>
    <t>positive regulation of type 2 immune response (GO:0002830)</t>
  </si>
  <si>
    <t>negative regulation of leukocyte activation (GO:0002695)</t>
  </si>
  <si>
    <t>CD200;HAVCR2</t>
  </si>
  <si>
    <t>negative regulation of immune system process (GO:0002683)</t>
  </si>
  <si>
    <t>PDCD1;CD200</t>
  </si>
  <si>
    <t>TNFRSF14;CD200</t>
  </si>
  <si>
    <t>positive regulation of peptidyl-tyrosine phosphorylation (GO:0050731)</t>
  </si>
  <si>
    <t>CD40;CD80;TNFRSF14</t>
  </si>
  <si>
    <t>negative regulation of DNA-binding transcription factor activity (GO:0043433)</t>
  </si>
  <si>
    <t>TNFSF4;CD200;HAVCR2</t>
  </si>
  <si>
    <t>CD28;CTLA4;CD276</t>
  </si>
  <si>
    <t>CD274;TNFSF9</t>
  </si>
  <si>
    <t>CD40;TNFSF4</t>
  </si>
  <si>
    <t>positive regulation of immunoglobulin production (GO:0002639)</t>
  </si>
  <si>
    <t>VSIR;HAVCR2</t>
  </si>
  <si>
    <t>CD40;CTLA4</t>
  </si>
  <si>
    <t>CD86;CD27</t>
  </si>
  <si>
    <t>TNFSF4;CD276</t>
  </si>
  <si>
    <t>negative regulation of NF-kappaB transcription factor activity (GO:0032088)</t>
  </si>
  <si>
    <t>CD86;HAVCR2</t>
  </si>
  <si>
    <t>regulation of apoptotic process (GO:0042981)</t>
  </si>
  <si>
    <t>CD28;CTLA4;TNFSF9;CD27</t>
  </si>
  <si>
    <t>regulation of peptidyl-tyrosine phosphorylation (GO:0050730)</t>
  </si>
  <si>
    <t>CD80;TNFRSF14</t>
  </si>
  <si>
    <t>FKBP1A;BMPR2;SKIL;TGFBR1</t>
  </si>
  <si>
    <t>TGFb</t>
  </si>
  <si>
    <t>FKBP1A;SKIL;TGFBR1</t>
  </si>
  <si>
    <t>FKBP1A;XIAP;TGFBR1</t>
  </si>
  <si>
    <t>FKBP1A;BMPR2;TGFBR1</t>
  </si>
  <si>
    <t>BMPR2;TGFBR1</t>
  </si>
  <si>
    <t>FKBP1A;TGFBR1</t>
  </si>
  <si>
    <t>positive regulation of protein modification by small protein conjugation or removal (GO:1903322)</t>
  </si>
  <si>
    <t>FKBP1A;SLC20A1;TGFBR1</t>
  </si>
  <si>
    <t>regulation of cell population proliferation (GO:0042127)</t>
  </si>
  <si>
    <t>BMPR2;XIAP;TGFBR1</t>
  </si>
  <si>
    <t>FKBP1A;SLC20A1</t>
  </si>
  <si>
    <t>negative regulation of calcium ion transport into cytosol (GO:0010523)</t>
  </si>
  <si>
    <t>FKBP1A</t>
  </si>
  <si>
    <t>coronary artery morphogenesis (GO:0060982)</t>
  </si>
  <si>
    <t>TGFBR1</t>
  </si>
  <si>
    <t>positive regulation of epithelial to mesenchymal transition involved in endocardial cushion formation (GO:1905007)</t>
  </si>
  <si>
    <t>tricuspid valve development (GO:0003175)</t>
  </si>
  <si>
    <t>BMPR2</t>
  </si>
  <si>
    <t>tricuspid valve morphogenesis (GO:0003186)</t>
  </si>
  <si>
    <t>regulation of nucleotide-binding oligomerization domain containing signaling pathway (GO:0070424)</t>
  </si>
  <si>
    <t>XIAP</t>
  </si>
  <si>
    <t>retina vasculature development in camera-type eye (GO:0061298)</t>
  </si>
  <si>
    <t>endothelial cell apoptotic process (GO:0072577)</t>
  </si>
  <si>
    <t>regulation of cell growth (GO:0001558)</t>
  </si>
  <si>
    <t>chondrocyte development (GO:0002063)</t>
  </si>
  <si>
    <t>ventricular compact myocardium morphogenesis (GO:0003223)</t>
  </si>
  <si>
    <t>CR1;LAPTM5;HLA-DPB1;TLR8;HLA-A;HLA-DRB1;CCR2;HLA-DPA1</t>
  </si>
  <si>
    <t>ITK;CD74;PTPRC;CD8A;CD3G;LCP1;CCL19;PIK3CG</t>
  </si>
  <si>
    <t>CD74;HLA-DPB1;HLA-DRA;HLA-DOA;HLA-DQA2;HLA-DQA1;HLA-DRB1;HLA-DPA1</t>
  </si>
  <si>
    <t>PLA2G2D;CR1;LAPTM5;NCKAP1L;VSIG4;HLA-DRB1</t>
  </si>
  <si>
    <t>CD40LG;IFNG;HLA-B;LAPTM5;TLR8;CCL19</t>
  </si>
  <si>
    <t>C1QB;C1QA;CR1;CD19;CXCL13;C1QC</t>
  </si>
  <si>
    <t>CXCL10;CXCL9;CCL5;CCL19;CXCL13;CCR2</t>
  </si>
  <si>
    <t>CD84;PTPRC;CR1;IFNG;LAPTM5;TLR8;NCKAP1L;VSIG4;HLA-DRB1</t>
  </si>
  <si>
    <t>PTPRC;IFNG;HLA-DRA;HLA-DRB1;CCR2</t>
  </si>
  <si>
    <t>HLA-DRA;HLA-A;B2M;HLA-DRB1</t>
  </si>
  <si>
    <t>ITK;PTPRC;CD19;NCKAP1L;MS4A1</t>
  </si>
  <si>
    <t>CXCL10;CCL5;CXCL13;CCR2</t>
  </si>
  <si>
    <t>CCL5;CCL19;PIK3CG;CCR2</t>
  </si>
  <si>
    <t>antigen processing and presentation of lipid antigen via MHC class Ib (GO:0048003)</t>
  </si>
  <si>
    <t>CD1E;CD1B;CD1A</t>
  </si>
  <si>
    <t>antigen processing and presentation, endogenous lipid antigen via MHC class Ib (GO:0048006)</t>
  </si>
  <si>
    <t>antigen processing and presentation, exogenous lipid antigen via MHC class Ib (GO:0048007)</t>
  </si>
  <si>
    <t>positive regulation of CD4-positive, CD25-positive, alpha-beta regulatory T cell differentiation (GO:0032831)</t>
  </si>
  <si>
    <t>IFNG;HLA-DRA;HLA-DRB1</t>
  </si>
  <si>
    <t>PIGR;CR1;CLEC12A;FGL2;ITGB2;HLA-B;HLA-C;CYBB;LYZ;CHIT1;PTPRC;NCKAP1L;B2M</t>
  </si>
  <si>
    <t>P2RY12;CCL5;NCKAP1L;CXCL13</t>
  </si>
  <si>
    <t>C1QB;C1QA;C1QC</t>
  </si>
  <si>
    <t>ZNF683;FCRL3;NCKAP1L;CCR2</t>
  </si>
  <si>
    <t>HLA-DRA;HLA-A;HLA-DRB1;CCR2</t>
  </si>
  <si>
    <t>CXCL10;CCL5;CCL19;CXCL13;PIK3CG</t>
  </si>
  <si>
    <t>GBP5;CD74;CCL5;UBD;CCL19;HLA-DPA1</t>
  </si>
  <si>
    <t>CCL5;LAPTM5;HLA-DPB1;CCR2;HLA-DPA1</t>
  </si>
  <si>
    <t>negative regulation of interleukin-2 production (GO:0032703)</t>
  </si>
  <si>
    <t>CR1;PTPRC;LAPTM5;VSIG4</t>
  </si>
  <si>
    <t>CR1;PTPRC;LAPTM5;VSIG4;CCR2</t>
  </si>
  <si>
    <t>C1QB;C1QA;CR1;CD19;C1QC</t>
  </si>
  <si>
    <t>positive regulation of CD4-positive, alpha-beta T cell differentiation (GO:0043372)</t>
  </si>
  <si>
    <t>HLA-DRA;NCKAP1L;HLA-DRB1</t>
  </si>
  <si>
    <t>FCRL3;SH2D1A;LAPTM5;UBASH3A</t>
  </si>
  <si>
    <t>P2RY12;GBP5;IFNG;CCL5;TLR8;CCL19;CCR2</t>
  </si>
  <si>
    <t>negative regulation of leukocyte degranulation (GO:0043301)</t>
  </si>
  <si>
    <t>CD84;NCKAP1L;CCR2</t>
  </si>
  <si>
    <t>positive regulation of interleukin-1 beta production (GO:0032731)</t>
  </si>
  <si>
    <t>GBP5;IFNG;PYHIN1;TLR8;CCL19</t>
  </si>
  <si>
    <t>HLA-DPB1;TLR8;HLA-A;CCR2;HLA-DPA1</t>
  </si>
  <si>
    <t>ITK;PTPRC;IFNG;HLA-B;HLA-DRB1;PIK3CG;CCR2</t>
  </si>
  <si>
    <t>CD74;MARCO;PTPRC;FCRL3;CCL5;LAPTM5;CCL19;HLA-DRB1;PIK3CG</t>
  </si>
  <si>
    <t>immunoglobulin mediated immune response (GO:0016064)</t>
  </si>
  <si>
    <t>CD74;CD19;TLR8</t>
  </si>
  <si>
    <t>CD74;PTPRC;FCRL3;NCKAP1L</t>
  </si>
  <si>
    <t>positive regulation of interleukin-1 production (GO:0032732)</t>
  </si>
  <si>
    <t>positive regulation of leukocyte cell-cell adhesion (GO:1903039)</t>
  </si>
  <si>
    <t>ITGB2;HLA-DPB1;CCR2;HLA-DPA1</t>
  </si>
  <si>
    <t>B cell mediated immunity (GO:0019724)</t>
  </si>
  <si>
    <t>P2RY12;PLEK;CXCL13</t>
  </si>
  <si>
    <t>CXCL10;PIK3CG;CCR2</t>
  </si>
  <si>
    <t>CD40LG;PTPRC;CD19;MS4A1</t>
  </si>
  <si>
    <t>regulation of CD4-positive, alpha-beta T cell differentiation (GO:0043370)</t>
  </si>
  <si>
    <t>CD40LG;IFNG;LAPTM5;CCL19</t>
  </si>
  <si>
    <t>PLA2G2D;CR1;VSIG4;HLA-DRB1</t>
  </si>
  <si>
    <t>TRAT1;SH2D1A;LAPTM5;UBASH3A</t>
  </si>
  <si>
    <t>HLA-DPB1;NCKAP1L;CCR2;HLA-DPA1</t>
  </si>
  <si>
    <t>P2RY12;CD74;PTPRC;TRAT1;CD19;UBD;FCRL3;CCL5;LAPTM5;CCL19;HLA-DRB1;PIK3CG</t>
  </si>
  <si>
    <t>positive regulation of CD4-positive, alpha-beta T cell activation (GO:2000516)</t>
  </si>
  <si>
    <t>HLA-B;CYBB;HLA-C;HLA-A;B2M</t>
  </si>
  <si>
    <t>CD40LG;PTPRC;MS4A1;PIK3CG</t>
  </si>
  <si>
    <t>HLA-B;HLA-A;HLA-DRB1</t>
  </si>
  <si>
    <t>positive regulation of regulatory T cell differentiation (GO:0045591)</t>
  </si>
  <si>
    <t>CR1;HLA-DRA;HLA-DRB1</t>
  </si>
  <si>
    <t>CCL5;CXCL13;CCR2</t>
  </si>
  <si>
    <t>ZNF683;CR1;IFNG;CCR2</t>
  </si>
  <si>
    <t>FCRL3;CCL5;CD19</t>
  </si>
  <si>
    <t>macrophage migration (GO:1905517)</t>
  </si>
  <si>
    <t>P2RY12;CCL5;CCR2</t>
  </si>
  <si>
    <t>CR1;HLA-DRA;NCKAP1L;HLA-DRB1</t>
  </si>
  <si>
    <t>SH2D1A;LAPTM5;UBASH3A</t>
  </si>
  <si>
    <t>HLA-A;B2M;CCR2</t>
  </si>
  <si>
    <t>CXCL10;CCL5;CCR2</t>
  </si>
  <si>
    <t>CD74;NCKAP1L;CCL19</t>
  </si>
  <si>
    <t>cortical actin cytoskeleton organization (GO:0030866)</t>
  </si>
  <si>
    <t>PLEK;NCKAP1L;LCP1</t>
  </si>
  <si>
    <t>positive regulation of defense response (GO:0031349)</t>
  </si>
  <si>
    <t>GBP5;IFNG;CCL5;TLR8;CCR2</t>
  </si>
  <si>
    <t>C1QA;IFNG;ITGB2</t>
  </si>
  <si>
    <t>CD74;CXCL10;CR1;UBD;CYBB;TLR8;B2M;PIK3CG</t>
  </si>
  <si>
    <t>CXCL10;GBP5;FCER2;PYHIN1;CCL5;ITGB2;F13A1;CCL19;CCR2;HLA-DPA1</t>
  </si>
  <si>
    <t>negative regulation of immunoglobulin production (GO:0002638)</t>
  </si>
  <si>
    <t>CR1;FCRL3</t>
  </si>
  <si>
    <t>CD74;IFNG;HLA-B;TLR8;NCKAP1L</t>
  </si>
  <si>
    <t>CD74;MARCO;PTPRC;CCL5;CCL19;HLA-DRB1</t>
  </si>
  <si>
    <t>CXCL10;CXCL9;CD19</t>
  </si>
  <si>
    <t>CD163;FCGR3A;CR1;CD3G;HLA-DRB1;CCR2</t>
  </si>
  <si>
    <t>negative regulation of myeloid leukocyte mediated immunity (GO:0002887)</t>
  </si>
  <si>
    <t>CD84;CCR2</t>
  </si>
  <si>
    <t>peptide antigen assembly with MHC protein complex (GO:0002501)</t>
  </si>
  <si>
    <t>HLA-DRA;HLA-DRB1</t>
  </si>
  <si>
    <t>CCL5;CXCL13</t>
  </si>
  <si>
    <t>regulation of T-helper cell differentiation (GO:0045622)</t>
  </si>
  <si>
    <t>regulation of type 2 immune response (GO:0002828)</t>
  </si>
  <si>
    <t>CD74;CCR2</t>
  </si>
  <si>
    <t>FCER2;IFNG</t>
  </si>
  <si>
    <t>positive regulation of protein-containing complex assembly (GO:0031334)</t>
  </si>
  <si>
    <t>GBP5;IFNG;PLEK;LCP1;CXCL13</t>
  </si>
  <si>
    <t>CD19;FCRL3;LAPTM5</t>
  </si>
  <si>
    <t>CR1;PTPRC;FCRL3</t>
  </si>
  <si>
    <t>leukocyte cell-cell adhesion (GO:0007159)</t>
  </si>
  <si>
    <t>CD40LG;CCL5;ITGB2</t>
  </si>
  <si>
    <t>P2RY12;CD19;CCL19</t>
  </si>
  <si>
    <t>CR1;LAPTM5;HLA-DRB1</t>
  </si>
  <si>
    <t>cell projection organization (GO:0030030)</t>
  </si>
  <si>
    <t>P2RY12;PLEK;NCKAP1L</t>
  </si>
  <si>
    <t>positive regulation of phosphate metabolic process (GO:0045937)</t>
  </si>
  <si>
    <t>IFNG;CCL5;NCKAP1L</t>
  </si>
  <si>
    <t>protein tetramerization (GO:0051262)</t>
  </si>
  <si>
    <t>GBP5;B2M;MS4A1;HLA-DRB1</t>
  </si>
  <si>
    <t>IFNG;UBD;CCL19;HLA-DRB1</t>
  </si>
  <si>
    <t>MRC1;B2M</t>
  </si>
  <si>
    <t>peptide cross-linking (GO:0018149)</t>
  </si>
  <si>
    <t>FCGR3A;F13A1;CD3G</t>
  </si>
  <si>
    <t>GRIA1;IFNG;CCR2</t>
  </si>
  <si>
    <t>LAPTM5;HLA-A;B2M</t>
  </si>
  <si>
    <t>regulation of CD4-positive, alpha-beta T cell activation (GO:2000514)</t>
  </si>
  <si>
    <t>negative regulation of T cell mediated cytotoxicity (GO:0001915)</t>
  </si>
  <si>
    <t>PTPRC;NCKAP1L</t>
  </si>
  <si>
    <t>regulation of interleukin-18 production (GO:0032661)</t>
  </si>
  <si>
    <t>GBP5;CD84</t>
  </si>
  <si>
    <t>positive regulation of glial cell migration (GO:1903977)</t>
  </si>
  <si>
    <t>P2RY12;CCR2</t>
  </si>
  <si>
    <t>PTPRC;IFNG;CCL19;CCR2</t>
  </si>
  <si>
    <t>regulation of cell adhesion mediated by integrin (GO:0033628)</t>
  </si>
  <si>
    <t>P2RY12;NCKAP1L;PIK3CG</t>
  </si>
  <si>
    <t>CXCL10;CCL5;CCL19</t>
  </si>
  <si>
    <t>regulation of inflammatory response to antigenic stimulus (GO:0002861)</t>
  </si>
  <si>
    <t>CD163;PLA2G2D;FCGR3A;CD3G;HLA-DRB1</t>
  </si>
  <si>
    <t>P2RY12;PLEK;PIK3CG</t>
  </si>
  <si>
    <t>GBP5;CCL5;TLR8</t>
  </si>
  <si>
    <t>retina homeostasis (GO:0001895)</t>
  </si>
  <si>
    <t>PIGR;LYZ;B2M</t>
  </si>
  <si>
    <t>positive regulation of myeloid leukocyte differentiation (GO:0002763)</t>
  </si>
  <si>
    <t>CD74;IFNG;HLA-DRB1</t>
  </si>
  <si>
    <t>negative regulation of production of molecular mediator of immune response (GO:0002701)</t>
  </si>
  <si>
    <t>NCKAP1L;HLA-A</t>
  </si>
  <si>
    <t>positive regulation of macrophage cytokine production (GO:0060907)</t>
  </si>
  <si>
    <t>CD74;LAPTM5</t>
  </si>
  <si>
    <t>positive regulation of memory T cell differentiation (GO:0043382)</t>
  </si>
  <si>
    <t>FCRL1;CD40LG;PTPRC;MS4A1</t>
  </si>
  <si>
    <t>C1QA;IFNG;CCL5;ITGB2</t>
  </si>
  <si>
    <t>regulation of memory T cell differentiation (GO:0043380)</t>
  </si>
  <si>
    <t>positive regulation by symbiont of entry into host (GO:0075294)</t>
  </si>
  <si>
    <t>CD74;HLA-DRB1</t>
  </si>
  <si>
    <t>positive regulation of monocyte differentiation (GO:0045657)</t>
  </si>
  <si>
    <t>positive regulation of viral entry into host cell (GO:0046598)</t>
  </si>
  <si>
    <t>cortical cytoskeleton organization (GO:0030865)</t>
  </si>
  <si>
    <t>IFNG;NCKAP1L</t>
  </si>
  <si>
    <t>positive regulation of nitric-oxide synthase biosynthetic process (GO:0051770)</t>
  </si>
  <si>
    <t>UBC;HSPB1;PABPC1;YWHAZ;HSPA1A</t>
  </si>
  <si>
    <t>COL1A1;COL3A1;MMP13;COL1A2;COL11A1;FN1</t>
  </si>
  <si>
    <t>JUP;MDK;FN1;P4HB</t>
  </si>
  <si>
    <t>positive regulation of gene expression (GO:0010628)</t>
  </si>
  <si>
    <t>CLDN3;FN1;MIF;GAPDH;ACTB;VEGFA;HSPA1A;ACTG1</t>
  </si>
  <si>
    <t>positive regulation of response to wounding (GO:1903036)</t>
  </si>
  <si>
    <t>CLDN3;MDK;ACTG1</t>
  </si>
  <si>
    <t>negative regulation of apoptotic process (GO:0043066)</t>
  </si>
  <si>
    <t>KRT18;MDK;UBC;HSPB1;MIF;YWHAZ;VEGFA;HSPA1A</t>
  </si>
  <si>
    <t>positive regulation of endothelial cell chemotaxis by VEGF-activated vascular endothelial growth factor receptor signaling pathway (GO:0038033)</t>
  </si>
  <si>
    <t>HSPB1;VEGFA</t>
  </si>
  <si>
    <t>maintenance of blood-brain barrier (GO:0035633)</t>
  </si>
  <si>
    <t>CLDN3;ACTB;ACTG1</t>
  </si>
  <si>
    <t>DSP;COL3A1;FN1</t>
  </si>
  <si>
    <t>negative regulation of programmed cell death (GO:0043069)</t>
  </si>
  <si>
    <t>KRT18;UBC;HSPB1;MIF;YWHAZ;VEGFA;HSPA1A</t>
  </si>
  <si>
    <t>bundle of His cell-Purkinje myocyte adhesion involved in cell communication (GO:0086073)</t>
  </si>
  <si>
    <t>DSP;JUP</t>
  </si>
  <si>
    <t>COL1A1;CLDN3;MDK;FN1;VEGFA;ACTG1</t>
  </si>
  <si>
    <t>HSPB1;ACTB;ACTG1</t>
  </si>
  <si>
    <t>regulation of transport (GO:0051049)</t>
  </si>
  <si>
    <t>COL1A1;CLDN3;MDK;MIF;TMSB10;VEGFA;ACTG1</t>
  </si>
  <si>
    <t>cardiac muscle cell-cardiac muscle cell adhesion (GO:0086042)</t>
  </si>
  <si>
    <t>desmosome organization (GO:0002934)</t>
  </si>
  <si>
    <t>CLDN3;MDK;FTH1;HMGA1;MYH9;MIF;ENO1;HSPA1A</t>
  </si>
  <si>
    <t>positive regulation of cell migration by vascular endothelial growth factor signaling pathway (GO:0038089)</t>
  </si>
  <si>
    <t>positive regulation of muscle contraction (GO:0045933)</t>
  </si>
  <si>
    <t>NMU;ENO1</t>
  </si>
  <si>
    <t>bundle of His cell to Purkinje myocyte communication (GO:0086069)</t>
  </si>
  <si>
    <t>MDK;HSPB1;VEGFA</t>
  </si>
  <si>
    <t>regulation of fibroblast proliferation (GO:0048145)</t>
  </si>
  <si>
    <t>FTH1;FN1;MIF</t>
  </si>
  <si>
    <t>RPLP0;MIF;P4HB</t>
  </si>
  <si>
    <t>JUP;MDK;HSPB1;VEGFA</t>
  </si>
  <si>
    <t>negative regulation of cell-cell adhesion mediated by cadherin (GO:2000048)</t>
  </si>
  <si>
    <t>EPCAM;VEGFA</t>
  </si>
  <si>
    <t>negative regulation of transforming growth factor beta production (GO:0071635)</t>
  </si>
  <si>
    <t>HSP90AB1;FN1</t>
  </si>
  <si>
    <t>UBC;ENO1</t>
  </si>
  <si>
    <t>response to unfolded protein (GO:0006986)</t>
  </si>
  <si>
    <t>HSP90AB1;HSPB1;HSPA1A</t>
  </si>
  <si>
    <t>COL1A2;RPLP0;UBC;FN1;MIF;P4HB;YWHAZ;VEGFA</t>
  </si>
  <si>
    <t>RECQL4;UBC;HMGA1</t>
  </si>
  <si>
    <t>monocyte differentiation (GO:0030224)</t>
  </si>
  <si>
    <t>MYH9;VEGFA</t>
  </si>
  <si>
    <t>COL1A1;CLDN3;MDK;VEGFA;ACTG1</t>
  </si>
  <si>
    <t>COL1A1;MDK;MIF;ENO1;GAPDH;VEGFA</t>
  </si>
  <si>
    <t>epithelial cell-cell adhesion (GO:0090136)</t>
  </si>
  <si>
    <t>regulation of ventricular cardiac muscle cell action potential (GO:0098911)</t>
  </si>
  <si>
    <t>morphogenesis of a polarized epithelium (GO:0001738)</t>
  </si>
  <si>
    <t>ACTB;ACTG1</t>
  </si>
  <si>
    <t>regulation of blood vessel endothelial cell migration (GO:0043535)</t>
  </si>
  <si>
    <t>JUP;HSPB1;VEGFA</t>
  </si>
  <si>
    <t>avg c-index</t>
  </si>
  <si>
    <t>R</t>
  </si>
  <si>
    <t>NR</t>
  </si>
  <si>
    <t>regulation of intracellular signal transduction (GO:1902531)</t>
  </si>
  <si>
    <t>protein phosphorylation (GO:0006468)</t>
  </si>
  <si>
    <t>phosphorylation (GO:0016310)</t>
  </si>
  <si>
    <t>regulation of cellular macromolecule biosynthetic process (GO:2000112)</t>
  </si>
  <si>
    <t>regulation of nucleic acid-templated transcription (GO:1903506)</t>
  </si>
  <si>
    <t>negative regulation of nucleic acid-templated transcription (GO:1903507)</t>
  </si>
  <si>
    <t>positive regulation of apoptotic process (GO:0043065)</t>
  </si>
  <si>
    <t>peptidyl-serine phosphorylation (GO:0018105)</t>
  </si>
  <si>
    <t>negative regulation of gene expression (GO:0010629)</t>
  </si>
  <si>
    <t>regulation of primary metabolic process (GO:0080090)</t>
  </si>
  <si>
    <t>regulation of macroautophagy (GO:0016241)</t>
  </si>
  <si>
    <t>peptidyl-serine modification (GO:0018209)</t>
  </si>
  <si>
    <t>cellular protein-containing complex assembly (GO:0034622)</t>
  </si>
  <si>
    <t>cellular component assembly (GO:0022607)</t>
  </si>
  <si>
    <t>negative regulation of cell population proliferation (GO:0008285)</t>
  </si>
  <si>
    <t>regulation of transcription from RNA polymerase II promoter in response to hypoxia (GO:0061418)</t>
  </si>
  <si>
    <t>protein localization to membrane (GO:0072657)</t>
  </si>
  <si>
    <t>negative regulation of intracellular signal transduction (GO:1902532)</t>
  </si>
  <si>
    <t>Ras protein signal transduction (GO:0007265)</t>
  </si>
  <si>
    <t>cellular response to hypoxia (GO:0071456)</t>
  </si>
  <si>
    <t>MAPK cascade (GO:0000165)</t>
  </si>
  <si>
    <t>protein dephosphorylation (GO:0006470)</t>
  </si>
  <si>
    <t>regulation of proteasomal ubiquitin-dependent protein catabolic process (GO:0032434)</t>
  </si>
  <si>
    <t>cellular response to starvation (GO:0009267)</t>
  </si>
  <si>
    <t>transcription initiation from RNA polymerase II promoter (GO:0006367)</t>
  </si>
  <si>
    <t>positive regulation of cellular protein metabolic process (GO:0032270)</t>
  </si>
  <si>
    <t>histone modification (GO:0016570)</t>
  </si>
  <si>
    <t>regulation of cellular component organization (GO:0051128)</t>
  </si>
  <si>
    <t>positive regulation of Wnt signaling pathway (GO:0030177)</t>
  </si>
  <si>
    <t>protein-containing complex subunit organization (GO:0043933)</t>
  </si>
  <si>
    <t>chromosome organization (GO:0051276)</t>
  </si>
  <si>
    <t>positive regulation of autophagy (GO:0010508)</t>
  </si>
  <si>
    <t>retrograde vesicle-mediated transport, Golgi to endoplasmic reticulum (GO:0006890)</t>
  </si>
  <si>
    <t>regulation of gene silencing by miRNA (GO:0060964)</t>
  </si>
  <si>
    <t>regulation of cell cycle process (GO:0010564)</t>
  </si>
  <si>
    <t>protein autophosphorylation (GO:0046777)</t>
  </si>
  <si>
    <t>positive regulation of proteasomal ubiquitin-dependent protein catabolic process (GO:0032436)</t>
  </si>
  <si>
    <t>negative regulation of mitotic cell cycle phase transition (GO:1901991)</t>
  </si>
  <si>
    <t>regulation of hematopoietic stem cell differentiation (GO:1902036)</t>
  </si>
  <si>
    <t>positive regulation of canonical Wnt signaling pathway (GO:0090263)</t>
  </si>
  <si>
    <t>regulation of protein binding (GO:0043393)</t>
  </si>
  <si>
    <t>positive regulation of macromolecule metabolic process (GO:0010604)</t>
  </si>
  <si>
    <t>dephosphorylation (GO:0016311)</t>
  </si>
  <si>
    <t>positive regulation of cysteine-type endopeptidase activity involved in apoptotic process (GO:0043280)</t>
  </si>
  <si>
    <t>regulation of protein serine/threonine kinase activity (GO:0071900)</t>
  </si>
  <si>
    <t>regulation of phosphorylation (GO:0042325)</t>
  </si>
  <si>
    <t>mitotic G1 DNA damage checkpoint signaling (GO:0031571)</t>
  </si>
  <si>
    <t>negative regulation of protein phosphorylation (GO:0001933)</t>
  </si>
  <si>
    <t>positive regulation of cellular amide metabolic process (GO:0034250)</t>
  </si>
  <si>
    <t>fatty acid beta-oxidation (GO:0006635)</t>
  </si>
  <si>
    <t>regulation of small GTPase mediated signal transduction (GO:0051056)</t>
  </si>
  <si>
    <t>positive regulation of protein localization to membrane (GO:1905477)</t>
  </si>
  <si>
    <t>response to amino acid starvation (GO:1990928)</t>
  </si>
  <si>
    <t>regulation of establishment of planar polarity (GO:0090175)</t>
  </si>
  <si>
    <t>positive regulation of cellular catabolic process (GO:0031331)</t>
  </si>
  <si>
    <t>regulation of plasma membrane bounded cell projection assembly (GO:0120032)</t>
  </si>
  <si>
    <t>peptidyl-threonine modification (GO:0018210)</t>
  </si>
  <si>
    <t>ribosome assembly (GO:0042255)</t>
  </si>
  <si>
    <t>regulation of organelle assembly (GO:1902115)</t>
  </si>
  <si>
    <t>positive regulation of binding (GO:0051099)</t>
  </si>
  <si>
    <t>DNA damage response, signal transduction by p53 class mediator (GO:0030330)</t>
  </si>
  <si>
    <t>peptidyl-threonine phosphorylation (GO:0018107)</t>
  </si>
  <si>
    <t>protein localization to cell periphery (GO:1990778)</t>
  </si>
  <si>
    <t>negative regulation of macromolecule metabolic process (GO:0010605)</t>
  </si>
  <si>
    <t>Wnt signaling pathway, planar cell polarity pathway (GO:0060071)</t>
  </si>
  <si>
    <t>stress-activated MAPK cascade (GO:0051403)</t>
  </si>
  <si>
    <t>regulation of signal transduction (GO:0009966)</t>
  </si>
  <si>
    <t>vascular endothelial growth factor receptor signaling pathway (GO:0048010)</t>
  </si>
  <si>
    <t>sphingolipid metabolic process (GO:0006665)</t>
  </si>
  <si>
    <t>negative regulation of cellular amide metabolic process (GO:0034249)</t>
  </si>
  <si>
    <t>regulation of transcription initiation from RNA polymerase II promoter (GO:0060260)</t>
  </si>
  <si>
    <t>response to UV (GO:0009411)</t>
  </si>
  <si>
    <t>G1/S transition of mitotic cell cycle (GO:0000082)</t>
  </si>
  <si>
    <t>cellular response to amino acid starvation (GO:0034198)</t>
  </si>
  <si>
    <t>neuron projection development (GO:0031175)</t>
  </si>
  <si>
    <t>regulation of glycolytic process (GO:0006110)</t>
  </si>
  <si>
    <t>endocytic recycling (GO:0032456)</t>
  </si>
  <si>
    <t>protein localization to plasma membrane (GO:0072659)</t>
  </si>
  <si>
    <t>establishment of protein localization to plasma membrane (GO:0061951)</t>
  </si>
  <si>
    <t>regulation of cytoskeleton organization (GO:0051493)</t>
  </si>
  <si>
    <t>actin filament organization (GO:0007015)</t>
  </si>
  <si>
    <t>positive regulation of protein modification process (GO:0031401)</t>
  </si>
  <si>
    <t>positive regulation of transferase activity (GO:0051347)</t>
  </si>
  <si>
    <t>positive regulation of protein localization to nucleus (GO:1900182)</t>
  </si>
  <si>
    <t>response to ionizing radiation (GO:0010212)</t>
  </si>
  <si>
    <t>regulation of DNA-templated transcription, initiation (GO:2000142)</t>
  </si>
  <si>
    <t>regulation of stem cell differentiation (GO:2000736)</t>
  </si>
  <si>
    <t>spindle assembly (GO:0051225)</t>
  </si>
  <si>
    <t>mitotic DNA damage checkpoint signaling (GO:0044773)</t>
  </si>
  <si>
    <t>regulation of lipid metabolic process (GO:0019216)</t>
  </si>
  <si>
    <t>regulation of organelle organization (GO:0033043)</t>
  </si>
  <si>
    <t>non-canonical Wnt signaling pathway (GO:0035567)</t>
  </si>
  <si>
    <t>mitotic cytokinesis (GO:0000281)</t>
  </si>
  <si>
    <t>negative regulation of growth (GO:0045926)</t>
  </si>
  <si>
    <t>establishment of protein localization to organelle (GO:0072594)</t>
  </si>
  <si>
    <t>cytoskeleton-dependent cytokinesis (GO:0061640)</t>
  </si>
  <si>
    <t>negative regulation of protein kinase activity (GO:0006469)</t>
  </si>
  <si>
    <t>endoplasmic reticulum organization (GO:0007029)</t>
  </si>
  <si>
    <t>DNA damage response, signal transduction by p53 class mediator resulting in cell cycle arrest (GO:0006977)</t>
  </si>
  <si>
    <t>small GTPase mediated signal transduction (GO:0007264)</t>
  </si>
  <si>
    <t>establishment of protein localization to mitochondrion (GO:0072655)</t>
  </si>
  <si>
    <t>nucleic acid phosphodiester bond hydrolysis (GO:0090305)</t>
  </si>
  <si>
    <t>proteolysis (GO:0006508)</t>
  </si>
  <si>
    <t>regulation of extrinsic apoptotic signaling pathway (GO:2001236)</t>
  </si>
  <si>
    <t>maturation of SSU-rRNA (GO:0030490)</t>
  </si>
  <si>
    <t>positive regulation of macroautophagy (GO:0016239)</t>
  </si>
  <si>
    <t>nucleosome organization (GO:0034728)</t>
  </si>
  <si>
    <t>regulation of cell death (GO:0010941)</t>
  </si>
  <si>
    <t>cellular response to UV (GO:0034644)</t>
  </si>
  <si>
    <t>histone deacetylation (GO:0016575)</t>
  </si>
  <si>
    <t>regulation of cyclin-dependent protein serine/threonine kinase activity (GO:0000079)</t>
  </si>
  <si>
    <t>fatty acid oxidation (GO:0019395)</t>
  </si>
  <si>
    <t>regulation of telomere maintenance via telomerase (GO:0032210)</t>
  </si>
  <si>
    <t>regulation of mRNA splicing, via spliceosome (GO:0048024)</t>
  </si>
  <si>
    <t>protein maturation (GO:0051604)</t>
  </si>
  <si>
    <t>cellular response to mechanical stimulus (GO:0071260)</t>
  </si>
  <si>
    <t>protein modification process (GO:0036211)</t>
  </si>
  <si>
    <t>ERAD pathway (GO:0036503)</t>
  </si>
  <si>
    <t>negative regulation of translation (GO:0017148)</t>
  </si>
  <si>
    <t>regulation of phosphatidylinositol 3-kinase signaling (GO:0014066)</t>
  </si>
  <si>
    <t>organonitrogen compound biosynthetic process (GO:1901566)</t>
  </si>
  <si>
    <t>protein K48-linked ubiquitination (GO:0070936)</t>
  </si>
  <si>
    <t>ubiquitin-dependent ERAD pathway (GO:0030433)</t>
  </si>
  <si>
    <t>protein deacetylation (GO:0006476)</t>
  </si>
  <si>
    <t>cellular amino acid catabolic process (GO:0009063)</t>
  </si>
  <si>
    <t>positive regulation of cell cycle (GO:0045787)</t>
  </si>
  <si>
    <t>selective autophagy (GO:0061912)</t>
  </si>
  <si>
    <t>regulation of Rho protein signal transduction (GO:0035023)</t>
  </si>
  <si>
    <t>autophagosome organization (GO:1905037)</t>
  </si>
  <si>
    <t>regulation of actin cytoskeleton organization (GO:0032956)</t>
  </si>
  <si>
    <t>nucleocytoplasmic transport (GO:0006913)</t>
  </si>
  <si>
    <t>RNA catabolic process (GO:0006401)</t>
  </si>
  <si>
    <t>spliceosomal complex assembly (GO:0000245)</t>
  </si>
  <si>
    <t>negative regulation of protein binding (GO:0032091)</t>
  </si>
  <si>
    <t>autophagosome assembly (GO:0000045)</t>
  </si>
  <si>
    <t>gene silencing by miRNA (GO:0035195)</t>
  </si>
  <si>
    <t>positive regulation of establishment of protein localization to mitochondrion (GO:1903749)</t>
  </si>
  <si>
    <t>regulation of Ras protein signal transduction (GO:0046578)</t>
  </si>
  <si>
    <t>regulation of cell division (GO:0051302)</t>
  </si>
  <si>
    <t>interstrand cross-link repair (GO:0036297)</t>
  </si>
  <si>
    <t>organic substance transport (GO:0071702)</t>
  </si>
  <si>
    <t>insulin receptor signaling pathway (GO:0008286)</t>
  </si>
  <si>
    <t>negative regulation of cell growth (GO:0030308)</t>
  </si>
  <si>
    <t>cytoskeleton organization (GO:0007010)</t>
  </si>
  <si>
    <t>regulation of cilium assembly (GO:1902017)</t>
  </si>
  <si>
    <t>positive regulation of gene expression, epigenetic (GO:0045815)</t>
  </si>
  <si>
    <t>protein glycosylation (GO:0006486)</t>
  </si>
  <si>
    <t>autophagy of mitochondrion (GO:0000422)</t>
  </si>
  <si>
    <t>regulation of DNA repair (GO:0006282)</t>
  </si>
  <si>
    <t>activation of cysteine-type endopeptidase activity involved in apoptotic process (GO:0006919)</t>
  </si>
  <si>
    <t>phosphatidylinositol metabolic process (GO:0046488)</t>
  </si>
  <si>
    <t>histone H4 acetylation (GO:0043967)</t>
  </si>
  <si>
    <t>cellular response to organic cyclic compound (GO:0071407)</t>
  </si>
  <si>
    <t>negative regulation of cell death (GO:0060548)</t>
  </si>
  <si>
    <t>maturation of LSU-rRNA (GO:0000470)</t>
  </si>
  <si>
    <t>protein O-linked glycosylation (GO:0006493)</t>
  </si>
  <si>
    <t>actin cytoskeleton reorganization (GO:0031532)</t>
  </si>
  <si>
    <t>double-strand break repair via nonhomologous end joining (GO:0006303)</t>
  </si>
  <si>
    <t>negative regulation of protein ubiquitination (GO:0031397)</t>
  </si>
  <si>
    <t>mitochondrion disassembly (GO:0061726)</t>
  </si>
  <si>
    <t>protein processing (GO:0016485)</t>
  </si>
  <si>
    <t>regulation of MAPK cascade (GO:0043408)</t>
  </si>
  <si>
    <t>regulation of ubiquitin-dependent protein catabolic process (GO:2000058)</t>
  </si>
  <si>
    <t>Golgi to plasma membrane transport (GO:0006893)</t>
  </si>
  <si>
    <t>regulation of protein catabolic process (GO:0042176)</t>
  </si>
  <si>
    <t>glycolipid metabolic process (GO:0006664)</t>
  </si>
  <si>
    <t>lipid transport (GO:0006869)</t>
  </si>
  <si>
    <t>regulation of protein localization to plasma membrane (GO:1903076)</t>
  </si>
  <si>
    <t>cellular response to ionizing radiation (GO:0071479)</t>
  </si>
  <si>
    <t>intraciliary transport involved in cilium assembly (GO:0035735)</t>
  </si>
  <si>
    <t>regulation of TOR signaling (GO:0032006)</t>
  </si>
  <si>
    <t>anion transmembrane transport (GO:0098656)</t>
  </si>
  <si>
    <t>negative regulation of extrinsic apoptotic signaling pathway (GO:2001237)</t>
  </si>
  <si>
    <t>internal peptidyl-lysine acetylation (GO:0018393)</t>
  </si>
  <si>
    <t>regulation of protein metabolic process (GO:0051246)</t>
  </si>
  <si>
    <t>7-methylguanosine mRNA capping (GO:0006370)</t>
  </si>
  <si>
    <t>7-methylguanosine RNA capping (GO:0009452)</t>
  </si>
  <si>
    <t>positive regulation of DNA biosynthetic process (GO:2000573)</t>
  </si>
  <si>
    <t>vesicle organization (GO:0016050)</t>
  </si>
  <si>
    <t>dicarboxylic acid metabolic process (GO:0043648)</t>
  </si>
  <si>
    <t>protein autoubiquitination (GO:0051865)</t>
  </si>
  <si>
    <t>regulation of protein dephosphorylation (GO:0035304)</t>
  </si>
  <si>
    <t>actin polymerization or depolymerization (GO:0008154)</t>
  </si>
  <si>
    <t>organonitrogen compound catabolic process (GO:1901565)</t>
  </si>
  <si>
    <t>mitotic spindle assembly (GO:0090307)</t>
  </si>
  <si>
    <t>regulation of cysteine-type endopeptidase activity involved in apoptotic process (GO:0043281)</t>
  </si>
  <si>
    <t>mitotic chromosome condensation (GO:0007076)</t>
  </si>
  <si>
    <t>mRNA catabolic process (GO:0006402)</t>
  </si>
  <si>
    <t>regulation of proteasomal protein catabolic process (GO:0061136)</t>
  </si>
  <si>
    <t>positive regulation of protein metabolic process (GO:0051247)</t>
  </si>
  <si>
    <t>negative regulation of protein modification by small protein conjugation or removal (GO:1903321)</t>
  </si>
  <si>
    <t>positive regulation of apoptotic signaling pathway (GO:2001235)</t>
  </si>
  <si>
    <t>nitrogen compound transport (GO:0071705)</t>
  </si>
  <si>
    <t>transcription initiation from RNA polymerase I promoter (GO:0006361)</t>
  </si>
  <si>
    <t>phosphate ion transport (GO:0006817)</t>
  </si>
  <si>
    <t>cellular response to organonitrogen compound (GO:0071417)</t>
  </si>
  <si>
    <t>regulation of G1/S transition of mitotic cell cycle (GO:2000045)</t>
  </si>
  <si>
    <t>calcium ion transmembrane transport (GO:0070588)</t>
  </si>
  <si>
    <t>transcription by RNA polymerase I (GO:0006360)</t>
  </si>
  <si>
    <t>regulation of epidermal growth factor receptor signaling pathway (GO:0042058)</t>
  </si>
  <si>
    <t>positive regulation of nucleocytoplasmic transport (GO:0046824)</t>
  </si>
  <si>
    <t>regulation of proteolysis (GO:0030162)</t>
  </si>
  <si>
    <t>nucleobase-containing small molecule interconversion (GO:0015949)</t>
  </si>
  <si>
    <t>positive regulation of telomere maintenance via telomere lengthening (GO:1904358)</t>
  </si>
  <si>
    <t>cellular calcium ion homeostasis (GO:0006874)</t>
  </si>
  <si>
    <t>positive regulation of mitotic cell cycle phase transition (GO:1901992)</t>
  </si>
  <si>
    <t>Golgi to plasma membrane protein transport (GO:0043001)</t>
  </si>
  <si>
    <t>maturation of SSU-rRNA from tricistronic rRNA transcript (SSU-rRNA, 5.8S rRNA, LSU-rRNA) (GO:0000462)</t>
  </si>
  <si>
    <t>cell cycle G1/S phase transition (GO:0044843)</t>
  </si>
  <si>
    <t>glutamine family amino acid metabolic process (GO:0009064)</t>
  </si>
  <si>
    <t>regulation of protein-containing complex assembly (GO:0043254)</t>
  </si>
  <si>
    <t>regulation of telomerase activity (GO:0051972)</t>
  </si>
  <si>
    <t>lysosome organization (GO:0007040)</t>
  </si>
  <si>
    <t>protein transmembrane import into intracellular organelle (GO:0044743)</t>
  </si>
  <si>
    <t>positive regulation of cellular component biogenesis (GO:0044089)</t>
  </si>
  <si>
    <t>regulation of cellular metabolic process (GO:0031323)</t>
  </si>
  <si>
    <t>chromosome condensation (GO:0030261)</t>
  </si>
  <si>
    <t>positive regulation of DNA metabolic process (GO:0051054)</t>
  </si>
  <si>
    <t>positive regulation of protein targeting to mitochondrion (GO:1903955)</t>
  </si>
  <si>
    <t>nucleotide-excision repair, preincision complex assembly (GO:0006294)</t>
  </si>
  <si>
    <t>central nervous system development (GO:0007417)</t>
  </si>
  <si>
    <t>positive regulation of protein transport (GO:0051222)</t>
  </si>
  <si>
    <t>endosome organization (GO:0007032)</t>
  </si>
  <si>
    <t>negative regulation of kinase activity (GO:0033673)</t>
  </si>
  <si>
    <t>positive regulation of protein binding (GO:0032092)</t>
  </si>
  <si>
    <t>positive regulation of developmental process (GO:0051094)</t>
  </si>
  <si>
    <t>regulation of protein localization (GO:0032880)</t>
  </si>
  <si>
    <t>nucleic acid-templated transcription (GO:0097659)</t>
  </si>
  <si>
    <t>actomyosin structure organization (GO:0031032)</t>
  </si>
  <si>
    <t>regulation of Notch signaling pathway (GO:0008593)</t>
  </si>
  <si>
    <t>regulation of mitochondrion organization (GO:0010821)</t>
  </si>
  <si>
    <t>nucleus organization (GO:0006997)</t>
  </si>
  <si>
    <t>activation of protein kinase activity (GO:0032147)</t>
  </si>
  <si>
    <t>postreplication repair (GO:0006301)</t>
  </si>
  <si>
    <t>regulation of transcription elongation from RNA polymerase II promoter (GO:0034243)</t>
  </si>
  <si>
    <t>response to metal ion (GO:0010038)</t>
  </si>
  <si>
    <t>neuron development (GO:0048666)</t>
  </si>
  <si>
    <t>negative regulation of RNA splicing (GO:0033119)</t>
  </si>
  <si>
    <t>protein insertion into ER membrane (GO:0045048)</t>
  </si>
  <si>
    <t>regulation of telomerase RNA localization to Cajal body (GO:1904872)</t>
  </si>
  <si>
    <t>plasma membrane organization (GO:0007009)</t>
  </si>
  <si>
    <t>JNK cascade (GO:0007254)</t>
  </si>
  <si>
    <t>cellular response to heat (GO:0034605)</t>
  </si>
  <si>
    <t>regulation of spindle assembly (GO:0090169)</t>
  </si>
  <si>
    <t>regulation of autophagosome assembly (GO:2000785)</t>
  </si>
  <si>
    <t>positive regulation of transport (GO:0051050)</t>
  </si>
  <si>
    <t>modulation by host of symbiont process (GO:0051851)</t>
  </si>
  <si>
    <t>regulation of actin filament-based process (GO:0032970)</t>
  </si>
  <si>
    <t>regulation of stress-activated MAPK cascade (GO:0032872)</t>
  </si>
  <si>
    <t>regulation of intrinsic apoptotic signaling pathway (GO:2001242)</t>
  </si>
  <si>
    <t>protein K63-linked ubiquitination (GO:0070534)</t>
  </si>
  <si>
    <t>lytic vacuole organization (GO:0080171)</t>
  </si>
  <si>
    <t>negative regulation of MAPK cascade (GO:0043409)</t>
  </si>
  <si>
    <t>negative regulation of cellular catabolic process (GO:0031330)</t>
  </si>
  <si>
    <t>positive regulation of protein serine/threonine kinase activity (GO:0071902)</t>
  </si>
  <si>
    <t>positive regulation of organelle assembly (GO:1902117)</t>
  </si>
  <si>
    <t>regulation of peptidyl-serine phosphorylation (GO:0033135)</t>
  </si>
  <si>
    <t>regulation of mitotic spindle organization (GO:0060236)</t>
  </si>
  <si>
    <t>nucleosome assembly (GO:0006334)</t>
  </si>
  <si>
    <t>cytoplasmic microtubule organization (GO:0031122)</t>
  </si>
  <si>
    <t>cellular response to light stimulus (GO:0071482)</t>
  </si>
  <si>
    <t>histone monoubiquitination (GO:0010390)</t>
  </si>
  <si>
    <t>peptidyl-tyrosine modification (GO:0018212)</t>
  </si>
  <si>
    <t>positive regulation of organelle organization (GO:0010638)</t>
  </si>
  <si>
    <t>regulation of DNA replication (GO:0006275)</t>
  </si>
  <si>
    <t>cellular response to glucose starvation (GO:0042149)</t>
  </si>
  <si>
    <t>Notch signaling pathway (GO:0007219)</t>
  </si>
  <si>
    <t>positive regulation of telomerase RNA localization to Cajal body (GO:1904874)</t>
  </si>
  <si>
    <t>nucleotide-excision repair, DNA incision, 5'-to lesion (GO:0006296)</t>
  </si>
  <si>
    <t>cytoplasmic pattern recognition receptor signaling pathway (GO:0002753)</t>
  </si>
  <si>
    <t>positive regulation of cysteine-type endopeptidase activity (GO:2001056)</t>
  </si>
  <si>
    <t>protein lipidation (GO:0006497)</t>
  </si>
  <si>
    <t>positive regulation of protein secretion (GO:0050714)</t>
  </si>
  <si>
    <t>hemopoiesis (GO:0030097)</t>
  </si>
  <si>
    <t>positive regulation of cellular protein localization (GO:1903829)</t>
  </si>
  <si>
    <t>cellular response to epidermal growth factor stimulus (GO:0071364)</t>
  </si>
  <si>
    <t>regulation of cellular component movement (GO:0051270)</t>
  </si>
  <si>
    <t>MyD88-dependent toll-like receptor signaling pathway (GO:0002755)</t>
  </si>
  <si>
    <t>purine ribonucleotide metabolic process (GO:0009150)</t>
  </si>
  <si>
    <t>protein catabolic process (GO:0030163)</t>
  </si>
  <si>
    <t>regulation of vesicle-mediated transport (GO:0060627)</t>
  </si>
  <si>
    <t>termination of RNA polymerase I transcription (GO:0006363)</t>
  </si>
  <si>
    <t>positive regulation of ubiquitin-protein transferase activity (GO:0051443)</t>
  </si>
  <si>
    <t>organophosphate biosynthetic process (GO:0090407)</t>
  </si>
  <si>
    <t>negative regulation of intracellular steroid hormone receptor signaling pathway (GO:0033144)</t>
  </si>
  <si>
    <t>establishment of protein localization to membrane (GO:0090150)</t>
  </si>
  <si>
    <t>regulation of defense response (GO:0031347)</t>
  </si>
  <si>
    <t>brain development (GO:0007420)</t>
  </si>
  <si>
    <t>axonal transport (GO:0098930)</t>
  </si>
  <si>
    <t>regulation of proteolysis involved in cellular protein catabolic process (GO:1903050)</t>
  </si>
  <si>
    <t>glycosphingolipid metabolic process (GO:0006687)</t>
  </si>
  <si>
    <t>negative regulation of phosphorylation (GO:0042326)</t>
  </si>
  <si>
    <t>positive regulation of ATPase activity (GO:0032781)</t>
  </si>
  <si>
    <t>regulation of tumor necrosis factor-mediated signaling pathway (GO:0010803)</t>
  </si>
  <si>
    <t>positive regulation of mitochondrion organization (GO:0010822)</t>
  </si>
  <si>
    <t>tRNA aminoacylation (GO:0043039)</t>
  </si>
  <si>
    <t>lipid biosynthetic process (GO:0008610)</t>
  </si>
  <si>
    <t>protein quality control for misfolded or incompletely synthesized proteins (GO:0006515)</t>
  </si>
  <si>
    <t>negative regulation of cell cycle process (GO:0010948)</t>
  </si>
  <si>
    <t>negative regulation of protein modification process (GO:0031400)</t>
  </si>
  <si>
    <t>regulation of peptidyl-threonine phosphorylation (GO:0010799)</t>
  </si>
  <si>
    <t>regulation of centrosome cycle (GO:0046605)</t>
  </si>
  <si>
    <t>regulation of epithelial cell migration (GO:0010632)</t>
  </si>
  <si>
    <t>response to insulin (GO:0032868)</t>
  </si>
  <si>
    <t>global genome nucleotide-excision repair (GO:0070911)</t>
  </si>
  <si>
    <t>regulation of protein localization to nucleus (GO:1900180)</t>
  </si>
  <si>
    <t>regulation of exit from mitosis (GO:0007096)</t>
  </si>
  <si>
    <t>DNA recombination (GO:0006310)</t>
  </si>
  <si>
    <t>translesion synthesis (GO:0019985)</t>
  </si>
  <si>
    <t>positive regulation of protein import (GO:1904591)</t>
  </si>
  <si>
    <t>positive regulation of telomere maintenance via telomerase (GO:0032212)</t>
  </si>
  <si>
    <t>nucleotide-binding oligomerization domain containing signaling pathway (GO:0070423)</t>
  </si>
  <si>
    <t>positive regulation of protein localization to cell periphery (GO:1904377)</t>
  </si>
  <si>
    <t>response to calcium ion (GO:0051592)</t>
  </si>
  <si>
    <t>negative regulation of TOR signaling (GO:0032007)</t>
  </si>
  <si>
    <t>positive regulation of protein localization to plasma membrane (GO:1903078)</t>
  </si>
  <si>
    <t>negative regulation of G0 to G1 transition (GO:0070317)</t>
  </si>
  <si>
    <t>tetrapyrrole metabolic process (GO:0033013)</t>
  </si>
  <si>
    <t>termination of RNA polymerase II transcription (GO:0006369)</t>
  </si>
  <si>
    <t>positive regulation of proteolysis (GO:0045862)</t>
  </si>
  <si>
    <t>mRNA destabilization (GO:0061157)</t>
  </si>
  <si>
    <t>regulation of telomere maintenance (GO:0032204)</t>
  </si>
  <si>
    <t>regulation of protein import into nucleus (GO:0042306)</t>
  </si>
  <si>
    <t>positive regulation of cell cycle phase transition (GO:1901989)</t>
  </si>
  <si>
    <t>nucleotide-excision repair, DNA duplex unwinding (GO:0000717)</t>
  </si>
  <si>
    <t>protein alpha-1,2-demannosylation (GO:0036508)</t>
  </si>
  <si>
    <t>regulation of mitotic sister chromatid separation (GO:0010965)</t>
  </si>
  <si>
    <t>positive regulation of protein catabolic process (GO:0045732)</t>
  </si>
  <si>
    <t>positive regulation of secretion by cell (GO:1903532)</t>
  </si>
  <si>
    <t>regulation of cytokinesis (GO:0032465)</t>
  </si>
  <si>
    <t>protein localization to centrosome (GO:0071539)</t>
  </si>
  <si>
    <t>regulation of intracellular steroid hormone receptor signaling pathway (GO:0033143)</t>
  </si>
  <si>
    <t>endoplasmic reticulum calcium ion homeostasis (GO:0032469)</t>
  </si>
  <si>
    <t>negative regulation of cellular component organization (GO:0051129)</t>
  </si>
  <si>
    <t>regulation of cellular component biogenesis (GO:0044087)</t>
  </si>
  <si>
    <t>calcium ion transport (GO:0006816)</t>
  </si>
  <si>
    <t>phospholipid biosynthetic process (GO:0008654)</t>
  </si>
  <si>
    <t>epithelial cell differentiation (GO:0030855)</t>
  </si>
  <si>
    <t>mitochondrial membrane organization (GO:0007006)</t>
  </si>
  <si>
    <t>mitotic G2/M transition checkpoint (GO:0044818)</t>
  </si>
  <si>
    <t>chromatin assembly (GO:0031497)</t>
  </si>
  <si>
    <t>ERBB signaling pathway (GO:0038127)</t>
  </si>
  <si>
    <t>cellular senescence (GO:0090398)</t>
  </si>
  <si>
    <t>aspartate family amino acid catabolic process (GO:0009068)</t>
  </si>
  <si>
    <t>regulation of erythrocyte differentiation (GO:0045646)</t>
  </si>
  <si>
    <t>regulation of cellular amide metabolic process (GO:0034248)</t>
  </si>
  <si>
    <t>'de novo' posttranslational protein folding (GO:0051084)</t>
  </si>
  <si>
    <t>positive regulation of growth (GO:0045927)</t>
  </si>
  <si>
    <t>RNA splicing, via transesterification reactions (GO:0000375)</t>
  </si>
  <si>
    <t>inorganic cation transmembrane transport (GO:0098662)</t>
  </si>
  <si>
    <t>signal transduction in response to DNA damage (GO:0042770)</t>
  </si>
  <si>
    <t>regulation of G0 to G1 transition (GO:0070316)</t>
  </si>
  <si>
    <t>polyol metabolic process (GO:0019751)</t>
  </si>
  <si>
    <t>positive regulation of mRNA catabolic process (GO:0061014)</t>
  </si>
  <si>
    <t>negative regulation of supramolecular fiber organization (GO:1902904)</t>
  </si>
  <si>
    <t>negative regulation of response to external stimulus (GO:0032102)</t>
  </si>
  <si>
    <t>negative regulation of autophagy (GO:0010507)</t>
  </si>
  <si>
    <t>substantia nigra development (GO:0021762)</t>
  </si>
  <si>
    <t>response to molecule of bacterial origin (GO:0002237)</t>
  </si>
  <si>
    <t>regulation of JUN kinase activity (GO:0043506)</t>
  </si>
  <si>
    <t>positive regulation of cell growth (GO:0030307)</t>
  </si>
  <si>
    <t>nucleotide-excision repair, DNA gap filling (GO:0006297)</t>
  </si>
  <si>
    <t>cell morphogenesis involved in differentiation (GO:0000904)</t>
  </si>
  <si>
    <t>nucleotide-excision repair, DNA damage recognition (GO:0000715)</t>
  </si>
  <si>
    <t>regulation of oxidative stress-induced intrinsic apoptotic signaling pathway (GO:1902175)</t>
  </si>
  <si>
    <t>regulation of macromolecule metabolic process (GO:0060255)</t>
  </si>
  <si>
    <t>organelle transport along microtubule (GO:0072384)</t>
  </si>
  <si>
    <t>cobalamin metabolic process (GO:0009235)</t>
  </si>
  <si>
    <t>positive regulation of interferon-alpha production (GO:0032727)</t>
  </si>
  <si>
    <t>exonucleolytic catabolism of deadenylated mRNA (GO:0043928)</t>
  </si>
  <si>
    <t>positive regulation of DNA repair (GO:0045739)</t>
  </si>
  <si>
    <t>autophagosome maturation (GO:0097352)</t>
  </si>
  <si>
    <t>establishment of endothelial barrier (GO:0061028)</t>
  </si>
  <si>
    <t>TRIF-dependent toll-like receptor signaling pathway (GO:0035666)</t>
  </si>
  <si>
    <t>phosphatidylinositol phosphate biosynthetic process (GO:0046854)</t>
  </si>
  <si>
    <t>regulation of myeloid cell differentiation (GO:0045637)</t>
  </si>
  <si>
    <t>membrane fusion (GO:0061025)</t>
  </si>
  <si>
    <t>regulation of DNA metabolic process (GO:0051052)</t>
  </si>
  <si>
    <t>neuron apoptotic process (GO:0051402)</t>
  </si>
  <si>
    <t>response to lipid (GO:0033993)</t>
  </si>
  <si>
    <t>negative regulation of protein serine/threonine kinase activity (GO:0071901)</t>
  </si>
  <si>
    <t>monocarboxylic acid transport (GO:0015718)</t>
  </si>
  <si>
    <t>negative regulation of ERBB signaling pathway (GO:1901185)</t>
  </si>
  <si>
    <t>regulation of DNA recombination (GO:0000018)</t>
  </si>
  <si>
    <t>positive regulation of cellular component organization (GO:0051130)</t>
  </si>
  <si>
    <t>regulation of mitotic spindle assembly (GO:1901673)</t>
  </si>
  <si>
    <t>chaperone cofactor-dependent protein refolding (GO:0051085)</t>
  </si>
  <si>
    <t>transferrin transport (GO:0033572)</t>
  </si>
  <si>
    <t>protein-containing complex disassembly (GO:0032984)</t>
  </si>
  <si>
    <t>negative regulation of epidermal growth factor receptor signaling pathway (GO:0042059)</t>
  </si>
  <si>
    <t>positive regulation of intrinsic apoptotic signaling pathway (GO:2001244)</t>
  </si>
  <si>
    <t>RNA biosynthetic process (GO:0032774)</t>
  </si>
  <si>
    <t>stress-activated protein kinase signaling cascade (GO:0031098)</t>
  </si>
  <si>
    <t>inositol phosphate metabolic process (GO:0043647)</t>
  </si>
  <si>
    <t>import into cell (GO:0098657)</t>
  </si>
  <si>
    <t>mismatch repair (GO:0006298)</t>
  </si>
  <si>
    <t>phosphatidylinositol-mediated signaling (GO:0048015)</t>
  </si>
  <si>
    <t>hippo signaling (GO:0035329)</t>
  </si>
  <si>
    <t>positive regulation of DNA-templated transcription, elongation (GO:0032786)</t>
  </si>
  <si>
    <t>alpha-amino acid metabolic process (GO:1901605)</t>
  </si>
  <si>
    <t>negative regulation of cysteine-type endopeptidase activity involved in apoptotic process (GO:0043154)</t>
  </si>
  <si>
    <t>positive regulation of neuron projection development (GO:0010976)</t>
  </si>
  <si>
    <t>telomere maintenance via telomere lengthening (GO:0010833)</t>
  </si>
  <si>
    <t>regulation of cyclin-dependent protein kinase activity (GO:1904029)</t>
  </si>
  <si>
    <t>RNA-dependent DNA biosynthetic process (GO:0006278)</t>
  </si>
  <si>
    <t>positive regulation of protein import into nucleus (GO:0042307)</t>
  </si>
  <si>
    <t>negative regulation of gene expression, epigenetic (GO:0045814)</t>
  </si>
  <si>
    <t>negative regulation of I-kappaB kinase/NF-kappaB signaling (GO:0043124)</t>
  </si>
  <si>
    <t>DNA synthesis involved in DNA repair (GO:0000731)</t>
  </si>
  <si>
    <t>nucleotide-binding domain, leucine rich repeat containing receptor signaling pathway (GO:0035872)</t>
  </si>
  <si>
    <t>histone H2A ubiquitination (GO:0033522)</t>
  </si>
  <si>
    <t>regulation of vacuole organization (GO:0044088)</t>
  </si>
  <si>
    <t>positive regulation of telomerase activity (GO:0051973)</t>
  </si>
  <si>
    <t>anterograde axonal transport (GO:0008089)</t>
  </si>
  <si>
    <t>regulation of cell-cell adhesion (GO:0022407)</t>
  </si>
  <si>
    <t>clathrin-dependent endocytosis (GO:0072583)</t>
  </si>
  <si>
    <t>positive regulation of transcription initiation from RNA polymerase II promoter (GO:0060261)</t>
  </si>
  <si>
    <t>positive regulation of MAP kinase activity (GO:0043406)</t>
  </si>
  <si>
    <t>TOR signaling (GO:0031929)</t>
  </si>
  <si>
    <t>regulation of early endosome to late endosome transport (GO:2000641)</t>
  </si>
  <si>
    <t>establishment of mitotic spindle localization (GO:0040001)</t>
  </si>
  <si>
    <t>ribosomal large subunit assembly (GO:0000027)</t>
  </si>
  <si>
    <t>organelle disassembly (GO:1903008)</t>
  </si>
  <si>
    <t>cellular response to unfolded protein (GO:0034620)</t>
  </si>
  <si>
    <t>cellular response to topologically incorrect protein (GO:0035967)</t>
  </si>
  <si>
    <t>mitotic spindle checkpoint signaling (GO:0071174)</t>
  </si>
  <si>
    <t>spindle assembly checkpoint signaling (GO:0071173)</t>
  </si>
  <si>
    <t>mitotic spindle assembly checkpoint signaling (GO:0007094)</t>
  </si>
  <si>
    <t>extrinsic apoptotic signaling pathway via death domain receptors (GO:0008625)</t>
  </si>
  <si>
    <t>cellular response to nitrogen compound (GO:1901699)</t>
  </si>
  <si>
    <t>phagocytosis, engulfment (GO:0006911)</t>
  </si>
  <si>
    <t>regulation of kinase activity (GO:0043549)</t>
  </si>
  <si>
    <t>negative regulation of organelle assembly (GO:1902116)</t>
  </si>
  <si>
    <t>negative regulation of proteolysis involved in cellular protein catabolic process (GO:1903051)</t>
  </si>
  <si>
    <t>negative regulation of macroautophagy (GO:0016242)</t>
  </si>
  <si>
    <t>glycerophospholipid metabolic process (GO:0006650)</t>
  </si>
  <si>
    <t>nuclear-transcribed mRNA poly(A) tail shortening (GO:0000289)</t>
  </si>
  <si>
    <t>negative regulation of response to stimulus (GO:0048585)</t>
  </si>
  <si>
    <t>regulation of TORC1 signaling (GO:1903432)</t>
  </si>
  <si>
    <t>histone H4-K16 acetylation (GO:0043984)</t>
  </si>
  <si>
    <t>regulation of hydrolase activity (GO:0051336)</t>
  </si>
  <si>
    <t>regulation of amyloid-beta formation (GO:1902003)</t>
  </si>
  <si>
    <t>sphingolipid biosynthetic process (GO:0030148)</t>
  </si>
  <si>
    <t>regulation of ubiquitin-protein transferase activity (GO:0051438)</t>
  </si>
  <si>
    <t>post-transcriptional gene silencing by RNA (GO:0035194)</t>
  </si>
  <si>
    <t>cellular macromolecule catabolic process (GO:0044265)</t>
  </si>
  <si>
    <t>receptor signaling pathway via STAT (GO:0097696)</t>
  </si>
  <si>
    <t>cytoplasmic translational initiation (GO:0002183)</t>
  </si>
  <si>
    <t>regulation of cellular component size (GO:0032535)</t>
  </si>
  <si>
    <t>protein insertion into mitochondrial membrane (GO:0051204)</t>
  </si>
  <si>
    <t>negative regulation of oxidative stress-induced intrinsic apoptotic signaling pathway (GO:1902176)</t>
  </si>
  <si>
    <t>endoplasmic reticulum mannose trimming (GO:1904380)</t>
  </si>
  <si>
    <t>telomere maintenance via telomerase (GO:0007004)</t>
  </si>
  <si>
    <t>mRNA splice site selection (GO:0006376)</t>
  </si>
  <si>
    <t>aggrephagy (GO:0035973)</t>
  </si>
  <si>
    <t>wound healing, spreading of cells (GO:0044319)</t>
  </si>
  <si>
    <t>membrane assembly (GO:0071709)</t>
  </si>
  <si>
    <t>positive regulation of viral genome replication (GO:0045070)</t>
  </si>
  <si>
    <t>regulation of centrosome duplication (GO:0010824)</t>
  </si>
  <si>
    <t>positive regulation of telomere maintenance (GO:0032206)</t>
  </si>
  <si>
    <t>positive regulation of proteolysis involved in cellular protein catabolic process (GO:1903052)</t>
  </si>
  <si>
    <t>epidermal growth factor receptor signaling pathway (GO:0007173)</t>
  </si>
  <si>
    <t>macromolecule catabolic process (GO:0009057)</t>
  </si>
  <si>
    <t>protein localization to lysosome (GO:0061462)</t>
  </si>
  <si>
    <t>protein destabilization (GO:0031648)</t>
  </si>
  <si>
    <t>tRNA aminoacylation for protein translation (GO:0006418)</t>
  </si>
  <si>
    <t>peptidyl-asparagine modification (GO:0018196)</t>
  </si>
  <si>
    <t>regulation of DNA-templated transcription, elongation (GO:0032784)</t>
  </si>
  <si>
    <t>entrainment of circadian clock by photoperiod (GO:0043153)</t>
  </si>
  <si>
    <t>positive regulation of protein targeting to membrane (GO:0090314)</t>
  </si>
  <si>
    <t>negative regulation of telomere maintenance via telomere lengthening (GO:1904357)</t>
  </si>
  <si>
    <t>positive regulation of TOR signaling (GO:0032008)</t>
  </si>
  <si>
    <t>nucleobase-containing compound catabolic process (GO:0034655)</t>
  </si>
  <si>
    <t>regulation of p38MAPK cascade (GO:1900744)</t>
  </si>
  <si>
    <t>regulation of mitochondrial translation (GO:0070129)</t>
  </si>
  <si>
    <t>negative regulation of telomere maintenance via telomerase (GO:0032211)</t>
  </si>
  <si>
    <t>mRNA cis splicing, via spliceosome (GO:0045292)</t>
  </si>
  <si>
    <t>RNA phosphodiester bond hydrolysis (GO:0090501)</t>
  </si>
  <si>
    <t>maturation of 5.8S rRNA (GO:0000460)</t>
  </si>
  <si>
    <t>cellular response to hydrogen peroxide (GO:0070301)</t>
  </si>
  <si>
    <t>cellular divalent inorganic cation homeostasis (GO:0072503)</t>
  </si>
  <si>
    <t>regulation of mitotic nuclear division (GO:0007088)</t>
  </si>
  <si>
    <t>regulation of protein targeting to membrane (GO:0090313)</t>
  </si>
  <si>
    <t>regulation of exosomal secretion (GO:1903541)</t>
  </si>
  <si>
    <t>positive regulation of histone acetylation (GO:0035066)</t>
  </si>
  <si>
    <t>peptidyl-proline modification (GO:0018208)</t>
  </si>
  <si>
    <t>protein localization to microtubule organizing center (GO:1905508)</t>
  </si>
  <si>
    <t>photoperiodism (GO:0009648)</t>
  </si>
  <si>
    <t>regulation of nitric oxide biosynthetic process (GO:0045428)</t>
  </si>
  <si>
    <t>regulation of androgen receptor signaling pathway (GO:0060765)</t>
  </si>
  <si>
    <t>protein targeting to lysosome (GO:0006622)</t>
  </si>
  <si>
    <t>inositol lipid-mediated signaling (GO:0048017)</t>
  </si>
  <si>
    <t>regulation of response to DNA damage stimulus (GO:2001020)</t>
  </si>
  <si>
    <t>organic hydroxy compound biosynthetic process (GO:1901617)</t>
  </si>
  <si>
    <t>mitochondrial calcium ion transmembrane transport (GO:0006851)</t>
  </si>
  <si>
    <t>maintenance of protein localization in organelle (GO:0072595)</t>
  </si>
  <si>
    <t>protein K11-linked ubiquitination (GO:0070979)</t>
  </si>
  <si>
    <t>iron ion transport (GO:0006826)</t>
  </si>
  <si>
    <t>branched-chain amino acid catabolic process (GO:0009083)</t>
  </si>
  <si>
    <t>branched-chain amino acid metabolic process (GO:0009081)</t>
  </si>
  <si>
    <t>positive regulation of reactive oxygen species metabolic process (GO:2000379)</t>
  </si>
  <si>
    <t>DNA integrity checkpoint signaling (GO:0031570)</t>
  </si>
  <si>
    <t>negative regulation of cellular response to insulin stimulus (GO:1900077)</t>
  </si>
  <si>
    <t>membrane protein proteolysis (GO:0033619)</t>
  </si>
  <si>
    <t>O-glycan processing (GO:0016266)</t>
  </si>
  <si>
    <t>erythrocyte differentiation (GO:0030218)</t>
  </si>
  <si>
    <t>non-motile cilium assembly (GO:1905515)</t>
  </si>
  <si>
    <t>regulation of intracellular estrogen receptor signaling pathway (GO:0033146)</t>
  </si>
  <si>
    <t>protein acylation (GO:0043543)</t>
  </si>
  <si>
    <t>NLS-bearing protein import into nucleus (GO:0006607)</t>
  </si>
  <si>
    <t>posttranscriptional regulation of gene expression (GO:0010608)</t>
  </si>
  <si>
    <t>aerobic respiration (GO:0009060)</t>
  </si>
  <si>
    <t>negative regulation of cell cycle (GO:0045786)</t>
  </si>
  <si>
    <t>protein import into mitochondrial matrix (GO:0030150)</t>
  </si>
  <si>
    <t>intracellular pH reduction (GO:0051452)</t>
  </si>
  <si>
    <t>cellular response to metal ion (GO:0071248)</t>
  </si>
  <si>
    <t>mRNA modification (GO:0016556)</t>
  </si>
  <si>
    <t>positive regulation of amyloid-beta formation (GO:1902004)</t>
  </si>
  <si>
    <t>regulation of intracellular protein transport (GO:0033157)</t>
  </si>
  <si>
    <t>porphyrin-containing compound biosynthetic process (GO:0006779)</t>
  </si>
  <si>
    <t>calcium ion homeostasis (GO:0055074)</t>
  </si>
  <si>
    <t>glutathione metabolic process (GO:0006749)</t>
  </si>
  <si>
    <t>tube closure (GO:0060606)</t>
  </si>
  <si>
    <t>ceramide metabolic process (GO:0006672)</t>
  </si>
  <si>
    <t>nucleotide-excision repair, preincision complex stabilization (GO:0006293)</t>
  </si>
  <si>
    <t>nucleotide-excision repair, DNA incision, 3'-to lesion (GO:0006295)</t>
  </si>
  <si>
    <t>melanosome localization (GO:0032400)</t>
  </si>
  <si>
    <t>peptidyl-tyrosine phosphorylation (GO:0018108)</t>
  </si>
  <si>
    <t>maintenance of protein location in nucleus (GO:0051457)</t>
  </si>
  <si>
    <t>protein N-linked glycosylation via asparagine (GO:0018279)</t>
  </si>
  <si>
    <t>stress granule assembly (GO:0034063)</t>
  </si>
  <si>
    <t>protein polymerization (GO:0051258)</t>
  </si>
  <si>
    <t>positive regulation of Notch signaling pathway (GO:0045747)</t>
  </si>
  <si>
    <t>regulation of protein modification process (GO:0031399)</t>
  </si>
  <si>
    <t>regulation of megakaryocyte differentiation (GO:0045652)</t>
  </si>
  <si>
    <t>negative regulation of Ras protein signal transduction (GO:0046580)</t>
  </si>
  <si>
    <t>inorganic cation import across plasma membrane (GO:0098659)</t>
  </si>
  <si>
    <t>pore complex assembly (GO:0046931)</t>
  </si>
  <si>
    <t>protein exit from endoplasmic reticulum (GO:0032527)</t>
  </si>
  <si>
    <t>Rho protein signal transduction (GO:0007266)</t>
  </si>
  <si>
    <t>autophagy of nucleus (GO:0044804)</t>
  </si>
  <si>
    <t>negative regulation of DNA recombination (GO:0045910)</t>
  </si>
  <si>
    <t>peptide catabolic process (GO:0043171)</t>
  </si>
  <si>
    <t>regulation of cholesterol biosynthetic process (GO:0045540)</t>
  </si>
  <si>
    <t>positive regulation of response to DNA damage stimulus (GO:2001022)</t>
  </si>
  <si>
    <t>pyrimidine nucleoside metabolic process (GO:0006213)</t>
  </si>
  <si>
    <t>positive regulation of ATP metabolic process (GO:1903580)</t>
  </si>
  <si>
    <t>negative regulation of mRNA processing (GO:0050686)</t>
  </si>
  <si>
    <t>establishment or maintenance of epithelial cell apical/basal polarity (GO:0045197)</t>
  </si>
  <si>
    <t>regulation of cellular senescence (GO:2000772)</t>
  </si>
  <si>
    <t>negative regulation of DNA biosynthetic process (GO:2000279)</t>
  </si>
  <si>
    <t>regulation of autophagy of mitochondrion (GO:1903146)</t>
  </si>
  <si>
    <t>positive regulation of myeloid cell differentiation (GO:0045639)</t>
  </si>
  <si>
    <t>membrane lipid biosynthetic process (GO:0046467)</t>
  </si>
  <si>
    <t>cellular nitrogen compound biosynthetic process (GO:0044271)</t>
  </si>
  <si>
    <t>establishment of mitotic spindle orientation (GO:0000132)</t>
  </si>
  <si>
    <t>neuron projection morphogenesis (GO:0048812)</t>
  </si>
  <si>
    <t>primary neural tube formation (GO:0014020)</t>
  </si>
  <si>
    <t>regulation of cellular localization (GO:0060341)</t>
  </si>
  <si>
    <t>cellular modified amino acid biosynthetic process (GO:0042398)</t>
  </si>
  <si>
    <t>actin filament bundle assembly (GO:0051017)</t>
  </si>
  <si>
    <t>positive regulation of mitochondrial outer membrane permeabilization involved in apoptotic signaling pathway (GO:1901030)</t>
  </si>
  <si>
    <t>response to amyloid-beta (GO:1904645)</t>
  </si>
  <si>
    <t>histone ubiquitination (GO:0016574)</t>
  </si>
  <si>
    <t>negative regulation of response to endoplasmic reticulum stress (GO:1903573)</t>
  </si>
  <si>
    <t>organelle fusion (GO:0048284)</t>
  </si>
  <si>
    <t>protein peptidyl-prolyl isomerization (GO:0000413)</t>
  </si>
  <si>
    <t>regulation of cell cycle G1/S phase transition (GO:1902806)</t>
  </si>
  <si>
    <t>regulation of cellular protein metabolic process (GO:0032268)</t>
  </si>
  <si>
    <t>regulation of protein secretion (GO:0050708)</t>
  </si>
  <si>
    <t>positive regulation of double-strand break repair (GO:2000781)</t>
  </si>
  <si>
    <t>neural tube closure (GO:0001843)</t>
  </si>
  <si>
    <t>production of small RNA involved in gene silencing by RNA (GO:0070918)</t>
  </si>
  <si>
    <t>steroid biosynthetic process (GO:0006694)</t>
  </si>
  <si>
    <t>regulation of protein localization to cell surface (GO:2000008)</t>
  </si>
  <si>
    <t>positive regulation of blood vessel endothelial cell migration (GO:0043536)</t>
  </si>
  <si>
    <t>negative regulation of insulin receptor signaling pathway (GO:0046627)</t>
  </si>
  <si>
    <t>regulation of mitotic metaphase/anaphase transition (GO:0030071)</t>
  </si>
  <si>
    <t>GPI anchor biosynthetic process (GO:0006506)</t>
  </si>
  <si>
    <t>positive regulation of cell cycle G1/S phase transition (GO:1902808)</t>
  </si>
  <si>
    <t>positive regulation of histone modification (GO:0031058)</t>
  </si>
  <si>
    <t>regulation of protein modification by small protein conjugation or removal (GO:1903320)</t>
  </si>
  <si>
    <t>GTP metabolic process (GO:0046039)</t>
  </si>
  <si>
    <t>mitochondrial calcium ion homeostasis (GO:0051560)</t>
  </si>
  <si>
    <t>membrane protein intracellular domain proteolysis (GO:0031293)</t>
  </si>
  <si>
    <t>negative regulation of MAP kinase activity (GO:0043407)</t>
  </si>
  <si>
    <t>positive regulation of JUN kinase activity (GO:0043507)</t>
  </si>
  <si>
    <t>regulation of rRNA processing (GO:2000232)</t>
  </si>
  <si>
    <t>establishment of epithelial cell polarity (GO:0090162)</t>
  </si>
  <si>
    <t>regulation of telomere capping (GO:1904353)</t>
  </si>
  <si>
    <t>fatty acid beta-oxidation using acyl-CoA oxidase (GO:0033540)</t>
  </si>
  <si>
    <t>nucleobase-containing compound biosynthetic process (GO:0034654)</t>
  </si>
  <si>
    <t>regulation of programmed necrotic cell death (GO:0062098)</t>
  </si>
  <si>
    <t>regulation of protein export from nucleus (GO:0046825)</t>
  </si>
  <si>
    <t>cellular response to misfolded protein (GO:0071218)</t>
  </si>
  <si>
    <t>regulation of necroptotic process (GO:0060544)</t>
  </si>
  <si>
    <t>positive regulation of exosomal secretion (GO:1903543)</t>
  </si>
  <si>
    <t>protein localization to chromosome, centromeric region (GO:0071459)</t>
  </si>
  <si>
    <t>negative regulation of stress-activated MAPK cascade (GO:0032873)</t>
  </si>
  <si>
    <t>positive regulation of exocytosis (GO:0045921)</t>
  </si>
  <si>
    <t>regulation of response to biotic stimulus (GO:0002831)</t>
  </si>
  <si>
    <t>iron ion homeostasis (GO:0055072)</t>
  </si>
  <si>
    <t>negative regulation of metabolic process (GO:0009892)</t>
  </si>
  <si>
    <t>response to gamma radiation (GO:0010332)</t>
  </si>
  <si>
    <t>negative regulation of protein metabolic process (GO:0051248)</t>
  </si>
  <si>
    <t>cellular iron ion homeostasis (GO:0006879)</t>
  </si>
  <si>
    <t>glycoprotein biosynthetic process (GO:0009101)</t>
  </si>
  <si>
    <t>regulation of reactive oxygen species metabolic process (GO:2000377)</t>
  </si>
  <si>
    <t>positive regulation of glycolytic process (GO:0045821)</t>
  </si>
  <si>
    <t>positive regulation of purine nucleotide metabolic process (GO:1900544)</t>
  </si>
  <si>
    <t>regulation of ruffle assembly (GO:1900027)</t>
  </si>
  <si>
    <t>vacuolar acidification (GO:0007035)</t>
  </si>
  <si>
    <t>negative regulation of mitotic metaphase/anaphase transition (GO:0045841)</t>
  </si>
  <si>
    <t>positive regulation of intracellular transport (GO:0032388)</t>
  </si>
  <si>
    <t>negative regulation of proteasomal protein catabolic process (GO:1901799)</t>
  </si>
  <si>
    <t>regulation of G protein-coupled receptor signaling pathway (GO:0008277)</t>
  </si>
  <si>
    <t>positive regulation of amyloid precursor protein catabolic process (GO:1902993)</t>
  </si>
  <si>
    <t>regulation of lamellipodium assembly (GO:0010591)</t>
  </si>
  <si>
    <t>cellular response to peptide (GO:1901653)</t>
  </si>
  <si>
    <t>positive regulation of transcription of Notch receptor target (GO:0007221)</t>
  </si>
  <si>
    <t>nucleotide metabolic process (GO:0009117)</t>
  </si>
  <si>
    <t>protein-DNA complex disassembly (GO:0032986)</t>
  </si>
  <si>
    <t>positive regulation of carbohydrate metabolic process (GO:0045913)</t>
  </si>
  <si>
    <t>nuclear membrane organization (GO:0071763)</t>
  </si>
  <si>
    <t>epithelial cell migration (GO:0010631)</t>
  </si>
  <si>
    <t>transcription by RNA polymerase III (GO:0006383)</t>
  </si>
  <si>
    <t>regulation of insulin receptor signaling pathway (GO:0046626)</t>
  </si>
  <si>
    <t>melanosome organization (GO:0032438)</t>
  </si>
  <si>
    <t>phagosome acidification (GO:0090383)</t>
  </si>
  <si>
    <t>metallo-sulfur cluster assembly (GO:0031163)</t>
  </si>
  <si>
    <t>intrinsic apoptotic signaling pathway in response to endoplasmic reticulum stress (GO:0070059)</t>
  </si>
  <si>
    <t>regulation of double-strand break repair (GO:2000779)</t>
  </si>
  <si>
    <t>error-free translesion synthesis (GO:0070987)</t>
  </si>
  <si>
    <t>negative regulation of ERK1 and ERK2 cascade (GO:0070373)</t>
  </si>
  <si>
    <t>anterograde synaptic vesicle transport (GO:0048490)</t>
  </si>
  <si>
    <t>synaptic vesicle transport along microtubule (GO:0099517)</t>
  </si>
  <si>
    <t>mitotic recombination (GO:0006312)</t>
  </si>
  <si>
    <t>myofibril assembly (GO:0030239)</t>
  </si>
  <si>
    <t>negative regulation of DNA recombination at telomere (GO:0048239)</t>
  </si>
  <si>
    <t>regulation of DNA recombination at telomere (GO:0072695)</t>
  </si>
  <si>
    <t>glutamate metabolic process (GO:0006536)</t>
  </si>
  <si>
    <t>negative regulation of transport (GO:0051051)</t>
  </si>
  <si>
    <t>chromatin disassembly (GO:0031498)</t>
  </si>
  <si>
    <t>nucleosome disassembly (GO:0006337)</t>
  </si>
  <si>
    <t>histone lysine demethylation (GO:0070076)</t>
  </si>
  <si>
    <t>regulation of mRNA polyadenylation (GO:1900363)</t>
  </si>
  <si>
    <t>protein localization to Golgi apparatus (GO:0034067)</t>
  </si>
  <si>
    <t>organic acid transport (GO:0015849)</t>
  </si>
  <si>
    <t>establishment of protein localization to endoplasmic reticulum (GO:0072599)</t>
  </si>
  <si>
    <t>histone H3 deacetylation (GO:0070932)</t>
  </si>
  <si>
    <t>regulation of mitochondrial fission (GO:0090140)</t>
  </si>
  <si>
    <t>negative regulation of proteasomal ubiquitin-dependent protein catabolic process (GO:0032435)</t>
  </si>
  <si>
    <t>regulation of nuclear division (GO:0051783)</t>
  </si>
  <si>
    <t>positive regulation of transcription by RNA polymerase I (GO:0045943)</t>
  </si>
  <si>
    <t>phospholipid transport (GO:0015914)</t>
  </si>
  <si>
    <t>positive regulation by host of viral transcription (GO:0043923)</t>
  </si>
  <si>
    <t>establishment of melanosome localization (GO:0032401)</t>
  </si>
  <si>
    <t>negative regulation of toll-like receptor signaling pathway (GO:0034122)</t>
  </si>
  <si>
    <t>sphingosine metabolic process (GO:0006670)</t>
  </si>
  <si>
    <t>actin filament bundle organization (GO:0061572)</t>
  </si>
  <si>
    <t>histone H2A monoubiquitination (GO:0035518)</t>
  </si>
  <si>
    <t>positive regulation of lamellipodium organization (GO:1902745)</t>
  </si>
  <si>
    <t>protein deacylation (GO:0035601)</t>
  </si>
  <si>
    <t>regulation of extrinsic apoptotic signaling pathway via death domain receptors (GO:1902041)</t>
  </si>
  <si>
    <t>positive regulation of transforming growth factor beta receptor signaling pathway (GO:0030511)</t>
  </si>
  <si>
    <t>positive regulation of cellular response to transforming growth factor beta stimulus (GO:1903846)</t>
  </si>
  <si>
    <t>rRNA transcription (GO:0009303)</t>
  </si>
  <si>
    <t>protein export from nucleus (GO:0006611)</t>
  </si>
  <si>
    <t>tail-anchored membrane protein insertion into ER membrane (GO:0071816)</t>
  </si>
  <si>
    <t>negative regulation of receptor-mediated endocytosis (GO:0048261)</t>
  </si>
  <si>
    <t>regulation of cell-substrate junction assembly (GO:0090109)</t>
  </si>
  <si>
    <t>plasma membrane bounded cell projection morphogenesis (GO:0120039)</t>
  </si>
  <si>
    <t>pigment granule transport (GO:0051904)</t>
  </si>
  <si>
    <t>melanosome transport (GO:0032402)</t>
  </si>
  <si>
    <t>mitochondrial fusion (GO:0008053)</t>
  </si>
  <si>
    <t>heterotypic cell-cell adhesion (GO:0034113)</t>
  </si>
  <si>
    <t>telomere capping (GO:0016233)</t>
  </si>
  <si>
    <t>negative regulation of neuron death (GO:1901215)</t>
  </si>
  <si>
    <t>early endosome to late endosome transport (GO:0045022)</t>
  </si>
  <si>
    <t>regulation of transcription involved in G1/S transition of mitotic cell cycle (GO:0000083)</t>
  </si>
  <si>
    <t>chaperone-mediated protein complex assembly (GO:0051131)</t>
  </si>
  <si>
    <t>cardiac ventricle morphogenesis (GO:0003208)</t>
  </si>
  <si>
    <t>negative regulation of response to DNA damage stimulus (GO:2001021)</t>
  </si>
  <si>
    <t>positive regulation of establishment of protein localization (GO:1904951)</t>
  </si>
  <si>
    <t>heme biosynthetic process (GO:0006783)</t>
  </si>
  <si>
    <t>nucleoside diphosphate metabolic process (GO:0009132)</t>
  </si>
  <si>
    <t>mitotic cell cycle checkpoint signaling (GO:0007093)</t>
  </si>
  <si>
    <t>positive regulation of mitochondrial fission (GO:0090141)</t>
  </si>
  <si>
    <t>regulation of hippo signaling (GO:0035330)</t>
  </si>
  <si>
    <t>protein methylation (GO:0006479)</t>
  </si>
  <si>
    <t>alpha-amino acid catabolic process (GO:1901606)</t>
  </si>
  <si>
    <t>positive regulation of cytokine-mediated signaling pathway (GO:0001961)</t>
  </si>
  <si>
    <t>carboxylic acid metabolic process (GO:0019752)</t>
  </si>
  <si>
    <t>positive regulation of stem cell proliferation (GO:2000648)</t>
  </si>
  <si>
    <t>membrane protein ectodomain proteolysis (GO:0006509)</t>
  </si>
  <si>
    <t>regulation of cellular protein catabolic process (GO:1903362)</t>
  </si>
  <si>
    <t>purinergic nucleotide receptor signaling pathway (GO:0035590)</t>
  </si>
  <si>
    <t>negative regulation of telomere maintenance (GO:0032205)</t>
  </si>
  <si>
    <t>regulation of centriole replication (GO:0046599)</t>
  </si>
  <si>
    <t>regulation of phosphoprotein phosphatase activity (GO:0043666)</t>
  </si>
  <si>
    <t>negative regulation of epithelial cell proliferation (GO:0050680)</t>
  </si>
  <si>
    <t>negative regulation of G1/S transition of mitotic cell cycle (GO:2000134)</t>
  </si>
  <si>
    <t>negative regulation of cell-cell adhesion (GO:0022408)</t>
  </si>
  <si>
    <t>maturation of 5.8S rRNA from tricistronic rRNA transcript (SSU-rRNA, 5.8S rRNA, LSU-rRNA) (GO:0000466)</t>
  </si>
  <si>
    <t>regulation of vascular endothelial cell proliferation (GO:1905562)</t>
  </si>
  <si>
    <t>cellular response to radiation (GO:0071478)</t>
  </si>
  <si>
    <t>mitotic G2 DNA damage checkpoint signaling (GO:0007095)</t>
  </si>
  <si>
    <t>C21-steroid hormone metabolic process (GO:0008207)</t>
  </si>
  <si>
    <t>focal adhesion assembly (GO:0048041)</t>
  </si>
  <si>
    <t>negative regulation of protein dephosphorylation (GO:0035308)</t>
  </si>
  <si>
    <t>positive regulation of potassium ion transmembrane transport (GO:1901381)</t>
  </si>
  <si>
    <t>error-prone translesion synthesis (GO:0042276)</t>
  </si>
  <si>
    <t>nuclear transport (GO:0051169)</t>
  </si>
  <si>
    <t>receptor signaling pathway via JAK-STAT (GO:0007259)</t>
  </si>
  <si>
    <t>establishment of spindle orientation (GO:0051294)</t>
  </si>
  <si>
    <t>negative regulation of cellular biosynthetic process (GO:0031327)</t>
  </si>
  <si>
    <t>RNA stabilization (GO:0043489)</t>
  </si>
  <si>
    <t>endothelial cell development (GO:0001885)</t>
  </si>
  <si>
    <t>positive regulation of gene silencing by miRNA (GO:2000637)</t>
  </si>
  <si>
    <t>negative regulation of cytokine-mediated signaling pathway (GO:0001960)</t>
  </si>
  <si>
    <t>positive regulation of protein dephosphorylation (GO:0035307)</t>
  </si>
  <si>
    <t>regulation of wound healing (GO:0061041)</t>
  </si>
  <si>
    <t>amino acid import (GO:0043090)</t>
  </si>
  <si>
    <t>regulation of embryonic development (GO:0045995)</t>
  </si>
  <si>
    <t>epithelial tube morphogenesis (GO:0060562)</t>
  </si>
  <si>
    <t>positive regulation of antigen receptor-mediated signaling pathway (GO:0050857)</t>
  </si>
  <si>
    <t>NAD biosynthetic process (GO:0009435)</t>
  </si>
  <si>
    <t>positive regulation of protein insertion into mitochondrial membrane involved in apoptotic signaling pathway (GO:1900740)</t>
  </si>
  <si>
    <t>regulation of protein insertion into mitochondrial membrane involved in apoptotic signaling pathway (GO:1900739)</t>
  </si>
  <si>
    <t>regulation of supramolecular fiber organization (GO:1902903)</t>
  </si>
  <si>
    <t>GPI anchor metabolic process (GO:0006505)</t>
  </si>
  <si>
    <t>cellular response to amino acid stimulus (GO:0071230)</t>
  </si>
  <si>
    <t>negative regulation of cellular protein localization (GO:1903828)</t>
  </si>
  <si>
    <t>myelination (GO:0042552)</t>
  </si>
  <si>
    <t>DNA geometric change (GO:0032392)</t>
  </si>
  <si>
    <t>chemical homeostasis (GO:0048878)</t>
  </si>
  <si>
    <t>actin filament polymerization (GO:0030041)</t>
  </si>
  <si>
    <t>ubiquinone biosynthetic process (GO:0006744)</t>
  </si>
  <si>
    <t>amyloid fibril formation (GO:1990000)</t>
  </si>
  <si>
    <t>negative regulation of extrinsic apoptotic signaling pathway via death domain receptors (GO:1902042)</t>
  </si>
  <si>
    <t>positive regulation of dephosphorylation (GO:0035306)</t>
  </si>
  <si>
    <t>carbohydrate derivative biosynthetic process (GO:1901137)</t>
  </si>
  <si>
    <t>ERBB2 signaling pathway (GO:0038128)</t>
  </si>
  <si>
    <t>negative regulation of JNK cascade (GO:0046329)</t>
  </si>
  <si>
    <t>regulation of transcription by RNA polymerase III (GO:0006359)</t>
  </si>
  <si>
    <t>positive regulation of peptidyl-lysine acetylation (GO:2000758)</t>
  </si>
  <si>
    <t>positive regulation of cell-substrate junction organization (GO:0150117)</t>
  </si>
  <si>
    <t>apoptotic cell clearance (GO:0043277)</t>
  </si>
  <si>
    <t>negative regulation of endothelial cell migration (GO:0010596)</t>
  </si>
  <si>
    <t>Golgi to endosome transport (GO:0006895)</t>
  </si>
  <si>
    <t>positive regulation of erythrocyte differentiation (GO:0045648)</t>
  </si>
  <si>
    <t>negative regulation of cell cycle G1/S phase transition (GO:1902807)</t>
  </si>
  <si>
    <t>positive regulation of interleukin-8 production (GO:0032757)</t>
  </si>
  <si>
    <t>peptidyl-glutamic acid modification (GO:0018200)</t>
  </si>
  <si>
    <t>metal ion transport (GO:0030001)</t>
  </si>
  <si>
    <t>negative regulation of neuron projection development (GO:0010977)</t>
  </si>
  <si>
    <t>histone deubiquitination (GO:0016578)</t>
  </si>
  <si>
    <t>protein localization to chromosome, telomeric region (GO:0070198)</t>
  </si>
  <si>
    <t>protein acetylation (GO:0006473)</t>
  </si>
  <si>
    <t>negative regulation of response to biotic stimulus (GO:0002832)</t>
  </si>
  <si>
    <t>negative regulation of GTPase activity (GO:0034260)</t>
  </si>
  <si>
    <t>regulation of toll-like receptor signaling pathway (GO:0034121)</t>
  </si>
  <si>
    <t>glycoprotein metabolic process (GO:0009100)</t>
  </si>
  <si>
    <t>ubiquitin-dependent protein catabolic process via the multivesicular body sorting pathway (GO:0043162)</t>
  </si>
  <si>
    <t>negative regulation of cell-matrix adhesion (GO:0001953)</t>
  </si>
  <si>
    <t>organophosphate ester transport (GO:0015748)</t>
  </si>
  <si>
    <t>regulation of histone acetylation (GO:0035065)</t>
  </si>
  <si>
    <t>positive regulation of inflammatory response (GO:0050729)</t>
  </si>
  <si>
    <t>regulation of small molecule metabolic process (GO:0062012)</t>
  </si>
  <si>
    <t>regulation of actin polymerization or depolymerization (GO:0008064)</t>
  </si>
  <si>
    <t>regulation of protein localization to cell periphery (GO:1904375)</t>
  </si>
  <si>
    <t>negative regulation of oxidative stress-induced cell death (GO:1903202)</t>
  </si>
  <si>
    <t>regulation of stem cell proliferation (GO:0072091)</t>
  </si>
  <si>
    <t>RNA interference (GO:0016246)</t>
  </si>
  <si>
    <t>positive regulation of Ras protein signal transduction (GO:0046579)</t>
  </si>
  <si>
    <t>negative regulation of transferase activity (GO:0051348)</t>
  </si>
  <si>
    <t>negative regulation of actin filament polymerization (GO:0030837)</t>
  </si>
  <si>
    <t>regulation of cell-substrate adhesion (GO:0010810)</t>
  </si>
  <si>
    <t>ubiquinone metabolic process (GO:0006743)</t>
  </si>
  <si>
    <t>apical junction assembly (GO:0043297)</t>
  </si>
  <si>
    <t>positive regulation of histone methylation (GO:0031062)</t>
  </si>
  <si>
    <t>intrinsic apoptotic signaling pathway in response to DNA damage by p53 class mediator (GO:0042771)</t>
  </si>
  <si>
    <t>histone H2A acetylation (GO:0043968)</t>
  </si>
  <si>
    <t>regulation of double-strand break repair via nonhomologous end joining (GO:2001032)</t>
  </si>
  <si>
    <t>positive regulation of protein tyrosine kinase activity (GO:0061098)</t>
  </si>
  <si>
    <t>snRNA metabolic process (GO:0016073)</t>
  </si>
  <si>
    <t>regulation of glucose metabolic process (GO:0010906)</t>
  </si>
  <si>
    <t>cardiac muscle tissue morphogenesis (GO:0055008)</t>
  </si>
  <si>
    <t>polyol biosynthetic process (GO:0046173)</t>
  </si>
  <si>
    <t>regulation of leukocyte migration (GO:0002685)</t>
  </si>
  <si>
    <t>negative regulation of protein kinase B signaling (GO:0051898)</t>
  </si>
  <si>
    <t>protein localization to endoplasmic reticulum (GO:0070972)</t>
  </si>
  <si>
    <t>DNA modification (GO:0006304)</t>
  </si>
  <si>
    <t>mitotic sister chromatid cohesion (GO:0007064)</t>
  </si>
  <si>
    <t>fatty-acyl-CoA biosynthetic process (GO:0046949)</t>
  </si>
  <si>
    <t>carboxylic acid transport (GO:0046942)</t>
  </si>
  <si>
    <t>positive regulation of peptidyl-threonine phosphorylation (GO:0010800)</t>
  </si>
  <si>
    <t>protein homotetramerization (GO:0051289)</t>
  </si>
  <si>
    <t>apoptotic mitochondrial changes (GO:0008637)</t>
  </si>
  <si>
    <t>cellular glucose homeostasis (GO:0001678)</t>
  </si>
  <si>
    <t>establishment of protein localization to extracellular region (GO:0035592)</t>
  </si>
  <si>
    <t>copper ion homeostasis (GO:0055070)</t>
  </si>
  <si>
    <t>peroxisome organization (GO:0007031)</t>
  </si>
  <si>
    <t>negative regulation of cold-induced thermogenesis (GO:0120163)</t>
  </si>
  <si>
    <t>positive regulation of transcription from RNA polymerase II promoter involved in cellular response to chemical stimulus (GO:1901522)</t>
  </si>
  <si>
    <t>cellular lipid catabolic process (GO:0044242)</t>
  </si>
  <si>
    <t>acyl-CoA metabolic process (GO:0006637)</t>
  </si>
  <si>
    <t>Rac protein signal transduction (GO:0016601)</t>
  </si>
  <si>
    <t>regulation of cardiac muscle hypertrophy (GO:0010611)</t>
  </si>
  <si>
    <t>unsaturated fatty acid metabolic process (GO:0033559)</t>
  </si>
  <si>
    <t>negative regulation of cellular metabolic process (GO:0031324)</t>
  </si>
  <si>
    <t>regulation of cardiac muscle contraction by calcium ion signaling (GO:0010882)</t>
  </si>
  <si>
    <t>regulation of microtubule-based process (GO:0032886)</t>
  </si>
  <si>
    <t>production of miRNAs involved in gene silencing by miRNA (GO:0035196)</t>
  </si>
  <si>
    <t>positive regulation of nitrogen compound metabolic process (GO:0051173)</t>
  </si>
  <si>
    <t>negative regulation of protein catabolic process (GO:0042177)</t>
  </si>
  <si>
    <t>histone H3-K4 methylation (GO:0051568)</t>
  </si>
  <si>
    <t>regulation of spindle organization (GO:0090224)</t>
  </si>
  <si>
    <t>phosphatidylinositol 3-kinase signaling (GO:0014065)</t>
  </si>
  <si>
    <t>positive regulation of DNA-templated transcription, initiation (GO:2000144)</t>
  </si>
  <si>
    <t>barbed-end actin filament capping (GO:0051016)</t>
  </si>
  <si>
    <t>actin filament capping (GO:0051693)</t>
  </si>
  <si>
    <t>regulation of ERBB signaling pathway (GO:1901184)</t>
  </si>
  <si>
    <t>regulation of protein autophosphorylation (GO:0031952)</t>
  </si>
  <si>
    <t>regulation of cellular protein localization (GO:1903827)</t>
  </si>
  <si>
    <t>plasma membrane invagination (GO:0099024)</t>
  </si>
  <si>
    <t>DNA catabolic process, endonucleolytic (GO:0000737)</t>
  </si>
  <si>
    <t>response to axon injury (GO:0048678)</t>
  </si>
  <si>
    <t>positive regulation of mitotic cell cycle (GO:0045931)</t>
  </si>
  <si>
    <t>cellular response to glucose stimulus (GO:0071333)</t>
  </si>
  <si>
    <t>positive regulation of DNA binding (GO:0043388)</t>
  </si>
  <si>
    <t>regulation of actin filament bundle assembly (GO:0032231)</t>
  </si>
  <si>
    <t>myeloid cell differentiation (GO:0030099)</t>
  </si>
  <si>
    <t>regulation of double-strand break repair via homologous recombination (GO:0010569)</t>
  </si>
  <si>
    <t>negative regulation of protein localization to cell periphery (GO:1904376)</t>
  </si>
  <si>
    <t>regulation of adaptive immune response (GO:0002819)</t>
  </si>
  <si>
    <t>negative regulation of cytoskeleton organization (GO:0051494)</t>
  </si>
  <si>
    <t>protein heterooligomerization (GO:0051291)</t>
  </si>
  <si>
    <t>vesicle transport along microtubule (GO:0047496)</t>
  </si>
  <si>
    <t>transition metal ion transport (GO:0000041)</t>
  </si>
  <si>
    <t>positive regulation of signaling receptor activity (GO:2000273)</t>
  </si>
  <si>
    <t>positive regulation of chemokine production (GO:0032722)</t>
  </si>
  <si>
    <t>regulation of DNA damage response, signal transduction by p53 class mediator (GO:0043516)</t>
  </si>
  <si>
    <t>positive regulation of pri-miRNA transcription by RNA polymerase II (GO:1902895)</t>
  </si>
  <si>
    <t>glycolipid biosynthetic process (GO:0009247)</t>
  </si>
  <si>
    <t>intracellular estrogen receptor signaling pathway (GO:0030520)</t>
  </si>
  <si>
    <t>negative regulation of cysteine-type endopeptidase activity (GO:2000117)</t>
  </si>
  <si>
    <t>establishment of vesicle localization (GO:0051650)</t>
  </si>
  <si>
    <t>protein localization to chromatin (GO:0071168)</t>
  </si>
  <si>
    <t>ceramide catabolic process (GO:0046514)</t>
  </si>
  <si>
    <t>negative regulation of mitochondrion organization (GO:0010823)</t>
  </si>
  <si>
    <t>regulation of fibroblast migration (GO:0010762)</t>
  </si>
  <si>
    <t>integrated stress response signaling (GO:0140467)</t>
  </si>
  <si>
    <t>phosphatidylcholine biosynthetic process (GO:0006656)</t>
  </si>
  <si>
    <t>mRNA stabilization (GO:0048255)</t>
  </si>
  <si>
    <t>energy derivation by oxidation of organic compounds (GO:0015980)</t>
  </si>
  <si>
    <t>nucleotide-sugar biosynthetic process (GO:0009226)</t>
  </si>
  <si>
    <t>phosphatidylinositol dephosphorylation (GO:0046856)</t>
  </si>
  <si>
    <t>calcium ion import (GO:0070509)</t>
  </si>
  <si>
    <t>response to cadmium ion (GO:0046686)</t>
  </si>
  <si>
    <t>cellular response to gamma radiation (GO:0071480)</t>
  </si>
  <si>
    <t>bile acid and bile salt transport (GO:0015721)</t>
  </si>
  <si>
    <t>synaptic vesicle endocytosis (GO:0048488)</t>
  </si>
  <si>
    <t>regulation of microtubule polymerization (GO:0031113)</t>
  </si>
  <si>
    <t>muscle filament sliding (GO:0030049)</t>
  </si>
  <si>
    <t>actin-myosin filament sliding (GO:0033275)</t>
  </si>
  <si>
    <t>regulation of cell size (GO:0008361)</t>
  </si>
  <si>
    <t>positive regulation of G1/S transition of mitotic cell cycle (GO:1900087)</t>
  </si>
  <si>
    <t>amino acid transmembrane transport (GO:0003333)</t>
  </si>
  <si>
    <t>negative regulation of mitotic cell cycle (GO:0045930)</t>
  </si>
  <si>
    <t>dolichol-linked oligosaccharide biosynthetic process (GO:0006488)</t>
  </si>
  <si>
    <t>cellular response to arsenic-containing substance (GO:0071243)</t>
  </si>
  <si>
    <t>base-excision repair, AP site formation (GO:0006285)</t>
  </si>
  <si>
    <t>regulation of dendrite morphogenesis (GO:0048814)</t>
  </si>
  <si>
    <t>positive regulation of endopeptidase activity (GO:0010950)</t>
  </si>
  <si>
    <t>positive regulation of response to endoplasmic reticulum stress (GO:1905898)</t>
  </si>
  <si>
    <t>regulation of chemokine production (GO:0032642)</t>
  </si>
  <si>
    <t>positive regulation of catabolic process (GO:0009896)</t>
  </si>
  <si>
    <t>glycosaminoglycan metabolic process (GO:0030203)</t>
  </si>
  <si>
    <t>DNA damage checkpoint signaling (GO:0000077)</t>
  </si>
  <si>
    <t>negative regulation of interleukin-8 production (GO:0032717)</t>
  </si>
  <si>
    <t>negative regulation of fibroblast proliferation (GO:0048147)</t>
  </si>
  <si>
    <t>cellular response to amyloid-beta (GO:1904646)</t>
  </si>
  <si>
    <t>regulation of interferon-gamma-mediated signaling pathway (GO:0060334)</t>
  </si>
  <si>
    <t>cellular metal ion homeostasis (GO:0006875)</t>
  </si>
  <si>
    <t>positive regulation of metabolic process (GO:0009893)</t>
  </si>
  <si>
    <t>microtubule polymerization (GO:0046785)</t>
  </si>
  <si>
    <t>protein alkylation (GO:0008213)</t>
  </si>
  <si>
    <t>receptor catabolic process (GO:0032801)</t>
  </si>
  <si>
    <t>negative regulation of amyloid precursor protein catabolic process (GO:1902992)</t>
  </si>
  <si>
    <t>negative regulation of protein-containing complex assembly (GO:0031333)</t>
  </si>
  <si>
    <t>positive regulation of cyclin-dependent protein kinase activity (GO:1904031)</t>
  </si>
  <si>
    <t>negative regulation of chemokine production (GO:0032682)</t>
  </si>
  <si>
    <t>organelle fission (GO:0048285)</t>
  </si>
  <si>
    <t>regulation of protein transport (GO:0051223)</t>
  </si>
  <si>
    <t>negative regulation of smooth muscle cell proliferation (GO:0048662)</t>
  </si>
  <si>
    <t>actin filament-based transport (GO:0099515)</t>
  </si>
  <si>
    <t>signal transduction by p53 class mediator (GO:0072331)</t>
  </si>
  <si>
    <t>regulation of actin cytoskeleton reorganization (GO:2000249)</t>
  </si>
  <si>
    <t>regulation of catabolic process (GO:0009894)</t>
  </si>
  <si>
    <t>purine ribonucleotide biosynthetic process (GO:0009152)</t>
  </si>
  <si>
    <t>positive regulation of phospholipase C activity (GO:0010863)</t>
  </si>
  <si>
    <t>negative regulation of protein polymerization (GO:0032272)</t>
  </si>
  <si>
    <t>microtubule bundle formation (GO:0001578)</t>
  </si>
  <si>
    <t>retrograde protein transport, ER to cytosol (GO:0030970)</t>
  </si>
  <si>
    <t>positive regulation of release of cytochrome c from mitochondria (GO:0090200)</t>
  </si>
  <si>
    <t>negative regulation of peptidyl-threonine phosphorylation (GO:0010801)</t>
  </si>
  <si>
    <t>negative regulation of axonogenesis (GO:0050771)</t>
  </si>
  <si>
    <t>regulation of amyloid fibril formation (GO:1905906)</t>
  </si>
  <si>
    <t>ERK1 and ERK2 cascade (GO:0070371)</t>
  </si>
  <si>
    <t>positive regulation of mitotic nuclear division (GO:0045840)</t>
  </si>
  <si>
    <t>regulation of alternative mRNA splicing, via spliceosome (GO:0000381)</t>
  </si>
  <si>
    <t>tRNA metabolic process (GO:0006399)</t>
  </si>
  <si>
    <t>cellular response to acid chemical (GO:0071229)</t>
  </si>
  <si>
    <t>positive regulation of catalytic activity (GO:0043085)</t>
  </si>
  <si>
    <t>cellular response to catecholamine stimulus (GO:0071870)</t>
  </si>
  <si>
    <t>stem cell differentiation (GO:0048863)</t>
  </si>
  <si>
    <t>phospholipid dephosphorylation (GO:0046839)</t>
  </si>
  <si>
    <t>fibroblast growth factor receptor signaling pathway (GO:0008543)</t>
  </si>
  <si>
    <t>regulation of potassium ion transmembrane transport (GO:1901379)</t>
  </si>
  <si>
    <t>positive regulation of transcription from RNA polymerase II promoter in response to stress (GO:0036003)</t>
  </si>
  <si>
    <t>peptidyl-lysine methylation (GO:0018022)</t>
  </si>
  <si>
    <t>microtubule nucleation (GO:0007020)</t>
  </si>
  <si>
    <t>positive regulation of smoothened signaling pathway (GO:0045880)</t>
  </si>
  <si>
    <t>response to peptide hormone (GO:0043434)</t>
  </si>
  <si>
    <t>aromatic amino acid family catabolic process (GO:0009074)</t>
  </si>
  <si>
    <t>regulation of telomere maintenance via telomere lengthening (GO:1904356)</t>
  </si>
  <si>
    <t>contractile actin filament bundle assembly (GO:0030038)</t>
  </si>
  <si>
    <t>stress fiber assembly (GO:0043149)</t>
  </si>
  <si>
    <t>negative regulation of type I interferon-mediated signaling pathway (GO:0060339)</t>
  </si>
  <si>
    <t>regulation of cholesterol efflux (GO:0010874)</t>
  </si>
  <si>
    <t>L-alpha-amino acid transmembrane transport (GO:1902475)</t>
  </si>
  <si>
    <t>regulation of neurogenesis (GO:0050767)</t>
  </si>
  <si>
    <t>activation of NF-kappaB-inducing kinase activity (GO:0007250)</t>
  </si>
  <si>
    <t>regulation of establishment or maintenance of cell polarity (GO:0032878)</t>
  </si>
  <si>
    <t>negative regulation of fatty acid metabolic process (GO:0045922)</t>
  </si>
  <si>
    <t>neuron projection extension (GO:1990138)</t>
  </si>
  <si>
    <t>regulation of cellular respiration (GO:0043457)</t>
  </si>
  <si>
    <t>regulation of cell junction assembly (GO:1901888)</t>
  </si>
  <si>
    <t>histone lysine methylation (GO:0034968)</t>
  </si>
  <si>
    <t>vesicle cytoskeletal trafficking (GO:0099518)</t>
  </si>
  <si>
    <t>regulation of cholesterol metabolic process (GO:0090181)</t>
  </si>
  <si>
    <t>negative regulation of cell projection organization (GO:0031345)</t>
  </si>
  <si>
    <t>sphingolipid catabolic process (GO:0030149)</t>
  </si>
  <si>
    <t>smoothened signaling pathway (GO:0007224)</t>
  </si>
  <si>
    <t>organic hydroxy compound transport (GO:0015850)</t>
  </si>
  <si>
    <t>fatty-acyl-CoA metabolic process (GO:0035337)</t>
  </si>
  <si>
    <t>icosanoid metabolic process (GO:0006690)</t>
  </si>
  <si>
    <t>regulation of transcription by RNA polymerase I (GO:0006356)</t>
  </si>
  <si>
    <t>negative regulation of peptidyl-tyrosine phosphorylation (GO:0050732)</t>
  </si>
  <si>
    <t>negative regulation of receptor signaling pathway via JAK-STAT (GO:0046426)</t>
  </si>
  <si>
    <t>regulation of endothelial cell apoptotic process (GO:2000351)</t>
  </si>
  <si>
    <t>positive regulation of telomere capping (GO:1904355)</t>
  </si>
  <si>
    <t>neuron migration (GO:0001764)</t>
  </si>
  <si>
    <t>transition metal ion homeostasis (GO:0055076)</t>
  </si>
  <si>
    <t>regulation of receptor internalization (GO:0002090)</t>
  </si>
  <si>
    <t>rRNA modification (GO:0000154)</t>
  </si>
  <si>
    <t>regulation of phosphate metabolic process (GO:0019220)</t>
  </si>
  <si>
    <t>vesicle transport along actin filament (GO:0030050)</t>
  </si>
  <si>
    <t>regulation of apoptotic signaling pathway (GO:2001233)</t>
  </si>
  <si>
    <t>negative regulation of protein localization to nucleus (GO:1900181)</t>
  </si>
  <si>
    <t>intrinsic apoptotic signaling pathway by p53 class mediator (GO:0072332)</t>
  </si>
  <si>
    <t>positive regulation of protein autophosphorylation (GO:0031954)</t>
  </si>
  <si>
    <t>purine ribonucleotide catabolic process (GO:0009154)</t>
  </si>
  <si>
    <t>positive regulation of cold-induced thermogenesis (GO:0120162)</t>
  </si>
  <si>
    <t>cell projection assembly (GO:0030031)</t>
  </si>
  <si>
    <t>positive regulation of protein export from nucleus (GO:0046827)</t>
  </si>
  <si>
    <t>regulation of clathrin-dependent endocytosis (GO:2000369)</t>
  </si>
  <si>
    <t>placenta development (GO:0001890)</t>
  </si>
  <si>
    <t>phospholipid metabolic process (GO:0006644)</t>
  </si>
  <si>
    <t>purine-containing compound biosynthetic process (GO:0072522)</t>
  </si>
  <si>
    <t>regulation of microtubule polymerization or depolymerization (GO:0031110)</t>
  </si>
  <si>
    <t>regulation of single stranded viral RNA replication via double stranded DNA intermediate (GO:0045091)</t>
  </si>
  <si>
    <t>xenobiotic transport (GO:0042908)</t>
  </si>
  <si>
    <t>cellular polysaccharide catabolic process (GO:0044247)</t>
  </si>
  <si>
    <t>positive regulation of lamellipodium assembly (GO:0010592)</t>
  </si>
  <si>
    <t>negative regulation of myeloid cell differentiation (GO:0045638)</t>
  </si>
  <si>
    <t>mitochondrial fission (GO:0000266)</t>
  </si>
  <si>
    <t>response to estrogen (GO:0043627)</t>
  </si>
  <si>
    <t>negative regulation of actin filament bundle assembly (GO:0032232)</t>
  </si>
  <si>
    <t>regulation of ubiquitin protein ligase activity (GO:1904666)</t>
  </si>
  <si>
    <t>negative regulation of double-strand break repair (GO:2000780)</t>
  </si>
  <si>
    <t>negative regulation of signaling receptor activity (GO:2000272)</t>
  </si>
  <si>
    <t>protein K63-linked deubiquitination (GO:0070536)</t>
  </si>
  <si>
    <t>dendritic spine organization (GO:0097061)</t>
  </si>
  <si>
    <t>positive regulation of cholesterol transport (GO:0032376)</t>
  </si>
  <si>
    <t>phospholipid translocation (GO:0045332)</t>
  </si>
  <si>
    <t>peptidyl-lysine trimethylation (GO:0018023)</t>
  </si>
  <si>
    <t>myeloid cell activation involved in immune response (GO:0002275)</t>
  </si>
  <si>
    <t>cellular response to cadmium ion (GO:0071276)</t>
  </si>
  <si>
    <t>positive regulation of transcription regulatory region DNA binding (GO:2000679)</t>
  </si>
  <si>
    <t>sterol metabolic process (GO:0016125)</t>
  </si>
  <si>
    <t>regulation of endoplasmic reticulum stress-induced intrinsic apoptotic signaling pathway (GO:1902235)</t>
  </si>
  <si>
    <t>cellular response to interleukin-6 (GO:0071354)</t>
  </si>
  <si>
    <t>regulation of interleukin-1 production (GO:0032652)</t>
  </si>
  <si>
    <t>positive regulation of vascular endothelial growth factor production (GO:0010575)</t>
  </si>
  <si>
    <t>positive regulation of microtubule polymerization (GO:0031116)</t>
  </si>
  <si>
    <t>very long-chain fatty acid metabolic process (GO:0000038)</t>
  </si>
  <si>
    <t>negative regulation of proteolysis (GO:0045861)</t>
  </si>
  <si>
    <t>regulation of insulin secretion (GO:0050796)</t>
  </si>
  <si>
    <t>tight junction assembly (GO:0120192)</t>
  </si>
  <si>
    <t>regulation of neuron apoptotic process (GO:0043523)</t>
  </si>
  <si>
    <t>regulation of cellular carbohydrate metabolic process (GO:0010675)</t>
  </si>
  <si>
    <t>glucose 6-phosphate metabolic process (GO:0051156)</t>
  </si>
  <si>
    <t>DNA double-strand break processing (GO:0000729)</t>
  </si>
  <si>
    <t>protein palmitoylation (GO:0018345)</t>
  </si>
  <si>
    <t>positive regulation of signal transduction by p53 class mediator (GO:1901798)</t>
  </si>
  <si>
    <t>positive regulation of stress-activated protein kinase signaling cascade (GO:0070304)</t>
  </si>
  <si>
    <t>negative regulation of plasma membrane bounded cell projection assembly (GO:0120033)</t>
  </si>
  <si>
    <t>inner ear morphogenesis (GO:0042472)</t>
  </si>
  <si>
    <t>regulation of membrane protein ectodomain proteolysis (GO:0051043)</t>
  </si>
  <si>
    <t>response to peptide (GO:1901652)</t>
  </si>
  <si>
    <t>cellular response to hexose stimulus (GO:0071331)</t>
  </si>
  <si>
    <t>glycogen catabolic process (GO:0005980)</t>
  </si>
  <si>
    <t>positive regulation of DNA recombination (GO:0045911)</t>
  </si>
  <si>
    <t>purine nucleotide metabolic process (GO:0006163)</t>
  </si>
  <si>
    <t>ureteric bud morphogenesis (GO:0060675)</t>
  </si>
  <si>
    <t>regulation of protein polymerization (GO:0032271)</t>
  </si>
  <si>
    <t>negative regulation of neurogenesis (GO:0050768)</t>
  </si>
  <si>
    <t>acidic amino acid transport (GO:0015800)</t>
  </si>
  <si>
    <t>positive regulation of microtubule polymerization or depolymerization (GO:0031112)</t>
  </si>
  <si>
    <t>release of cytochrome c from mitochondria (GO:0001836)</t>
  </si>
  <si>
    <t>positive regulation of cellular protein catabolic process (GO:1903364)</t>
  </si>
  <si>
    <t>negative regulation of microtubule polymerization or depolymerization (GO:0031111)</t>
  </si>
  <si>
    <t>negative regulation of protein tyrosine kinase activity (GO:0061099)</t>
  </si>
  <si>
    <t>monocarboxylic acid catabolic process (GO:0072329)</t>
  </si>
  <si>
    <t>determination of heart left/right asymmetry (GO:0061371)</t>
  </si>
  <si>
    <t>response to interferon-alpha (GO:0035455)</t>
  </si>
  <si>
    <t>myoblast differentiation (GO:0045445)</t>
  </si>
  <si>
    <t>positive regulation of defense response to virus by host (GO:0002230)</t>
  </si>
  <si>
    <t>negative regulation of hydrolase activity (GO:0051346)</t>
  </si>
  <si>
    <t>positive regulation of cyclin-dependent protein serine/threonine kinase activity (GO:0045737)</t>
  </si>
  <si>
    <t>apoptotic nuclear changes (GO:0030262)</t>
  </si>
  <si>
    <t>adenine nucleotide transport (GO:0051503)</t>
  </si>
  <si>
    <t>glucan catabolic process (GO:0009251)</t>
  </si>
  <si>
    <t>diol biosynthetic process (GO:0034312)</t>
  </si>
  <si>
    <t>regulation of transferase activity (GO:0051338)</t>
  </si>
  <si>
    <t>positive regulation of focal adhesion assembly (GO:0051894)</t>
  </si>
  <si>
    <t>N-terminal protein amino acid acetylation (GO:0006474)</t>
  </si>
  <si>
    <t>negative regulation of protein localization to membrane (GO:1905476)</t>
  </si>
  <si>
    <t>DNA biosynthetic process (GO:0071897)</t>
  </si>
  <si>
    <t>regulation of cardiac muscle cell action potential (GO:0098901)</t>
  </si>
  <si>
    <t>preassembly of GPI anchor in ER membrane (GO:0016254)</t>
  </si>
  <si>
    <t>negative regulation of Rho protein signal transduction (GO:0035024)</t>
  </si>
  <si>
    <t>regulation of cell morphogenesis (GO:0022604)</t>
  </si>
  <si>
    <t>positive regulation of ion transport (GO:0043270)</t>
  </si>
  <si>
    <t>negative regulation of small GTPase mediated signal transduction (GO:0051058)</t>
  </si>
  <si>
    <t>DNA replication checkpoint signaling (GO:0000076)</t>
  </si>
  <si>
    <t>regulation of DNA biosynthetic process (GO:2000278)</t>
  </si>
  <si>
    <t>negative regulation of lipid biosynthetic process (GO:0051055)</t>
  </si>
  <si>
    <t>poly(A)+ mRNA export from nucleus (GO:0016973)</t>
  </si>
  <si>
    <t>hematopoietic progenitor cell differentiation (GO:0002244)</t>
  </si>
  <si>
    <t>positive regulation of peptidyl-serine phosphorylation (GO:0033138)</t>
  </si>
  <si>
    <t>regulation of cellular biosynthetic process (GO:0031326)</t>
  </si>
  <si>
    <t>regulation of Golgi organization (GO:1903358)</t>
  </si>
  <si>
    <t>regulation of intracellular transport (GO:0032386)</t>
  </si>
  <si>
    <t>Wnt signaling pathway, calcium modulating pathway (GO:0007223)</t>
  </si>
  <si>
    <t>oxoacid metabolic process (GO:0043436)</t>
  </si>
  <si>
    <t>epithelial cilium movement involved in extracellular fluid movement (GO:0003351)</t>
  </si>
  <si>
    <t>regulation of developmental growth (GO:0048638)</t>
  </si>
  <si>
    <t>glucuronate metabolic process (GO:0019585)</t>
  </si>
  <si>
    <t>protein mannosylation (GO:0035268)</t>
  </si>
  <si>
    <t>regulation of dephosphorylation (GO:0035303)</t>
  </si>
  <si>
    <t>positive regulation of nervous system development (GO:0051962)</t>
  </si>
  <si>
    <t>response to light stimulus (GO:0009416)</t>
  </si>
  <si>
    <t>diacylglycerol metabolic process (GO:0046339)</t>
  </si>
  <si>
    <t>regulation of calcineurin-NFAT signaling cascade (GO:0070884)</t>
  </si>
  <si>
    <t>regulation of cytokine production involved in inflammatory response (GO:1900015)</t>
  </si>
  <si>
    <t>positive regulation of extracellular matrix organization (GO:1903055)</t>
  </si>
  <si>
    <t>negative regulation of NIK/NF-kappaB signaling (GO:1901223)</t>
  </si>
  <si>
    <t>regulation of macrophage activation (GO:0043030)</t>
  </si>
  <si>
    <t>regulation of vascular endothelial growth factor production (GO:0010574)</t>
  </si>
  <si>
    <t>regulation of cell-cell adhesion mediated by cadherin (GO:2000047)</t>
  </si>
  <si>
    <t>extrinsic apoptotic signaling pathway in absence of ligand (GO:0097192)</t>
  </si>
  <si>
    <t>cellular response to fibroblast growth factor stimulus (GO:0044344)</t>
  </si>
  <si>
    <t>lipid modification (GO:0030258)</t>
  </si>
  <si>
    <t>nucleotide biosynthetic process (GO:0009165)</t>
  </si>
  <si>
    <t>regulation of peptidase activity (GO:0052547)</t>
  </si>
  <si>
    <t>activation of phospholipase C activity (GO:0007202)</t>
  </si>
  <si>
    <t>sulfur compound transport (GO:0072348)</t>
  </si>
  <si>
    <t>potassium ion import across plasma membrane (GO:1990573)</t>
  </si>
  <si>
    <t>negative regulation of Notch signaling pathway (GO:0045746)</t>
  </si>
  <si>
    <t>negative regulation of developmental growth (GO:0048640)</t>
  </si>
  <si>
    <t>positive regulation of muscle hypertrophy (GO:0014742)</t>
  </si>
  <si>
    <t>myeloid cell development (GO:0061515)</t>
  </si>
  <si>
    <t>regulation of trans-synaptic signaling (GO:0099177)</t>
  </si>
  <si>
    <t>protein kinase B signaling (GO:0043491)</t>
  </si>
  <si>
    <t>positive regulation of biosynthetic process (GO:0009891)</t>
  </si>
  <si>
    <t>inorganic anion transmembrane transport (GO:0098661)</t>
  </si>
  <si>
    <t>negative regulation of amyloid-beta formation (GO:1902430)</t>
  </si>
  <si>
    <t>positive regulation of mRNA processing (GO:0050685)</t>
  </si>
  <si>
    <t>regulation of calcium ion import (GO:0090279)</t>
  </si>
  <si>
    <t>negative regulation of DNA metabolic process (GO:0051053)</t>
  </si>
  <si>
    <t>regulation of epidermal growth factor-activated receptor activity (GO:0007176)</t>
  </si>
  <si>
    <t>peptidyl-lysine dimethylation (GO:0018027)</t>
  </si>
  <si>
    <t>negative regulation of phosphoprotein phosphatase activity (GO:0032515)</t>
  </si>
  <si>
    <t>positive regulation of lymphocyte differentiation (GO:0045621)</t>
  </si>
  <si>
    <t>negative regulation of stress fiber assembly (GO:0051497)</t>
  </si>
  <si>
    <t>positive regulation of syncytium formation by plasma membrane fusion (GO:0060143)</t>
  </si>
  <si>
    <t>protein insertion into membrane (GO:0051205)</t>
  </si>
  <si>
    <t>organic cyclic compound biosynthetic process (GO:1901362)</t>
  </si>
  <si>
    <t>mesenchyme morphogenesis (GO:0072132)</t>
  </si>
  <si>
    <t>negative regulation of cell junction assembly (GO:1901889)</t>
  </si>
  <si>
    <t>positive regulation of ion transmembrane transporter activity (GO:0032414)</t>
  </si>
  <si>
    <t>regulation of nuclear-transcribed mRNA catabolic process, deadenylation-dependent decay (GO:1900151)</t>
  </si>
  <si>
    <t>positive regulation of nuclear-transcribed mRNA catabolic process, deadenylation-dependent decay (GO:1900153)</t>
  </si>
  <si>
    <t>striated muscle contraction (GO:0006941)</t>
  </si>
  <si>
    <t>regulation of cardiac muscle contraction by regulation of the release of sequestered calcium ion (GO:0010881)</t>
  </si>
  <si>
    <t>cellular response to osmotic stress (GO:0071470)</t>
  </si>
  <si>
    <t>positive regulation of response to stimulus (GO:0048584)</t>
  </si>
  <si>
    <t>negative regulation of release of cytochrome c from mitochondria (GO:0090201)</t>
  </si>
  <si>
    <t>folic acid metabolic process (GO:0046655)</t>
  </si>
  <si>
    <t>purine ribonucleotide transport (GO:0015868)</t>
  </si>
  <si>
    <t>response to ATP (GO:0033198)</t>
  </si>
  <si>
    <t>regulation of cardiac muscle cell contraction (GO:0086004)</t>
  </si>
  <si>
    <t>regulation of cholesterol storage (GO:0010885)</t>
  </si>
  <si>
    <t>glutathione derivative biosynthetic process (GO:1901687)</t>
  </si>
  <si>
    <t>glutathione derivative metabolic process (GO:1901685)</t>
  </si>
  <si>
    <t>negative regulation of RNA metabolic process (GO:0051253)</t>
  </si>
  <si>
    <t>embryonic heart tube morphogenesis (GO:0003143)</t>
  </si>
  <si>
    <t>regulation of mitochondrial membrane permeability (GO:0046902)</t>
  </si>
  <si>
    <t>bicellular tight junction assembly (GO:0070830)</t>
  </si>
  <si>
    <t>negative regulation of platelet activation (GO:0010544)</t>
  </si>
  <si>
    <t>positive regulation of cardiac muscle hypertrophy (GO:0010613)</t>
  </si>
  <si>
    <t>peptidyl-threonine dephosphorylation (GO:0035970)</t>
  </si>
  <si>
    <t>negative regulation of cyclin-dependent protein kinase activity (GO:1904030)</t>
  </si>
  <si>
    <t>amide transport (GO:0042886)</t>
  </si>
  <si>
    <t>amide biosynthetic process (GO:0043604)</t>
  </si>
  <si>
    <t>cholesterol biosynthetic process (GO:0006695)</t>
  </si>
  <si>
    <t>amyloid-beta metabolic process (GO:0050435)</t>
  </si>
  <si>
    <t>positive regulation of nitric oxide metabolic process (GO:1904407)</t>
  </si>
  <si>
    <t>positive regulation of DNA replication (GO:0045740)</t>
  </si>
  <si>
    <t>regulation of stem cell population maintenance (GO:2000036)</t>
  </si>
  <si>
    <t>peptidyl-tyrosine dephosphorylation (GO:0035335)</t>
  </si>
  <si>
    <t>regulation of microtubule cytoskeleton organization (GO:0070507)</t>
  </si>
  <si>
    <t>negative regulation of vascular associated smooth muscle cell proliferation (GO:1904706)</t>
  </si>
  <si>
    <t>positive regulation of cell junction assembly (GO:1901890)</t>
  </si>
  <si>
    <t>regulation of phosphatase activity (GO:0010921)</t>
  </si>
  <si>
    <t>regulation of vascular endothelial growth factor receptor signaling pathway (GO:0030947)</t>
  </si>
  <si>
    <t>regulation of oxidative phosphorylation (GO:0002082)</t>
  </si>
  <si>
    <t>purine ribonucleoside monophosphate metabolic process (GO:0009167)</t>
  </si>
  <si>
    <t>positive regulation of Rho protein signal transduction (GO:0035025)</t>
  </si>
  <si>
    <t>interleukin-6-mediated signaling pathway (GO:0070102)</t>
  </si>
  <si>
    <t>Supplementary Data 1: Mean entropy before and after batch correction for merged cohorts</t>
  </si>
  <si>
    <t>Supplementary data overview</t>
  </si>
  <si>
    <t>Supplementary Data 2: AUCs of all scores in all ICI-treated cohorts</t>
  </si>
  <si>
    <t>Supplementary Data 3: Cox-PH regression results of merged cohorts</t>
  </si>
  <si>
    <t>Supplementary Data 4: Cox-PH regression within responders and non-responders in all ICI-treated cohorts</t>
  </si>
  <si>
    <t>Supplementary Data 5: Mann-Whitney test results of all individual cohorts</t>
  </si>
  <si>
    <t>Supplementary Data 6: Log-rank test results of TCGA sub-cohorts</t>
  </si>
  <si>
    <t>Supplementary Data 7: Significant enrichment terms of gene-based TME score signatures</t>
  </si>
  <si>
    <t>Supplementary Data 8: Ranked significant enriched pathways for responders</t>
  </si>
  <si>
    <t>Supplementary Data 5: Mann-Whitney test results for all individual cohorts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</si>
</sst>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2" fillId="0" borderId="0" xfId="0" applyFont="1" applyAlignment="1">
      <alignment horizontal="center" vertical="top"/>
    </xf>
    <xf numFmtId="49" fontId="1" fillId="0" borderId="0" xfId="0" applyNumberFormat="1" applyFont="1"/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B882-982C-8B43-8BF3-8436AB811503}">
  <dimension ref="A3:A12"/>
  <sheetViews>
    <sheetView workbookViewId="0">
      <selection activeCell="C18" sqref="C18"/>
    </sheetView>
  </sheetViews>
  <sheetFormatPr baseColWidth="10" defaultRowHeight="16" x14ac:dyDescent="0.2"/>
  <sheetData>
    <row r="3" spans="1:1" x14ac:dyDescent="0.2">
      <c r="A3" s="1" t="s">
        <v>2882</v>
      </c>
    </row>
    <row r="5" spans="1:1" x14ac:dyDescent="0.2">
      <c r="A5" s="1" t="s">
        <v>2881</v>
      </c>
    </row>
    <row r="6" spans="1:1" x14ac:dyDescent="0.2">
      <c r="A6" s="1" t="s">
        <v>2883</v>
      </c>
    </row>
    <row r="7" spans="1:1" x14ac:dyDescent="0.2">
      <c r="A7" s="1" t="s">
        <v>2884</v>
      </c>
    </row>
    <row r="8" spans="1:1" x14ac:dyDescent="0.2">
      <c r="A8" s="1" t="s">
        <v>2885</v>
      </c>
    </row>
    <row r="9" spans="1:1" x14ac:dyDescent="0.2">
      <c r="A9" s="1" t="s">
        <v>2886</v>
      </c>
    </row>
    <row r="10" spans="1:1" x14ac:dyDescent="0.2">
      <c r="A10" s="1" t="s">
        <v>2887</v>
      </c>
    </row>
    <row r="11" spans="1:1" x14ac:dyDescent="0.2">
      <c r="A11" s="1" t="s">
        <v>2888</v>
      </c>
    </row>
    <row r="12" spans="1:1" x14ac:dyDescent="0.2">
      <c r="A12" s="1" t="s">
        <v>2889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B100-0F16-8247-9776-5F6980E7CDE0}">
  <dimension ref="A1:C14"/>
  <sheetViews>
    <sheetView workbookViewId="0">
      <selection activeCell="D12" sqref="D12"/>
    </sheetView>
  </sheetViews>
  <sheetFormatPr baseColWidth="10" defaultRowHeight="16" x14ac:dyDescent="0.2"/>
  <sheetData>
    <row r="1" spans="1:3" x14ac:dyDescent="0.2">
      <c r="A1" s="1" t="s">
        <v>2881</v>
      </c>
    </row>
    <row r="2" spans="1:3" x14ac:dyDescent="0.2">
      <c r="A2" t="s">
        <v>118</v>
      </c>
      <c r="B2" t="s">
        <v>149</v>
      </c>
      <c r="C2" t="s">
        <v>150</v>
      </c>
    </row>
    <row r="3" spans="1:3" x14ac:dyDescent="0.2">
      <c r="A3" t="s">
        <v>146</v>
      </c>
      <c r="B3" t="s">
        <v>154</v>
      </c>
      <c r="C3">
        <v>3.0499999999999999E-2</v>
      </c>
    </row>
    <row r="4" spans="1:3" x14ac:dyDescent="0.2">
      <c r="A4" t="s">
        <v>146</v>
      </c>
      <c r="B4" t="s">
        <v>151</v>
      </c>
      <c r="C4">
        <v>0.79710000000000003</v>
      </c>
    </row>
    <row r="5" spans="1:3" x14ac:dyDescent="0.2">
      <c r="A5" t="s">
        <v>146</v>
      </c>
      <c r="B5" t="s">
        <v>152</v>
      </c>
      <c r="C5">
        <v>0.62709999999999999</v>
      </c>
    </row>
    <row r="6" spans="1:3" x14ac:dyDescent="0.2">
      <c r="A6" t="s">
        <v>146</v>
      </c>
      <c r="B6" t="s">
        <v>153</v>
      </c>
      <c r="C6">
        <v>0.59630000000000005</v>
      </c>
    </row>
    <row r="7" spans="1:3" x14ac:dyDescent="0.2">
      <c r="A7" t="s">
        <v>147</v>
      </c>
      <c r="B7" t="s">
        <v>154</v>
      </c>
      <c r="C7">
        <v>5.1999999999999998E-2</v>
      </c>
    </row>
    <row r="8" spans="1:3" x14ac:dyDescent="0.2">
      <c r="A8" t="s">
        <v>147</v>
      </c>
      <c r="B8" t="s">
        <v>151</v>
      </c>
      <c r="C8">
        <v>1.4798</v>
      </c>
    </row>
    <row r="9" spans="1:3" x14ac:dyDescent="0.2">
      <c r="A9" t="s">
        <v>147</v>
      </c>
      <c r="B9" t="s">
        <v>152</v>
      </c>
      <c r="C9">
        <v>0.88700000000000001</v>
      </c>
    </row>
    <row r="10" spans="1:3" x14ac:dyDescent="0.2">
      <c r="A10" t="s">
        <v>147</v>
      </c>
      <c r="B10" t="s">
        <v>153</v>
      </c>
      <c r="C10">
        <v>0.17100000000000001</v>
      </c>
    </row>
    <row r="11" spans="1:3" x14ac:dyDescent="0.2">
      <c r="A11" t="s">
        <v>148</v>
      </c>
      <c r="B11" t="s">
        <v>154</v>
      </c>
      <c r="C11">
        <v>0.1434</v>
      </c>
    </row>
    <row r="12" spans="1:3" x14ac:dyDescent="0.2">
      <c r="A12" t="s">
        <v>148</v>
      </c>
      <c r="B12" t="s">
        <v>151</v>
      </c>
      <c r="C12">
        <v>1.2689999999999999</v>
      </c>
    </row>
    <row r="13" spans="1:3" x14ac:dyDescent="0.2">
      <c r="A13" t="s">
        <v>148</v>
      </c>
      <c r="B13" t="s">
        <v>152</v>
      </c>
      <c r="C13">
        <v>0.77070000000000005</v>
      </c>
    </row>
    <row r="14" spans="1:3" x14ac:dyDescent="0.2">
      <c r="A14" t="s">
        <v>148</v>
      </c>
      <c r="B14" t="s">
        <v>153</v>
      </c>
      <c r="C14">
        <v>0.60460000000000003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93C5-737F-B049-86EF-9925469AD8CC}">
  <dimension ref="A1:J22"/>
  <sheetViews>
    <sheetView workbookViewId="0">
      <selection activeCell="D21" sqref="D21"/>
    </sheetView>
  </sheetViews>
  <sheetFormatPr baseColWidth="10" defaultRowHeight="16" x14ac:dyDescent="0.2"/>
  <sheetData>
    <row r="1" spans="1:10" x14ac:dyDescent="0.2">
      <c r="A1" s="1" t="s">
        <v>2883</v>
      </c>
    </row>
    <row r="2" spans="1:10" x14ac:dyDescent="0.2">
      <c r="B2" t="s">
        <v>146</v>
      </c>
      <c r="C2" t="s">
        <v>147</v>
      </c>
      <c r="D2" t="s">
        <v>121</v>
      </c>
      <c r="E2" t="s">
        <v>125</v>
      </c>
      <c r="F2" t="s">
        <v>126</v>
      </c>
      <c r="G2" t="s">
        <v>127</v>
      </c>
      <c r="H2" t="s">
        <v>123</v>
      </c>
      <c r="I2" t="s">
        <v>124</v>
      </c>
      <c r="J2" t="s">
        <v>122</v>
      </c>
    </row>
    <row r="3" spans="1:10" x14ac:dyDescent="0.2">
      <c r="A3" t="s">
        <v>99</v>
      </c>
      <c r="B3">
        <v>0.58730566986739796</v>
      </c>
      <c r="C3">
        <v>0.65821256038647302</v>
      </c>
      <c r="D3">
        <v>0.50367647058823495</v>
      </c>
      <c r="E3">
        <v>0.54397634885439705</v>
      </c>
      <c r="F3">
        <v>0.56508954824913105</v>
      </c>
      <c r="G3">
        <v>0.65340253748558197</v>
      </c>
      <c r="H3">
        <v>0.58333333333333304</v>
      </c>
      <c r="I3">
        <v>0.62179487179487103</v>
      </c>
      <c r="J3">
        <v>0.55925592559255899</v>
      </c>
    </row>
    <row r="4" spans="1:10" x14ac:dyDescent="0.2">
      <c r="A4" t="s">
        <v>100</v>
      </c>
      <c r="B4">
        <v>0.55659331778614096</v>
      </c>
      <c r="C4">
        <v>0.67026315789473601</v>
      </c>
      <c r="D4">
        <v>0.469723183391003</v>
      </c>
      <c r="E4">
        <v>0.52486772486772404</v>
      </c>
      <c r="F4">
        <v>0.60864805692391899</v>
      </c>
      <c r="G4">
        <v>0.56089743589743501</v>
      </c>
      <c r="H4">
        <v>0.57298850574712601</v>
      </c>
      <c r="I4">
        <v>0.57299843014128704</v>
      </c>
      <c r="J4">
        <v>0.55243612596553704</v>
      </c>
    </row>
    <row r="5" spans="1:10" x14ac:dyDescent="0.2">
      <c r="A5" t="s">
        <v>374</v>
      </c>
      <c r="B5">
        <v>0.57723982437403498</v>
      </c>
      <c r="C5">
        <v>0.60709914320685399</v>
      </c>
      <c r="D5">
        <v>0.47953779489648501</v>
      </c>
      <c r="E5">
        <v>0.51969696969696899</v>
      </c>
      <c r="F5">
        <v>0.58046398046397996</v>
      </c>
      <c r="G5">
        <v>0.61593406593406597</v>
      </c>
      <c r="H5">
        <v>0.59568965517241301</v>
      </c>
      <c r="I5">
        <v>0.67013888888888895</v>
      </c>
      <c r="J5">
        <v>0.54745689030575195</v>
      </c>
    </row>
    <row r="6" spans="1:10" x14ac:dyDescent="0.2">
      <c r="A6" t="s">
        <v>101</v>
      </c>
      <c r="B6">
        <v>0.556343984962406</v>
      </c>
      <c r="C6">
        <v>0.61959777492511703</v>
      </c>
      <c r="D6">
        <v>0.430093776641091</v>
      </c>
      <c r="E6">
        <v>0.48235294117646998</v>
      </c>
      <c r="F6">
        <v>0.53260073260073204</v>
      </c>
      <c r="G6">
        <v>0.62767094017094005</v>
      </c>
      <c r="H6">
        <v>0.55229885057471195</v>
      </c>
      <c r="I6">
        <v>0.48351648351648302</v>
      </c>
      <c r="J6">
        <v>0.55482581382067397</v>
      </c>
    </row>
    <row r="7" spans="1:10" x14ac:dyDescent="0.2">
      <c r="A7" t="s">
        <v>102</v>
      </c>
      <c r="B7">
        <v>0.57826770165053898</v>
      </c>
      <c r="C7">
        <v>0.60871518418688197</v>
      </c>
      <c r="D7">
        <v>0.48131313131313103</v>
      </c>
      <c r="E7">
        <v>0.55608974358974295</v>
      </c>
      <c r="F7">
        <v>0.58313253012048105</v>
      </c>
      <c r="G7">
        <v>0.63064935064935002</v>
      </c>
      <c r="H7">
        <v>0.56551724137931003</v>
      </c>
      <c r="I7">
        <v>0.64521193092621598</v>
      </c>
      <c r="J7">
        <v>0.55586146935226699</v>
      </c>
    </row>
    <row r="8" spans="1:10" x14ac:dyDescent="0.2">
      <c r="A8" t="s">
        <v>49</v>
      </c>
      <c r="B8">
        <v>0.58133890649228004</v>
      </c>
      <c r="C8">
        <v>0.63710526315789395</v>
      </c>
      <c r="D8">
        <v>0.51778656126482203</v>
      </c>
      <c r="E8">
        <v>0.55164992826398795</v>
      </c>
      <c r="F8">
        <v>0.59777777777777696</v>
      </c>
      <c r="G8">
        <v>0.62222222222222201</v>
      </c>
      <c r="H8">
        <v>0.61666666666666603</v>
      </c>
      <c r="I8">
        <v>0.68288854003139698</v>
      </c>
      <c r="J8">
        <v>0.52050427474279004</v>
      </c>
    </row>
    <row r="9" spans="1:10" x14ac:dyDescent="0.2">
      <c r="A9" t="s">
        <v>103</v>
      </c>
      <c r="B9">
        <v>0.52193322981366397</v>
      </c>
      <c r="C9">
        <v>0.59736842105263099</v>
      </c>
      <c r="D9">
        <v>0.49307958477508601</v>
      </c>
      <c r="E9">
        <v>0.48115299334811501</v>
      </c>
      <c r="F9">
        <v>0.53135802469135796</v>
      </c>
      <c r="G9">
        <v>0.52885154061624595</v>
      </c>
      <c r="H9">
        <v>0.53017241379310298</v>
      </c>
      <c r="I9">
        <v>0.51334379905808403</v>
      </c>
      <c r="J9">
        <v>0.47375565610859699</v>
      </c>
    </row>
    <row r="10" spans="1:10" x14ac:dyDescent="0.2">
      <c r="A10" t="s">
        <v>75</v>
      </c>
      <c r="B10">
        <v>0.60725792175606297</v>
      </c>
      <c r="C10">
        <v>0.63488957226726295</v>
      </c>
      <c r="D10">
        <v>0.66078697421981003</v>
      </c>
      <c r="E10">
        <v>0.57132352941176401</v>
      </c>
      <c r="F10">
        <v>0.63081395348837199</v>
      </c>
      <c r="G10">
        <v>0.556876061120543</v>
      </c>
      <c r="H10">
        <v>0.582758620689655</v>
      </c>
      <c r="I10">
        <v>0.61458333333333304</v>
      </c>
      <c r="J10">
        <v>0.53892733564013795</v>
      </c>
    </row>
    <row r="11" spans="1:10" x14ac:dyDescent="0.2">
      <c r="A11" t="s">
        <v>104</v>
      </c>
      <c r="B11">
        <v>0.54760860766324804</v>
      </c>
      <c r="C11">
        <v>0.60911564625850301</v>
      </c>
      <c r="D11">
        <v>0.52985739750445604</v>
      </c>
      <c r="E11">
        <v>0.47532894736842102</v>
      </c>
      <c r="F11">
        <v>0.48251028806584301</v>
      </c>
      <c r="G11">
        <v>0.59396114864864802</v>
      </c>
      <c r="H11">
        <v>0.47011494252873498</v>
      </c>
      <c r="I11">
        <v>0.51255886970172604</v>
      </c>
      <c r="J11">
        <v>0.49054233781587098</v>
      </c>
    </row>
    <row r="12" spans="1:10" x14ac:dyDescent="0.2">
      <c r="A12" t="s">
        <v>373</v>
      </c>
      <c r="B12">
        <v>0.50717354106089396</v>
      </c>
      <c r="C12">
        <v>0.54432432432432398</v>
      </c>
      <c r="D12">
        <v>0.53004201680672203</v>
      </c>
      <c r="E12">
        <v>0.66216216216216195</v>
      </c>
      <c r="F12">
        <v>0.62661498708010299</v>
      </c>
      <c r="G12">
        <v>0.51615925058547996</v>
      </c>
      <c r="H12">
        <v>0.52212643678160897</v>
      </c>
      <c r="I12">
        <v>0.57692307692307598</v>
      </c>
      <c r="J12">
        <v>0.51849155503785604</v>
      </c>
    </row>
    <row r="13" spans="1:10" x14ac:dyDescent="0.2">
      <c r="A13" t="s">
        <v>9</v>
      </c>
      <c r="B13">
        <v>0.57042604730692503</v>
      </c>
      <c r="C13">
        <v>0.62432432432432405</v>
      </c>
      <c r="D13">
        <v>0.52773109243697403</v>
      </c>
      <c r="E13">
        <v>0.57819225251076001</v>
      </c>
      <c r="F13">
        <v>0.57203495630461898</v>
      </c>
      <c r="G13">
        <v>0.52681252681252599</v>
      </c>
      <c r="H13">
        <v>0.75287356321839005</v>
      </c>
      <c r="I13">
        <v>0.60439560439560402</v>
      </c>
      <c r="J13">
        <v>0.46068427370948301</v>
      </c>
    </row>
    <row r="14" spans="1:10" x14ac:dyDescent="0.2">
      <c r="A14" t="s">
        <v>105</v>
      </c>
      <c r="B14">
        <v>0.51250722961249195</v>
      </c>
      <c r="C14">
        <v>0.55763157894736803</v>
      </c>
      <c r="D14">
        <v>0.42993079584775001</v>
      </c>
      <c r="E14">
        <v>0.48455882352941099</v>
      </c>
      <c r="F14">
        <v>0.51136059877038198</v>
      </c>
      <c r="G14">
        <v>0.53007518796992403</v>
      </c>
      <c r="H14">
        <v>0.56839080459770097</v>
      </c>
      <c r="I14">
        <v>0.54664484451718398</v>
      </c>
      <c r="J14">
        <v>0.44774414620217001</v>
      </c>
    </row>
    <row r="15" spans="1:10" x14ac:dyDescent="0.2">
      <c r="A15" t="s">
        <v>106</v>
      </c>
      <c r="B15">
        <v>0.50227256243502605</v>
      </c>
      <c r="C15">
        <v>0.50832438238453204</v>
      </c>
      <c r="D15">
        <v>0.53445378151260503</v>
      </c>
      <c r="E15">
        <v>0.54619364375461898</v>
      </c>
      <c r="F15">
        <v>0.55658914728682096</v>
      </c>
      <c r="G15">
        <v>0.606536502546689</v>
      </c>
      <c r="H15">
        <v>0.58390804597701096</v>
      </c>
      <c r="I15">
        <v>0.58493589743589702</v>
      </c>
      <c r="J15">
        <v>0.48800117061749998</v>
      </c>
    </row>
    <row r="16" spans="1:10" x14ac:dyDescent="0.2">
      <c r="A16" t="s">
        <v>107</v>
      </c>
      <c r="B16">
        <v>0.54916930759627303</v>
      </c>
      <c r="C16">
        <v>0.62612612612612595</v>
      </c>
      <c r="D16">
        <v>0.51766304347825998</v>
      </c>
      <c r="E16">
        <v>0.54545454545454497</v>
      </c>
      <c r="F16">
        <v>0.60384923817161096</v>
      </c>
      <c r="G16">
        <v>0.646098003629764</v>
      </c>
      <c r="H16">
        <v>0.55402298850574705</v>
      </c>
      <c r="I16">
        <v>0.56671899529042302</v>
      </c>
      <c r="J16">
        <v>0.52250225022502195</v>
      </c>
    </row>
    <row r="17" spans="1:10" x14ac:dyDescent="0.2">
      <c r="A17" t="s">
        <v>108</v>
      </c>
      <c r="B17">
        <v>0.589464650213397</v>
      </c>
      <c r="C17">
        <v>0.64533333333333298</v>
      </c>
      <c r="D17">
        <v>0.57394957983193196</v>
      </c>
      <c r="E17">
        <v>0.59117647058823497</v>
      </c>
      <c r="F17">
        <v>0.60202020202020201</v>
      </c>
      <c r="G17">
        <v>0.60515222482435505</v>
      </c>
      <c r="H17">
        <v>0.63275862068965505</v>
      </c>
      <c r="I17">
        <v>0.66346153846153799</v>
      </c>
      <c r="J17">
        <v>0.44831524842946802</v>
      </c>
    </row>
    <row r="18" spans="1:10" x14ac:dyDescent="0.2">
      <c r="A18" t="s">
        <v>109</v>
      </c>
      <c r="B18">
        <v>0.58780574264445196</v>
      </c>
      <c r="C18">
        <v>0.60307298335467296</v>
      </c>
      <c r="D18">
        <v>0.43126550868486302</v>
      </c>
      <c r="E18">
        <v>0.57234432234432198</v>
      </c>
      <c r="F18">
        <v>0.53437149270482598</v>
      </c>
      <c r="G18">
        <v>0.56925996204933504</v>
      </c>
      <c r="H18">
        <v>0.61206896551724099</v>
      </c>
      <c r="I18">
        <v>0.59866220735785902</v>
      </c>
      <c r="J18">
        <v>0.61093660765276903</v>
      </c>
    </row>
    <row r="19" spans="1:10" x14ac:dyDescent="0.2">
      <c r="A19" t="s">
        <v>110</v>
      </c>
      <c r="B19">
        <v>0.46113665174957602</v>
      </c>
      <c r="C19">
        <v>0.48929765886287602</v>
      </c>
      <c r="D19">
        <v>0.62434963579604497</v>
      </c>
      <c r="E19">
        <v>0.60329985652797702</v>
      </c>
      <c r="F19">
        <v>0.47570850202429099</v>
      </c>
      <c r="G19">
        <v>0.49616858237547801</v>
      </c>
      <c r="H19">
        <v>0.41321839080459699</v>
      </c>
      <c r="I19">
        <v>0.48643410852713098</v>
      </c>
      <c r="J19">
        <v>0.51412872841444202</v>
      </c>
    </row>
    <row r="21" spans="1:10" x14ac:dyDescent="0.2">
      <c r="A21" t="s">
        <v>371</v>
      </c>
      <c r="B21">
        <v>0.55257911158734174</v>
      </c>
      <c r="C21">
        <v>0.60240008441140647</v>
      </c>
      <c r="D21">
        <v>0.5138376664111336</v>
      </c>
      <c r="E21">
        <v>0.54646007079115422</v>
      </c>
      <c r="F21">
        <v>0.56440847157320284</v>
      </c>
      <c r="G21">
        <v>0.58157220844344604</v>
      </c>
      <c r="H21">
        <v>0.57111223799864719</v>
      </c>
      <c r="I21">
        <v>0.58501243648829415</v>
      </c>
      <c r="J21">
        <v>0.51790410644899387</v>
      </c>
    </row>
    <row r="22" spans="1:10" x14ac:dyDescent="0.2">
      <c r="A22" t="s">
        <v>372</v>
      </c>
      <c r="B22">
        <f>VAR(B3:B19)</f>
        <v>1.5485339207951989E-3</v>
      </c>
      <c r="C22">
        <f t="shared" ref="C22:J22" si="0">VAR(C3:C19)</f>
        <v>2.5197067156267129E-3</v>
      </c>
      <c r="D22">
        <f t="shared" si="0"/>
        <v>4.0108783356940791E-3</v>
      </c>
      <c r="E22">
        <f t="shared" si="0"/>
        <v>2.4679973571863001E-3</v>
      </c>
      <c r="F22">
        <f t="shared" si="0"/>
        <v>2.215231463295957E-3</v>
      </c>
      <c r="G22">
        <f t="shared" si="0"/>
        <v>2.4508949763893889E-3</v>
      </c>
      <c r="H22">
        <f t="shared" si="0"/>
        <v>5.0961066278475964E-3</v>
      </c>
      <c r="I22">
        <f t="shared" si="0"/>
        <v>3.8634640248873531E-3</v>
      </c>
      <c r="J22">
        <f t="shared" si="0"/>
        <v>2.0218984444237485E-3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A41D-9AF8-D040-905E-D0D6E4037DB5}">
  <dimension ref="A1:T308"/>
  <sheetViews>
    <sheetView workbookViewId="0">
      <selection activeCell="E7" sqref="E7"/>
    </sheetView>
  </sheetViews>
  <sheetFormatPr baseColWidth="10" defaultRowHeight="16" x14ac:dyDescent="0.2"/>
  <cols>
    <col min="18" max="18" width="17.6640625" customWidth="1"/>
  </cols>
  <sheetData>
    <row r="1" spans="1:20" x14ac:dyDescent="0.2">
      <c r="A1" s="1" t="s">
        <v>2884</v>
      </c>
      <c r="B1" s="1"/>
      <c r="S1" s="1" t="s">
        <v>370</v>
      </c>
    </row>
    <row r="2" spans="1:20" x14ac:dyDescent="0.2">
      <c r="A2" s="4" t="s">
        <v>118</v>
      </c>
      <c r="B2" s="3" t="s">
        <v>6</v>
      </c>
      <c r="C2" s="3" t="s">
        <v>128</v>
      </c>
      <c r="D2" s="3" t="s">
        <v>93</v>
      </c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3" t="s">
        <v>136</v>
      </c>
      <c r="M2" s="3" t="s">
        <v>137</v>
      </c>
      <c r="N2" s="3" t="s">
        <v>6</v>
      </c>
      <c r="O2" s="3" t="s">
        <v>138</v>
      </c>
      <c r="P2" s="3" t="s">
        <v>139</v>
      </c>
      <c r="S2" s="5" t="s">
        <v>141</v>
      </c>
      <c r="T2" s="5" t="s">
        <v>145</v>
      </c>
    </row>
    <row r="3" spans="1:20" x14ac:dyDescent="0.2">
      <c r="A3" s="7" t="s">
        <v>146</v>
      </c>
      <c r="B3" s="8" t="s">
        <v>99</v>
      </c>
      <c r="C3" s="3" t="s">
        <v>140</v>
      </c>
      <c r="D3">
        <v>0.37367228804478919</v>
      </c>
      <c r="E3">
        <v>1.453060886998182</v>
      </c>
      <c r="F3">
        <v>0.23170044272635959</v>
      </c>
      <c r="G3">
        <v>-7.4410255399252612E-3</v>
      </c>
      <c r="H3">
        <v>0.75478560162950359</v>
      </c>
      <c r="I3">
        <v>0.99258659035131414</v>
      </c>
      <c r="J3">
        <v>2.1271554158077461</v>
      </c>
      <c r="K3">
        <v>1.6127387744619011</v>
      </c>
      <c r="L3">
        <v>0.1068012727348271</v>
      </c>
      <c r="M3">
        <v>3.2269992553779749</v>
      </c>
      <c r="N3" t="s">
        <v>99</v>
      </c>
      <c r="P3" t="s">
        <v>141</v>
      </c>
      <c r="R3" s="1" t="s">
        <v>146</v>
      </c>
      <c r="S3">
        <v>0.56665657059585062</v>
      </c>
      <c r="T3">
        <v>0.53936961981300924</v>
      </c>
    </row>
    <row r="4" spans="1:20" x14ac:dyDescent="0.2">
      <c r="A4" s="7"/>
      <c r="B4" s="8"/>
      <c r="C4" s="3" t="s">
        <v>88</v>
      </c>
      <c r="D4">
        <v>-0.28754170742494772</v>
      </c>
      <c r="E4">
        <v>0.75010528115884834</v>
      </c>
      <c r="F4">
        <v>0.28687928739961999</v>
      </c>
      <c r="G4">
        <v>-0.75941614380146638</v>
      </c>
      <c r="H4">
        <v>0.18433272895157099</v>
      </c>
      <c r="I4">
        <v>0.46793955667863119</v>
      </c>
      <c r="J4">
        <v>1.2024158351049901</v>
      </c>
      <c r="K4">
        <v>-1.0023090549036571</v>
      </c>
      <c r="L4">
        <v>0.31619435060945222</v>
      </c>
      <c r="M4">
        <v>1.6611165033471109</v>
      </c>
      <c r="N4" t="s">
        <v>99</v>
      </c>
      <c r="P4" t="s">
        <v>141</v>
      </c>
      <c r="R4" s="1" t="s">
        <v>147</v>
      </c>
      <c r="S4">
        <v>0.64823845716894901</v>
      </c>
      <c r="T4">
        <v>0.55290385206506787</v>
      </c>
    </row>
    <row r="5" spans="1:20" x14ac:dyDescent="0.2">
      <c r="A5" s="7"/>
      <c r="B5" s="8"/>
      <c r="C5" s="3" t="s">
        <v>99</v>
      </c>
      <c r="D5">
        <v>-0.67998454283716747</v>
      </c>
      <c r="E5">
        <v>0.50662482328745606</v>
      </c>
      <c r="F5">
        <v>0.32828652773638139</v>
      </c>
      <c r="G5">
        <v>-1.219967828663659</v>
      </c>
      <c r="H5">
        <v>-0.14000125701067559</v>
      </c>
      <c r="I5">
        <v>0.29523966502579468</v>
      </c>
      <c r="J5">
        <v>0.86935714260690988</v>
      </c>
      <c r="K5">
        <v>-2.0713141886322068</v>
      </c>
      <c r="L5">
        <v>3.8329444183339029E-2</v>
      </c>
      <c r="M5">
        <v>4.7054031120577493</v>
      </c>
      <c r="N5" t="s">
        <v>99</v>
      </c>
      <c r="O5">
        <v>0.57161023870079564</v>
      </c>
      <c r="P5" t="s">
        <v>141</v>
      </c>
      <c r="R5" s="1" t="s">
        <v>148</v>
      </c>
      <c r="S5">
        <v>0.70001575418818618</v>
      </c>
      <c r="T5">
        <v>0.54567815213758508</v>
      </c>
    </row>
    <row r="6" spans="1:20" x14ac:dyDescent="0.2">
      <c r="A6" s="7"/>
      <c r="B6" s="8"/>
      <c r="C6" s="3" t="s">
        <v>142</v>
      </c>
      <c r="D6">
        <v>-1.4283070221767511E-3</v>
      </c>
      <c r="E6">
        <v>0.99857271252283253</v>
      </c>
      <c r="F6">
        <v>5.1805777873133946E-3</v>
      </c>
      <c r="G6">
        <v>-9.9495991853434194E-3</v>
      </c>
      <c r="H6">
        <v>7.092985140989919E-3</v>
      </c>
      <c r="I6">
        <v>0.99009973432484388</v>
      </c>
      <c r="J6">
        <v>1.0071181999409069</v>
      </c>
      <c r="K6">
        <v>-0.2757041937821107</v>
      </c>
      <c r="L6">
        <v>0.78277527426209625</v>
      </c>
      <c r="M6">
        <v>0.35332990900802619</v>
      </c>
      <c r="N6" t="s">
        <v>99</v>
      </c>
      <c r="P6" t="s">
        <v>141</v>
      </c>
    </row>
    <row r="7" spans="1:20" x14ac:dyDescent="0.2">
      <c r="A7" s="7"/>
      <c r="B7" s="8"/>
      <c r="C7" s="3" t="s">
        <v>143</v>
      </c>
      <c r="D7">
        <v>4.5175853773744883E-2</v>
      </c>
      <c r="E7">
        <v>1.046211824030242</v>
      </c>
      <c r="F7">
        <v>0.1299097294939015</v>
      </c>
      <c r="G7">
        <v>-0.1685066359605836</v>
      </c>
      <c r="H7">
        <v>0.25885834350807341</v>
      </c>
      <c r="I7">
        <v>0.84492565650698015</v>
      </c>
      <c r="J7">
        <v>1.2954502828872789</v>
      </c>
      <c r="K7">
        <v>0.3477480397329718</v>
      </c>
      <c r="L7">
        <v>0.72802941513617703</v>
      </c>
      <c r="M7">
        <v>0.45793135296096049</v>
      </c>
      <c r="N7" t="s">
        <v>99</v>
      </c>
      <c r="P7" t="s">
        <v>141</v>
      </c>
    </row>
    <row r="8" spans="1:20" x14ac:dyDescent="0.2">
      <c r="A8" s="7"/>
      <c r="B8" s="8"/>
      <c r="C8" s="3" t="s">
        <v>144</v>
      </c>
      <c r="D8">
        <v>-0.35165511819295697</v>
      </c>
      <c r="E8">
        <v>0.70352271232576002</v>
      </c>
      <c r="F8">
        <v>0.28377842432922362</v>
      </c>
      <c r="G8">
        <v>-0.81842908870145425</v>
      </c>
      <c r="H8">
        <v>0.1151188523155403</v>
      </c>
      <c r="I8">
        <v>0.44112407729329528</v>
      </c>
      <c r="J8">
        <v>1.122006782751771</v>
      </c>
      <c r="K8">
        <v>-1.239189057533798</v>
      </c>
      <c r="L8">
        <v>0.21527549196491191</v>
      </c>
      <c r="M8">
        <v>2.2157440096286209</v>
      </c>
      <c r="N8" t="s">
        <v>99</v>
      </c>
      <c r="P8" t="s">
        <v>141</v>
      </c>
    </row>
    <row r="9" spans="1:20" x14ac:dyDescent="0.2">
      <c r="A9" s="7"/>
      <c r="B9" s="8" t="s">
        <v>100</v>
      </c>
      <c r="C9" s="3" t="s">
        <v>140</v>
      </c>
      <c r="D9">
        <v>0.38590480780417402</v>
      </c>
      <c r="E9">
        <v>1.470944641699627</v>
      </c>
      <c r="F9">
        <v>0.23342647866905661</v>
      </c>
      <c r="G9">
        <v>1.952417738865786E-3</v>
      </c>
      <c r="H9">
        <v>0.76985719786948226</v>
      </c>
      <c r="I9">
        <v>1.0019543249474001</v>
      </c>
      <c r="J9">
        <v>2.159457856582867</v>
      </c>
      <c r="K9">
        <v>1.6532177926193861</v>
      </c>
      <c r="L9">
        <v>9.8286546607744496E-2</v>
      </c>
      <c r="M9">
        <v>3.3468622347611001</v>
      </c>
      <c r="N9" t="s">
        <v>100</v>
      </c>
      <c r="P9" t="s">
        <v>141</v>
      </c>
    </row>
    <row r="10" spans="1:20" x14ac:dyDescent="0.2">
      <c r="A10" s="7"/>
      <c r="B10" s="8"/>
      <c r="C10" s="3" t="s">
        <v>88</v>
      </c>
      <c r="D10">
        <v>-0.26156067237842978</v>
      </c>
      <c r="E10">
        <v>0.76984916542745341</v>
      </c>
      <c r="F10">
        <v>0.29042564642112739</v>
      </c>
      <c r="G10">
        <v>-0.73926835025394699</v>
      </c>
      <c r="H10">
        <v>0.2161470054970874</v>
      </c>
      <c r="I10">
        <v>0.47746312352956122</v>
      </c>
      <c r="J10">
        <v>1.2412848412839841</v>
      </c>
      <c r="K10">
        <v>-0.90061148387411216</v>
      </c>
      <c r="L10">
        <v>0.36779492656180951</v>
      </c>
      <c r="M10">
        <v>1.4430265158297371</v>
      </c>
      <c r="N10" t="s">
        <v>100</v>
      </c>
      <c r="P10" t="s">
        <v>141</v>
      </c>
    </row>
    <row r="11" spans="1:20" x14ac:dyDescent="0.2">
      <c r="A11" s="7"/>
      <c r="B11" s="8"/>
      <c r="C11" s="3" t="s">
        <v>100</v>
      </c>
      <c r="D11">
        <v>-0.33848801290575309</v>
      </c>
      <c r="E11">
        <v>0.71284732430573339</v>
      </c>
      <c r="F11">
        <v>0.28547195435686978</v>
      </c>
      <c r="G11">
        <v>-0.8080475924225754</v>
      </c>
      <c r="H11">
        <v>0.1310715666110692</v>
      </c>
      <c r="I11">
        <v>0.44572745891057941</v>
      </c>
      <c r="J11">
        <v>1.140049367862229</v>
      </c>
      <c r="K11">
        <v>-1.185713719823446</v>
      </c>
      <c r="L11">
        <v>0.23573537453039911</v>
      </c>
      <c r="M11">
        <v>2.084759828746249</v>
      </c>
      <c r="N11" t="s">
        <v>100</v>
      </c>
      <c r="O11">
        <v>0.55841487744632334</v>
      </c>
      <c r="P11" t="s">
        <v>141</v>
      </c>
    </row>
    <row r="12" spans="1:20" x14ac:dyDescent="0.2">
      <c r="A12" s="7"/>
      <c r="B12" s="8"/>
      <c r="C12" s="3" t="s">
        <v>142</v>
      </c>
      <c r="D12">
        <v>-1.6603269320117631E-3</v>
      </c>
      <c r="E12">
        <v>0.9983410506482322</v>
      </c>
      <c r="F12">
        <v>5.147537388264606E-3</v>
      </c>
      <c r="G12">
        <v>-1.012727247496711E-2</v>
      </c>
      <c r="H12">
        <v>6.8066186109435808E-3</v>
      </c>
      <c r="I12">
        <v>0.98992383567469955</v>
      </c>
      <c r="J12">
        <v>1.0068298362874639</v>
      </c>
      <c r="K12">
        <v>-0.32254781398907162</v>
      </c>
      <c r="L12">
        <v>0.74703772120916523</v>
      </c>
      <c r="M12">
        <v>0.42074700203694809</v>
      </c>
      <c r="N12" t="s">
        <v>100</v>
      </c>
      <c r="P12" t="s">
        <v>141</v>
      </c>
    </row>
    <row r="13" spans="1:20" x14ac:dyDescent="0.2">
      <c r="A13" s="7"/>
      <c r="B13" s="8"/>
      <c r="C13" s="3" t="s">
        <v>143</v>
      </c>
      <c r="D13">
        <v>5.1713792036999613E-2</v>
      </c>
      <c r="E13">
        <v>1.053074301127346</v>
      </c>
      <c r="F13">
        <v>0.1304946403086695</v>
      </c>
      <c r="G13">
        <v>-0.16293079037244321</v>
      </c>
      <c r="H13">
        <v>0.26635837444644239</v>
      </c>
      <c r="I13">
        <v>0.84964999033912214</v>
      </c>
      <c r="J13">
        <v>1.3052027261863739</v>
      </c>
      <c r="K13">
        <v>0.39629054430646959</v>
      </c>
      <c r="L13">
        <v>0.69189070201482505</v>
      </c>
      <c r="M13">
        <v>0.53138394158487179</v>
      </c>
      <c r="N13" t="s">
        <v>100</v>
      </c>
      <c r="P13" t="s">
        <v>141</v>
      </c>
    </row>
    <row r="14" spans="1:20" x14ac:dyDescent="0.2">
      <c r="A14" s="7"/>
      <c r="B14" s="8"/>
      <c r="C14" s="3" t="s">
        <v>144</v>
      </c>
      <c r="D14">
        <v>-0.36412918132040401</v>
      </c>
      <c r="E14">
        <v>0.69480143357869428</v>
      </c>
      <c r="F14">
        <v>0.28508829068458402</v>
      </c>
      <c r="G14">
        <v>-0.8330576902543374</v>
      </c>
      <c r="H14">
        <v>0.10479932761352941</v>
      </c>
      <c r="I14">
        <v>0.43471801900710622</v>
      </c>
      <c r="J14">
        <v>1.11048774376918</v>
      </c>
      <c r="K14">
        <v>-1.277250568397666</v>
      </c>
      <c r="L14">
        <v>0.20151379914880291</v>
      </c>
      <c r="M14">
        <v>2.3110494606904091</v>
      </c>
      <c r="N14" t="s">
        <v>100</v>
      </c>
      <c r="P14" t="s">
        <v>141</v>
      </c>
    </row>
    <row r="15" spans="1:20" x14ac:dyDescent="0.2">
      <c r="A15" s="7"/>
      <c r="B15" s="8" t="s">
        <v>374</v>
      </c>
      <c r="C15" s="3" t="s">
        <v>140</v>
      </c>
      <c r="D15">
        <v>0.32496934245623038</v>
      </c>
      <c r="E15">
        <v>1.3839882156510519</v>
      </c>
      <c r="F15">
        <v>0.23378307793757919</v>
      </c>
      <c r="G15">
        <v>-5.9569601209275458E-2</v>
      </c>
      <c r="H15">
        <v>0.70950828612173622</v>
      </c>
      <c r="I15">
        <v>0.94216995514086599</v>
      </c>
      <c r="J15">
        <v>2.0329913627680929</v>
      </c>
      <c r="K15">
        <v>1.390046470955431</v>
      </c>
      <c r="L15">
        <v>0.16451476636637119</v>
      </c>
      <c r="M15">
        <v>2.6037110130092578</v>
      </c>
      <c r="N15" t="s">
        <v>374</v>
      </c>
      <c r="P15" t="s">
        <v>141</v>
      </c>
    </row>
    <row r="16" spans="1:20" x14ac:dyDescent="0.2">
      <c r="A16" s="7"/>
      <c r="B16" s="8"/>
      <c r="C16" s="3" t="s">
        <v>88</v>
      </c>
      <c r="D16">
        <v>-0.2590438638556144</v>
      </c>
      <c r="E16">
        <v>0.77178916865255831</v>
      </c>
      <c r="F16">
        <v>0.28878150593975838</v>
      </c>
      <c r="G16">
        <v>-0.73404717129713415</v>
      </c>
      <c r="H16">
        <v>0.2159594435859053</v>
      </c>
      <c r="I16">
        <v>0.47996256327585218</v>
      </c>
      <c r="J16">
        <v>1.2410520453593381</v>
      </c>
      <c r="K16">
        <v>-0.89702373083978759</v>
      </c>
      <c r="L16">
        <v>0.36970625421980058</v>
      </c>
      <c r="M16">
        <v>1.4355486454775119</v>
      </c>
      <c r="N16" t="s">
        <v>374</v>
      </c>
      <c r="P16" t="s">
        <v>141</v>
      </c>
    </row>
    <row r="17" spans="1:16" x14ac:dyDescent="0.2">
      <c r="A17" s="7"/>
      <c r="B17" s="8"/>
      <c r="C17" s="3" t="s">
        <v>374</v>
      </c>
      <c r="D17">
        <v>-0.50624263417624427</v>
      </c>
      <c r="E17">
        <v>0.60275610452897765</v>
      </c>
      <c r="F17">
        <v>0.32515310540929199</v>
      </c>
      <c r="G17">
        <v>-1.041071898923253</v>
      </c>
      <c r="H17">
        <v>2.8586630570764049E-2</v>
      </c>
      <c r="I17">
        <v>0.35307601724717452</v>
      </c>
      <c r="J17">
        <v>1.0289991497570501</v>
      </c>
      <c r="K17">
        <v>-1.5569361810000331</v>
      </c>
      <c r="L17">
        <v>0.1194856382038062</v>
      </c>
      <c r="M17">
        <v>3.065090873646342</v>
      </c>
      <c r="N17" t="s">
        <v>374</v>
      </c>
      <c r="O17">
        <v>0.56388679153372145</v>
      </c>
      <c r="P17" t="s">
        <v>141</v>
      </c>
    </row>
    <row r="18" spans="1:16" x14ac:dyDescent="0.2">
      <c r="A18" s="7"/>
      <c r="B18" s="8"/>
      <c r="C18" s="3" t="s">
        <v>142</v>
      </c>
      <c r="D18">
        <v>-2.0288933522880541E-3</v>
      </c>
      <c r="E18">
        <v>0.9979731634605763</v>
      </c>
      <c r="F18">
        <v>5.2390855729531607E-3</v>
      </c>
      <c r="G18">
        <v>-1.0646422258869191E-2</v>
      </c>
      <c r="H18">
        <v>6.5886355542930843E-3</v>
      </c>
      <c r="I18">
        <v>0.9894100503066503</v>
      </c>
      <c r="J18">
        <v>1.0066103883610571</v>
      </c>
      <c r="K18">
        <v>-0.38726096835719548</v>
      </c>
      <c r="L18">
        <v>0.69856301821510214</v>
      </c>
      <c r="M18">
        <v>0.51753782611666688</v>
      </c>
      <c r="N18" t="s">
        <v>374</v>
      </c>
      <c r="P18" t="s">
        <v>141</v>
      </c>
    </row>
    <row r="19" spans="1:16" x14ac:dyDescent="0.2">
      <c r="A19" s="7"/>
      <c r="B19" s="8"/>
      <c r="C19" s="3" t="s">
        <v>143</v>
      </c>
      <c r="D19">
        <v>1.490056257998764E-2</v>
      </c>
      <c r="E19">
        <v>1.0150121294100041</v>
      </c>
      <c r="F19">
        <v>0.13224845129477261</v>
      </c>
      <c r="G19">
        <v>-0.20262878219093419</v>
      </c>
      <c r="H19">
        <v>0.23242990735090949</v>
      </c>
      <c r="I19">
        <v>0.81658131469559714</v>
      </c>
      <c r="J19">
        <v>1.261662010027115</v>
      </c>
      <c r="K19">
        <v>0.11267097976652531</v>
      </c>
      <c r="L19">
        <v>0.91029140950243215</v>
      </c>
      <c r="M19">
        <v>0.13559962897867389</v>
      </c>
      <c r="N19" t="s">
        <v>374</v>
      </c>
      <c r="P19" t="s">
        <v>141</v>
      </c>
    </row>
    <row r="20" spans="1:16" x14ac:dyDescent="0.2">
      <c r="A20" s="7"/>
      <c r="B20" s="8"/>
      <c r="C20" s="3" t="s">
        <v>144</v>
      </c>
      <c r="D20">
        <v>-0.35938557099327501</v>
      </c>
      <c r="E20">
        <v>0.69810513036448218</v>
      </c>
      <c r="F20">
        <v>0.28446088177490941</v>
      </c>
      <c r="G20">
        <v>-0.82728208410654869</v>
      </c>
      <c r="H20">
        <v>0.10851094211999859</v>
      </c>
      <c r="I20">
        <v>0.4372360436298775</v>
      </c>
      <c r="J20">
        <v>1.1146171047457281</v>
      </c>
      <c r="K20">
        <v>-1.2633918897771419</v>
      </c>
      <c r="L20">
        <v>0.2064483773465956</v>
      </c>
      <c r="M20">
        <v>2.276147015696206</v>
      </c>
      <c r="N20" t="s">
        <v>374</v>
      </c>
      <c r="P20" t="s">
        <v>141</v>
      </c>
    </row>
    <row r="21" spans="1:16" x14ac:dyDescent="0.2">
      <c r="A21" s="7"/>
      <c r="B21" s="8" t="s">
        <v>101</v>
      </c>
      <c r="C21" s="3" t="s">
        <v>140</v>
      </c>
      <c r="D21">
        <v>0.46644352082432072</v>
      </c>
      <c r="E21">
        <v>1.594313954001445</v>
      </c>
      <c r="F21">
        <v>0.23468199824876321</v>
      </c>
      <c r="G21">
        <v>8.0425984824623487E-2</v>
      </c>
      <c r="H21">
        <v>0.85246105682401785</v>
      </c>
      <c r="I21">
        <v>1.083748629828756</v>
      </c>
      <c r="J21">
        <v>2.3454119469801422</v>
      </c>
      <c r="K21">
        <v>1.9875556042005831</v>
      </c>
      <c r="L21">
        <v>4.6860860479360222E-2</v>
      </c>
      <c r="M21">
        <v>4.415472743940982</v>
      </c>
      <c r="N21" t="s">
        <v>101</v>
      </c>
      <c r="P21" t="s">
        <v>141</v>
      </c>
    </row>
    <row r="22" spans="1:16" x14ac:dyDescent="0.2">
      <c r="A22" s="7"/>
      <c r="B22" s="8"/>
      <c r="C22" s="3" t="s">
        <v>88</v>
      </c>
      <c r="D22">
        <v>-0.36472143271894109</v>
      </c>
      <c r="E22">
        <v>0.69439005828877165</v>
      </c>
      <c r="F22">
        <v>0.29060834919742279</v>
      </c>
      <c r="G22">
        <v>-0.84272962991870193</v>
      </c>
      <c r="H22">
        <v>0.1132867644808197</v>
      </c>
      <c r="I22">
        <v>0.43053372031728521</v>
      </c>
      <c r="J22">
        <v>1.11995304965878</v>
      </c>
      <c r="K22">
        <v>-1.255027371808819</v>
      </c>
      <c r="L22">
        <v>0.2094688236870845</v>
      </c>
      <c r="M22">
        <v>2.2551925586430039</v>
      </c>
      <c r="N22" t="s">
        <v>101</v>
      </c>
      <c r="P22" t="s">
        <v>141</v>
      </c>
    </row>
    <row r="23" spans="1:16" x14ac:dyDescent="0.2">
      <c r="A23" s="7"/>
      <c r="B23" s="8"/>
      <c r="C23" s="3" t="s">
        <v>101</v>
      </c>
      <c r="D23">
        <v>-0.29962893445306849</v>
      </c>
      <c r="E23">
        <v>0.74109316380775792</v>
      </c>
      <c r="F23">
        <v>0.31246379134138402</v>
      </c>
      <c r="G23">
        <v>-0.81358613493195198</v>
      </c>
      <c r="H23">
        <v>0.21432826602581501</v>
      </c>
      <c r="I23">
        <v>0.44326560227383471</v>
      </c>
      <c r="J23">
        <v>1.23902931927324</v>
      </c>
      <c r="K23">
        <v>-0.95892369854050485</v>
      </c>
      <c r="L23">
        <v>0.33759718511922382</v>
      </c>
      <c r="M23">
        <v>1.5666252199639079</v>
      </c>
      <c r="N23" t="s">
        <v>101</v>
      </c>
      <c r="O23">
        <v>0.56674287089399589</v>
      </c>
      <c r="P23" t="s">
        <v>141</v>
      </c>
    </row>
    <row r="24" spans="1:16" x14ac:dyDescent="0.2">
      <c r="A24" s="7"/>
      <c r="B24" s="8"/>
      <c r="C24" s="3" t="s">
        <v>142</v>
      </c>
      <c r="D24">
        <v>4.723996583372039E-4</v>
      </c>
      <c r="E24">
        <v>1.0004725112566279</v>
      </c>
      <c r="F24">
        <v>5.2129192995404999E-3</v>
      </c>
      <c r="G24">
        <v>-8.1020895585173138E-3</v>
      </c>
      <c r="H24">
        <v>9.0468888751917224E-3</v>
      </c>
      <c r="I24">
        <v>0.99193064390628016</v>
      </c>
      <c r="J24">
        <v>1.009087935662885</v>
      </c>
      <c r="K24">
        <v>9.0620942161687451E-2</v>
      </c>
      <c r="L24">
        <v>0.9277937909598919</v>
      </c>
      <c r="M24">
        <v>0.108123903562026</v>
      </c>
      <c r="N24" t="s">
        <v>101</v>
      </c>
      <c r="P24" t="s">
        <v>141</v>
      </c>
    </row>
    <row r="25" spans="1:16" x14ac:dyDescent="0.2">
      <c r="A25" s="7"/>
      <c r="B25" s="8"/>
      <c r="C25" s="3" t="s">
        <v>143</v>
      </c>
      <c r="D25">
        <v>4.3801492777451392E-2</v>
      </c>
      <c r="E25">
        <v>1.044774938931027</v>
      </c>
      <c r="F25">
        <v>0.13156606502319221</v>
      </c>
      <c r="G25">
        <v>-0.1726054264596795</v>
      </c>
      <c r="H25">
        <v>0.26020841201458222</v>
      </c>
      <c r="I25">
        <v>0.84146957097745578</v>
      </c>
      <c r="J25">
        <v>1.29720041064631</v>
      </c>
      <c r="K25">
        <v>0.33292394030124828</v>
      </c>
      <c r="L25">
        <v>0.73919169756701741</v>
      </c>
      <c r="M25">
        <v>0.43597954206488188</v>
      </c>
      <c r="N25" t="s">
        <v>101</v>
      </c>
      <c r="P25" t="s">
        <v>141</v>
      </c>
    </row>
    <row r="26" spans="1:16" x14ac:dyDescent="0.2">
      <c r="A26" s="7"/>
      <c r="B26" s="8"/>
      <c r="C26" s="3" t="s">
        <v>144</v>
      </c>
      <c r="D26">
        <v>-0.34299010685323922</v>
      </c>
      <c r="E26">
        <v>0.70964523214991049</v>
      </c>
      <c r="F26">
        <v>0.2868419744579721</v>
      </c>
      <c r="G26">
        <v>-0.81480316890235605</v>
      </c>
      <c r="H26">
        <v>0.12882295519587769</v>
      </c>
      <c r="I26">
        <v>0.44272646112105152</v>
      </c>
      <c r="J26">
        <v>1.1374887198698651</v>
      </c>
      <c r="K26">
        <v>-1.1957458719260561</v>
      </c>
      <c r="L26">
        <v>0.23179574448550991</v>
      </c>
      <c r="M26">
        <v>2.1090740145913269</v>
      </c>
      <c r="N26" t="s">
        <v>101</v>
      </c>
      <c r="P26" t="s">
        <v>141</v>
      </c>
    </row>
    <row r="27" spans="1:16" x14ac:dyDescent="0.2">
      <c r="A27" s="7"/>
      <c r="B27" s="8" t="s">
        <v>102</v>
      </c>
      <c r="C27" s="3" t="s">
        <v>140</v>
      </c>
      <c r="D27">
        <v>0.31308766145307071</v>
      </c>
      <c r="E27">
        <v>1.3676414152066541</v>
      </c>
      <c r="F27">
        <v>0.23370628614351699</v>
      </c>
      <c r="G27">
        <v>-7.1324970951451794E-2</v>
      </c>
      <c r="H27">
        <v>0.69750029385759316</v>
      </c>
      <c r="I27">
        <v>0.93115924324897681</v>
      </c>
      <c r="J27">
        <v>2.0087252037172072</v>
      </c>
      <c r="K27">
        <v>1.339662987331057</v>
      </c>
      <c r="L27">
        <v>0.18035493589646279</v>
      </c>
      <c r="M27">
        <v>2.4710891880030448</v>
      </c>
      <c r="N27" t="s">
        <v>102</v>
      </c>
      <c r="P27" t="s">
        <v>141</v>
      </c>
    </row>
    <row r="28" spans="1:16" x14ac:dyDescent="0.2">
      <c r="A28" s="7"/>
      <c r="B28" s="8"/>
      <c r="C28" s="3" t="s">
        <v>88</v>
      </c>
      <c r="D28">
        <v>-0.2489911664240114</v>
      </c>
      <c r="E28">
        <v>0.77958685989405074</v>
      </c>
      <c r="F28">
        <v>0.28540267588448298</v>
      </c>
      <c r="G28">
        <v>-0.71843679299425856</v>
      </c>
      <c r="H28">
        <v>0.2204544601462359</v>
      </c>
      <c r="I28">
        <v>0.48751374552439403</v>
      </c>
      <c r="J28">
        <v>1.2466431514987011</v>
      </c>
      <c r="K28">
        <v>-0.87242057437748333</v>
      </c>
      <c r="L28">
        <v>0.38297898044347839</v>
      </c>
      <c r="M28">
        <v>1.3846628819593729</v>
      </c>
      <c r="N28" t="s">
        <v>102</v>
      </c>
      <c r="P28" t="s">
        <v>141</v>
      </c>
    </row>
    <row r="29" spans="1:16" x14ac:dyDescent="0.2">
      <c r="A29" s="7"/>
      <c r="B29" s="8"/>
      <c r="C29" s="3" t="s">
        <v>102</v>
      </c>
      <c r="D29">
        <v>-0.78222580555262733</v>
      </c>
      <c r="E29">
        <v>0.45738682333779379</v>
      </c>
      <c r="F29">
        <v>0.32346358247182838</v>
      </c>
      <c r="G29">
        <v>-1.3142760523681309</v>
      </c>
      <c r="H29">
        <v>-0.25017555873712372</v>
      </c>
      <c r="I29">
        <v>0.26866875496046361</v>
      </c>
      <c r="J29">
        <v>0.77866406979041458</v>
      </c>
      <c r="K29">
        <v>-2.4182809068490858</v>
      </c>
      <c r="L29">
        <v>1.5594033254476161E-2</v>
      </c>
      <c r="M29">
        <v>6.0028620735618361</v>
      </c>
      <c r="N29" t="s">
        <v>102</v>
      </c>
      <c r="O29">
        <v>0.57380447299836357</v>
      </c>
      <c r="P29" t="s">
        <v>141</v>
      </c>
    </row>
    <row r="30" spans="1:16" x14ac:dyDescent="0.2">
      <c r="A30" s="7"/>
      <c r="B30" s="8"/>
      <c r="C30" s="3" t="s">
        <v>142</v>
      </c>
      <c r="D30">
        <v>-1.816650015268248E-3</v>
      </c>
      <c r="E30">
        <v>0.99818499909460112</v>
      </c>
      <c r="F30">
        <v>5.188665933835504E-3</v>
      </c>
      <c r="G30">
        <v>-1.0351245995577119E-2</v>
      </c>
      <c r="H30">
        <v>6.7179459650406267E-3</v>
      </c>
      <c r="I30">
        <v>0.98970214377557209</v>
      </c>
      <c r="J30">
        <v>1.0067405619800589</v>
      </c>
      <c r="K30">
        <v>-0.35011890116528771</v>
      </c>
      <c r="L30">
        <v>0.72624946647665789</v>
      </c>
      <c r="M30">
        <v>0.46146289621427511</v>
      </c>
      <c r="N30" t="s">
        <v>102</v>
      </c>
      <c r="P30" t="s">
        <v>141</v>
      </c>
    </row>
    <row r="31" spans="1:16" x14ac:dyDescent="0.2">
      <c r="A31" s="7"/>
      <c r="B31" s="8"/>
      <c r="C31" s="3" t="s">
        <v>143</v>
      </c>
      <c r="D31">
        <v>9.9590511511547172E-3</v>
      </c>
      <c r="E31">
        <v>1.0100088075393689</v>
      </c>
      <c r="F31">
        <v>0.13128868644710459</v>
      </c>
      <c r="G31">
        <v>-0.20599162092905979</v>
      </c>
      <c r="H31">
        <v>0.22590972323136929</v>
      </c>
      <c r="I31">
        <v>0.81383989547656965</v>
      </c>
      <c r="J31">
        <v>1.253462501625993</v>
      </c>
      <c r="K31">
        <v>7.5856126073491931E-2</v>
      </c>
      <c r="L31">
        <v>0.93953356256048104</v>
      </c>
      <c r="M31">
        <v>8.9983395536122002E-2</v>
      </c>
      <c r="N31" t="s">
        <v>102</v>
      </c>
      <c r="P31" t="s">
        <v>141</v>
      </c>
    </row>
    <row r="32" spans="1:16" x14ac:dyDescent="0.2">
      <c r="A32" s="7"/>
      <c r="B32" s="8"/>
      <c r="C32" s="3" t="s">
        <v>144</v>
      </c>
      <c r="D32">
        <v>-0.35102305968988479</v>
      </c>
      <c r="E32">
        <v>0.70396752039574306</v>
      </c>
      <c r="F32">
        <v>0.28106553277134361</v>
      </c>
      <c r="G32">
        <v>-0.81333472067987711</v>
      </c>
      <c r="H32">
        <v>0.1112886013001075</v>
      </c>
      <c r="I32">
        <v>0.44337705957409079</v>
      </c>
      <c r="J32">
        <v>1.117717435016095</v>
      </c>
      <c r="K32">
        <v>-1.2489011236232019</v>
      </c>
      <c r="L32">
        <v>0.21170124060211629</v>
      </c>
      <c r="M32">
        <v>2.239898371100308</v>
      </c>
      <c r="N32" t="s">
        <v>102</v>
      </c>
      <c r="P32" t="s">
        <v>141</v>
      </c>
    </row>
    <row r="33" spans="1:16" x14ac:dyDescent="0.2">
      <c r="A33" s="7"/>
      <c r="B33" s="8" t="s">
        <v>49</v>
      </c>
      <c r="C33" s="3" t="s">
        <v>140</v>
      </c>
      <c r="D33">
        <v>0.41643237510102371</v>
      </c>
      <c r="E33">
        <v>1.516541441892775</v>
      </c>
      <c r="F33">
        <v>0.2325502905805818</v>
      </c>
      <c r="G33">
        <v>3.3921186190934982E-2</v>
      </c>
      <c r="H33">
        <v>0.79894356401111233</v>
      </c>
      <c r="I33">
        <v>1.034503070387599</v>
      </c>
      <c r="J33">
        <v>2.2231910284389111</v>
      </c>
      <c r="K33">
        <v>1.7907196506242351</v>
      </c>
      <c r="L33">
        <v>7.3338294699354434E-2</v>
      </c>
      <c r="M33">
        <v>3.7692894696398942</v>
      </c>
      <c r="N33" t="s">
        <v>49</v>
      </c>
      <c r="P33" t="s">
        <v>141</v>
      </c>
    </row>
    <row r="34" spans="1:16" x14ac:dyDescent="0.2">
      <c r="A34" s="7"/>
      <c r="B34" s="8"/>
      <c r="C34" s="3" t="s">
        <v>88</v>
      </c>
      <c r="D34">
        <v>-0.32860803274337352</v>
      </c>
      <c r="E34">
        <v>0.71992514853569956</v>
      </c>
      <c r="F34">
        <v>0.28680826555313649</v>
      </c>
      <c r="G34">
        <v>-0.80036564857811099</v>
      </c>
      <c r="H34">
        <v>0.14314958309136391</v>
      </c>
      <c r="I34">
        <v>0.44916469765411748</v>
      </c>
      <c r="J34">
        <v>1.153902393044397</v>
      </c>
      <c r="K34">
        <v>-1.145741152576695</v>
      </c>
      <c r="L34">
        <v>0.25190227077935318</v>
      </c>
      <c r="M34">
        <v>1.9890639675458719</v>
      </c>
      <c r="N34" t="s">
        <v>49</v>
      </c>
      <c r="P34" t="s">
        <v>141</v>
      </c>
    </row>
    <row r="35" spans="1:16" x14ac:dyDescent="0.2">
      <c r="A35" s="7"/>
      <c r="B35" s="8"/>
      <c r="C35" s="3" t="s">
        <v>49</v>
      </c>
      <c r="D35">
        <v>-0.6571369837990757</v>
      </c>
      <c r="E35">
        <v>0.51833320853829368</v>
      </c>
      <c r="F35">
        <v>0.31864912919107291</v>
      </c>
      <c r="G35">
        <v>-1.1812681596739401</v>
      </c>
      <c r="H35">
        <v>-0.13300580792421141</v>
      </c>
      <c r="I35">
        <v>0.30688930707904538</v>
      </c>
      <c r="J35">
        <v>0.87546000748863206</v>
      </c>
      <c r="K35">
        <v>-2.0622588408362921</v>
      </c>
      <c r="L35">
        <v>3.9183099374879009E-2</v>
      </c>
      <c r="M35">
        <v>4.6736246707828633</v>
      </c>
      <c r="N35" t="s">
        <v>49</v>
      </c>
      <c r="O35">
        <v>0.5735379766350337</v>
      </c>
      <c r="P35" t="s">
        <v>141</v>
      </c>
    </row>
    <row r="36" spans="1:16" x14ac:dyDescent="0.2">
      <c r="A36" s="7"/>
      <c r="B36" s="8"/>
      <c r="C36" s="3" t="s">
        <v>142</v>
      </c>
      <c r="D36">
        <v>-1.2772476907899431E-3</v>
      </c>
      <c r="E36">
        <v>0.99872356764287729</v>
      </c>
      <c r="F36">
        <v>5.1821569073363816E-3</v>
      </c>
      <c r="G36">
        <v>-9.8011372752538142E-3</v>
      </c>
      <c r="H36">
        <v>7.2466418936739281E-3</v>
      </c>
      <c r="I36">
        <v>0.99024673733448487</v>
      </c>
      <c r="J36">
        <v>1.0072729623429191</v>
      </c>
      <c r="K36">
        <v>-0.24647028517830921</v>
      </c>
      <c r="L36">
        <v>0.80531820404613885</v>
      </c>
      <c r="M36">
        <v>0.31236914931060811</v>
      </c>
      <c r="N36" t="s">
        <v>49</v>
      </c>
      <c r="P36" t="s">
        <v>141</v>
      </c>
    </row>
    <row r="37" spans="1:16" x14ac:dyDescent="0.2">
      <c r="A37" s="7"/>
      <c r="B37" s="8"/>
      <c r="C37" s="3" t="s">
        <v>143</v>
      </c>
      <c r="D37">
        <v>2.0194654702660159E-2</v>
      </c>
      <c r="E37">
        <v>1.020399946344452</v>
      </c>
      <c r="F37">
        <v>0.1292240555622986</v>
      </c>
      <c r="G37">
        <v>-0.19236000177836529</v>
      </c>
      <c r="H37">
        <v>0.23274931118368561</v>
      </c>
      <c r="I37">
        <v>0.8250098100253247</v>
      </c>
      <c r="J37">
        <v>1.2620650540722651</v>
      </c>
      <c r="K37">
        <v>0.15627628009960079</v>
      </c>
      <c r="L37">
        <v>0.87581525234723767</v>
      </c>
      <c r="M37">
        <v>0.19130152030333381</v>
      </c>
      <c r="N37" t="s">
        <v>49</v>
      </c>
      <c r="P37" t="s">
        <v>141</v>
      </c>
    </row>
    <row r="38" spans="1:16" x14ac:dyDescent="0.2">
      <c r="A38" s="7"/>
      <c r="B38" s="8"/>
      <c r="C38" s="3" t="s">
        <v>144</v>
      </c>
      <c r="D38">
        <v>-0.39682801277364099</v>
      </c>
      <c r="E38">
        <v>0.67244966844117049</v>
      </c>
      <c r="F38">
        <v>0.28460859007152151</v>
      </c>
      <c r="G38">
        <v>-0.86496748441432791</v>
      </c>
      <c r="H38">
        <v>7.1311458867045818E-2</v>
      </c>
      <c r="I38">
        <v>0.42106524358773662</v>
      </c>
      <c r="J38">
        <v>1.0739156543383011</v>
      </c>
      <c r="K38">
        <v>-1.3942938710104249</v>
      </c>
      <c r="L38">
        <v>0.16322888097188851</v>
      </c>
      <c r="M38">
        <v>2.615031751128396</v>
      </c>
      <c r="N38" t="s">
        <v>49</v>
      </c>
      <c r="P38" t="s">
        <v>141</v>
      </c>
    </row>
    <row r="39" spans="1:16" x14ac:dyDescent="0.2">
      <c r="A39" s="7"/>
      <c r="B39" s="8" t="s">
        <v>103</v>
      </c>
      <c r="C39" s="3" t="s">
        <v>140</v>
      </c>
      <c r="D39">
        <v>0.45231268114853718</v>
      </c>
      <c r="E39">
        <v>1.5719433888058449</v>
      </c>
      <c r="F39">
        <v>0.23223152893448079</v>
      </c>
      <c r="G39">
        <v>7.0325808488170771E-2</v>
      </c>
      <c r="H39">
        <v>0.83429955380890375</v>
      </c>
      <c r="I39">
        <v>1.072857670453484</v>
      </c>
      <c r="J39">
        <v>2.30320021533326</v>
      </c>
      <c r="K39">
        <v>1.94767990041588</v>
      </c>
      <c r="L39">
        <v>5.1453276584964278E-2</v>
      </c>
      <c r="M39">
        <v>4.2805932377796267</v>
      </c>
      <c r="N39" t="s">
        <v>103</v>
      </c>
      <c r="P39" t="s">
        <v>141</v>
      </c>
    </row>
    <row r="40" spans="1:16" x14ac:dyDescent="0.2">
      <c r="A40" s="7"/>
      <c r="B40" s="8"/>
      <c r="C40" s="3" t="s">
        <v>88</v>
      </c>
      <c r="D40">
        <v>-0.35135299352831822</v>
      </c>
      <c r="E40">
        <v>0.703735296001056</v>
      </c>
      <c r="F40">
        <v>0.29385348151445062</v>
      </c>
      <c r="G40">
        <v>-0.83469895838967967</v>
      </c>
      <c r="H40">
        <v>0.13199297133304319</v>
      </c>
      <c r="I40">
        <v>0.43400511536769693</v>
      </c>
      <c r="J40">
        <v>1.141100298825084</v>
      </c>
      <c r="K40">
        <v>-1.1956740880439081</v>
      </c>
      <c r="L40">
        <v>0.23182376697650461</v>
      </c>
      <c r="M40">
        <v>2.1088996133513391</v>
      </c>
      <c r="N40" t="s">
        <v>103</v>
      </c>
      <c r="P40" t="s">
        <v>141</v>
      </c>
    </row>
    <row r="41" spans="1:16" x14ac:dyDescent="0.2">
      <c r="A41" s="7"/>
      <c r="B41" s="8"/>
      <c r="C41" s="3" t="s">
        <v>103</v>
      </c>
      <c r="D41">
        <v>0.34424216676190578</v>
      </c>
      <c r="E41">
        <v>1.4109202721331009</v>
      </c>
      <c r="F41">
        <v>0.33789967461867038</v>
      </c>
      <c r="G41">
        <v>-0.2115533385803364</v>
      </c>
      <c r="H41">
        <v>0.90003767210414809</v>
      </c>
      <c r="I41">
        <v>0.80932611159561552</v>
      </c>
      <c r="J41">
        <v>2.459695771326857</v>
      </c>
      <c r="K41">
        <v>1.0187703410794731</v>
      </c>
      <c r="L41">
        <v>0.30831200932074981</v>
      </c>
      <c r="M41">
        <v>1.6975370087181421</v>
      </c>
      <c r="N41" t="s">
        <v>103</v>
      </c>
      <c r="O41">
        <v>0.56179004522782494</v>
      </c>
      <c r="P41" t="s">
        <v>141</v>
      </c>
    </row>
    <row r="42" spans="1:16" x14ac:dyDescent="0.2">
      <c r="A42" s="7"/>
      <c r="B42" s="8"/>
      <c r="C42" s="3" t="s">
        <v>142</v>
      </c>
      <c r="D42">
        <v>-1.352736415941908E-4</v>
      </c>
      <c r="E42">
        <v>0.99986473550747235</v>
      </c>
      <c r="F42">
        <v>5.1907838428754006E-3</v>
      </c>
      <c r="G42">
        <v>-8.6733532722688949E-3</v>
      </c>
      <c r="H42">
        <v>8.402805989080513E-3</v>
      </c>
      <c r="I42">
        <v>0.99136415174647152</v>
      </c>
      <c r="J42">
        <v>1.008438208654427</v>
      </c>
      <c r="K42">
        <v>-2.6060349590526749E-2</v>
      </c>
      <c r="L42">
        <v>0.97920920275587531</v>
      </c>
      <c r="M42">
        <v>3.0310978127350029E-2</v>
      </c>
      <c r="N42" t="s">
        <v>103</v>
      </c>
      <c r="P42" t="s">
        <v>141</v>
      </c>
    </row>
    <row r="43" spans="1:16" x14ac:dyDescent="0.2">
      <c r="A43" s="7"/>
      <c r="B43" s="8"/>
      <c r="C43" s="3" t="s">
        <v>143</v>
      </c>
      <c r="D43">
        <v>4.5549390389470312E-2</v>
      </c>
      <c r="E43">
        <v>1.0466026954521721</v>
      </c>
      <c r="F43">
        <v>0.13055459923516249</v>
      </c>
      <c r="G43">
        <v>-0.16919381567768271</v>
      </c>
      <c r="H43">
        <v>0.26029259645662328</v>
      </c>
      <c r="I43">
        <v>0.84434524018137525</v>
      </c>
      <c r="J43">
        <v>1.297309619335868</v>
      </c>
      <c r="K43">
        <v>0.34889150329682439</v>
      </c>
      <c r="L43">
        <v>0.72717076425289084</v>
      </c>
      <c r="M43">
        <v>0.45963389743901101</v>
      </c>
      <c r="N43" t="s">
        <v>103</v>
      </c>
      <c r="P43" t="s">
        <v>141</v>
      </c>
    </row>
    <row r="44" spans="1:16" x14ac:dyDescent="0.2">
      <c r="A44" s="7"/>
      <c r="B44" s="8"/>
      <c r="C44" s="3" t="s">
        <v>144</v>
      </c>
      <c r="D44">
        <v>-0.39368494124749709</v>
      </c>
      <c r="E44">
        <v>0.67456655086053585</v>
      </c>
      <c r="F44">
        <v>0.2889231805670931</v>
      </c>
      <c r="G44">
        <v>-0.86892128271363522</v>
      </c>
      <c r="H44">
        <v>8.1551400218641046E-2</v>
      </c>
      <c r="I44">
        <v>0.4194037233661338</v>
      </c>
      <c r="J44">
        <v>1.084968983793775</v>
      </c>
      <c r="K44">
        <v>-1.362593823295104</v>
      </c>
      <c r="L44">
        <v>0.173010556569136</v>
      </c>
      <c r="M44">
        <v>2.531068025549692</v>
      </c>
      <c r="N44" t="s">
        <v>103</v>
      </c>
      <c r="P44" t="s">
        <v>141</v>
      </c>
    </row>
    <row r="45" spans="1:16" x14ac:dyDescent="0.2">
      <c r="A45" s="7"/>
      <c r="B45" s="8" t="s">
        <v>75</v>
      </c>
      <c r="C45" s="3" t="s">
        <v>140</v>
      </c>
      <c r="D45">
        <v>0.44322814657688758</v>
      </c>
      <c r="E45">
        <v>1.557727684043166</v>
      </c>
      <c r="F45">
        <v>0.23521374866443229</v>
      </c>
      <c r="G45">
        <v>5.6335958977344169E-2</v>
      </c>
      <c r="H45">
        <v>0.83012033417643094</v>
      </c>
      <c r="I45">
        <v>1.0579530528642631</v>
      </c>
      <c r="J45">
        <v>2.2935947214907402</v>
      </c>
      <c r="K45">
        <v>1.8843632614742221</v>
      </c>
      <c r="L45">
        <v>5.9515855711927697E-2</v>
      </c>
      <c r="M45">
        <v>4.0705821195117782</v>
      </c>
      <c r="N45" t="s">
        <v>75</v>
      </c>
      <c r="P45" t="s">
        <v>141</v>
      </c>
    </row>
    <row r="46" spans="1:16" x14ac:dyDescent="0.2">
      <c r="A46" s="7"/>
      <c r="B46" s="8"/>
      <c r="C46" s="3" t="s">
        <v>88</v>
      </c>
      <c r="D46">
        <v>-0.43677426604748898</v>
      </c>
      <c r="E46">
        <v>0.64611726555428561</v>
      </c>
      <c r="F46">
        <v>0.29533748723526382</v>
      </c>
      <c r="G46">
        <v>-0.92256120310114664</v>
      </c>
      <c r="H46">
        <v>4.9012671006168677E-2</v>
      </c>
      <c r="I46">
        <v>0.39749965886032151</v>
      </c>
      <c r="J46">
        <v>1.0502336581728799</v>
      </c>
      <c r="K46">
        <v>-1.4788988358242441</v>
      </c>
      <c r="L46">
        <v>0.13916735455232429</v>
      </c>
      <c r="M46">
        <v>2.8451072669551869</v>
      </c>
      <c r="N46" t="s">
        <v>75</v>
      </c>
      <c r="P46" t="s">
        <v>141</v>
      </c>
    </row>
    <row r="47" spans="1:16" x14ac:dyDescent="0.2">
      <c r="A47" s="7"/>
      <c r="B47" s="8"/>
      <c r="C47" s="3" t="s">
        <v>75</v>
      </c>
      <c r="D47">
        <v>-0.96308173901286542</v>
      </c>
      <c r="E47">
        <v>0.38171472635331521</v>
      </c>
      <c r="F47">
        <v>0.30794480143049352</v>
      </c>
      <c r="G47">
        <v>-1.469605862546663</v>
      </c>
      <c r="H47">
        <v>-0.45655761547906742</v>
      </c>
      <c r="I47">
        <v>0.2300161252930695</v>
      </c>
      <c r="J47">
        <v>0.63346051121128288</v>
      </c>
      <c r="K47">
        <v>-3.1274492523954609</v>
      </c>
      <c r="L47">
        <v>1.7633025795544799E-3</v>
      </c>
      <c r="M47">
        <v>9.1475042248839156</v>
      </c>
      <c r="N47" t="s">
        <v>75</v>
      </c>
      <c r="O47">
        <v>0.58074460797051808</v>
      </c>
      <c r="P47" t="s">
        <v>141</v>
      </c>
    </row>
    <row r="48" spans="1:16" x14ac:dyDescent="0.2">
      <c r="A48" s="7"/>
      <c r="B48" s="8"/>
      <c r="C48" s="3" t="s">
        <v>142</v>
      </c>
      <c r="D48">
        <v>-2.6058386020345451E-3</v>
      </c>
      <c r="E48">
        <v>0.9973975536481835</v>
      </c>
      <c r="F48">
        <v>5.2427930698297183E-3</v>
      </c>
      <c r="G48">
        <v>-1.12294657983E-2</v>
      </c>
      <c r="H48">
        <v>6.0177885942309089E-3</v>
      </c>
      <c r="I48">
        <v>0.98883334930620437</v>
      </c>
      <c r="J48">
        <v>1.0060359318598671</v>
      </c>
      <c r="K48">
        <v>-0.49703251059633757</v>
      </c>
      <c r="L48">
        <v>0.61916612554443695</v>
      </c>
      <c r="M48">
        <v>0.69160155080471153</v>
      </c>
      <c r="N48" t="s">
        <v>75</v>
      </c>
      <c r="P48" t="s">
        <v>141</v>
      </c>
    </row>
    <row r="49" spans="1:16" x14ac:dyDescent="0.2">
      <c r="A49" s="7"/>
      <c r="B49" s="8"/>
      <c r="C49" s="3" t="s">
        <v>143</v>
      </c>
      <c r="D49">
        <v>5.3679704774845863E-2</v>
      </c>
      <c r="E49">
        <v>1.0551465896115779</v>
      </c>
      <c r="F49">
        <v>0.13081350341502529</v>
      </c>
      <c r="G49">
        <v>-0.16148936077158729</v>
      </c>
      <c r="H49">
        <v>0.26884877032127902</v>
      </c>
      <c r="I49">
        <v>0.85087558407690678</v>
      </c>
      <c r="J49">
        <v>1.308457248513919</v>
      </c>
      <c r="K49">
        <v>0.41035293278966017</v>
      </c>
      <c r="L49">
        <v>0.68154706773010187</v>
      </c>
      <c r="M49">
        <v>0.55311480170719718</v>
      </c>
      <c r="N49" t="s">
        <v>75</v>
      </c>
      <c r="P49" t="s">
        <v>141</v>
      </c>
    </row>
    <row r="50" spans="1:16" x14ac:dyDescent="0.2">
      <c r="A50" s="7"/>
      <c r="B50" s="8"/>
      <c r="C50" s="3" t="s">
        <v>144</v>
      </c>
      <c r="D50">
        <v>-0.39003915435585612</v>
      </c>
      <c r="E50">
        <v>0.67703036529134464</v>
      </c>
      <c r="F50">
        <v>0.29131975096032442</v>
      </c>
      <c r="G50">
        <v>-0.86921750332554526</v>
      </c>
      <c r="H50">
        <v>8.9139194613833128E-2</v>
      </c>
      <c r="I50">
        <v>0.41927950573738021</v>
      </c>
      <c r="J50">
        <v>1.0932328178559629</v>
      </c>
      <c r="K50">
        <v>-1.3388695859793469</v>
      </c>
      <c r="L50">
        <v>0.1806131323612756</v>
      </c>
      <c r="M50">
        <v>2.469025300054803</v>
      </c>
      <c r="N50" t="s">
        <v>75</v>
      </c>
      <c r="P50" t="s">
        <v>141</v>
      </c>
    </row>
    <row r="51" spans="1:16" x14ac:dyDescent="0.2">
      <c r="A51" s="7"/>
      <c r="B51" s="8" t="s">
        <v>104</v>
      </c>
      <c r="C51" s="3" t="s">
        <v>140</v>
      </c>
      <c r="D51">
        <v>0.39631545013441499</v>
      </c>
      <c r="E51">
        <v>1.4863381091636361</v>
      </c>
      <c r="F51">
        <v>0.23165102770100779</v>
      </c>
      <c r="G51">
        <v>1.528341703337655E-2</v>
      </c>
      <c r="H51">
        <v>0.77734748323545355</v>
      </c>
      <c r="I51">
        <v>1.015400805722473</v>
      </c>
      <c r="J51">
        <v>2.1756935412122811</v>
      </c>
      <c r="K51">
        <v>1.7108296650681809</v>
      </c>
      <c r="L51">
        <v>8.7112561618499729E-2</v>
      </c>
      <c r="M51">
        <v>3.5209754195382401</v>
      </c>
      <c r="N51" t="s">
        <v>104</v>
      </c>
      <c r="P51" t="s">
        <v>141</v>
      </c>
    </row>
    <row r="52" spans="1:16" x14ac:dyDescent="0.2">
      <c r="A52" s="7"/>
      <c r="B52" s="8"/>
      <c r="C52" s="3" t="s">
        <v>88</v>
      </c>
      <c r="D52">
        <v>-0.1876481167390836</v>
      </c>
      <c r="E52">
        <v>0.82890633418421722</v>
      </c>
      <c r="F52">
        <v>0.29134539166320489</v>
      </c>
      <c r="G52">
        <v>-0.66686864091190323</v>
      </c>
      <c r="H52">
        <v>0.29157240743373608</v>
      </c>
      <c r="I52">
        <v>0.5133134324688442</v>
      </c>
      <c r="J52">
        <v>1.3385305495437629</v>
      </c>
      <c r="K52">
        <v>-0.64407442886896493</v>
      </c>
      <c r="L52">
        <v>0.51952717121782022</v>
      </c>
      <c r="M52">
        <v>0.94472889098190993</v>
      </c>
      <c r="N52" t="s">
        <v>104</v>
      </c>
      <c r="P52" t="s">
        <v>141</v>
      </c>
    </row>
    <row r="53" spans="1:16" x14ac:dyDescent="0.2">
      <c r="A53" s="7"/>
      <c r="B53" s="8"/>
      <c r="C53" s="3" t="s">
        <v>104</v>
      </c>
      <c r="D53">
        <v>-0.69493086851128205</v>
      </c>
      <c r="E53">
        <v>0.49910895093731278</v>
      </c>
      <c r="F53">
        <v>0.30303730162130432</v>
      </c>
      <c r="G53">
        <v>-1.1933828731846721</v>
      </c>
      <c r="H53">
        <v>-0.19647886383789251</v>
      </c>
      <c r="I53">
        <v>0.30319386087742078</v>
      </c>
      <c r="J53">
        <v>0.82161869697770096</v>
      </c>
      <c r="K53">
        <v>-2.293218903393333</v>
      </c>
      <c r="L53">
        <v>2.1835405370301719E-2</v>
      </c>
      <c r="M53">
        <v>5.5171868750387238</v>
      </c>
      <c r="N53" t="s">
        <v>104</v>
      </c>
      <c r="O53">
        <v>0.56627836106670959</v>
      </c>
      <c r="P53" t="s">
        <v>141</v>
      </c>
    </row>
    <row r="54" spans="1:16" x14ac:dyDescent="0.2">
      <c r="A54" s="7"/>
      <c r="B54" s="8"/>
      <c r="C54" s="3" t="s">
        <v>142</v>
      </c>
      <c r="D54">
        <v>-7.4904567490363596E-4</v>
      </c>
      <c r="E54">
        <v>0.99925123478977662</v>
      </c>
      <c r="F54">
        <v>5.1432704241952476E-3</v>
      </c>
      <c r="G54">
        <v>-9.2089726865334249E-3</v>
      </c>
      <c r="H54">
        <v>7.7108813367261523E-3</v>
      </c>
      <c r="I54">
        <v>0.99083330004012149</v>
      </c>
      <c r="J54">
        <v>1.0077406867416161</v>
      </c>
      <c r="K54">
        <v>-0.14563606676793331</v>
      </c>
      <c r="L54">
        <v>0.88420869435973193</v>
      </c>
      <c r="M54">
        <v>0.1775411746103118</v>
      </c>
      <c r="N54" t="s">
        <v>104</v>
      </c>
      <c r="P54" t="s">
        <v>141</v>
      </c>
    </row>
    <row r="55" spans="1:16" x14ac:dyDescent="0.2">
      <c r="A55" s="7"/>
      <c r="B55" s="8"/>
      <c r="C55" s="3" t="s">
        <v>143</v>
      </c>
      <c r="D55">
        <v>6.5481115227889242E-2</v>
      </c>
      <c r="E55">
        <v>1.067672574369857</v>
      </c>
      <c r="F55">
        <v>0.1309639498448095</v>
      </c>
      <c r="G55">
        <v>-0.14993541267423641</v>
      </c>
      <c r="H55">
        <v>0.28089764313001492</v>
      </c>
      <c r="I55">
        <v>0.86076356904678863</v>
      </c>
      <c r="J55">
        <v>1.3243180439477851</v>
      </c>
      <c r="K55">
        <v>0.49999343563998688</v>
      </c>
      <c r="L55">
        <v>0.6170796996266652</v>
      </c>
      <c r="M55">
        <v>0.6964712605685861</v>
      </c>
      <c r="N55" t="s">
        <v>104</v>
      </c>
      <c r="P55" t="s">
        <v>141</v>
      </c>
    </row>
    <row r="56" spans="1:16" x14ac:dyDescent="0.2">
      <c r="A56" s="7"/>
      <c r="B56" s="8"/>
      <c r="C56" s="3" t="s">
        <v>144</v>
      </c>
      <c r="D56">
        <v>-0.475445888739846</v>
      </c>
      <c r="E56">
        <v>0.62160782673226511</v>
      </c>
      <c r="F56">
        <v>0.28843456359474501</v>
      </c>
      <c r="G56">
        <v>-0.94987852680682727</v>
      </c>
      <c r="H56">
        <v>-1.013250672864674E-3</v>
      </c>
      <c r="I56">
        <v>0.386788004974991</v>
      </c>
      <c r="J56">
        <v>0.99898726249226211</v>
      </c>
      <c r="K56">
        <v>-1.64836655778832</v>
      </c>
      <c r="L56">
        <v>9.9277474225455867E-2</v>
      </c>
      <c r="M56">
        <v>3.3323897782625629</v>
      </c>
      <c r="N56" t="s">
        <v>104</v>
      </c>
      <c r="P56" t="s">
        <v>141</v>
      </c>
    </row>
    <row r="57" spans="1:16" x14ac:dyDescent="0.2">
      <c r="A57" s="7"/>
      <c r="B57" s="8" t="s">
        <v>373</v>
      </c>
      <c r="C57" s="3" t="s">
        <v>140</v>
      </c>
      <c r="D57">
        <v>0.46091496359973588</v>
      </c>
      <c r="E57">
        <v>1.5855240182927239</v>
      </c>
      <c r="F57">
        <v>0.23944437495882159</v>
      </c>
      <c r="G57">
        <v>6.7064014995590004E-2</v>
      </c>
      <c r="H57">
        <v>0.85476591220388176</v>
      </c>
      <c r="I57">
        <v>1.06936393131091</v>
      </c>
      <c r="J57">
        <v>2.350824016947521</v>
      </c>
      <c r="K57">
        <v>1.9249354413901001</v>
      </c>
      <c r="L57">
        <v>5.4237435334249413E-2</v>
      </c>
      <c r="M57">
        <v>4.2045672288159208</v>
      </c>
      <c r="N57" t="s">
        <v>373</v>
      </c>
      <c r="P57" t="s">
        <v>141</v>
      </c>
    </row>
    <row r="58" spans="1:16" x14ac:dyDescent="0.2">
      <c r="A58" s="7"/>
      <c r="B58" s="8"/>
      <c r="C58" s="3" t="s">
        <v>88</v>
      </c>
      <c r="D58">
        <v>-0.31172573579560658</v>
      </c>
      <c r="E58">
        <v>0.73218231209243767</v>
      </c>
      <c r="F58">
        <v>0.30025801533868379</v>
      </c>
      <c r="G58">
        <v>-0.80560622134669124</v>
      </c>
      <c r="H58">
        <v>0.1821547497554781</v>
      </c>
      <c r="I58">
        <v>0.44681697445120222</v>
      </c>
      <c r="J58">
        <v>1.1997998482476531</v>
      </c>
      <c r="K58">
        <v>-1.038192887020809</v>
      </c>
      <c r="L58">
        <v>0.29918026350994392</v>
      </c>
      <c r="M58">
        <v>1.7409130890317781</v>
      </c>
      <c r="N58" t="s">
        <v>373</v>
      </c>
      <c r="P58" t="s">
        <v>141</v>
      </c>
    </row>
    <row r="59" spans="1:16" x14ac:dyDescent="0.2">
      <c r="A59" s="7"/>
      <c r="B59" s="8"/>
      <c r="C59" s="3" t="s">
        <v>373</v>
      </c>
      <c r="D59">
        <v>-0.14684033963932699</v>
      </c>
      <c r="E59">
        <v>0.86343182224800552</v>
      </c>
      <c r="F59">
        <v>0.31206803091415292</v>
      </c>
      <c r="G59">
        <v>-0.66014657214407535</v>
      </c>
      <c r="H59">
        <v>0.36646589286542142</v>
      </c>
      <c r="I59">
        <v>0.51677558403502366</v>
      </c>
      <c r="J59">
        <v>1.4426271958312671</v>
      </c>
      <c r="K59">
        <v>-0.47053951412191092</v>
      </c>
      <c r="L59">
        <v>0.63796961023473175</v>
      </c>
      <c r="M59">
        <v>0.64844039222616301</v>
      </c>
      <c r="N59" t="s">
        <v>373</v>
      </c>
      <c r="O59">
        <v>0.56752312940194849</v>
      </c>
      <c r="P59" t="s">
        <v>141</v>
      </c>
    </row>
    <row r="60" spans="1:16" x14ac:dyDescent="0.2">
      <c r="A60" s="7"/>
      <c r="B60" s="8"/>
      <c r="C60" s="3" t="s">
        <v>142</v>
      </c>
      <c r="D60">
        <v>-2.1692612727834209E-3</v>
      </c>
      <c r="E60">
        <v>0.99783308987406016</v>
      </c>
      <c r="F60">
        <v>5.2245356601099656E-3</v>
      </c>
      <c r="G60">
        <v>-1.07628577024526E-2</v>
      </c>
      <c r="H60">
        <v>6.4243351568857576E-3</v>
      </c>
      <c r="I60">
        <v>0.98929485461511779</v>
      </c>
      <c r="J60">
        <v>1.006445015460004</v>
      </c>
      <c r="K60">
        <v>-0.41520652052315832</v>
      </c>
      <c r="L60">
        <v>0.67799072585985987</v>
      </c>
      <c r="M60">
        <v>0.56066255581408853</v>
      </c>
      <c r="N60" t="s">
        <v>373</v>
      </c>
      <c r="P60" t="s">
        <v>141</v>
      </c>
    </row>
    <row r="61" spans="1:16" x14ac:dyDescent="0.2">
      <c r="A61" s="7"/>
      <c r="B61" s="8"/>
      <c r="C61" s="3" t="s">
        <v>143</v>
      </c>
      <c r="D61">
        <v>7.3169431496480516E-2</v>
      </c>
      <c r="E61">
        <v>1.07591281499077</v>
      </c>
      <c r="F61">
        <v>0.13316346889295491</v>
      </c>
      <c r="G61">
        <v>-0.14586498328953579</v>
      </c>
      <c r="H61">
        <v>0.29220384628249679</v>
      </c>
      <c r="I61">
        <v>0.86427438679199009</v>
      </c>
      <c r="J61">
        <v>1.3393760166352899</v>
      </c>
      <c r="K61">
        <v>0.54947075278805391</v>
      </c>
      <c r="L61">
        <v>0.58268243055582369</v>
      </c>
      <c r="M61">
        <v>0.77921828468629772</v>
      </c>
      <c r="N61" t="s">
        <v>373</v>
      </c>
      <c r="P61" t="s">
        <v>141</v>
      </c>
    </row>
    <row r="62" spans="1:16" x14ac:dyDescent="0.2">
      <c r="A62" s="7"/>
      <c r="B62" s="8"/>
      <c r="C62" s="3" t="s">
        <v>144</v>
      </c>
      <c r="D62">
        <v>-0.39061667621407009</v>
      </c>
      <c r="E62">
        <v>0.67663947834045779</v>
      </c>
      <c r="F62">
        <v>0.2911748024929306</v>
      </c>
      <c r="G62">
        <v>-0.86955660617144548</v>
      </c>
      <c r="H62">
        <v>8.8323253743305297E-2</v>
      </c>
      <c r="I62">
        <v>0.41913735096766269</v>
      </c>
      <c r="J62">
        <v>1.092341168334984</v>
      </c>
      <c r="K62">
        <v>-1.3415195026140829</v>
      </c>
      <c r="L62">
        <v>0.17975184204558561</v>
      </c>
      <c r="M62">
        <v>2.4759215398199261</v>
      </c>
      <c r="N62" t="s">
        <v>373</v>
      </c>
      <c r="P62" t="s">
        <v>141</v>
      </c>
    </row>
    <row r="63" spans="1:16" x14ac:dyDescent="0.2">
      <c r="A63" s="7"/>
      <c r="B63" s="8" t="s">
        <v>9</v>
      </c>
      <c r="C63" s="3" t="s">
        <v>140</v>
      </c>
      <c r="D63">
        <v>0.55558051453618607</v>
      </c>
      <c r="E63">
        <v>1.7429525004082731</v>
      </c>
      <c r="F63">
        <v>0.23964999293085509</v>
      </c>
      <c r="G63">
        <v>0.16139135446497441</v>
      </c>
      <c r="H63">
        <v>0.94976967460739781</v>
      </c>
      <c r="I63">
        <v>1.1751447769894781</v>
      </c>
      <c r="J63">
        <v>2.5851141733038161</v>
      </c>
      <c r="K63">
        <v>2.3182997326291792</v>
      </c>
      <c r="L63">
        <v>2.043303694310878E-2</v>
      </c>
      <c r="M63">
        <v>5.6129525433567444</v>
      </c>
      <c r="N63" t="s">
        <v>9</v>
      </c>
      <c r="P63" t="s">
        <v>141</v>
      </c>
    </row>
    <row r="64" spans="1:16" x14ac:dyDescent="0.2">
      <c r="A64" s="7"/>
      <c r="B64" s="8"/>
      <c r="C64" s="3" t="s">
        <v>88</v>
      </c>
      <c r="D64">
        <v>-0.37986858351874381</v>
      </c>
      <c r="E64">
        <v>0.68395128577792308</v>
      </c>
      <c r="F64">
        <v>0.29755554953079533</v>
      </c>
      <c r="G64">
        <v>-0.86930390838401084</v>
      </c>
      <c r="H64">
        <v>0.10956674134652319</v>
      </c>
      <c r="I64">
        <v>0.41924327943226408</v>
      </c>
      <c r="J64">
        <v>1.1157945380800161</v>
      </c>
      <c r="K64">
        <v>-1.2766308143731311</v>
      </c>
      <c r="L64">
        <v>0.20173261763532629</v>
      </c>
      <c r="M64">
        <v>2.3094837263740788</v>
      </c>
      <c r="N64" t="s">
        <v>9</v>
      </c>
      <c r="P64" t="s">
        <v>141</v>
      </c>
    </row>
    <row r="65" spans="1:16" x14ac:dyDescent="0.2">
      <c r="A65" s="7"/>
      <c r="B65" s="8"/>
      <c r="C65" s="3" t="s">
        <v>9</v>
      </c>
      <c r="D65">
        <v>-0.94282214983773305</v>
      </c>
      <c r="E65">
        <v>0.38952697919751822</v>
      </c>
      <c r="F65">
        <v>0.32371702575204542</v>
      </c>
      <c r="G65">
        <v>-1.4752892737519281</v>
      </c>
      <c r="H65">
        <v>-0.41035502592353817</v>
      </c>
      <c r="I65">
        <v>0.2287125569355882</v>
      </c>
      <c r="J65">
        <v>0.66341467891277828</v>
      </c>
      <c r="K65">
        <v>-2.912488608368403</v>
      </c>
      <c r="L65">
        <v>3.585612786451206E-3</v>
      </c>
      <c r="M65">
        <v>8.1235645859786825</v>
      </c>
      <c r="N65" t="s">
        <v>9</v>
      </c>
      <c r="O65">
        <v>0.57440573497535752</v>
      </c>
      <c r="P65" t="s">
        <v>141</v>
      </c>
    </row>
    <row r="66" spans="1:16" x14ac:dyDescent="0.2">
      <c r="A66" s="7"/>
      <c r="B66" s="8"/>
      <c r="C66" s="3" t="s">
        <v>142</v>
      </c>
      <c r="D66">
        <v>-8.5586146580928803E-4</v>
      </c>
      <c r="E66">
        <v>0.99914450467915117</v>
      </c>
      <c r="F66">
        <v>5.2560600260951572E-3</v>
      </c>
      <c r="G66">
        <v>-9.5013108632065555E-3</v>
      </c>
      <c r="H66">
        <v>7.7895879315879792E-3</v>
      </c>
      <c r="I66">
        <v>0.99054368397477965</v>
      </c>
      <c r="J66">
        <v>1.0078200057009941</v>
      </c>
      <c r="K66">
        <v>-0.1628332746506182</v>
      </c>
      <c r="L66">
        <v>0.87064970851777113</v>
      </c>
      <c r="M66">
        <v>0.1998357037704761</v>
      </c>
      <c r="N66" t="s">
        <v>9</v>
      </c>
      <c r="P66" t="s">
        <v>141</v>
      </c>
    </row>
    <row r="67" spans="1:16" x14ac:dyDescent="0.2">
      <c r="A67" s="7"/>
      <c r="B67" s="8"/>
      <c r="C67" s="3" t="s">
        <v>143</v>
      </c>
      <c r="D67">
        <v>5.9108425055701012E-2</v>
      </c>
      <c r="E67">
        <v>1.060890261590181</v>
      </c>
      <c r="F67">
        <v>0.13184016394203241</v>
      </c>
      <c r="G67">
        <v>-0.1577493467822276</v>
      </c>
      <c r="H67">
        <v>0.27596619689362961</v>
      </c>
      <c r="I67">
        <v>0.85406382898849298</v>
      </c>
      <c r="J67">
        <v>1.3178033174286869</v>
      </c>
      <c r="K67">
        <v>0.44833397720659601</v>
      </c>
      <c r="L67">
        <v>0.65391218271712415</v>
      </c>
      <c r="M67">
        <v>0.6128311932088033</v>
      </c>
      <c r="N67" t="s">
        <v>9</v>
      </c>
      <c r="P67" t="s">
        <v>141</v>
      </c>
    </row>
    <row r="68" spans="1:16" x14ac:dyDescent="0.2">
      <c r="A68" s="7"/>
      <c r="B68" s="8"/>
      <c r="C68" s="3" t="s">
        <v>144</v>
      </c>
      <c r="D68">
        <v>-0.48001600599468908</v>
      </c>
      <c r="E68">
        <v>0.61877348764172113</v>
      </c>
      <c r="F68">
        <v>0.29764101186973863</v>
      </c>
      <c r="G68">
        <v>-0.96959190389813465</v>
      </c>
      <c r="H68">
        <v>9.559891908756557E-3</v>
      </c>
      <c r="I68">
        <v>0.37923777198453151</v>
      </c>
      <c r="J68">
        <v>1.009605733639624</v>
      </c>
      <c r="K68">
        <v>-1.612734760506614</v>
      </c>
      <c r="L68">
        <v>0.10680214516367161</v>
      </c>
      <c r="M68">
        <v>3.2269874704657311</v>
      </c>
      <c r="N68" t="s">
        <v>9</v>
      </c>
      <c r="P68" t="s">
        <v>141</v>
      </c>
    </row>
    <row r="69" spans="1:16" x14ac:dyDescent="0.2">
      <c r="A69" s="7"/>
      <c r="B69" s="8" t="s">
        <v>105</v>
      </c>
      <c r="C69" s="3" t="s">
        <v>140</v>
      </c>
      <c r="D69">
        <v>0.58594947975029632</v>
      </c>
      <c r="E69">
        <v>1.7966961025916399</v>
      </c>
      <c r="F69">
        <v>0.2424802286755145</v>
      </c>
      <c r="G69">
        <v>0.18710499614935411</v>
      </c>
      <c r="H69">
        <v>0.98479396335123859</v>
      </c>
      <c r="I69">
        <v>1.2057538779181769</v>
      </c>
      <c r="J69">
        <v>2.677260213868498</v>
      </c>
      <c r="K69">
        <v>2.4164835333210211</v>
      </c>
      <c r="L69">
        <v>1.5671235043262718E-2</v>
      </c>
      <c r="M69">
        <v>5.9957373073109146</v>
      </c>
      <c r="N69" t="s">
        <v>105</v>
      </c>
      <c r="P69" t="s">
        <v>141</v>
      </c>
    </row>
    <row r="70" spans="1:16" x14ac:dyDescent="0.2">
      <c r="A70" s="7"/>
      <c r="B70" s="8"/>
      <c r="C70" s="3" t="s">
        <v>88</v>
      </c>
      <c r="D70">
        <v>-0.39750904887842031</v>
      </c>
      <c r="E70">
        <v>0.67199186184741944</v>
      </c>
      <c r="F70">
        <v>0.30226752881939339</v>
      </c>
      <c r="G70">
        <v>-0.89469488996665825</v>
      </c>
      <c r="H70">
        <v>9.9676792209817566E-2</v>
      </c>
      <c r="I70">
        <v>0.40873228793990429</v>
      </c>
      <c r="J70">
        <v>1.104813775944111</v>
      </c>
      <c r="K70">
        <v>-1.3150901469007421</v>
      </c>
      <c r="L70">
        <v>0.18847960763484381</v>
      </c>
      <c r="M70">
        <v>2.4075196539162742</v>
      </c>
      <c r="N70" t="s">
        <v>105</v>
      </c>
      <c r="P70" t="s">
        <v>141</v>
      </c>
    </row>
    <row r="71" spans="1:16" x14ac:dyDescent="0.2">
      <c r="A71" s="7"/>
      <c r="B71" s="8"/>
      <c r="C71" s="3" t="s">
        <v>105</v>
      </c>
      <c r="D71">
        <v>-0.19022183321824379</v>
      </c>
      <c r="E71">
        <v>0.82677570728313898</v>
      </c>
      <c r="F71">
        <v>0.35104626642434728</v>
      </c>
      <c r="G71">
        <v>-0.76764155777410414</v>
      </c>
      <c r="H71">
        <v>0.38719789133761651</v>
      </c>
      <c r="I71">
        <v>0.46410634659274957</v>
      </c>
      <c r="J71">
        <v>1.4728479262821901</v>
      </c>
      <c r="K71">
        <v>-0.54187111902880136</v>
      </c>
      <c r="L71">
        <v>0.58790729382466189</v>
      </c>
      <c r="M71">
        <v>0.76633941819991003</v>
      </c>
      <c r="N71" t="s">
        <v>105</v>
      </c>
      <c r="O71">
        <v>0.57277529660649995</v>
      </c>
      <c r="P71" t="s">
        <v>141</v>
      </c>
    </row>
    <row r="72" spans="1:16" x14ac:dyDescent="0.2">
      <c r="A72" s="7"/>
      <c r="B72" s="8"/>
      <c r="C72" s="3" t="s">
        <v>142</v>
      </c>
      <c r="D72">
        <v>2.5791113648929951E-4</v>
      </c>
      <c r="E72">
        <v>1.0002579443984261</v>
      </c>
      <c r="F72">
        <v>5.2756562561263676E-3</v>
      </c>
      <c r="G72">
        <v>-8.4197711909493808E-3</v>
      </c>
      <c r="H72">
        <v>8.935593463927978E-3</v>
      </c>
      <c r="I72">
        <v>0.99161557580838799</v>
      </c>
      <c r="J72">
        <v>1.0089756350554711</v>
      </c>
      <c r="K72">
        <v>4.8887024470140483E-2</v>
      </c>
      <c r="L72">
        <v>0.96100932947133033</v>
      </c>
      <c r="M72">
        <v>5.7377658147764923E-2</v>
      </c>
      <c r="N72" t="s">
        <v>105</v>
      </c>
      <c r="P72" t="s">
        <v>141</v>
      </c>
    </row>
    <row r="73" spans="1:16" x14ac:dyDescent="0.2">
      <c r="A73" s="7"/>
      <c r="B73" s="8"/>
      <c r="C73" s="3" t="s">
        <v>143</v>
      </c>
      <c r="D73">
        <v>5.8315477618135721E-2</v>
      </c>
      <c r="E73">
        <v>1.0600493648132481</v>
      </c>
      <c r="F73">
        <v>0.13350233354025379</v>
      </c>
      <c r="G73">
        <v>-0.161276319912036</v>
      </c>
      <c r="H73">
        <v>0.27790727514830738</v>
      </c>
      <c r="I73">
        <v>0.85105687465317426</v>
      </c>
      <c r="J73">
        <v>1.320363760998825</v>
      </c>
      <c r="K73">
        <v>0.43681242171360513</v>
      </c>
      <c r="L73">
        <v>0.66224738973269792</v>
      </c>
      <c r="M73">
        <v>0.59455784270562251</v>
      </c>
      <c r="N73" t="s">
        <v>105</v>
      </c>
      <c r="P73" t="s">
        <v>141</v>
      </c>
    </row>
    <row r="74" spans="1:16" x14ac:dyDescent="0.2">
      <c r="A74" s="7"/>
      <c r="B74" s="8"/>
      <c r="C74" s="3" t="s">
        <v>144</v>
      </c>
      <c r="D74">
        <v>-0.3801276350754903</v>
      </c>
      <c r="E74">
        <v>0.68377413007982391</v>
      </c>
      <c r="F74">
        <v>0.29172634373291861</v>
      </c>
      <c r="G74">
        <v>-0.85997476964187314</v>
      </c>
      <c r="H74">
        <v>9.9719499490892594E-2</v>
      </c>
      <c r="I74">
        <v>0.42317275898331891</v>
      </c>
      <c r="J74">
        <v>1.104860960544132</v>
      </c>
      <c r="K74">
        <v>-1.303028140041768</v>
      </c>
      <c r="L74">
        <v>0.1925651546868134</v>
      </c>
      <c r="M74">
        <v>2.3765814286147449</v>
      </c>
      <c r="N74" t="s">
        <v>105</v>
      </c>
      <c r="P74" t="s">
        <v>141</v>
      </c>
    </row>
    <row r="75" spans="1:16" x14ac:dyDescent="0.2">
      <c r="A75" s="7"/>
      <c r="B75" s="8" t="s">
        <v>106</v>
      </c>
      <c r="C75" s="3" t="s">
        <v>140</v>
      </c>
      <c r="D75">
        <v>0.53978608219574353</v>
      </c>
      <c r="E75">
        <v>1.715639817024958</v>
      </c>
      <c r="F75">
        <v>0.2388723058038178</v>
      </c>
      <c r="G75">
        <v>0.1468761036160727</v>
      </c>
      <c r="H75">
        <v>0.93269606077541445</v>
      </c>
      <c r="I75">
        <v>1.1582104560527089</v>
      </c>
      <c r="J75">
        <v>2.541351588029074</v>
      </c>
      <c r="K75">
        <v>2.2597265111136902</v>
      </c>
      <c r="L75">
        <v>2.3838229860743961E-2</v>
      </c>
      <c r="M75">
        <v>5.3905790792238468</v>
      </c>
      <c r="N75" t="s">
        <v>106</v>
      </c>
      <c r="P75" t="s">
        <v>141</v>
      </c>
    </row>
    <row r="76" spans="1:16" x14ac:dyDescent="0.2">
      <c r="A76" s="7"/>
      <c r="B76" s="8"/>
      <c r="C76" s="3" t="s">
        <v>88</v>
      </c>
      <c r="D76">
        <v>-0.33951090031076703</v>
      </c>
      <c r="E76">
        <v>0.71211853455447616</v>
      </c>
      <c r="F76">
        <v>0.29642535679823601</v>
      </c>
      <c r="G76">
        <v>-0.82708722356072961</v>
      </c>
      <c r="H76">
        <v>0.14806542293919561</v>
      </c>
      <c r="I76">
        <v>0.43732125198559468</v>
      </c>
      <c r="J76">
        <v>1.1595887575861941</v>
      </c>
      <c r="K76">
        <v>-1.145350397745688</v>
      </c>
      <c r="L76">
        <v>0.25206403687219442</v>
      </c>
      <c r="M76">
        <v>1.9881377979016011</v>
      </c>
      <c r="N76" t="s">
        <v>106</v>
      </c>
      <c r="P76" t="s">
        <v>141</v>
      </c>
    </row>
    <row r="77" spans="1:16" x14ac:dyDescent="0.2">
      <c r="A77" s="7"/>
      <c r="B77" s="8"/>
      <c r="C77" s="3" t="s">
        <v>106</v>
      </c>
      <c r="D77">
        <v>-8.1292454514215254E-2</v>
      </c>
      <c r="E77">
        <v>0.92192403117016852</v>
      </c>
      <c r="F77">
        <v>0.30851865562766739</v>
      </c>
      <c r="G77">
        <v>-0.58876048420557614</v>
      </c>
      <c r="H77">
        <v>0.4261755751771456</v>
      </c>
      <c r="I77">
        <v>0.55501480816926785</v>
      </c>
      <c r="J77">
        <v>1.531389625535611</v>
      </c>
      <c r="K77">
        <v>-0.26349283270675927</v>
      </c>
      <c r="L77">
        <v>0.79217074710367008</v>
      </c>
      <c r="M77">
        <v>0.3361166678024709</v>
      </c>
      <c r="N77" t="s">
        <v>106</v>
      </c>
      <c r="O77">
        <v>0.56460999743780582</v>
      </c>
      <c r="P77" t="s">
        <v>141</v>
      </c>
    </row>
    <row r="78" spans="1:16" x14ac:dyDescent="0.2">
      <c r="A78" s="7"/>
      <c r="B78" s="8"/>
      <c r="C78" s="3" t="s">
        <v>142</v>
      </c>
      <c r="D78">
        <v>-2.0147611742816389E-3</v>
      </c>
      <c r="E78">
        <v>0.99798726709462526</v>
      </c>
      <c r="F78">
        <v>5.1432493081998761E-3</v>
      </c>
      <c r="G78">
        <v>-1.0474653453189859E-2</v>
      </c>
      <c r="H78">
        <v>6.4451311046265763E-3</v>
      </c>
      <c r="I78">
        <v>0.98958001468618995</v>
      </c>
      <c r="J78">
        <v>1.00646594565558</v>
      </c>
      <c r="K78">
        <v>-0.39172924615369281</v>
      </c>
      <c r="L78">
        <v>0.69525827829834763</v>
      </c>
      <c r="M78">
        <v>0.5243790773378797</v>
      </c>
      <c r="N78" t="s">
        <v>106</v>
      </c>
      <c r="P78" t="s">
        <v>141</v>
      </c>
    </row>
    <row r="79" spans="1:16" x14ac:dyDescent="0.2">
      <c r="A79" s="7"/>
      <c r="B79" s="8"/>
      <c r="C79" s="3" t="s">
        <v>143</v>
      </c>
      <c r="D79">
        <v>1.7427560455774468E-2</v>
      </c>
      <c r="E79">
        <v>1.0175803064272171</v>
      </c>
      <c r="F79">
        <v>0.13241538595723401</v>
      </c>
      <c r="G79">
        <v>-0.2003763674001609</v>
      </c>
      <c r="H79">
        <v>0.23523148831170981</v>
      </c>
      <c r="I79">
        <v>0.81842266749333614</v>
      </c>
      <c r="J79">
        <v>1.265201614222079</v>
      </c>
      <c r="K79">
        <v>0.1316128056402979</v>
      </c>
      <c r="L79">
        <v>0.89529055620532982</v>
      </c>
      <c r="M79">
        <v>0.1595721265121354</v>
      </c>
      <c r="N79" t="s">
        <v>106</v>
      </c>
      <c r="P79" t="s">
        <v>141</v>
      </c>
    </row>
    <row r="80" spans="1:16" x14ac:dyDescent="0.2">
      <c r="A80" s="7"/>
      <c r="B80" s="8"/>
      <c r="C80" s="3" t="s">
        <v>144</v>
      </c>
      <c r="D80">
        <v>-0.43359835405616048</v>
      </c>
      <c r="E80">
        <v>0.64817253908215655</v>
      </c>
      <c r="F80">
        <v>0.29348091223220862</v>
      </c>
      <c r="G80">
        <v>-0.91633149698233551</v>
      </c>
      <c r="H80">
        <v>4.9134788870014427E-2</v>
      </c>
      <c r="I80">
        <v>0.39998369428908209</v>
      </c>
      <c r="J80">
        <v>1.0503619182950219</v>
      </c>
      <c r="K80">
        <v>-1.4774328959189269</v>
      </c>
      <c r="L80">
        <v>0.13955963361428439</v>
      </c>
      <c r="M80">
        <v>2.841046379742787</v>
      </c>
      <c r="N80" t="s">
        <v>106</v>
      </c>
      <c r="P80" t="s">
        <v>141</v>
      </c>
    </row>
    <row r="81" spans="1:16" x14ac:dyDescent="0.2">
      <c r="A81" s="7"/>
      <c r="B81" s="8" t="s">
        <v>107</v>
      </c>
      <c r="C81" s="3" t="s">
        <v>140</v>
      </c>
      <c r="D81">
        <v>0.36746317782942128</v>
      </c>
      <c r="E81">
        <v>1.4440666238830011</v>
      </c>
      <c r="F81">
        <v>0.23421388515242189</v>
      </c>
      <c r="G81">
        <v>-1.778438064593529E-2</v>
      </c>
      <c r="H81">
        <v>0.75271073630477803</v>
      </c>
      <c r="I81">
        <v>0.98237282811849724</v>
      </c>
      <c r="J81">
        <v>2.1227464304023989</v>
      </c>
      <c r="K81">
        <v>1.5689214052799789</v>
      </c>
      <c r="L81">
        <v>0.1166662535385896</v>
      </c>
      <c r="M81">
        <v>3.0995407822841998</v>
      </c>
      <c r="N81" t="s">
        <v>107</v>
      </c>
      <c r="P81" t="s">
        <v>141</v>
      </c>
    </row>
    <row r="82" spans="1:16" x14ac:dyDescent="0.2">
      <c r="A82" s="7"/>
      <c r="B82" s="8"/>
      <c r="C82" s="3" t="s">
        <v>88</v>
      </c>
      <c r="D82">
        <v>-0.24952456036640061</v>
      </c>
      <c r="E82">
        <v>0.77917114386547892</v>
      </c>
      <c r="F82">
        <v>0.29625647282382012</v>
      </c>
      <c r="G82">
        <v>-0.73682309419851122</v>
      </c>
      <c r="H82">
        <v>0.23777397346571011</v>
      </c>
      <c r="I82">
        <v>0.47863207172999661</v>
      </c>
      <c r="J82">
        <v>1.2684224632884971</v>
      </c>
      <c r="K82">
        <v>-0.8422585943456824</v>
      </c>
      <c r="L82">
        <v>0.39964322223155618</v>
      </c>
      <c r="M82">
        <v>1.3232154729006509</v>
      </c>
      <c r="N82" t="s">
        <v>107</v>
      </c>
      <c r="P82" t="s">
        <v>141</v>
      </c>
    </row>
    <row r="83" spans="1:16" x14ac:dyDescent="0.2">
      <c r="A83" s="7"/>
      <c r="B83" s="8"/>
      <c r="C83" s="3" t="s">
        <v>107</v>
      </c>
      <c r="D83">
        <v>-0.1484858099636352</v>
      </c>
      <c r="E83">
        <v>0.86201223906873226</v>
      </c>
      <c r="F83">
        <v>0.3314006117044444</v>
      </c>
      <c r="G83">
        <v>-0.69359130809962699</v>
      </c>
      <c r="H83">
        <v>0.39661968817235671</v>
      </c>
      <c r="I83">
        <v>0.49977798553517749</v>
      </c>
      <c r="J83">
        <v>1.486790378548972</v>
      </c>
      <c r="K83">
        <v>-0.44805532856427088</v>
      </c>
      <c r="L83">
        <v>0.654113266381676</v>
      </c>
      <c r="M83">
        <v>0.61238762017566706</v>
      </c>
      <c r="N83" t="s">
        <v>107</v>
      </c>
      <c r="O83">
        <v>0.55719765749948891</v>
      </c>
      <c r="P83" t="s">
        <v>141</v>
      </c>
    </row>
    <row r="84" spans="1:16" x14ac:dyDescent="0.2">
      <c r="A84" s="7"/>
      <c r="B84" s="8"/>
      <c r="C84" s="3" t="s">
        <v>142</v>
      </c>
      <c r="D84">
        <v>5.1429963115346832E-4</v>
      </c>
      <c r="E84">
        <v>1.0005144319058841</v>
      </c>
      <c r="F84">
        <v>5.2471902488633194E-3</v>
      </c>
      <c r="G84">
        <v>-8.1165602809937579E-3</v>
      </c>
      <c r="H84">
        <v>9.145159543300696E-3</v>
      </c>
      <c r="I84">
        <v>0.99191629005707171</v>
      </c>
      <c r="J84">
        <v>1.009187104281106</v>
      </c>
      <c r="K84">
        <v>9.801429084163267E-2</v>
      </c>
      <c r="L84">
        <v>0.92192094555807436</v>
      </c>
      <c r="M84">
        <v>0.11728504959188719</v>
      </c>
      <c r="N84" t="s">
        <v>107</v>
      </c>
      <c r="P84" t="s">
        <v>141</v>
      </c>
    </row>
    <row r="85" spans="1:16" x14ac:dyDescent="0.2">
      <c r="A85" s="7"/>
      <c r="B85" s="8"/>
      <c r="C85" s="3" t="s">
        <v>143</v>
      </c>
      <c r="D85">
        <v>3.8797368913607563E-2</v>
      </c>
      <c r="E85">
        <v>1.039559815172169</v>
      </c>
      <c r="F85">
        <v>0.13291655375715619</v>
      </c>
      <c r="G85">
        <v>-0.17983090661574119</v>
      </c>
      <c r="H85">
        <v>0.25742564444295629</v>
      </c>
      <c r="I85">
        <v>0.83541146202002536</v>
      </c>
      <c r="J85">
        <v>1.2935956213812281</v>
      </c>
      <c r="K85">
        <v>0.29189267865379559</v>
      </c>
      <c r="L85">
        <v>0.77036868144263693</v>
      </c>
      <c r="M85">
        <v>0.37637904181738702</v>
      </c>
      <c r="N85" t="s">
        <v>107</v>
      </c>
      <c r="P85" t="s">
        <v>141</v>
      </c>
    </row>
    <row r="86" spans="1:16" x14ac:dyDescent="0.2">
      <c r="A86" s="7"/>
      <c r="B86" s="8"/>
      <c r="C86" s="3" t="s">
        <v>144</v>
      </c>
      <c r="D86">
        <v>-0.41568761819509609</v>
      </c>
      <c r="E86">
        <v>0.65988637478788359</v>
      </c>
      <c r="F86">
        <v>0.29159326294620758</v>
      </c>
      <c r="G86">
        <v>-0.89531585434677985</v>
      </c>
      <c r="H86">
        <v>6.3940617956587731E-2</v>
      </c>
      <c r="I86">
        <v>0.4084785585347025</v>
      </c>
      <c r="J86">
        <v>1.0660290938960051</v>
      </c>
      <c r="K86">
        <v>-1.4255734648841361</v>
      </c>
      <c r="L86">
        <v>0.1539915002249144</v>
      </c>
      <c r="M86">
        <v>2.6990773733294171</v>
      </c>
      <c r="N86" t="s">
        <v>107</v>
      </c>
      <c r="P86" t="s">
        <v>141</v>
      </c>
    </row>
    <row r="87" spans="1:16" x14ac:dyDescent="0.2">
      <c r="A87" s="7"/>
      <c r="B87" s="8" t="s">
        <v>108</v>
      </c>
      <c r="C87" s="3" t="s">
        <v>140</v>
      </c>
      <c r="D87">
        <v>0.4773701105818367</v>
      </c>
      <c r="E87">
        <v>1.611829888970173</v>
      </c>
      <c r="F87">
        <v>0.23392292453414359</v>
      </c>
      <c r="G87">
        <v>9.26011397347552E-2</v>
      </c>
      <c r="H87">
        <v>0.86213908142891826</v>
      </c>
      <c r="I87">
        <v>1.0970240886749769</v>
      </c>
      <c r="J87">
        <v>2.3682210972372979</v>
      </c>
      <c r="K87">
        <v>2.0407153832080249</v>
      </c>
      <c r="L87">
        <v>4.1279125412028272E-2</v>
      </c>
      <c r="M87">
        <v>4.5984437853191817</v>
      </c>
      <c r="N87" t="s">
        <v>108</v>
      </c>
      <c r="P87" t="s">
        <v>141</v>
      </c>
    </row>
    <row r="88" spans="1:16" x14ac:dyDescent="0.2">
      <c r="A88" s="7"/>
      <c r="B88" s="8"/>
      <c r="C88" s="3" t="s">
        <v>88</v>
      </c>
      <c r="D88">
        <v>-0.39820174287954779</v>
      </c>
      <c r="E88">
        <v>0.67152653829793307</v>
      </c>
      <c r="F88">
        <v>0.29335488150234362</v>
      </c>
      <c r="G88">
        <v>-0.88072758370259696</v>
      </c>
      <c r="H88">
        <v>8.4324097943501319E-2</v>
      </c>
      <c r="I88">
        <v>0.4144812321567875</v>
      </c>
      <c r="J88">
        <v>1.087981449224759</v>
      </c>
      <c r="K88">
        <v>-1.357406227025292</v>
      </c>
      <c r="L88">
        <v>0.17465217074148551</v>
      </c>
      <c r="M88">
        <v>2.517443520871939</v>
      </c>
      <c r="N88" t="s">
        <v>108</v>
      </c>
      <c r="P88" t="s">
        <v>141</v>
      </c>
    </row>
    <row r="89" spans="1:16" x14ac:dyDescent="0.2">
      <c r="A89" s="7"/>
      <c r="B89" s="8"/>
      <c r="C89" s="3" t="s">
        <v>108</v>
      </c>
      <c r="D89">
        <v>0.89783069243858526</v>
      </c>
      <c r="E89">
        <v>2.4542732586646379</v>
      </c>
      <c r="F89">
        <v>0.36167717001422112</v>
      </c>
      <c r="G89">
        <v>0.30292468755514951</v>
      </c>
      <c r="H89">
        <v>1.4927366973220211</v>
      </c>
      <c r="I89">
        <v>1.353812501673433</v>
      </c>
      <c r="J89">
        <v>4.4492551374365412</v>
      </c>
      <c r="K89">
        <v>2.482409084331429</v>
      </c>
      <c r="L89">
        <v>1.304973638062064E-2</v>
      </c>
      <c r="M89">
        <v>6.2598355267506554</v>
      </c>
      <c r="N89" t="s">
        <v>108</v>
      </c>
      <c r="O89">
        <v>0.57076753666651048</v>
      </c>
      <c r="P89" t="s">
        <v>141</v>
      </c>
    </row>
    <row r="90" spans="1:16" x14ac:dyDescent="0.2">
      <c r="A90" s="7"/>
      <c r="B90" s="8"/>
      <c r="C90" s="3" t="s">
        <v>142</v>
      </c>
      <c r="D90">
        <v>-1.446011376652546E-3</v>
      </c>
      <c r="E90">
        <v>0.99855503359405762</v>
      </c>
      <c r="F90">
        <v>5.2030364589200429E-3</v>
      </c>
      <c r="G90">
        <v>-1.000424476726792E-2</v>
      </c>
      <c r="H90">
        <v>7.1122220139628297E-3</v>
      </c>
      <c r="I90">
        <v>0.99004563122695943</v>
      </c>
      <c r="J90">
        <v>1.0071375739321351</v>
      </c>
      <c r="K90">
        <v>-0.27791682569771647</v>
      </c>
      <c r="L90">
        <v>0.78107620747963369</v>
      </c>
      <c r="M90">
        <v>0.35646477982446639</v>
      </c>
      <c r="N90" t="s">
        <v>108</v>
      </c>
      <c r="P90" t="s">
        <v>141</v>
      </c>
    </row>
    <row r="91" spans="1:16" x14ac:dyDescent="0.2">
      <c r="A91" s="7"/>
      <c r="B91" s="8"/>
      <c r="C91" s="3" t="s">
        <v>143</v>
      </c>
      <c r="D91">
        <v>8.2107633268630562E-2</v>
      </c>
      <c r="E91">
        <v>1.0855726472739999</v>
      </c>
      <c r="F91">
        <v>0.1307062163426691</v>
      </c>
      <c r="G91">
        <v>-0.13288496074771239</v>
      </c>
      <c r="H91">
        <v>0.29710022728497359</v>
      </c>
      <c r="I91">
        <v>0.87556581075155893</v>
      </c>
      <c r="J91">
        <v>1.345950193621563</v>
      </c>
      <c r="K91">
        <v>0.62818460794068975</v>
      </c>
      <c r="L91">
        <v>0.52988301226764234</v>
      </c>
      <c r="M91">
        <v>0.91625421870460755</v>
      </c>
      <c r="N91" t="s">
        <v>108</v>
      </c>
      <c r="P91" t="s">
        <v>141</v>
      </c>
    </row>
    <row r="92" spans="1:16" x14ac:dyDescent="0.2">
      <c r="A92" s="7"/>
      <c r="B92" s="8"/>
      <c r="C92" s="3" t="s">
        <v>144</v>
      </c>
      <c r="D92">
        <v>-0.54501085955629058</v>
      </c>
      <c r="E92">
        <v>0.57983548654955075</v>
      </c>
      <c r="F92">
        <v>0.29684817336858921</v>
      </c>
      <c r="G92">
        <v>-1.033282654175534</v>
      </c>
      <c r="H92">
        <v>-5.673906493704739E-2</v>
      </c>
      <c r="I92">
        <v>0.3558369515974088</v>
      </c>
      <c r="J92">
        <v>0.94484057923961406</v>
      </c>
      <c r="K92">
        <v>-1.835991959699762</v>
      </c>
      <c r="L92">
        <v>6.6358845797397578E-2</v>
      </c>
      <c r="M92">
        <v>3.9135673965619011</v>
      </c>
      <c r="N92" t="s">
        <v>108</v>
      </c>
      <c r="P92" t="s">
        <v>141</v>
      </c>
    </row>
    <row r="93" spans="1:16" x14ac:dyDescent="0.2">
      <c r="A93" s="7"/>
      <c r="B93" s="8" t="s">
        <v>109</v>
      </c>
      <c r="C93" s="3" t="s">
        <v>140</v>
      </c>
      <c r="D93">
        <v>0.58279523545339107</v>
      </c>
      <c r="E93">
        <v>1.791037812662452</v>
      </c>
      <c r="F93">
        <v>0.2421666471868836</v>
      </c>
      <c r="G93">
        <v>0.18446654750136801</v>
      </c>
      <c r="H93">
        <v>0.9811239234054141</v>
      </c>
      <c r="I93">
        <v>1.20257675141485</v>
      </c>
      <c r="J93">
        <v>2.6674525701687282</v>
      </c>
      <c r="K93">
        <v>2.4065875388844908</v>
      </c>
      <c r="L93">
        <v>1.6102344417960421E-2</v>
      </c>
      <c r="M93">
        <v>5.9565854372154483</v>
      </c>
      <c r="N93" t="s">
        <v>109</v>
      </c>
      <c r="P93" t="s">
        <v>141</v>
      </c>
    </row>
    <row r="94" spans="1:16" x14ac:dyDescent="0.2">
      <c r="A94" s="7"/>
      <c r="B94" s="8"/>
      <c r="C94" s="3" t="s">
        <v>88</v>
      </c>
      <c r="D94">
        <v>-0.2397516405555303</v>
      </c>
      <c r="E94">
        <v>0.78682325178769341</v>
      </c>
      <c r="F94">
        <v>0.34155722298508312</v>
      </c>
      <c r="G94">
        <v>-0.80156327759401691</v>
      </c>
      <c r="H94">
        <v>0.32205999648295619</v>
      </c>
      <c r="I94">
        <v>0.44862708697262071</v>
      </c>
      <c r="J94">
        <v>1.3799675666742399</v>
      </c>
      <c r="K94">
        <v>-0.70193696523291227</v>
      </c>
      <c r="L94">
        <v>0.48271847487323932</v>
      </c>
      <c r="M94">
        <v>1.05074605141136</v>
      </c>
      <c r="N94" t="s">
        <v>109</v>
      </c>
      <c r="P94" t="s">
        <v>141</v>
      </c>
    </row>
    <row r="95" spans="1:16" x14ac:dyDescent="0.2">
      <c r="A95" s="7"/>
      <c r="B95" s="8"/>
      <c r="C95" s="3" t="s">
        <v>109</v>
      </c>
      <c r="D95">
        <v>-0.50376468106863348</v>
      </c>
      <c r="E95">
        <v>0.60425155795785734</v>
      </c>
      <c r="F95">
        <v>0.37692390370749163</v>
      </c>
      <c r="G95">
        <v>-1.123749331166608</v>
      </c>
      <c r="H95">
        <v>0.1162199690293414</v>
      </c>
      <c r="I95">
        <v>0.32505875409307822</v>
      </c>
      <c r="J95">
        <v>1.1232429236160439</v>
      </c>
      <c r="K95">
        <v>-1.336515609950744</v>
      </c>
      <c r="L95">
        <v>0.18138080177592439</v>
      </c>
      <c r="M95">
        <v>2.4629063327828788</v>
      </c>
      <c r="N95" t="s">
        <v>109</v>
      </c>
      <c r="O95">
        <v>0.56518527344215419</v>
      </c>
      <c r="P95" t="s">
        <v>141</v>
      </c>
    </row>
    <row r="96" spans="1:16" x14ac:dyDescent="0.2">
      <c r="A96" s="7"/>
      <c r="B96" s="8"/>
      <c r="C96" s="3" t="s">
        <v>142</v>
      </c>
      <c r="D96">
        <v>-1.091208475150115E-3</v>
      </c>
      <c r="E96">
        <v>0.99890938667632023</v>
      </c>
      <c r="F96">
        <v>5.2167800632328997E-3</v>
      </c>
      <c r="G96">
        <v>-9.6720480831668787E-3</v>
      </c>
      <c r="H96">
        <v>7.4896311328666492E-3</v>
      </c>
      <c r="I96">
        <v>0.99037457573687449</v>
      </c>
      <c r="J96">
        <v>1.007517748572704</v>
      </c>
      <c r="K96">
        <v>-0.2091727966146765</v>
      </c>
      <c r="L96">
        <v>0.83431334784526212</v>
      </c>
      <c r="M96">
        <v>0.26133876819654828</v>
      </c>
      <c r="N96" t="s">
        <v>109</v>
      </c>
      <c r="P96" t="s">
        <v>141</v>
      </c>
    </row>
    <row r="97" spans="1:16" x14ac:dyDescent="0.2">
      <c r="A97" s="7"/>
      <c r="B97" s="8"/>
      <c r="C97" s="3" t="s">
        <v>143</v>
      </c>
      <c r="D97">
        <v>9.794897389493773E-2</v>
      </c>
      <c r="E97">
        <v>1.102906506649403</v>
      </c>
      <c r="F97">
        <v>0.13171555247959979</v>
      </c>
      <c r="G97">
        <v>-0.1187038303270489</v>
      </c>
      <c r="H97">
        <v>0.31460177811692441</v>
      </c>
      <c r="I97">
        <v>0.88807078144947493</v>
      </c>
      <c r="J97">
        <v>1.369713752347784</v>
      </c>
      <c r="K97">
        <v>0.74364015525128013</v>
      </c>
      <c r="L97">
        <v>0.45709420323529643</v>
      </c>
      <c r="M97">
        <v>1.129436571759721</v>
      </c>
      <c r="N97" t="s">
        <v>109</v>
      </c>
      <c r="P97" t="s">
        <v>141</v>
      </c>
    </row>
    <row r="98" spans="1:16" x14ac:dyDescent="0.2">
      <c r="A98" s="7"/>
      <c r="B98" s="8"/>
      <c r="C98" s="3" t="s">
        <v>144</v>
      </c>
      <c r="D98">
        <v>-0.44721936345933277</v>
      </c>
      <c r="E98">
        <v>0.63940363109709253</v>
      </c>
      <c r="F98">
        <v>0.30991338526330992</v>
      </c>
      <c r="G98">
        <v>-0.9569815192504969</v>
      </c>
      <c r="H98">
        <v>6.2542792331831354E-2</v>
      </c>
      <c r="I98">
        <v>0.38405038684874759</v>
      </c>
      <c r="J98">
        <v>1.064540012092634</v>
      </c>
      <c r="K98">
        <v>-1.443046298498416</v>
      </c>
      <c r="L98">
        <v>0.14900742942136419</v>
      </c>
      <c r="M98">
        <v>2.7465438304942329</v>
      </c>
      <c r="N98" t="s">
        <v>109</v>
      </c>
      <c r="P98" t="s">
        <v>141</v>
      </c>
    </row>
    <row r="99" spans="1:16" x14ac:dyDescent="0.2">
      <c r="A99" s="7"/>
      <c r="B99" s="8" t="s">
        <v>110</v>
      </c>
      <c r="C99" s="3" t="s">
        <v>140</v>
      </c>
      <c r="D99">
        <v>0.38664088868896868</v>
      </c>
      <c r="E99">
        <v>1.472027774520752</v>
      </c>
      <c r="F99">
        <v>0.24487334748209569</v>
      </c>
      <c r="G99">
        <v>-1.61399250607045E-2</v>
      </c>
      <c r="H99">
        <v>0.78942170243864196</v>
      </c>
      <c r="I99">
        <v>0.98398962561396164</v>
      </c>
      <c r="J99">
        <v>2.2021225758437222</v>
      </c>
      <c r="K99">
        <v>1.57894230901237</v>
      </c>
      <c r="L99">
        <v>0.1143492903279812</v>
      </c>
      <c r="M99">
        <v>3.1284806827318241</v>
      </c>
      <c r="N99" t="s">
        <v>110</v>
      </c>
      <c r="P99" t="s">
        <v>141</v>
      </c>
    </row>
    <row r="100" spans="1:16" x14ac:dyDescent="0.2">
      <c r="A100" s="7"/>
      <c r="B100" s="8"/>
      <c r="C100" s="3" t="s">
        <v>88</v>
      </c>
      <c r="D100">
        <v>-0.22545625013668111</v>
      </c>
      <c r="E100">
        <v>0.79815197872402743</v>
      </c>
      <c r="F100">
        <v>0.29722813469621551</v>
      </c>
      <c r="G100">
        <v>-0.71435302552377178</v>
      </c>
      <c r="H100">
        <v>0.26344052525040951</v>
      </c>
      <c r="I100">
        <v>0.48950870901075122</v>
      </c>
      <c r="J100">
        <v>1.301399892207207</v>
      </c>
      <c r="K100">
        <v>-0.75852930398769491</v>
      </c>
      <c r="L100">
        <v>0.44813417695012542</v>
      </c>
      <c r="M100">
        <v>1.1579973370730989</v>
      </c>
      <c r="N100" t="s">
        <v>110</v>
      </c>
      <c r="P100" t="s">
        <v>141</v>
      </c>
    </row>
    <row r="101" spans="1:16" x14ac:dyDescent="0.2">
      <c r="A101" s="7"/>
      <c r="B101" s="8"/>
      <c r="C101" s="3" t="s">
        <v>110</v>
      </c>
      <c r="D101">
        <v>0.43276232782249058</v>
      </c>
      <c r="E101">
        <v>1.5415098031671599</v>
      </c>
      <c r="F101">
        <v>0.33998596180041118</v>
      </c>
      <c r="G101">
        <v>-0.12646481455750039</v>
      </c>
      <c r="H101">
        <v>0.99198947020248152</v>
      </c>
      <c r="I101">
        <v>0.88120515459134641</v>
      </c>
      <c r="J101">
        <v>2.6965939326154178</v>
      </c>
      <c r="K101">
        <v>1.272882931785706</v>
      </c>
      <c r="L101">
        <v>0.20305958678589589</v>
      </c>
      <c r="M101">
        <v>2.3000249539488031</v>
      </c>
      <c r="N101" t="s">
        <v>110</v>
      </c>
      <c r="O101">
        <v>0.54388683162640805</v>
      </c>
      <c r="P101" t="s">
        <v>141</v>
      </c>
    </row>
    <row r="102" spans="1:16" x14ac:dyDescent="0.2">
      <c r="A102" s="7"/>
      <c r="B102" s="8"/>
      <c r="C102" s="3" t="s">
        <v>142</v>
      </c>
      <c r="D102">
        <v>-9.9648893079407681E-4</v>
      </c>
      <c r="E102">
        <v>0.9990040073994243</v>
      </c>
      <c r="F102">
        <v>5.6782468220217099E-3</v>
      </c>
      <c r="G102">
        <v>-1.0336373810722161E-2</v>
      </c>
      <c r="H102">
        <v>8.3433959491340005E-3</v>
      </c>
      <c r="I102">
        <v>0.98971686291825822</v>
      </c>
      <c r="J102">
        <v>1.0083782990798</v>
      </c>
      <c r="K102">
        <v>-0.1754923591784413</v>
      </c>
      <c r="L102">
        <v>0.86069277410962608</v>
      </c>
      <c r="M102">
        <v>0.21642973806145119</v>
      </c>
      <c r="N102" t="s">
        <v>110</v>
      </c>
      <c r="P102" t="s">
        <v>141</v>
      </c>
    </row>
    <row r="103" spans="1:16" x14ac:dyDescent="0.2">
      <c r="A103" s="7"/>
      <c r="B103" s="8"/>
      <c r="C103" s="3" t="s">
        <v>143</v>
      </c>
      <c r="D103">
        <v>1.239615483432807E-2</v>
      </c>
      <c r="E103">
        <v>1.0124733056231201</v>
      </c>
      <c r="F103">
        <v>0.13992726825657381</v>
      </c>
      <c r="G103">
        <v>-0.21776371986690901</v>
      </c>
      <c r="H103">
        <v>0.2425560295355651</v>
      </c>
      <c r="I103">
        <v>0.80431546298118506</v>
      </c>
      <c r="J103">
        <v>1.2745026569548721</v>
      </c>
      <c r="K103">
        <v>8.8589986703650897E-2</v>
      </c>
      <c r="L103">
        <v>0.92940776624764421</v>
      </c>
      <c r="M103">
        <v>0.10561639464798871</v>
      </c>
      <c r="N103" t="s">
        <v>110</v>
      </c>
      <c r="P103" t="s">
        <v>141</v>
      </c>
    </row>
    <row r="104" spans="1:16" x14ac:dyDescent="0.2">
      <c r="A104" s="7"/>
      <c r="B104" s="8"/>
      <c r="C104" s="3" t="s">
        <v>144</v>
      </c>
      <c r="D104">
        <v>-0.31370365938912143</v>
      </c>
      <c r="E104">
        <v>0.73073554269392826</v>
      </c>
      <c r="F104">
        <v>0.31550079683961768</v>
      </c>
      <c r="G104">
        <v>-0.8326562893768461</v>
      </c>
      <c r="H104">
        <v>0.2052489705986032</v>
      </c>
      <c r="I104">
        <v>0.43489255022754603</v>
      </c>
      <c r="J104">
        <v>1.227830720661464</v>
      </c>
      <c r="K104">
        <v>-0.99430385764949492</v>
      </c>
      <c r="L104">
        <v>0.32007495819468379</v>
      </c>
      <c r="M104">
        <v>1.6435182861749851</v>
      </c>
      <c r="N104" t="s">
        <v>110</v>
      </c>
      <c r="P104" t="s">
        <v>141</v>
      </c>
    </row>
    <row r="105" spans="1:16" x14ac:dyDescent="0.2">
      <c r="A105" s="7"/>
      <c r="B105" s="3" t="s">
        <v>99</v>
      </c>
      <c r="C105" s="3" t="s">
        <v>99</v>
      </c>
      <c r="D105">
        <v>-0.69917560907460008</v>
      </c>
      <c r="E105">
        <v>0.49699485300067309</v>
      </c>
      <c r="F105">
        <v>0.32400516189070722</v>
      </c>
      <c r="G105">
        <v>-1.2321166747615291</v>
      </c>
      <c r="H105">
        <v>-0.16623454338767149</v>
      </c>
      <c r="I105">
        <v>0.29167454367793683</v>
      </c>
      <c r="J105">
        <v>0.84684758839255814</v>
      </c>
      <c r="K105">
        <v>-2.1579150313365831</v>
      </c>
      <c r="L105">
        <v>3.093443860766764E-2</v>
      </c>
      <c r="M105">
        <v>5.0146423373419386</v>
      </c>
      <c r="N105" t="s">
        <v>99</v>
      </c>
      <c r="O105">
        <v>0.56217187390624634</v>
      </c>
      <c r="P105" t="s">
        <v>145</v>
      </c>
    </row>
    <row r="106" spans="1:16" x14ac:dyDescent="0.2">
      <c r="A106" s="7"/>
      <c r="B106" s="3" t="s">
        <v>100</v>
      </c>
      <c r="C106" s="3" t="s">
        <v>100</v>
      </c>
      <c r="D106">
        <v>-0.33816623479054059</v>
      </c>
      <c r="E106">
        <v>0.71307673988265918</v>
      </c>
      <c r="F106">
        <v>0.27506208048436293</v>
      </c>
      <c r="G106">
        <v>-0.79060309551206265</v>
      </c>
      <c r="H106">
        <v>0.1142706259309815</v>
      </c>
      <c r="I106">
        <v>0.45357116604372472</v>
      </c>
      <c r="J106">
        <v>1.1210554705160951</v>
      </c>
      <c r="K106">
        <v>-1.2294178615789431</v>
      </c>
      <c r="L106">
        <v>0.21891517676419231</v>
      </c>
      <c r="M106">
        <v>2.1915561189731401</v>
      </c>
      <c r="N106" t="s">
        <v>100</v>
      </c>
      <c r="O106">
        <v>0.5409343530305909</v>
      </c>
      <c r="P106" t="s">
        <v>145</v>
      </c>
    </row>
    <row r="107" spans="1:16" x14ac:dyDescent="0.2">
      <c r="A107" s="7"/>
      <c r="B107" s="3" t="s">
        <v>374</v>
      </c>
      <c r="C107" s="3" t="s">
        <v>374</v>
      </c>
      <c r="D107">
        <v>-0.50668553721164256</v>
      </c>
      <c r="E107">
        <v>0.60248920113120241</v>
      </c>
      <c r="F107">
        <v>0.3171725644748149</v>
      </c>
      <c r="G107">
        <v>-1.0283879802575411</v>
      </c>
      <c r="H107">
        <v>1.50169058342563E-2</v>
      </c>
      <c r="I107">
        <v>0.3575829269476406</v>
      </c>
      <c r="J107">
        <v>1.0151302260940049</v>
      </c>
      <c r="K107">
        <v>-1.597507457968913</v>
      </c>
      <c r="L107">
        <v>0.1101526365774429</v>
      </c>
      <c r="M107">
        <v>3.1824240675591571</v>
      </c>
      <c r="N107" t="s">
        <v>374</v>
      </c>
      <c r="O107">
        <v>0.56197481550040185</v>
      </c>
      <c r="P107" t="s">
        <v>145</v>
      </c>
    </row>
    <row r="108" spans="1:16" x14ac:dyDescent="0.2">
      <c r="A108" s="7"/>
      <c r="B108" s="3" t="s">
        <v>101</v>
      </c>
      <c r="C108" s="3" t="s">
        <v>101</v>
      </c>
      <c r="D108">
        <v>-0.37445035448783093</v>
      </c>
      <c r="E108">
        <v>0.68766714809619234</v>
      </c>
      <c r="F108">
        <v>0.30510890809698271</v>
      </c>
      <c r="G108">
        <v>-0.87630984858635608</v>
      </c>
      <c r="H108">
        <v>0.12740913961069439</v>
      </c>
      <c r="I108">
        <v>0.41631635100101699</v>
      </c>
      <c r="J108">
        <v>1.1358816569027701</v>
      </c>
      <c r="K108">
        <v>-1.227267852726238</v>
      </c>
      <c r="L108">
        <v>0.21972193407799329</v>
      </c>
      <c r="M108">
        <v>2.1862491986990888</v>
      </c>
      <c r="N108" t="s">
        <v>101</v>
      </c>
      <c r="O108">
        <v>0.54993382264468771</v>
      </c>
      <c r="P108" t="s">
        <v>145</v>
      </c>
    </row>
    <row r="109" spans="1:16" x14ac:dyDescent="0.2">
      <c r="A109" s="7"/>
      <c r="B109" s="3" t="s">
        <v>102</v>
      </c>
      <c r="C109" s="3" t="s">
        <v>102</v>
      </c>
      <c r="D109">
        <v>-0.7933273738116009</v>
      </c>
      <c r="E109">
        <v>0.4523371935641799</v>
      </c>
      <c r="F109">
        <v>0.31624108982102039</v>
      </c>
      <c r="G109">
        <v>-1.3134976773947931</v>
      </c>
      <c r="H109">
        <v>-0.27315707022840929</v>
      </c>
      <c r="I109">
        <v>0.26887796140541059</v>
      </c>
      <c r="J109">
        <v>0.76097325199893084</v>
      </c>
      <c r="K109">
        <v>-2.508615734472051</v>
      </c>
      <c r="L109">
        <v>1.212052558623262E-2</v>
      </c>
      <c r="M109">
        <v>6.3664039295603319</v>
      </c>
      <c r="N109" t="s">
        <v>102</v>
      </c>
      <c r="O109">
        <v>0.5677192557124674</v>
      </c>
      <c r="P109" t="s">
        <v>145</v>
      </c>
    </row>
    <row r="110" spans="1:16" x14ac:dyDescent="0.2">
      <c r="A110" s="7"/>
      <c r="B110" s="3" t="s">
        <v>49</v>
      </c>
      <c r="C110" s="3" t="s">
        <v>49</v>
      </c>
      <c r="D110">
        <v>-0.61689856626507455</v>
      </c>
      <c r="E110">
        <v>0.53961542651222438</v>
      </c>
      <c r="F110">
        <v>0.31226245988282803</v>
      </c>
      <c r="G110">
        <v>-1.130524605964133</v>
      </c>
      <c r="H110">
        <v>-0.1032725265660164</v>
      </c>
      <c r="I110">
        <v>0.32286383569276872</v>
      </c>
      <c r="J110">
        <v>0.90188115341309383</v>
      </c>
      <c r="K110">
        <v>-1.97557710426209</v>
      </c>
      <c r="L110">
        <v>4.8202693904936617E-2</v>
      </c>
      <c r="M110">
        <v>4.3747424131392254</v>
      </c>
      <c r="N110" t="s">
        <v>49</v>
      </c>
      <c r="O110">
        <v>0.55703632647001722</v>
      </c>
      <c r="P110" t="s">
        <v>145</v>
      </c>
    </row>
    <row r="111" spans="1:16" x14ac:dyDescent="0.2">
      <c r="A111" s="7"/>
      <c r="B111" s="3" t="s">
        <v>103</v>
      </c>
      <c r="C111" s="3" t="s">
        <v>103</v>
      </c>
      <c r="D111">
        <v>0.30084006073051978</v>
      </c>
      <c r="E111">
        <v>1.3509932473844459</v>
      </c>
      <c r="F111">
        <v>0.32765453768361991</v>
      </c>
      <c r="G111">
        <v>-0.23810369396549</v>
      </c>
      <c r="H111">
        <v>0.83978381542652969</v>
      </c>
      <c r="I111">
        <v>0.788120963468525</v>
      </c>
      <c r="J111">
        <v>2.3158662680989122</v>
      </c>
      <c r="K111">
        <v>0.91816235129027324</v>
      </c>
      <c r="L111">
        <v>0.35853387577733542</v>
      </c>
      <c r="M111">
        <v>1.4798186576699159</v>
      </c>
      <c r="N111" t="s">
        <v>103</v>
      </c>
      <c r="O111">
        <v>0.4991919450290086</v>
      </c>
      <c r="P111" t="s">
        <v>145</v>
      </c>
    </row>
    <row r="112" spans="1:16" x14ac:dyDescent="0.2">
      <c r="A112" s="7"/>
      <c r="B112" s="3" t="s">
        <v>75</v>
      </c>
      <c r="C112" s="3" t="s">
        <v>75</v>
      </c>
      <c r="D112">
        <v>-0.97924736820985003</v>
      </c>
      <c r="E112">
        <v>0.3755936762406154</v>
      </c>
      <c r="F112">
        <v>0.30723366932664847</v>
      </c>
      <c r="G112">
        <v>-1.4846017835233969</v>
      </c>
      <c r="H112">
        <v>-0.47389295289630301</v>
      </c>
      <c r="I112">
        <v>0.22659255560185801</v>
      </c>
      <c r="J112">
        <v>0.62257389373291272</v>
      </c>
      <c r="K112">
        <v>-3.1873048626344449</v>
      </c>
      <c r="L112">
        <v>1.436053226987399E-3</v>
      </c>
      <c r="M112">
        <v>9.4436750613453881</v>
      </c>
      <c r="N112" t="s">
        <v>75</v>
      </c>
      <c r="O112">
        <v>0.56150338995062721</v>
      </c>
      <c r="P112" t="s">
        <v>145</v>
      </c>
    </row>
    <row r="113" spans="1:16" x14ac:dyDescent="0.2">
      <c r="A113" s="7"/>
      <c r="B113" s="3" t="s">
        <v>104</v>
      </c>
      <c r="C113" s="3" t="s">
        <v>104</v>
      </c>
      <c r="D113">
        <v>-0.67565000474455517</v>
      </c>
      <c r="E113">
        <v>0.50882557405599638</v>
      </c>
      <c r="F113">
        <v>0.298388989378011</v>
      </c>
      <c r="G113">
        <v>-1.1664562161653611</v>
      </c>
      <c r="H113">
        <v>-0.18484379332374951</v>
      </c>
      <c r="I113">
        <v>0.31146876577559562</v>
      </c>
      <c r="J113">
        <v>0.83123411803014258</v>
      </c>
      <c r="K113">
        <v>-2.264326194317495</v>
      </c>
      <c r="L113">
        <v>2.355405965414864E-2</v>
      </c>
      <c r="M113">
        <v>5.4078804531574054</v>
      </c>
      <c r="N113" t="s">
        <v>104</v>
      </c>
      <c r="O113">
        <v>0.54434848606814701</v>
      </c>
      <c r="P113" t="s">
        <v>145</v>
      </c>
    </row>
    <row r="114" spans="1:16" x14ac:dyDescent="0.2">
      <c r="A114" s="7"/>
      <c r="B114" s="3" t="s">
        <v>373</v>
      </c>
      <c r="C114" s="3" t="s">
        <v>373</v>
      </c>
      <c r="D114">
        <v>-0.23365518593213269</v>
      </c>
      <c r="E114">
        <v>0.79163473563305597</v>
      </c>
      <c r="F114">
        <v>0.30234042114037318</v>
      </c>
      <c r="G114">
        <v>-0.73096092421891112</v>
      </c>
      <c r="H114">
        <v>0.26365055235464568</v>
      </c>
      <c r="I114">
        <v>0.48144613449050733</v>
      </c>
      <c r="J114">
        <v>1.301673250163305</v>
      </c>
      <c r="K114">
        <v>-0.77282152697554529</v>
      </c>
      <c r="L114">
        <v>0.43962801150266839</v>
      </c>
      <c r="M114">
        <v>1.185644782375229</v>
      </c>
      <c r="N114" t="s">
        <v>373</v>
      </c>
      <c r="O114">
        <v>0.51851579179857177</v>
      </c>
      <c r="P114" t="s">
        <v>145</v>
      </c>
    </row>
    <row r="115" spans="1:16" x14ac:dyDescent="0.2">
      <c r="A115" s="7"/>
      <c r="B115" s="3" t="s">
        <v>9</v>
      </c>
      <c r="C115" s="3" t="s">
        <v>9</v>
      </c>
      <c r="D115">
        <v>-0.79867611006490191</v>
      </c>
      <c r="E115">
        <v>0.44992422015015848</v>
      </c>
      <c r="F115">
        <v>0.3205040892305055</v>
      </c>
      <c r="G115">
        <v>-1.325858423688477</v>
      </c>
      <c r="H115">
        <v>-0.27149379644132682</v>
      </c>
      <c r="I115">
        <v>0.26557488543829499</v>
      </c>
      <c r="J115">
        <v>0.76224001205400982</v>
      </c>
      <c r="K115">
        <v>-2.4919373477649969</v>
      </c>
      <c r="L115">
        <v>1.270484458887277E-2</v>
      </c>
      <c r="M115">
        <v>6.2984774619422037</v>
      </c>
      <c r="N115" t="s">
        <v>9</v>
      </c>
      <c r="O115">
        <v>0.5428367299984258</v>
      </c>
      <c r="P115" t="s">
        <v>145</v>
      </c>
    </row>
    <row r="116" spans="1:16" x14ac:dyDescent="0.2">
      <c r="A116" s="7"/>
      <c r="B116" s="3" t="s">
        <v>105</v>
      </c>
      <c r="C116" s="3" t="s">
        <v>105</v>
      </c>
      <c r="D116">
        <v>-0.26781739686452688</v>
      </c>
      <c r="E116">
        <v>0.76504746841532367</v>
      </c>
      <c r="F116">
        <v>0.34622587322938803</v>
      </c>
      <c r="G116">
        <v>-0.83730828019032644</v>
      </c>
      <c r="H116">
        <v>0.30167348646127251</v>
      </c>
      <c r="I116">
        <v>0.43287413254933482</v>
      </c>
      <c r="J116">
        <v>1.352119669248171</v>
      </c>
      <c r="K116">
        <v>-0.77353374652935758</v>
      </c>
      <c r="L116">
        <v>0.43920656492086763</v>
      </c>
      <c r="M116">
        <v>1.1870284760907099</v>
      </c>
      <c r="N116" t="s">
        <v>105</v>
      </c>
      <c r="O116">
        <v>0.51622521062463655</v>
      </c>
      <c r="P116" t="s">
        <v>145</v>
      </c>
    </row>
    <row r="117" spans="1:16" x14ac:dyDescent="0.2">
      <c r="A117" s="7"/>
      <c r="B117" s="3" t="s">
        <v>106</v>
      </c>
      <c r="C117" s="3" t="s">
        <v>106</v>
      </c>
      <c r="D117">
        <v>-1.2550272179227769E-2</v>
      </c>
      <c r="E117">
        <v>0.98752815405362149</v>
      </c>
      <c r="F117">
        <v>0.30720875284014371</v>
      </c>
      <c r="G117">
        <v>-0.51786370351957633</v>
      </c>
      <c r="H117">
        <v>0.49276315916112079</v>
      </c>
      <c r="I117">
        <v>0.59579197771626646</v>
      </c>
      <c r="J117">
        <v>1.6368328066226121</v>
      </c>
      <c r="K117">
        <v>-4.085258659852805E-2</v>
      </c>
      <c r="L117">
        <v>0.96741341627819244</v>
      </c>
      <c r="M117">
        <v>4.7795549388266113E-2</v>
      </c>
      <c r="N117" t="s">
        <v>106</v>
      </c>
      <c r="O117">
        <v>0.50776588865436001</v>
      </c>
      <c r="P117" t="s">
        <v>145</v>
      </c>
    </row>
    <row r="118" spans="1:16" x14ac:dyDescent="0.2">
      <c r="A118" s="7"/>
      <c r="B118" s="3" t="s">
        <v>107</v>
      </c>
      <c r="C118" s="3" t="s">
        <v>107</v>
      </c>
      <c r="D118">
        <v>-9.1984255125535555E-2</v>
      </c>
      <c r="E118">
        <v>0.91211951063922492</v>
      </c>
      <c r="F118">
        <v>0.32996804752356179</v>
      </c>
      <c r="G118">
        <v>-0.63473339487276192</v>
      </c>
      <c r="H118">
        <v>0.45076488462169079</v>
      </c>
      <c r="I118">
        <v>0.53007679067098845</v>
      </c>
      <c r="J118">
        <v>1.5695122222491851</v>
      </c>
      <c r="K118">
        <v>-0.27876715886851833</v>
      </c>
      <c r="L118">
        <v>0.78042351914985664</v>
      </c>
      <c r="M118">
        <v>0.35767083866059152</v>
      </c>
      <c r="N118" t="s">
        <v>107</v>
      </c>
      <c r="O118">
        <v>0.52159116872497269</v>
      </c>
      <c r="P118" t="s">
        <v>145</v>
      </c>
    </row>
    <row r="119" spans="1:16" x14ac:dyDescent="0.2">
      <c r="A119" s="7"/>
      <c r="B119" s="3" t="s">
        <v>108</v>
      </c>
      <c r="C119" s="3" t="s">
        <v>108</v>
      </c>
      <c r="D119">
        <v>0.61838397486526164</v>
      </c>
      <c r="E119">
        <v>1.855926393429935</v>
      </c>
      <c r="F119">
        <v>0.34586541209324773</v>
      </c>
      <c r="G119">
        <v>4.9485997346617738E-2</v>
      </c>
      <c r="H119">
        <v>1.187281952383906</v>
      </c>
      <c r="I119">
        <v>1.0507308790915151</v>
      </c>
      <c r="J119">
        <v>3.2781588952710732</v>
      </c>
      <c r="K119">
        <v>1.787932395791404</v>
      </c>
      <c r="L119">
        <v>7.3786915509871626E-2</v>
      </c>
      <c r="M119">
        <v>3.7604911811127169</v>
      </c>
      <c r="N119" t="s">
        <v>108</v>
      </c>
      <c r="O119">
        <v>0.53726395201724375</v>
      </c>
      <c r="P119" t="s">
        <v>145</v>
      </c>
    </row>
    <row r="120" spans="1:16" x14ac:dyDescent="0.2">
      <c r="A120" s="7"/>
      <c r="B120" s="3" t="s">
        <v>109</v>
      </c>
      <c r="C120" s="3" t="s">
        <v>109</v>
      </c>
      <c r="D120">
        <v>-0.44878095752239971</v>
      </c>
      <c r="E120">
        <v>0.63840592139439134</v>
      </c>
      <c r="F120">
        <v>0.29915549055103319</v>
      </c>
      <c r="G120">
        <v>-0.94084795117771347</v>
      </c>
      <c r="H120">
        <v>4.3286036132914103E-2</v>
      </c>
      <c r="I120">
        <v>0.39029674242064311</v>
      </c>
      <c r="J120">
        <v>1.044236541518891</v>
      </c>
      <c r="K120">
        <v>-1.500159521377201</v>
      </c>
      <c r="L120">
        <v>0.1335730858307983</v>
      </c>
      <c r="M120">
        <v>2.904298752120849</v>
      </c>
      <c r="N120" t="s">
        <v>109</v>
      </c>
      <c r="O120">
        <v>0.54823662575956156</v>
      </c>
      <c r="P120" t="s">
        <v>145</v>
      </c>
    </row>
    <row r="121" spans="1:16" x14ac:dyDescent="0.2">
      <c r="A121" s="7"/>
      <c r="B121" s="3" t="s">
        <v>110</v>
      </c>
      <c r="C121" s="3" t="s">
        <v>110</v>
      </c>
      <c r="D121">
        <v>0.41585600184750449</v>
      </c>
      <c r="E121">
        <v>1.5156675998216049</v>
      </c>
      <c r="F121">
        <v>0.32817021107807498</v>
      </c>
      <c r="G121">
        <v>-0.1239359601016973</v>
      </c>
      <c r="H121">
        <v>0.95564796379670636</v>
      </c>
      <c r="I121">
        <v>0.88343641424938069</v>
      </c>
      <c r="J121">
        <v>2.6003549730297921</v>
      </c>
      <c r="K121">
        <v>1.267196070238588</v>
      </c>
      <c r="L121">
        <v>0.20508519058566521</v>
      </c>
      <c r="M121">
        <v>2.2857047778136832</v>
      </c>
      <c r="N121" t="s">
        <v>110</v>
      </c>
      <c r="O121">
        <v>0.53203390093119107</v>
      </c>
      <c r="P121" t="s">
        <v>145</v>
      </c>
    </row>
    <row r="122" spans="1:16" x14ac:dyDescent="0.2">
      <c r="A122" s="7" t="s">
        <v>147</v>
      </c>
      <c r="B122" s="8" t="s">
        <v>99</v>
      </c>
      <c r="C122" s="3" t="s">
        <v>140</v>
      </c>
      <c r="D122">
        <v>0.50956122369810464</v>
      </c>
      <c r="E122">
        <v>1.6645606649151421</v>
      </c>
      <c r="F122">
        <v>0.62964193518901601</v>
      </c>
      <c r="G122">
        <v>-0.52610759707829202</v>
      </c>
      <c r="H122">
        <v>1.5452300444745011</v>
      </c>
      <c r="I122">
        <v>0.59090052209123511</v>
      </c>
      <c r="J122">
        <v>4.6890501930457491</v>
      </c>
      <c r="K122">
        <v>0.80928730317991981</v>
      </c>
      <c r="L122">
        <v>0.41834990776125408</v>
      </c>
      <c r="M122">
        <v>1.257217977888653</v>
      </c>
      <c r="N122" t="s">
        <v>99</v>
      </c>
      <c r="P122" t="s">
        <v>141</v>
      </c>
    </row>
    <row r="123" spans="1:16" x14ac:dyDescent="0.2">
      <c r="A123" s="7"/>
      <c r="B123" s="8"/>
      <c r="C123" s="3" t="s">
        <v>99</v>
      </c>
      <c r="D123">
        <v>-1.507474674609228</v>
      </c>
      <c r="E123">
        <v>0.22146855253021869</v>
      </c>
      <c r="F123">
        <v>0.74853067298494824</v>
      </c>
      <c r="G123">
        <v>-2.738698066952947</v>
      </c>
      <c r="H123">
        <v>-0.27625128226550988</v>
      </c>
      <c r="I123">
        <v>6.4654467909731811E-2</v>
      </c>
      <c r="J123">
        <v>0.75862227848367292</v>
      </c>
      <c r="K123">
        <v>-2.013911692620165</v>
      </c>
      <c r="L123">
        <v>4.4018805713637199E-2</v>
      </c>
      <c r="M123">
        <v>4.5057361861714762</v>
      </c>
      <c r="N123" t="s">
        <v>99</v>
      </c>
      <c r="O123">
        <v>0.65838509316770188</v>
      </c>
      <c r="P123" t="s">
        <v>141</v>
      </c>
    </row>
    <row r="124" spans="1:16" x14ac:dyDescent="0.2">
      <c r="A124" s="7"/>
      <c r="B124" s="8"/>
      <c r="C124" s="3" t="s">
        <v>142</v>
      </c>
      <c r="D124">
        <v>1.33299853474279E-2</v>
      </c>
      <c r="E124">
        <v>1.0134192256853789</v>
      </c>
      <c r="F124">
        <v>1.320057806177251E-2</v>
      </c>
      <c r="G124">
        <v>-8.3830333553346417E-3</v>
      </c>
      <c r="H124">
        <v>3.5043004050190452E-2</v>
      </c>
      <c r="I124">
        <v>0.99165200628758954</v>
      </c>
      <c r="J124">
        <v>1.0356642455991829</v>
      </c>
      <c r="K124">
        <v>1.0098031529414719</v>
      </c>
      <c r="L124">
        <v>0.31258960927556051</v>
      </c>
      <c r="M124">
        <v>1.6776582720704749</v>
      </c>
      <c r="N124" t="s">
        <v>99</v>
      </c>
      <c r="P124" t="s">
        <v>141</v>
      </c>
    </row>
    <row r="125" spans="1:16" x14ac:dyDescent="0.2">
      <c r="A125" s="7"/>
      <c r="B125" s="8"/>
      <c r="C125" s="3" t="s">
        <v>143</v>
      </c>
      <c r="D125">
        <v>-0.60109825367124237</v>
      </c>
      <c r="E125">
        <v>0.54820923255636367</v>
      </c>
      <c r="F125">
        <v>0.36118450620490428</v>
      </c>
      <c r="G125">
        <v>-1.195193898701056</v>
      </c>
      <c r="H125">
        <v>-7.0026086414290978E-3</v>
      </c>
      <c r="I125">
        <v>0.30264526596859059</v>
      </c>
      <c r="J125">
        <v>0.99302185249191188</v>
      </c>
      <c r="K125">
        <v>-1.664241525715481</v>
      </c>
      <c r="L125">
        <v>9.6064172645229692E-2</v>
      </c>
      <c r="M125">
        <v>3.3798577149091731</v>
      </c>
      <c r="N125" t="s">
        <v>99</v>
      </c>
      <c r="P125" t="s">
        <v>141</v>
      </c>
    </row>
    <row r="126" spans="1:16" x14ac:dyDescent="0.2">
      <c r="A126" s="7"/>
      <c r="B126" s="8"/>
      <c r="C126" s="3" t="s">
        <v>144</v>
      </c>
      <c r="D126">
        <v>-0.40492599069093971</v>
      </c>
      <c r="E126">
        <v>0.66702617517809237</v>
      </c>
      <c r="F126">
        <v>0.39647024475200138</v>
      </c>
      <c r="G126">
        <v>-1.0570615107496071</v>
      </c>
      <c r="H126">
        <v>0.24720952936772761</v>
      </c>
      <c r="I126">
        <v>0.34747536424492798</v>
      </c>
      <c r="J126">
        <v>1.2804473760018791</v>
      </c>
      <c r="K126">
        <v>-1.0213275675813389</v>
      </c>
      <c r="L126">
        <v>0.30709926964228151</v>
      </c>
      <c r="M126">
        <v>1.703223013653717</v>
      </c>
      <c r="N126" t="s">
        <v>99</v>
      </c>
      <c r="P126" t="s">
        <v>141</v>
      </c>
    </row>
    <row r="127" spans="1:16" x14ac:dyDescent="0.2">
      <c r="A127" s="7"/>
      <c r="B127" s="8" t="s">
        <v>100</v>
      </c>
      <c r="C127" s="3" t="s">
        <v>140</v>
      </c>
      <c r="D127">
        <v>0.44067292038413808</v>
      </c>
      <c r="E127">
        <v>1.553752418478012</v>
      </c>
      <c r="F127">
        <v>0.61973190077066787</v>
      </c>
      <c r="G127">
        <v>-0.57869534433602454</v>
      </c>
      <c r="H127">
        <v>1.4600411851043009</v>
      </c>
      <c r="I127">
        <v>0.56062931785678249</v>
      </c>
      <c r="J127">
        <v>4.3061368733894581</v>
      </c>
      <c r="K127">
        <v>0.71107025446993954</v>
      </c>
      <c r="L127">
        <v>0.47704070159254852</v>
      </c>
      <c r="M127">
        <v>1.0678157312129051</v>
      </c>
      <c r="N127" t="s">
        <v>100</v>
      </c>
      <c r="P127" t="s">
        <v>141</v>
      </c>
    </row>
    <row r="128" spans="1:16" x14ac:dyDescent="0.2">
      <c r="A128" s="7"/>
      <c r="B128" s="8"/>
      <c r="C128" s="3" t="s">
        <v>100</v>
      </c>
      <c r="D128">
        <v>-1.768268978747257</v>
      </c>
      <c r="E128">
        <v>0.17062809419225181</v>
      </c>
      <c r="F128">
        <v>0.80095930260998627</v>
      </c>
      <c r="G128">
        <v>-3.085729792685814</v>
      </c>
      <c r="H128">
        <v>-0.45080816480869917</v>
      </c>
      <c r="I128">
        <v>4.5696672630841699E-2</v>
      </c>
      <c r="J128">
        <v>0.63711305115966554</v>
      </c>
      <c r="K128">
        <v>-2.2076889212538249</v>
      </c>
      <c r="L128">
        <v>2.726596565559488E-2</v>
      </c>
      <c r="M128">
        <v>5.1967549387052996</v>
      </c>
      <c r="N128" t="s">
        <v>100</v>
      </c>
      <c r="O128">
        <v>0.67862881628280669</v>
      </c>
      <c r="P128" t="s">
        <v>141</v>
      </c>
    </row>
    <row r="129" spans="1:16" x14ac:dyDescent="0.2">
      <c r="A129" s="7"/>
      <c r="B129" s="8"/>
      <c r="C129" s="3" t="s">
        <v>142</v>
      </c>
      <c r="D129">
        <v>1.133438353929918E-2</v>
      </c>
      <c r="E129">
        <v>1.011398861038376</v>
      </c>
      <c r="F129">
        <v>1.2779966623980061E-2</v>
      </c>
      <c r="G129">
        <v>-9.6867909144731819E-3</v>
      </c>
      <c r="H129">
        <v>3.2355557993071528E-2</v>
      </c>
      <c r="I129">
        <v>0.99035997491920336</v>
      </c>
      <c r="J129">
        <v>1.0328846904310509</v>
      </c>
      <c r="K129">
        <v>0.8868867871713827</v>
      </c>
      <c r="L129">
        <v>0.3751398559680964</v>
      </c>
      <c r="M129">
        <v>1.4144995475559909</v>
      </c>
      <c r="N129" t="s">
        <v>100</v>
      </c>
      <c r="P129" t="s">
        <v>141</v>
      </c>
    </row>
    <row r="130" spans="1:16" x14ac:dyDescent="0.2">
      <c r="A130" s="7"/>
      <c r="B130" s="8"/>
      <c r="C130" s="3" t="s">
        <v>143</v>
      </c>
      <c r="D130">
        <v>-0.41032987329815418</v>
      </c>
      <c r="E130">
        <v>0.66343136574352923</v>
      </c>
      <c r="F130">
        <v>0.34888338836738331</v>
      </c>
      <c r="G130">
        <v>-0.98419198003736352</v>
      </c>
      <c r="H130">
        <v>0.16353223344105519</v>
      </c>
      <c r="I130">
        <v>0.37374109522823612</v>
      </c>
      <c r="J130">
        <v>1.177663314716674</v>
      </c>
      <c r="K130">
        <v>-1.1761232749381181</v>
      </c>
      <c r="L130">
        <v>0.2395456183780699</v>
      </c>
      <c r="M130">
        <v>2.0616276700709628</v>
      </c>
      <c r="N130" t="s">
        <v>100</v>
      </c>
      <c r="P130" t="s">
        <v>141</v>
      </c>
    </row>
    <row r="131" spans="1:16" x14ac:dyDescent="0.2">
      <c r="A131" s="7"/>
      <c r="B131" s="8"/>
      <c r="C131" s="3" t="s">
        <v>144</v>
      </c>
      <c r="D131">
        <v>-0.53283004886187435</v>
      </c>
      <c r="E131">
        <v>0.58694154375237018</v>
      </c>
      <c r="F131">
        <v>0.39581248126211888</v>
      </c>
      <c r="G131">
        <v>-1.1838836442585321</v>
      </c>
      <c r="H131">
        <v>0.11822354653478349</v>
      </c>
      <c r="I131">
        <v>0.3060876915906518</v>
      </c>
      <c r="J131">
        <v>1.125495683907261</v>
      </c>
      <c r="K131">
        <v>-1.346167880211484</v>
      </c>
      <c r="L131">
        <v>0.17824838117976921</v>
      </c>
      <c r="M131">
        <v>2.4880391204595691</v>
      </c>
      <c r="N131" t="s">
        <v>100</v>
      </c>
      <c r="P131" t="s">
        <v>141</v>
      </c>
    </row>
    <row r="132" spans="1:16" x14ac:dyDescent="0.2">
      <c r="A132" s="7"/>
      <c r="B132" s="8" t="s">
        <v>374</v>
      </c>
      <c r="C132" s="3" t="s">
        <v>140</v>
      </c>
      <c r="D132">
        <v>-0.14803190682437911</v>
      </c>
      <c r="E132">
        <v>0.86240359794291432</v>
      </c>
      <c r="F132">
        <v>0.82838531409831062</v>
      </c>
      <c r="G132">
        <v>-1.5106044952323201</v>
      </c>
      <c r="H132">
        <v>1.2145406815835611</v>
      </c>
      <c r="I132">
        <v>0.22077647928465141</v>
      </c>
      <c r="J132">
        <v>3.3687463816558361</v>
      </c>
      <c r="K132">
        <v>-0.17869933750033989</v>
      </c>
      <c r="L132">
        <v>0.858173789409447</v>
      </c>
      <c r="M132">
        <v>0.2206582563348147</v>
      </c>
      <c r="N132" t="s">
        <v>374</v>
      </c>
      <c r="P132" t="s">
        <v>141</v>
      </c>
    </row>
    <row r="133" spans="1:16" x14ac:dyDescent="0.2">
      <c r="A133" s="7"/>
      <c r="B133" s="8"/>
      <c r="C133" s="3" t="s">
        <v>374</v>
      </c>
      <c r="D133">
        <v>-0.65185741549393295</v>
      </c>
      <c r="E133">
        <v>0.52107702081638529</v>
      </c>
      <c r="F133">
        <v>0.86294069077045987</v>
      </c>
      <c r="G133">
        <v>-2.0712685405517322</v>
      </c>
      <c r="H133">
        <v>0.76755370956386648</v>
      </c>
      <c r="I133">
        <v>0.12602581140974911</v>
      </c>
      <c r="J133">
        <v>2.1544892953720369</v>
      </c>
      <c r="K133">
        <v>-0.75539074986942001</v>
      </c>
      <c r="L133">
        <v>0.45001456178048282</v>
      </c>
      <c r="M133">
        <v>1.1519564092926311</v>
      </c>
      <c r="N133" t="s">
        <v>374</v>
      </c>
      <c r="O133">
        <v>0.62718204488778051</v>
      </c>
      <c r="P133" t="s">
        <v>141</v>
      </c>
    </row>
    <row r="134" spans="1:16" x14ac:dyDescent="0.2">
      <c r="A134" s="7"/>
      <c r="B134" s="8"/>
      <c r="C134" s="3" t="s">
        <v>142</v>
      </c>
      <c r="D134">
        <v>1.9576677991580169E-2</v>
      </c>
      <c r="E134">
        <v>1.019769557744423</v>
      </c>
      <c r="F134">
        <v>1.6101401470594461E-2</v>
      </c>
      <c r="G134">
        <v>-6.9077706163288843E-3</v>
      </c>
      <c r="H134">
        <v>4.606112659948923E-2</v>
      </c>
      <c r="I134">
        <v>0.99311603318916875</v>
      </c>
      <c r="J134">
        <v>1.0471384170113069</v>
      </c>
      <c r="K134">
        <v>1.2158368963926851</v>
      </c>
      <c r="L134">
        <v>0.22404706048997591</v>
      </c>
      <c r="M134">
        <v>2.1581262965127852</v>
      </c>
      <c r="N134" t="s">
        <v>374</v>
      </c>
      <c r="P134" t="s">
        <v>141</v>
      </c>
    </row>
    <row r="135" spans="1:16" x14ac:dyDescent="0.2">
      <c r="A135" s="7"/>
      <c r="B135" s="8"/>
      <c r="C135" s="3" t="s">
        <v>143</v>
      </c>
      <c r="D135">
        <v>-0.68627461756782171</v>
      </c>
      <c r="E135">
        <v>0.50344811662360034</v>
      </c>
      <c r="F135">
        <v>0.47078646476702629</v>
      </c>
      <c r="G135">
        <v>-1.4606494416595259</v>
      </c>
      <c r="H135">
        <v>8.8100206523882951E-2</v>
      </c>
      <c r="I135">
        <v>0.23208549978316129</v>
      </c>
      <c r="J135">
        <v>1.092097551844726</v>
      </c>
      <c r="K135">
        <v>-1.45771951601759</v>
      </c>
      <c r="L135">
        <v>0.14491787036781981</v>
      </c>
      <c r="M135">
        <v>2.786692584869257</v>
      </c>
      <c r="N135" t="s">
        <v>374</v>
      </c>
      <c r="P135" t="s">
        <v>141</v>
      </c>
    </row>
    <row r="136" spans="1:16" x14ac:dyDescent="0.2">
      <c r="A136" s="7"/>
      <c r="B136" s="8"/>
      <c r="C136" s="3" t="s">
        <v>144</v>
      </c>
      <c r="D136">
        <v>-0.45487404540431192</v>
      </c>
      <c r="E136">
        <v>0.63452788461834653</v>
      </c>
      <c r="F136">
        <v>0.45582334264703511</v>
      </c>
      <c r="G136">
        <v>-1.2046367238064311</v>
      </c>
      <c r="H136">
        <v>0.29488863299780738</v>
      </c>
      <c r="I136">
        <v>0.29980089025958301</v>
      </c>
      <c r="J136">
        <v>1.3429767870589699</v>
      </c>
      <c r="K136">
        <v>-0.99791740098870219</v>
      </c>
      <c r="L136">
        <v>0.31831941332538261</v>
      </c>
      <c r="M136">
        <v>1.651452949681693</v>
      </c>
      <c r="N136" t="s">
        <v>374</v>
      </c>
      <c r="P136" t="s">
        <v>141</v>
      </c>
    </row>
    <row r="137" spans="1:16" x14ac:dyDescent="0.2">
      <c r="A137" s="7"/>
      <c r="B137" s="8" t="s">
        <v>101</v>
      </c>
      <c r="C137" s="3" t="s">
        <v>140</v>
      </c>
      <c r="D137">
        <v>0.46048463763341102</v>
      </c>
      <c r="E137">
        <v>1.584841872920381</v>
      </c>
      <c r="F137">
        <v>0.61811583388507063</v>
      </c>
      <c r="G137">
        <v>-0.55622543360858112</v>
      </c>
      <c r="H137">
        <v>1.4771947088754029</v>
      </c>
      <c r="I137">
        <v>0.57336920461637364</v>
      </c>
      <c r="J137">
        <v>4.3806394587276634</v>
      </c>
      <c r="K137">
        <v>0.74498113846899316</v>
      </c>
      <c r="L137">
        <v>0.45628312232690982</v>
      </c>
      <c r="M137">
        <v>1.1319988046488281</v>
      </c>
      <c r="N137" t="s">
        <v>101</v>
      </c>
      <c r="P137" t="s">
        <v>141</v>
      </c>
    </row>
    <row r="138" spans="1:16" x14ac:dyDescent="0.2">
      <c r="A138" s="7"/>
      <c r="B138" s="8"/>
      <c r="C138" s="3" t="s">
        <v>101</v>
      </c>
      <c r="D138">
        <v>-1.246644221905397</v>
      </c>
      <c r="E138">
        <v>0.28746785838810918</v>
      </c>
      <c r="F138">
        <v>0.89956211086808191</v>
      </c>
      <c r="G138">
        <v>-2.7262922226348838</v>
      </c>
      <c r="H138">
        <v>0.23300377882409001</v>
      </c>
      <c r="I138">
        <v>6.5461557133490292E-2</v>
      </c>
      <c r="J138">
        <v>1.262386249653819</v>
      </c>
      <c r="K138">
        <v>-1.3858345153092091</v>
      </c>
      <c r="L138">
        <v>0.16579744040278799</v>
      </c>
      <c r="M138">
        <v>2.592506360349891</v>
      </c>
      <c r="N138" t="s">
        <v>101</v>
      </c>
      <c r="O138">
        <v>0.6417481311098332</v>
      </c>
      <c r="P138" t="s">
        <v>141</v>
      </c>
    </row>
    <row r="139" spans="1:16" x14ac:dyDescent="0.2">
      <c r="A139" s="7"/>
      <c r="B139" s="8"/>
      <c r="C139" s="3" t="s">
        <v>142</v>
      </c>
      <c r="D139">
        <v>1.112350133995868E-2</v>
      </c>
      <c r="E139">
        <v>1.0111855975096811</v>
      </c>
      <c r="F139">
        <v>1.243378988455885E-2</v>
      </c>
      <c r="G139">
        <v>-9.3282630484104595E-3</v>
      </c>
      <c r="H139">
        <v>3.1575265728327827E-2</v>
      </c>
      <c r="I139">
        <v>0.99071511022679293</v>
      </c>
      <c r="J139">
        <v>1.0320790528539969</v>
      </c>
      <c r="K139">
        <v>0.8946187319581963</v>
      </c>
      <c r="L139">
        <v>0.37099093491207541</v>
      </c>
      <c r="M139">
        <v>1.4305441595700541</v>
      </c>
      <c r="N139" t="s">
        <v>101</v>
      </c>
      <c r="P139" t="s">
        <v>141</v>
      </c>
    </row>
    <row r="140" spans="1:16" x14ac:dyDescent="0.2">
      <c r="A140" s="7"/>
      <c r="B140" s="8"/>
      <c r="C140" s="3" t="s">
        <v>143</v>
      </c>
      <c r="D140">
        <v>-0.50672654243526116</v>
      </c>
      <c r="E140">
        <v>0.60246449643329658</v>
      </c>
      <c r="F140">
        <v>0.34551410373368302</v>
      </c>
      <c r="G140">
        <v>-1.0750466691244971</v>
      </c>
      <c r="H140">
        <v>6.1593584253974432E-2</v>
      </c>
      <c r="I140">
        <v>0.34128182760522979</v>
      </c>
      <c r="J140">
        <v>1.0635300215353849</v>
      </c>
      <c r="K140">
        <v>-1.4665871435043889</v>
      </c>
      <c r="L140">
        <v>0.1424883995088374</v>
      </c>
      <c r="M140">
        <v>2.8110836258017118</v>
      </c>
      <c r="N140" t="s">
        <v>101</v>
      </c>
      <c r="P140" t="s">
        <v>141</v>
      </c>
    </row>
    <row r="141" spans="1:16" x14ac:dyDescent="0.2">
      <c r="A141" s="7"/>
      <c r="B141" s="8"/>
      <c r="C141" s="3" t="s">
        <v>144</v>
      </c>
      <c r="D141">
        <v>-0.43509971391975472</v>
      </c>
      <c r="E141">
        <v>0.6472001289986874</v>
      </c>
      <c r="F141">
        <v>0.39512735718872422</v>
      </c>
      <c r="G141">
        <v>-1.0850263804993769</v>
      </c>
      <c r="H141">
        <v>0.21482695265986801</v>
      </c>
      <c r="I141">
        <v>0.33789287199443763</v>
      </c>
      <c r="J141">
        <v>1.2396473607256591</v>
      </c>
      <c r="K141">
        <v>-1.101163222449157</v>
      </c>
      <c r="L141">
        <v>0.27082562503296609</v>
      </c>
      <c r="M141">
        <v>1.884563844309193</v>
      </c>
      <c r="N141" t="s">
        <v>101</v>
      </c>
      <c r="P141" t="s">
        <v>141</v>
      </c>
    </row>
    <row r="142" spans="1:16" x14ac:dyDescent="0.2">
      <c r="A142" s="7"/>
      <c r="B142" s="8" t="s">
        <v>102</v>
      </c>
      <c r="C142" s="3" t="s">
        <v>140</v>
      </c>
      <c r="D142">
        <v>0.80393335792433762</v>
      </c>
      <c r="E142">
        <v>2.2343120161447079</v>
      </c>
      <c r="F142">
        <v>0.76517837882074446</v>
      </c>
      <c r="G142">
        <v>-0.45467307374381127</v>
      </c>
      <c r="H142">
        <v>2.0625397895924871</v>
      </c>
      <c r="I142">
        <v>0.63465541955597715</v>
      </c>
      <c r="J142">
        <v>7.8659222495591052</v>
      </c>
      <c r="K142">
        <v>1.050648293491147</v>
      </c>
      <c r="L142">
        <v>0.29342015200525279</v>
      </c>
      <c r="M142">
        <v>1.768960136624355</v>
      </c>
      <c r="N142" t="s">
        <v>102</v>
      </c>
      <c r="P142" t="s">
        <v>141</v>
      </c>
    </row>
    <row r="143" spans="1:16" x14ac:dyDescent="0.2">
      <c r="A143" s="7"/>
      <c r="B143" s="8"/>
      <c r="C143" s="3" t="s">
        <v>102</v>
      </c>
      <c r="D143">
        <v>-1.1539369481821451</v>
      </c>
      <c r="E143">
        <v>0.31539263747382518</v>
      </c>
      <c r="F143">
        <v>0.83792392833292606</v>
      </c>
      <c r="G143">
        <v>-2.5321991608099839</v>
      </c>
      <c r="H143">
        <v>0.2243252644456937</v>
      </c>
      <c r="I143">
        <v>7.9484029776983905E-2</v>
      </c>
      <c r="J143">
        <v>1.2514780145369511</v>
      </c>
      <c r="K143">
        <v>-1.3771380780089859</v>
      </c>
      <c r="L143">
        <v>0.16846956197260821</v>
      </c>
      <c r="M143">
        <v>2.5694401370581388</v>
      </c>
      <c r="N143" t="s">
        <v>102</v>
      </c>
      <c r="O143">
        <v>0.65909090909090906</v>
      </c>
      <c r="P143" t="s">
        <v>141</v>
      </c>
    </row>
    <row r="144" spans="1:16" x14ac:dyDescent="0.2">
      <c r="A144" s="7"/>
      <c r="B144" s="8"/>
      <c r="C144" s="3" t="s">
        <v>142</v>
      </c>
      <c r="D144">
        <v>1.9374333550928938E-2</v>
      </c>
      <c r="E144">
        <v>1.0195632339186109</v>
      </c>
      <c r="F144">
        <v>1.372301839233965E-2</v>
      </c>
      <c r="G144">
        <v>-3.1980230244326902E-3</v>
      </c>
      <c r="H144">
        <v>4.194669012629057E-2</v>
      </c>
      <c r="I144">
        <v>0.99680708520433781</v>
      </c>
      <c r="J144">
        <v>1.042838883659706</v>
      </c>
      <c r="K144">
        <v>1.4118128386203961</v>
      </c>
      <c r="L144">
        <v>0.15800507718032669</v>
      </c>
      <c r="M144">
        <v>2.6619571775913551</v>
      </c>
      <c r="N144" t="s">
        <v>102</v>
      </c>
      <c r="P144" t="s">
        <v>141</v>
      </c>
    </row>
    <row r="145" spans="1:16" x14ac:dyDescent="0.2">
      <c r="A145" s="7"/>
      <c r="B145" s="8"/>
      <c r="C145" s="3" t="s">
        <v>143</v>
      </c>
      <c r="D145">
        <v>-0.68117685281330698</v>
      </c>
      <c r="E145">
        <v>0.50602112942311683</v>
      </c>
      <c r="F145">
        <v>0.39182777180467698</v>
      </c>
      <c r="G145">
        <v>-1.3256761844065439</v>
      </c>
      <c r="H145">
        <v>-3.6677521220070293E-2</v>
      </c>
      <c r="I145">
        <v>0.26562328802500917</v>
      </c>
      <c r="J145">
        <v>0.96398695056639072</v>
      </c>
      <c r="K145">
        <v>-1.738459858717897</v>
      </c>
      <c r="L145">
        <v>8.2129817244243467E-2</v>
      </c>
      <c r="M145">
        <v>3.6059501019889559</v>
      </c>
      <c r="N145" t="s">
        <v>102</v>
      </c>
      <c r="P145" t="s">
        <v>141</v>
      </c>
    </row>
    <row r="146" spans="1:16" x14ac:dyDescent="0.2">
      <c r="A146" s="7"/>
      <c r="B146" s="8"/>
      <c r="C146" s="3" t="s">
        <v>144</v>
      </c>
      <c r="D146">
        <v>-0.35312792248219149</v>
      </c>
      <c r="E146">
        <v>0.70248732370703182</v>
      </c>
      <c r="F146">
        <v>0.43867444727666849</v>
      </c>
      <c r="G146">
        <v>-1.0746831781361521</v>
      </c>
      <c r="H146">
        <v>0.36842733317176901</v>
      </c>
      <c r="I146">
        <v>0.34140590302283208</v>
      </c>
      <c r="J146">
        <v>1.445459599847825</v>
      </c>
      <c r="K146">
        <v>-0.80498858475674206</v>
      </c>
      <c r="L146">
        <v>0.42082626713178423</v>
      </c>
      <c r="M146">
        <v>1.2487033373149909</v>
      </c>
      <c r="N146" t="s">
        <v>102</v>
      </c>
      <c r="P146" t="s">
        <v>141</v>
      </c>
    </row>
    <row r="147" spans="1:16" x14ac:dyDescent="0.2">
      <c r="A147" s="7"/>
      <c r="B147" s="8" t="s">
        <v>49</v>
      </c>
      <c r="C147" s="3" t="s">
        <v>140</v>
      </c>
      <c r="D147">
        <v>0.49029940719174708</v>
      </c>
      <c r="E147">
        <v>1.632805020342363</v>
      </c>
      <c r="F147">
        <v>0.62003702783582693</v>
      </c>
      <c r="G147">
        <v>-0.52957074688822359</v>
      </c>
      <c r="H147">
        <v>1.5101695612717181</v>
      </c>
      <c r="I147">
        <v>0.58885768442861275</v>
      </c>
      <c r="J147">
        <v>4.5274984176222137</v>
      </c>
      <c r="K147">
        <v>0.7907582695554245</v>
      </c>
      <c r="L147">
        <v>0.42908506582746297</v>
      </c>
      <c r="M147">
        <v>1.220664405480383</v>
      </c>
      <c r="N147" t="s">
        <v>49</v>
      </c>
      <c r="P147" t="s">
        <v>141</v>
      </c>
    </row>
    <row r="148" spans="1:16" x14ac:dyDescent="0.2">
      <c r="A148" s="7"/>
      <c r="B148" s="8"/>
      <c r="C148" s="3" t="s">
        <v>49</v>
      </c>
      <c r="D148">
        <v>-1.4189612011364241</v>
      </c>
      <c r="E148">
        <v>0.24196523960544031</v>
      </c>
      <c r="F148">
        <v>0.7540544065133773</v>
      </c>
      <c r="G148">
        <v>-2.6592703266086919</v>
      </c>
      <c r="H148">
        <v>-0.17865207566415539</v>
      </c>
      <c r="I148">
        <v>6.9999279726391722E-2</v>
      </c>
      <c r="J148">
        <v>0.83639685159851962</v>
      </c>
      <c r="K148">
        <v>-1.881775623721192</v>
      </c>
      <c r="L148">
        <v>5.9866486845325757E-2</v>
      </c>
      <c r="M148">
        <v>4.0621075789550662</v>
      </c>
      <c r="N148" t="s">
        <v>49</v>
      </c>
      <c r="O148">
        <v>0.65881092662024643</v>
      </c>
      <c r="P148" t="s">
        <v>141</v>
      </c>
    </row>
    <row r="149" spans="1:16" x14ac:dyDescent="0.2">
      <c r="A149" s="7"/>
      <c r="B149" s="8"/>
      <c r="C149" s="3" t="s">
        <v>142</v>
      </c>
      <c r="D149">
        <v>1.132285400825718E-2</v>
      </c>
      <c r="E149">
        <v>1.011387200151034</v>
      </c>
      <c r="F149">
        <v>1.2601758948083479E-2</v>
      </c>
      <c r="G149">
        <v>-9.4051949034660992E-3</v>
      </c>
      <c r="H149">
        <v>3.2050902919980452E-2</v>
      </c>
      <c r="I149">
        <v>0.99063889560723517</v>
      </c>
      <c r="J149">
        <v>1.0325700647987739</v>
      </c>
      <c r="K149">
        <v>0.89851377533127608</v>
      </c>
      <c r="L149">
        <v>0.36891170453420902</v>
      </c>
      <c r="M149">
        <v>1.4386525324591779</v>
      </c>
      <c r="N149" t="s">
        <v>49</v>
      </c>
      <c r="P149" t="s">
        <v>141</v>
      </c>
    </row>
    <row r="150" spans="1:16" x14ac:dyDescent="0.2">
      <c r="A150" s="7"/>
      <c r="B150" s="8"/>
      <c r="C150" s="3" t="s">
        <v>143</v>
      </c>
      <c r="D150">
        <v>-0.53418267005254294</v>
      </c>
      <c r="E150">
        <v>0.58614817087005522</v>
      </c>
      <c r="F150">
        <v>0.34373120047499273</v>
      </c>
      <c r="G150">
        <v>-1.0995701818502179</v>
      </c>
      <c r="H150">
        <v>3.120484174513238E-2</v>
      </c>
      <c r="I150">
        <v>0.3330141884837044</v>
      </c>
      <c r="J150">
        <v>1.0316968168193339</v>
      </c>
      <c r="K150">
        <v>-1.5540709406488871</v>
      </c>
      <c r="L150">
        <v>0.12016749590507669</v>
      </c>
      <c r="M150">
        <v>3.0568813805195569</v>
      </c>
      <c r="N150" t="s">
        <v>49</v>
      </c>
      <c r="P150" t="s">
        <v>141</v>
      </c>
    </row>
    <row r="151" spans="1:16" x14ac:dyDescent="0.2">
      <c r="A151" s="7"/>
      <c r="B151" s="8"/>
      <c r="C151" s="3" t="s">
        <v>144</v>
      </c>
      <c r="D151">
        <v>-0.52016084273546159</v>
      </c>
      <c r="E151">
        <v>0.59442493134879626</v>
      </c>
      <c r="F151">
        <v>0.39546873308035108</v>
      </c>
      <c r="G151">
        <v>-1.1706490226885811</v>
      </c>
      <c r="H151">
        <v>0.13032733721765749</v>
      </c>
      <c r="I151">
        <v>0.31016557143268197</v>
      </c>
      <c r="J151">
        <v>1.1392012252582</v>
      </c>
      <c r="K151">
        <v>-1.315302068722018</v>
      </c>
      <c r="L151">
        <v>0.18840840315847299</v>
      </c>
      <c r="M151">
        <v>2.408064783202585</v>
      </c>
      <c r="N151" t="s">
        <v>49</v>
      </c>
      <c r="P151" t="s">
        <v>141</v>
      </c>
    </row>
    <row r="152" spans="1:16" x14ac:dyDescent="0.2">
      <c r="A152" s="7"/>
      <c r="B152" s="8" t="s">
        <v>103</v>
      </c>
      <c r="C152" s="3" t="s">
        <v>140</v>
      </c>
      <c r="D152">
        <v>0.5033183967308551</v>
      </c>
      <c r="E152">
        <v>1.6542014696832219</v>
      </c>
      <c r="F152">
        <v>0.61862238851412177</v>
      </c>
      <c r="G152">
        <v>-0.51422488272998079</v>
      </c>
      <c r="H152">
        <v>1.5208616761916911</v>
      </c>
      <c r="I152">
        <v>0.59796390718556225</v>
      </c>
      <c r="J152">
        <v>4.5761666706297834</v>
      </c>
      <c r="K152">
        <v>0.8136116734148322</v>
      </c>
      <c r="L152">
        <v>0.41586744835570849</v>
      </c>
      <c r="M152">
        <v>1.2658043311190139</v>
      </c>
      <c r="N152" t="s">
        <v>103</v>
      </c>
      <c r="P152" t="s">
        <v>141</v>
      </c>
    </row>
    <row r="153" spans="1:16" x14ac:dyDescent="0.2">
      <c r="A153" s="7"/>
      <c r="B153" s="8"/>
      <c r="C153" s="3" t="s">
        <v>103</v>
      </c>
      <c r="D153">
        <v>-0.81066871951689512</v>
      </c>
      <c r="E153">
        <v>0.44456068039674479</v>
      </c>
      <c r="F153">
        <v>0.71975087642265989</v>
      </c>
      <c r="G153">
        <v>-1.9945535591022081</v>
      </c>
      <c r="H153">
        <v>0.37321612006841759</v>
      </c>
      <c r="I153">
        <v>0.13607438978114969</v>
      </c>
      <c r="J153">
        <v>1.452398198313984</v>
      </c>
      <c r="K153">
        <v>-1.126318488900103</v>
      </c>
      <c r="L153">
        <v>0.26003073458946863</v>
      </c>
      <c r="M153">
        <v>1.9432459407903091</v>
      </c>
      <c r="N153" t="s">
        <v>103</v>
      </c>
      <c r="O153">
        <v>0.6336368505623996</v>
      </c>
      <c r="P153" t="s">
        <v>141</v>
      </c>
    </row>
    <row r="154" spans="1:16" x14ac:dyDescent="0.2">
      <c r="A154" s="7"/>
      <c r="B154" s="8"/>
      <c r="C154" s="3" t="s">
        <v>142</v>
      </c>
      <c r="D154">
        <v>1.035260074908563E-2</v>
      </c>
      <c r="E154">
        <v>1.0104063743254761</v>
      </c>
      <c r="F154">
        <v>1.17991569492442E-2</v>
      </c>
      <c r="G154">
        <v>-9.0552853538483566E-3</v>
      </c>
      <c r="H154">
        <v>2.9760486852019621E-2</v>
      </c>
      <c r="I154">
        <v>0.99098559026938016</v>
      </c>
      <c r="J154">
        <v>1.0302077560986891</v>
      </c>
      <c r="K154">
        <v>0.87740173248130005</v>
      </c>
      <c r="L154">
        <v>0.38026847248288448</v>
      </c>
      <c r="M154">
        <v>1.3949097627505</v>
      </c>
      <c r="N154" t="s">
        <v>103</v>
      </c>
      <c r="P154" t="s">
        <v>141</v>
      </c>
    </row>
    <row r="155" spans="1:16" x14ac:dyDescent="0.2">
      <c r="A155" s="7"/>
      <c r="B155" s="8"/>
      <c r="C155" s="3" t="s">
        <v>143</v>
      </c>
      <c r="D155">
        <v>-0.45209783438508078</v>
      </c>
      <c r="E155">
        <v>0.63629191545155228</v>
      </c>
      <c r="F155">
        <v>0.3439793264652482</v>
      </c>
      <c r="G155">
        <v>-1.017893477117769</v>
      </c>
      <c r="H155">
        <v>0.1136978083476072</v>
      </c>
      <c r="I155">
        <v>0.36135534228680938</v>
      </c>
      <c r="J155">
        <v>1.1204134941158841</v>
      </c>
      <c r="K155">
        <v>-1.314316877792816</v>
      </c>
      <c r="L155">
        <v>0.18873958982395811</v>
      </c>
      <c r="M155">
        <v>2.4055310219650421</v>
      </c>
      <c r="N155" t="s">
        <v>103</v>
      </c>
      <c r="P155" t="s">
        <v>141</v>
      </c>
    </row>
    <row r="156" spans="1:16" x14ac:dyDescent="0.2">
      <c r="A156" s="7"/>
      <c r="B156" s="8"/>
      <c r="C156" s="3" t="s">
        <v>144</v>
      </c>
      <c r="D156">
        <v>-0.50651945804849141</v>
      </c>
      <c r="E156">
        <v>0.60258927034300935</v>
      </c>
      <c r="F156">
        <v>0.39382128141096029</v>
      </c>
      <c r="G156">
        <v>-1.154297821147986</v>
      </c>
      <c r="H156">
        <v>0.14125890505100289</v>
      </c>
      <c r="I156">
        <v>0.31527884133154632</v>
      </c>
      <c r="J156">
        <v>1.151722796236335</v>
      </c>
      <c r="K156">
        <v>-1.2861657862514759</v>
      </c>
      <c r="L156">
        <v>0.19838520879188529</v>
      </c>
      <c r="M156">
        <v>2.3336236296367701</v>
      </c>
      <c r="N156" t="s">
        <v>103</v>
      </c>
      <c r="P156" t="s">
        <v>141</v>
      </c>
    </row>
    <row r="157" spans="1:16" x14ac:dyDescent="0.2">
      <c r="A157" s="7"/>
      <c r="B157" s="8" t="s">
        <v>75</v>
      </c>
      <c r="C157" s="3" t="s">
        <v>140</v>
      </c>
      <c r="D157">
        <v>0.50142455730007063</v>
      </c>
      <c r="E157">
        <v>1.651071642344148</v>
      </c>
      <c r="F157">
        <v>0.62135130435128916</v>
      </c>
      <c r="G157">
        <v>-0.52060738927317529</v>
      </c>
      <c r="H157">
        <v>1.523456503873317</v>
      </c>
      <c r="I157">
        <v>0.5941595522102493</v>
      </c>
      <c r="J157">
        <v>4.5880564538805304</v>
      </c>
      <c r="K157">
        <v>0.8069904316424894</v>
      </c>
      <c r="L157">
        <v>0.41967199582401232</v>
      </c>
      <c r="M157">
        <v>1.252665897648199</v>
      </c>
      <c r="N157" t="s">
        <v>75</v>
      </c>
      <c r="P157" t="s">
        <v>141</v>
      </c>
    </row>
    <row r="158" spans="1:16" x14ac:dyDescent="0.2">
      <c r="A158" s="7"/>
      <c r="B158" s="8"/>
      <c r="C158" s="3" t="s">
        <v>75</v>
      </c>
      <c r="D158">
        <v>-1.0803880470220251</v>
      </c>
      <c r="E158">
        <v>0.33946377217744322</v>
      </c>
      <c r="F158">
        <v>0.70158359035098661</v>
      </c>
      <c r="G158">
        <v>-2.2343903602204809</v>
      </c>
      <c r="H158">
        <v>7.3614266176430965E-2</v>
      </c>
      <c r="I158">
        <v>0.1070573763979922</v>
      </c>
      <c r="J158">
        <v>1.0763915247889471</v>
      </c>
      <c r="K158">
        <v>-1.539927760399201</v>
      </c>
      <c r="L158">
        <v>0.1235779631723669</v>
      </c>
      <c r="M158">
        <v>3.0165065948201502</v>
      </c>
      <c r="N158" t="s">
        <v>75</v>
      </c>
      <c r="O158">
        <v>0.65682870370370372</v>
      </c>
      <c r="P158" t="s">
        <v>141</v>
      </c>
    </row>
    <row r="159" spans="1:16" x14ac:dyDescent="0.2">
      <c r="A159" s="7"/>
      <c r="B159" s="8"/>
      <c r="C159" s="3" t="s">
        <v>142</v>
      </c>
      <c r="D159">
        <v>7.8109884817114308E-3</v>
      </c>
      <c r="E159">
        <v>1.007841573834326</v>
      </c>
      <c r="F159">
        <v>1.4520390425153301E-2</v>
      </c>
      <c r="G159">
        <v>-1.60729283738534E-2</v>
      </c>
      <c r="H159">
        <v>3.1694905337276258E-2</v>
      </c>
      <c r="I159">
        <v>0.9840555518671692</v>
      </c>
      <c r="J159">
        <v>1.0322025377749799</v>
      </c>
      <c r="K159">
        <v>0.53793240078315363</v>
      </c>
      <c r="L159">
        <v>0.59062371857652052</v>
      </c>
      <c r="M159">
        <v>0.75968880074934508</v>
      </c>
      <c r="N159" t="s">
        <v>75</v>
      </c>
      <c r="P159" t="s">
        <v>141</v>
      </c>
    </row>
    <row r="160" spans="1:16" x14ac:dyDescent="0.2">
      <c r="A160" s="7"/>
      <c r="B160" s="8"/>
      <c r="C160" s="3" t="s">
        <v>143</v>
      </c>
      <c r="D160">
        <v>-0.48485062711890958</v>
      </c>
      <c r="E160">
        <v>0.61578917209758433</v>
      </c>
      <c r="F160">
        <v>0.37222495503969699</v>
      </c>
      <c r="G160">
        <v>-1.097106194457804</v>
      </c>
      <c r="H160">
        <v>0.12740494021998469</v>
      </c>
      <c r="I160">
        <v>0.33383574297992968</v>
      </c>
      <c r="J160">
        <v>1.1358768869019089</v>
      </c>
      <c r="K160">
        <v>-1.3025742109827141</v>
      </c>
      <c r="L160">
        <v>0.19272016693434399</v>
      </c>
      <c r="M160">
        <v>2.375420546534341</v>
      </c>
      <c r="N160" t="s">
        <v>75</v>
      </c>
      <c r="P160" t="s">
        <v>141</v>
      </c>
    </row>
    <row r="161" spans="1:16" x14ac:dyDescent="0.2">
      <c r="A161" s="7"/>
      <c r="B161" s="8"/>
      <c r="C161" s="3" t="s">
        <v>144</v>
      </c>
      <c r="D161">
        <v>-0.60278167303547991</v>
      </c>
      <c r="E161">
        <v>0.54728714286820201</v>
      </c>
      <c r="F161">
        <v>0.40619353316961743</v>
      </c>
      <c r="G161">
        <v>-1.2709105793137581</v>
      </c>
      <c r="H161">
        <v>6.5347233242798231E-2</v>
      </c>
      <c r="I161">
        <v>0.28057601870403648</v>
      </c>
      <c r="J161">
        <v>1.0675296418144331</v>
      </c>
      <c r="K161">
        <v>-1.483976537813988</v>
      </c>
      <c r="L161">
        <v>0.13781514505965209</v>
      </c>
      <c r="M161">
        <v>2.8591936545822092</v>
      </c>
      <c r="N161" t="s">
        <v>75</v>
      </c>
      <c r="P161" t="s">
        <v>141</v>
      </c>
    </row>
    <row r="162" spans="1:16" x14ac:dyDescent="0.2">
      <c r="A162" s="7"/>
      <c r="B162" s="8" t="s">
        <v>104</v>
      </c>
      <c r="C162" s="3" t="s">
        <v>140</v>
      </c>
      <c r="D162">
        <v>0.48827395113136718</v>
      </c>
      <c r="E162">
        <v>1.629501192527016</v>
      </c>
      <c r="F162">
        <v>0.61889643754405244</v>
      </c>
      <c r="G162">
        <v>-0.52972009887031257</v>
      </c>
      <c r="H162">
        <v>1.5062680011330469</v>
      </c>
      <c r="I162">
        <v>0.58876974393348214</v>
      </c>
      <c r="J162">
        <v>4.5098685246756736</v>
      </c>
      <c r="K162">
        <v>0.78894290144724311</v>
      </c>
      <c r="L162">
        <v>0.43014537960787469</v>
      </c>
      <c r="M162">
        <v>1.2171037536962059</v>
      </c>
      <c r="N162" t="s">
        <v>104</v>
      </c>
      <c r="P162" t="s">
        <v>141</v>
      </c>
    </row>
    <row r="163" spans="1:16" x14ac:dyDescent="0.2">
      <c r="A163" s="7"/>
      <c r="B163" s="8"/>
      <c r="C163" s="3" t="s">
        <v>104</v>
      </c>
      <c r="D163">
        <v>-0.50901749089556814</v>
      </c>
      <c r="E163">
        <v>0.6010858611170049</v>
      </c>
      <c r="F163">
        <v>0.64598799957915831</v>
      </c>
      <c r="G163">
        <v>-1.571573194970473</v>
      </c>
      <c r="H163">
        <v>0.55353821317933638</v>
      </c>
      <c r="I163">
        <v>0.20771814403747521</v>
      </c>
      <c r="J163">
        <v>1.7393964986014281</v>
      </c>
      <c r="K163">
        <v>-0.78796740996299885</v>
      </c>
      <c r="L163">
        <v>0.4307157690141441</v>
      </c>
      <c r="M163">
        <v>1.215191951567516</v>
      </c>
      <c r="N163" t="s">
        <v>104</v>
      </c>
      <c r="O163">
        <v>0.63289760348583879</v>
      </c>
      <c r="P163" t="s">
        <v>141</v>
      </c>
    </row>
    <row r="164" spans="1:16" x14ac:dyDescent="0.2">
      <c r="A164" s="7"/>
      <c r="B164" s="8"/>
      <c r="C164" s="3" t="s">
        <v>142</v>
      </c>
      <c r="D164">
        <v>1.244669554684978E-2</v>
      </c>
      <c r="E164">
        <v>1.0125244780385301</v>
      </c>
      <c r="F164">
        <v>1.2033610629247991E-2</v>
      </c>
      <c r="G164">
        <v>-7.3468325419905542E-3</v>
      </c>
      <c r="H164">
        <v>3.224022363569011E-2</v>
      </c>
      <c r="I164">
        <v>0.99268008946138075</v>
      </c>
      <c r="J164">
        <v>1.0327655702084899</v>
      </c>
      <c r="K164">
        <v>1.0343275954598179</v>
      </c>
      <c r="L164">
        <v>0.30098304034972168</v>
      </c>
      <c r="M164">
        <v>1.7322458979112989</v>
      </c>
      <c r="N164" t="s">
        <v>104</v>
      </c>
      <c r="P164" t="s">
        <v>141</v>
      </c>
    </row>
    <row r="165" spans="1:16" x14ac:dyDescent="0.2">
      <c r="A165" s="7"/>
      <c r="B165" s="8"/>
      <c r="C165" s="3" t="s">
        <v>143</v>
      </c>
      <c r="D165">
        <v>-0.53874172521577646</v>
      </c>
      <c r="E165">
        <v>0.58348197131872026</v>
      </c>
      <c r="F165">
        <v>0.34195424851057249</v>
      </c>
      <c r="G165">
        <v>-1.101206411129857</v>
      </c>
      <c r="H165">
        <v>2.3722960698303711E-2</v>
      </c>
      <c r="I165">
        <v>0.33246974645543342</v>
      </c>
      <c r="J165">
        <v>1.024006588520127</v>
      </c>
      <c r="K165">
        <v>-1.57547896410803</v>
      </c>
      <c r="L165">
        <v>0.11514593028680729</v>
      </c>
      <c r="M165">
        <v>3.1184646734118209</v>
      </c>
      <c r="N165" t="s">
        <v>104</v>
      </c>
      <c r="P165" t="s">
        <v>141</v>
      </c>
    </row>
    <row r="166" spans="1:16" x14ac:dyDescent="0.2">
      <c r="A166" s="7"/>
      <c r="B166" s="8"/>
      <c r="C166" s="3" t="s">
        <v>144</v>
      </c>
      <c r="D166">
        <v>-0.47842427035358509</v>
      </c>
      <c r="E166">
        <v>0.61975919574100968</v>
      </c>
      <c r="F166">
        <v>0.39564880610165559</v>
      </c>
      <c r="G166">
        <v>-1.1292086440689131</v>
      </c>
      <c r="H166">
        <v>0.17236010336174279</v>
      </c>
      <c r="I166">
        <v>0.32328899188120108</v>
      </c>
      <c r="J166">
        <v>1.188105597009282</v>
      </c>
      <c r="K166">
        <v>-1.209214492689918</v>
      </c>
      <c r="L166">
        <v>0.2265804512524888</v>
      </c>
      <c r="M166">
        <v>2.14190470017946</v>
      </c>
      <c r="N166" t="s">
        <v>104</v>
      </c>
      <c r="P166" t="s">
        <v>141</v>
      </c>
    </row>
    <row r="167" spans="1:16" x14ac:dyDescent="0.2">
      <c r="A167" s="7"/>
      <c r="B167" s="8" t="s">
        <v>373</v>
      </c>
      <c r="C167" s="3" t="s">
        <v>140</v>
      </c>
      <c r="D167">
        <v>0.50444068134408093</v>
      </c>
      <c r="E167">
        <v>1.6560589966818411</v>
      </c>
      <c r="F167">
        <v>0.62299050140068457</v>
      </c>
      <c r="G167">
        <v>-0.52028750444115124</v>
      </c>
      <c r="H167">
        <v>1.5291688671293131</v>
      </c>
      <c r="I167">
        <v>0.59434964524112122</v>
      </c>
      <c r="J167">
        <v>4.6143400983746696</v>
      </c>
      <c r="K167">
        <v>0.80970846298608856</v>
      </c>
      <c r="L167">
        <v>0.41810775286654039</v>
      </c>
      <c r="M167">
        <v>1.258053299727246</v>
      </c>
      <c r="N167" t="s">
        <v>373</v>
      </c>
      <c r="P167" t="s">
        <v>141</v>
      </c>
    </row>
    <row r="168" spans="1:16" x14ac:dyDescent="0.2">
      <c r="A168" s="7"/>
      <c r="B168" s="8"/>
      <c r="C168" s="3" t="s">
        <v>373</v>
      </c>
      <c r="D168">
        <v>5.9636613751389643E-2</v>
      </c>
      <c r="E168">
        <v>1.0614507598451091</v>
      </c>
      <c r="F168">
        <v>0.78706179168561485</v>
      </c>
      <c r="G168">
        <v>-1.2349648289376181</v>
      </c>
      <c r="H168">
        <v>1.3542380564403971</v>
      </c>
      <c r="I168">
        <v>0.29084499151530557</v>
      </c>
      <c r="J168">
        <v>3.873808208646663</v>
      </c>
      <c r="K168">
        <v>7.5771196596481433E-2</v>
      </c>
      <c r="L168">
        <v>0.93960113201477125</v>
      </c>
      <c r="M168">
        <v>8.9879643402819925E-2</v>
      </c>
      <c r="N168" t="s">
        <v>373</v>
      </c>
      <c r="O168">
        <v>0.6272094268880557</v>
      </c>
      <c r="P168" t="s">
        <v>141</v>
      </c>
    </row>
    <row r="169" spans="1:16" x14ac:dyDescent="0.2">
      <c r="A169" s="7"/>
      <c r="B169" s="8"/>
      <c r="C169" s="3" t="s">
        <v>142</v>
      </c>
      <c r="D169">
        <v>1.116680866336198E-2</v>
      </c>
      <c r="E169">
        <v>1.011229390199639</v>
      </c>
      <c r="F169">
        <v>1.184827742579223E-2</v>
      </c>
      <c r="G169">
        <v>-8.3218734335796136E-3</v>
      </c>
      <c r="H169">
        <v>3.0655490760303571E-2</v>
      </c>
      <c r="I169">
        <v>0.99171265750139503</v>
      </c>
      <c r="J169">
        <v>1.031130208804554</v>
      </c>
      <c r="K169">
        <v>0.94248372671062086</v>
      </c>
      <c r="L169">
        <v>0.34594503883578598</v>
      </c>
      <c r="M169">
        <v>1.53138524343402</v>
      </c>
      <c r="N169" t="s">
        <v>373</v>
      </c>
      <c r="P169" t="s">
        <v>141</v>
      </c>
    </row>
    <row r="170" spans="1:16" x14ac:dyDescent="0.2">
      <c r="A170" s="7"/>
      <c r="B170" s="8"/>
      <c r="C170" s="3" t="s">
        <v>143</v>
      </c>
      <c r="D170">
        <v>-0.53059044137635525</v>
      </c>
      <c r="E170">
        <v>0.58825753552977078</v>
      </c>
      <c r="F170">
        <v>0.33891508287986433</v>
      </c>
      <c r="G170">
        <v>-1.0880561446798589</v>
      </c>
      <c r="H170">
        <v>2.687526192714829E-2</v>
      </c>
      <c r="I170">
        <v>0.33687068554789718</v>
      </c>
      <c r="J170">
        <v>1.02723965887604</v>
      </c>
      <c r="K170">
        <v>-1.565555704596465</v>
      </c>
      <c r="L170">
        <v>0.11745266680457871</v>
      </c>
      <c r="M170">
        <v>3.0898486242612861</v>
      </c>
      <c r="N170" t="s">
        <v>373</v>
      </c>
      <c r="P170" t="s">
        <v>141</v>
      </c>
    </row>
    <row r="171" spans="1:16" x14ac:dyDescent="0.2">
      <c r="A171" s="7"/>
      <c r="B171" s="8"/>
      <c r="C171" s="3" t="s">
        <v>144</v>
      </c>
      <c r="D171">
        <v>-0.49077430027819552</v>
      </c>
      <c r="E171">
        <v>0.61215222099687527</v>
      </c>
      <c r="F171">
        <v>0.39371905619418579</v>
      </c>
      <c r="G171">
        <v>-1.1383845178591121</v>
      </c>
      <c r="H171">
        <v>0.15683591730272151</v>
      </c>
      <c r="I171">
        <v>0.32033610128823498</v>
      </c>
      <c r="J171">
        <v>1.169803653613892</v>
      </c>
      <c r="K171">
        <v>-1.2465088812875269</v>
      </c>
      <c r="L171">
        <v>0.21257763070468849</v>
      </c>
      <c r="M171">
        <v>2.233938303142196</v>
      </c>
      <c r="N171" t="s">
        <v>373</v>
      </c>
      <c r="P171" t="s">
        <v>141</v>
      </c>
    </row>
    <row r="172" spans="1:16" x14ac:dyDescent="0.2">
      <c r="A172" s="7"/>
      <c r="B172" s="8" t="s">
        <v>9</v>
      </c>
      <c r="C172" s="3" t="s">
        <v>140</v>
      </c>
      <c r="D172">
        <v>0.47572897672744913</v>
      </c>
      <c r="E172">
        <v>1.609186829772052</v>
      </c>
      <c r="F172">
        <v>0.62267013126106974</v>
      </c>
      <c r="G172">
        <v>-0.54847224707167053</v>
      </c>
      <c r="H172">
        <v>1.4999302005265689</v>
      </c>
      <c r="I172">
        <v>0.57783192079460621</v>
      </c>
      <c r="J172">
        <v>4.481376261717938</v>
      </c>
      <c r="K172">
        <v>0.76401444817013076</v>
      </c>
      <c r="L172">
        <v>0.44485863261111858</v>
      </c>
      <c r="M172">
        <v>1.1685811462984841</v>
      </c>
      <c r="N172" t="s">
        <v>9</v>
      </c>
      <c r="P172" t="s">
        <v>141</v>
      </c>
    </row>
    <row r="173" spans="1:16" x14ac:dyDescent="0.2">
      <c r="A173" s="7"/>
      <c r="B173" s="8"/>
      <c r="C173" s="3" t="s">
        <v>9</v>
      </c>
      <c r="D173">
        <v>-1.059834380096867</v>
      </c>
      <c r="E173">
        <v>0.34651319505969969</v>
      </c>
      <c r="F173">
        <v>0.74961187204735369</v>
      </c>
      <c r="G173">
        <v>-2.292836186639839</v>
      </c>
      <c r="H173">
        <v>0.17316742644610539</v>
      </c>
      <c r="I173">
        <v>0.10097965817434471</v>
      </c>
      <c r="J173">
        <v>1.18906516937475</v>
      </c>
      <c r="K173">
        <v>-1.413844176723386</v>
      </c>
      <c r="L173">
        <v>0.1574076594159538</v>
      </c>
      <c r="M173">
        <v>2.667422351166751</v>
      </c>
      <c r="N173" t="s">
        <v>9</v>
      </c>
      <c r="O173">
        <v>0.64240323512420561</v>
      </c>
      <c r="P173" t="s">
        <v>141</v>
      </c>
    </row>
    <row r="174" spans="1:16" x14ac:dyDescent="0.2">
      <c r="A174" s="7"/>
      <c r="B174" s="8"/>
      <c r="C174" s="3" t="s">
        <v>142</v>
      </c>
      <c r="D174">
        <v>1.516239629365038E-2</v>
      </c>
      <c r="E174">
        <v>1.015277928601336</v>
      </c>
      <c r="F174">
        <v>1.29507387744175E-2</v>
      </c>
      <c r="G174">
        <v>-6.1396733511513077E-3</v>
      </c>
      <c r="H174">
        <v>3.6464465938452068E-2</v>
      </c>
      <c r="I174">
        <v>0.99387913592931176</v>
      </c>
      <c r="J174">
        <v>1.037137449656991</v>
      </c>
      <c r="K174">
        <v>1.170774622031735</v>
      </c>
      <c r="L174">
        <v>0.241689381205106</v>
      </c>
      <c r="M174">
        <v>2.0487740062243689</v>
      </c>
      <c r="N174" t="s">
        <v>9</v>
      </c>
      <c r="P174" t="s">
        <v>141</v>
      </c>
    </row>
    <row r="175" spans="1:16" x14ac:dyDescent="0.2">
      <c r="A175" s="7"/>
      <c r="B175" s="8"/>
      <c r="C175" s="3" t="s">
        <v>143</v>
      </c>
      <c r="D175">
        <v>-0.62773911600986054</v>
      </c>
      <c r="E175">
        <v>0.53379729150666044</v>
      </c>
      <c r="F175">
        <v>0.34805612939642239</v>
      </c>
      <c r="G175">
        <v>-1.200240502830257</v>
      </c>
      <c r="H175">
        <v>-5.5237729189464242E-2</v>
      </c>
      <c r="I175">
        <v>0.30112178256186117</v>
      </c>
      <c r="J175">
        <v>0.94626016754968501</v>
      </c>
      <c r="K175">
        <v>-1.803557136311454</v>
      </c>
      <c r="L175">
        <v>7.1300760775788036E-2</v>
      </c>
      <c r="M175">
        <v>3.8099387195347179</v>
      </c>
      <c r="N175" t="s">
        <v>9</v>
      </c>
      <c r="P175" t="s">
        <v>141</v>
      </c>
    </row>
    <row r="176" spans="1:16" x14ac:dyDescent="0.2">
      <c r="A176" s="7"/>
      <c r="B176" s="8"/>
      <c r="C176" s="3" t="s">
        <v>144</v>
      </c>
      <c r="D176">
        <v>-0.48361110749653557</v>
      </c>
      <c r="E176">
        <v>0.61655292810713824</v>
      </c>
      <c r="F176">
        <v>0.39655837716521419</v>
      </c>
      <c r="G176">
        <v>-1.1358915924747279</v>
      </c>
      <c r="H176">
        <v>0.16866937748165689</v>
      </c>
      <c r="I176">
        <v>0.32113567150702949</v>
      </c>
      <c r="J176">
        <v>1.183728706853312</v>
      </c>
      <c r="K176">
        <v>-1.219520593546946</v>
      </c>
      <c r="L176">
        <v>0.22264666447193249</v>
      </c>
      <c r="M176">
        <v>2.1671720963373899</v>
      </c>
      <c r="N176" t="s">
        <v>9</v>
      </c>
      <c r="P176" t="s">
        <v>141</v>
      </c>
    </row>
    <row r="177" spans="1:16" x14ac:dyDescent="0.2">
      <c r="A177" s="7"/>
      <c r="B177" s="8" t="s">
        <v>105</v>
      </c>
      <c r="C177" s="3" t="s">
        <v>140</v>
      </c>
      <c r="D177">
        <v>0.58642471290966003</v>
      </c>
      <c r="E177">
        <v>1.7975501550778481</v>
      </c>
      <c r="F177">
        <v>0.63157253301597804</v>
      </c>
      <c r="G177">
        <v>-0.45241965870459971</v>
      </c>
      <c r="H177">
        <v>1.6252690845239199</v>
      </c>
      <c r="I177">
        <v>0.63608717418597316</v>
      </c>
      <c r="J177">
        <v>5.0797857450206836</v>
      </c>
      <c r="K177">
        <v>0.92851522549481136</v>
      </c>
      <c r="L177">
        <v>0.35314037368983359</v>
      </c>
      <c r="M177">
        <v>1.5016863245053309</v>
      </c>
      <c r="N177" t="s">
        <v>105</v>
      </c>
      <c r="P177" t="s">
        <v>141</v>
      </c>
    </row>
    <row r="178" spans="1:16" x14ac:dyDescent="0.2">
      <c r="A178" s="7"/>
      <c r="B178" s="8"/>
      <c r="C178" s="3" t="s">
        <v>105</v>
      </c>
      <c r="D178">
        <v>0.64838020224767634</v>
      </c>
      <c r="E178">
        <v>1.912440551873408</v>
      </c>
      <c r="F178">
        <v>0.96946532866181545</v>
      </c>
      <c r="G178">
        <v>-0.94624835980541167</v>
      </c>
      <c r="H178">
        <v>2.243008764300765</v>
      </c>
      <c r="I178">
        <v>0.38819466168181788</v>
      </c>
      <c r="J178">
        <v>9.4216361672888276</v>
      </c>
      <c r="K178">
        <v>0.66880184683103272</v>
      </c>
      <c r="L178">
        <v>0.50362188848664324</v>
      </c>
      <c r="M178">
        <v>0.98958710784931669</v>
      </c>
      <c r="N178" t="s">
        <v>105</v>
      </c>
      <c r="O178">
        <v>0.6239957150508838</v>
      </c>
      <c r="P178" t="s">
        <v>141</v>
      </c>
    </row>
    <row r="179" spans="1:16" x14ac:dyDescent="0.2">
      <c r="A179" s="7"/>
      <c r="B179" s="8"/>
      <c r="C179" s="3" t="s">
        <v>142</v>
      </c>
      <c r="D179">
        <v>1.3556452619453679E-2</v>
      </c>
      <c r="E179">
        <v>1.0136487579626321</v>
      </c>
      <c r="F179">
        <v>1.238788993199055E-2</v>
      </c>
      <c r="G179">
        <v>-6.8198130654565942E-3</v>
      </c>
      <c r="H179">
        <v>3.3932718304363958E-2</v>
      </c>
      <c r="I179">
        <v>0.99320338908492889</v>
      </c>
      <c r="J179">
        <v>1.034515000463138</v>
      </c>
      <c r="K179">
        <v>1.094331051848098</v>
      </c>
      <c r="L179">
        <v>0.27380981124728299</v>
      </c>
      <c r="M179">
        <v>1.8687539522206951</v>
      </c>
      <c r="N179" t="s">
        <v>105</v>
      </c>
      <c r="P179" t="s">
        <v>141</v>
      </c>
    </row>
    <row r="180" spans="1:16" x14ac:dyDescent="0.2">
      <c r="A180" s="7"/>
      <c r="B180" s="8"/>
      <c r="C180" s="3" t="s">
        <v>143</v>
      </c>
      <c r="D180">
        <v>-0.62333662025267766</v>
      </c>
      <c r="E180">
        <v>0.53615251243872752</v>
      </c>
      <c r="F180">
        <v>0.36876810691037382</v>
      </c>
      <c r="G180">
        <v>-1.2299061784082339</v>
      </c>
      <c r="H180">
        <v>-1.6767062097121199E-2</v>
      </c>
      <c r="I180">
        <v>0.29232000232225042</v>
      </c>
      <c r="J180">
        <v>0.98337272273782905</v>
      </c>
      <c r="K180">
        <v>-1.6903213932331049</v>
      </c>
      <c r="L180">
        <v>9.096648444560318E-2</v>
      </c>
      <c r="M180">
        <v>3.4585210909527269</v>
      </c>
      <c r="N180" t="s">
        <v>105</v>
      </c>
      <c r="P180" t="s">
        <v>141</v>
      </c>
    </row>
    <row r="181" spans="1:16" x14ac:dyDescent="0.2">
      <c r="A181" s="7"/>
      <c r="B181" s="8"/>
      <c r="C181" s="3" t="s">
        <v>144</v>
      </c>
      <c r="D181">
        <v>-0.43117768432029108</v>
      </c>
      <c r="E181">
        <v>0.64974345129387689</v>
      </c>
      <c r="F181">
        <v>0.40417637264465989</v>
      </c>
      <c r="G181">
        <v>-1.09598865679295</v>
      </c>
      <c r="H181">
        <v>0.23363328815236739</v>
      </c>
      <c r="I181">
        <v>0.33420902553639359</v>
      </c>
      <c r="J181">
        <v>1.263181183756831</v>
      </c>
      <c r="K181">
        <v>-1.066805764767873</v>
      </c>
      <c r="L181">
        <v>0.28605955487151452</v>
      </c>
      <c r="M181">
        <v>1.805612561263551</v>
      </c>
      <c r="N181" t="s">
        <v>105</v>
      </c>
      <c r="P181" t="s">
        <v>141</v>
      </c>
    </row>
    <row r="182" spans="1:16" x14ac:dyDescent="0.2">
      <c r="A182" s="7"/>
      <c r="B182" s="8" t="s">
        <v>106</v>
      </c>
      <c r="C182" s="3" t="s">
        <v>140</v>
      </c>
      <c r="D182">
        <v>0.46294989903199008</v>
      </c>
      <c r="E182">
        <v>1.588753742321656</v>
      </c>
      <c r="F182">
        <v>0.61889788220167796</v>
      </c>
      <c r="G182">
        <v>-0.5550465272200249</v>
      </c>
      <c r="H182">
        <v>1.4809463252840049</v>
      </c>
      <c r="I182">
        <v>0.57404555183139028</v>
      </c>
      <c r="J182">
        <v>4.3971048041192073</v>
      </c>
      <c r="K182">
        <v>0.7480230783551628</v>
      </c>
      <c r="L182">
        <v>0.45444623731244432</v>
      </c>
      <c r="M182">
        <v>1.137818466585794</v>
      </c>
      <c r="N182" t="s">
        <v>106</v>
      </c>
      <c r="P182" t="s">
        <v>141</v>
      </c>
    </row>
    <row r="183" spans="1:16" x14ac:dyDescent="0.2">
      <c r="A183" s="7"/>
      <c r="B183" s="8"/>
      <c r="C183" s="3" t="s">
        <v>106</v>
      </c>
      <c r="D183">
        <v>-0.78613650099108268</v>
      </c>
      <c r="E183">
        <v>0.45560161575091829</v>
      </c>
      <c r="F183">
        <v>0.86577973369858641</v>
      </c>
      <c r="G183">
        <v>-2.2102174361062819</v>
      </c>
      <c r="H183">
        <v>0.63794443412411661</v>
      </c>
      <c r="I183">
        <v>0.1096767982266925</v>
      </c>
      <c r="J183">
        <v>1.8925865418300429</v>
      </c>
      <c r="K183">
        <v>-0.90800982096535099</v>
      </c>
      <c r="L183">
        <v>0.36387303291123019</v>
      </c>
      <c r="M183">
        <v>1.458492959692558</v>
      </c>
      <c r="N183" t="s">
        <v>106</v>
      </c>
      <c r="O183">
        <v>0.6432779860739154</v>
      </c>
      <c r="P183" t="s">
        <v>141</v>
      </c>
    </row>
    <row r="184" spans="1:16" x14ac:dyDescent="0.2">
      <c r="A184" s="7"/>
      <c r="B184" s="8"/>
      <c r="C184" s="3" t="s">
        <v>142</v>
      </c>
      <c r="D184">
        <v>1.111422657920458E-2</v>
      </c>
      <c r="E184">
        <v>1.0111762190486779</v>
      </c>
      <c r="F184">
        <v>1.1667967474814391E-2</v>
      </c>
      <c r="G184">
        <v>-8.0778720408956738E-3</v>
      </c>
      <c r="H184">
        <v>3.0306325199304839E-2</v>
      </c>
      <c r="I184">
        <v>0.9919546662950085</v>
      </c>
      <c r="J184">
        <v>1.0307702364953579</v>
      </c>
      <c r="K184">
        <v>0.95254178615040952</v>
      </c>
      <c r="L184">
        <v>0.3408222844923417</v>
      </c>
      <c r="M184">
        <v>1.5529084263555351</v>
      </c>
      <c r="N184" t="s">
        <v>106</v>
      </c>
      <c r="P184" t="s">
        <v>141</v>
      </c>
    </row>
    <row r="185" spans="1:16" x14ac:dyDescent="0.2">
      <c r="A185" s="7"/>
      <c r="B185" s="8"/>
      <c r="C185" s="3" t="s">
        <v>143</v>
      </c>
      <c r="D185">
        <v>-0.59815600953811954</v>
      </c>
      <c r="E185">
        <v>0.54982457315246569</v>
      </c>
      <c r="F185">
        <v>0.34645072702285118</v>
      </c>
      <c r="G185">
        <v>-1.1680167444416309</v>
      </c>
      <c r="H185">
        <v>-2.8295274634608351E-2</v>
      </c>
      <c r="I185">
        <v>0.31098308901414951</v>
      </c>
      <c r="J185">
        <v>0.97210128756723591</v>
      </c>
      <c r="K185">
        <v>-1.7265254851050329</v>
      </c>
      <c r="L185">
        <v>8.4252918489935699E-2</v>
      </c>
      <c r="M185">
        <v>3.5691295281920228</v>
      </c>
      <c r="N185" t="s">
        <v>106</v>
      </c>
      <c r="P185" t="s">
        <v>141</v>
      </c>
    </row>
    <row r="186" spans="1:16" x14ac:dyDescent="0.2">
      <c r="A186" s="7"/>
      <c r="B186" s="8"/>
      <c r="C186" s="3" t="s">
        <v>144</v>
      </c>
      <c r="D186">
        <v>-0.55478868300136408</v>
      </c>
      <c r="E186">
        <v>0.57419358524213726</v>
      </c>
      <c r="F186">
        <v>0.39853601868763922</v>
      </c>
      <c r="G186">
        <v>-1.210322098810527</v>
      </c>
      <c r="H186">
        <v>0.1007447328077988</v>
      </c>
      <c r="I186">
        <v>0.29810124590785247</v>
      </c>
      <c r="J186">
        <v>1.1059942816714501</v>
      </c>
      <c r="K186">
        <v>-1.3920666062461751</v>
      </c>
      <c r="L186">
        <v>0.1639022293206959</v>
      </c>
      <c r="M186">
        <v>2.6090926174601212</v>
      </c>
      <c r="N186" t="s">
        <v>106</v>
      </c>
      <c r="P186" t="s">
        <v>141</v>
      </c>
    </row>
    <row r="187" spans="1:16" x14ac:dyDescent="0.2">
      <c r="A187" s="7"/>
      <c r="B187" s="8" t="s">
        <v>107</v>
      </c>
      <c r="C187" s="3" t="s">
        <v>140</v>
      </c>
      <c r="D187">
        <v>0.45307027433428609</v>
      </c>
      <c r="E187">
        <v>1.5731347336259649</v>
      </c>
      <c r="F187">
        <v>0.62025205584777365</v>
      </c>
      <c r="G187">
        <v>-0.56715356935103145</v>
      </c>
      <c r="H187">
        <v>1.473294118019604</v>
      </c>
      <c r="I187">
        <v>0.56713746080718397</v>
      </c>
      <c r="J187">
        <v>4.3635856580840562</v>
      </c>
      <c r="K187">
        <v>0.73046154392026974</v>
      </c>
      <c r="L187">
        <v>0.46510811118762763</v>
      </c>
      <c r="M187">
        <v>1.1043619951277659</v>
      </c>
      <c r="N187" t="s">
        <v>107</v>
      </c>
      <c r="P187" t="s">
        <v>141</v>
      </c>
    </row>
    <row r="188" spans="1:16" x14ac:dyDescent="0.2">
      <c r="A188" s="7"/>
      <c r="B188" s="8"/>
      <c r="C188" s="3" t="s">
        <v>107</v>
      </c>
      <c r="D188">
        <v>-1.294526155757834</v>
      </c>
      <c r="E188">
        <v>0.27402768001117789</v>
      </c>
      <c r="F188">
        <v>0.68602594208529255</v>
      </c>
      <c r="G188">
        <v>-2.4229384147796278</v>
      </c>
      <c r="H188">
        <v>-0.1661138967360396</v>
      </c>
      <c r="I188">
        <v>8.8660712375819406E-2</v>
      </c>
      <c r="J188">
        <v>0.84694976388198173</v>
      </c>
      <c r="K188">
        <v>-1.8869930076155741</v>
      </c>
      <c r="L188">
        <v>5.91612661466163E-2</v>
      </c>
      <c r="M188">
        <v>4.0792032610041158</v>
      </c>
      <c r="N188" t="s">
        <v>107</v>
      </c>
      <c r="O188">
        <v>0.65988216389930365</v>
      </c>
      <c r="P188" t="s">
        <v>141</v>
      </c>
    </row>
    <row r="189" spans="1:16" x14ac:dyDescent="0.2">
      <c r="A189" s="7"/>
      <c r="B189" s="8"/>
      <c r="C189" s="3" t="s">
        <v>142</v>
      </c>
      <c r="D189">
        <v>1.039888447496764E-2</v>
      </c>
      <c r="E189">
        <v>1.0104531407793891</v>
      </c>
      <c r="F189">
        <v>1.240833388110878E-2</v>
      </c>
      <c r="G189">
        <v>-1.0011008513798981E-2</v>
      </c>
      <c r="H189">
        <v>3.0808777463734251E-2</v>
      </c>
      <c r="I189">
        <v>0.9900389348319022</v>
      </c>
      <c r="J189">
        <v>1.0312882794698259</v>
      </c>
      <c r="K189">
        <v>0.83805646870927142</v>
      </c>
      <c r="L189">
        <v>0.40199898977046322</v>
      </c>
      <c r="M189">
        <v>1.314736218993044</v>
      </c>
      <c r="N189" t="s">
        <v>107</v>
      </c>
      <c r="P189" t="s">
        <v>141</v>
      </c>
    </row>
    <row r="190" spans="1:16" x14ac:dyDescent="0.2">
      <c r="A190" s="7"/>
      <c r="B190" s="8"/>
      <c r="C190" s="3" t="s">
        <v>143</v>
      </c>
      <c r="D190">
        <v>-0.53825342700264567</v>
      </c>
      <c r="E190">
        <v>0.58376695409533697</v>
      </c>
      <c r="F190">
        <v>0.34552735991426908</v>
      </c>
      <c r="G190">
        <v>-1.1065953581685981</v>
      </c>
      <c r="H190">
        <v>3.008850416330644E-2</v>
      </c>
      <c r="I190">
        <v>0.3306829035250301</v>
      </c>
      <c r="J190">
        <v>1.030545737505757</v>
      </c>
      <c r="K190">
        <v>-1.5577736800240509</v>
      </c>
      <c r="L190">
        <v>0.1192869073138869</v>
      </c>
      <c r="M190">
        <v>3.067492390411513</v>
      </c>
      <c r="N190" t="s">
        <v>107</v>
      </c>
      <c r="P190" t="s">
        <v>141</v>
      </c>
    </row>
    <row r="191" spans="1:16" x14ac:dyDescent="0.2">
      <c r="A191" s="7"/>
      <c r="B191" s="8"/>
      <c r="C191" s="3" t="s">
        <v>144</v>
      </c>
      <c r="D191">
        <v>-0.49703523003893041</v>
      </c>
      <c r="E191">
        <v>0.60833155188939914</v>
      </c>
      <c r="F191">
        <v>0.39529707020632271</v>
      </c>
      <c r="G191">
        <v>-1.147241049691091</v>
      </c>
      <c r="H191">
        <v>0.1531705896132301</v>
      </c>
      <c r="I191">
        <v>0.3175115606897268</v>
      </c>
      <c r="J191">
        <v>1.165523788237101</v>
      </c>
      <c r="K191">
        <v>-1.257371398628141</v>
      </c>
      <c r="L191">
        <v>0.208619180973381</v>
      </c>
      <c r="M191">
        <v>2.2610562859126802</v>
      </c>
      <c r="N191" t="s">
        <v>107</v>
      </c>
      <c r="P191" t="s">
        <v>141</v>
      </c>
    </row>
    <row r="192" spans="1:16" x14ac:dyDescent="0.2">
      <c r="A192" s="7"/>
      <c r="B192" s="8" t="s">
        <v>108</v>
      </c>
      <c r="C192" s="3" t="s">
        <v>140</v>
      </c>
      <c r="D192">
        <v>0.82205507928524224</v>
      </c>
      <c r="E192">
        <v>2.275170692560482</v>
      </c>
      <c r="F192">
        <v>0.64328176763384337</v>
      </c>
      <c r="G192">
        <v>-0.23604926935903911</v>
      </c>
      <c r="H192">
        <v>1.880159427929524</v>
      </c>
      <c r="I192">
        <v>0.78974176290378517</v>
      </c>
      <c r="J192">
        <v>6.5545497571929596</v>
      </c>
      <c r="K192">
        <v>1.277908252100745</v>
      </c>
      <c r="L192">
        <v>0.20128177807443159</v>
      </c>
      <c r="M192">
        <v>2.3127115230829869</v>
      </c>
      <c r="N192" t="s">
        <v>108</v>
      </c>
      <c r="P192" t="s">
        <v>141</v>
      </c>
    </row>
    <row r="193" spans="1:16" x14ac:dyDescent="0.2">
      <c r="A193" s="7"/>
      <c r="B193" s="8"/>
      <c r="C193" s="3" t="s">
        <v>108</v>
      </c>
      <c r="D193">
        <v>2.208012673191436</v>
      </c>
      <c r="E193">
        <v>9.0976184746687636</v>
      </c>
      <c r="F193">
        <v>0.8329579943725014</v>
      </c>
      <c r="G193">
        <v>0.83791869504960381</v>
      </c>
      <c r="H193">
        <v>3.5781066513332691</v>
      </c>
      <c r="I193">
        <v>2.3115509243008439</v>
      </c>
      <c r="J193">
        <v>35.805683984949702</v>
      </c>
      <c r="K193">
        <v>2.6508091501718711</v>
      </c>
      <c r="L193">
        <v>8.0299201528916467E-3</v>
      </c>
      <c r="M193">
        <v>6.9603986425732929</v>
      </c>
      <c r="N193" t="s">
        <v>108</v>
      </c>
      <c r="O193">
        <v>0.67704280155642027</v>
      </c>
      <c r="P193" t="s">
        <v>141</v>
      </c>
    </row>
    <row r="194" spans="1:16" x14ac:dyDescent="0.2">
      <c r="A194" s="7"/>
      <c r="B194" s="8"/>
      <c r="C194" s="3" t="s">
        <v>142</v>
      </c>
      <c r="D194">
        <v>1.0215518049397189E-2</v>
      </c>
      <c r="E194">
        <v>1.0102678745850771</v>
      </c>
      <c r="F194">
        <v>1.273745726382799E-2</v>
      </c>
      <c r="G194">
        <v>-1.0735734729149659E-2</v>
      </c>
      <c r="H194">
        <v>3.116677082794404E-2</v>
      </c>
      <c r="I194">
        <v>0.98932168759694172</v>
      </c>
      <c r="J194">
        <v>1.0316575399229151</v>
      </c>
      <c r="K194">
        <v>0.80200607058422535</v>
      </c>
      <c r="L194">
        <v>0.42254944669073241</v>
      </c>
      <c r="M194">
        <v>1.2428079195956161</v>
      </c>
      <c r="N194" t="s">
        <v>108</v>
      </c>
      <c r="P194" t="s">
        <v>141</v>
      </c>
    </row>
    <row r="195" spans="1:16" x14ac:dyDescent="0.2">
      <c r="A195" s="7"/>
      <c r="B195" s="8"/>
      <c r="C195" s="3" t="s">
        <v>143</v>
      </c>
      <c r="D195">
        <v>-0.51623199866798697</v>
      </c>
      <c r="E195">
        <v>0.59676492794477809</v>
      </c>
      <c r="F195">
        <v>0.35463644837694491</v>
      </c>
      <c r="G195">
        <v>-1.0995570470299929</v>
      </c>
      <c r="H195">
        <v>6.7093049694019302E-2</v>
      </c>
      <c r="I195">
        <v>0.33301856259392898</v>
      </c>
      <c r="J195">
        <v>1.069394980420916</v>
      </c>
      <c r="K195">
        <v>-1.455665375148584</v>
      </c>
      <c r="L195">
        <v>0.14548514603722529</v>
      </c>
      <c r="M195">
        <v>2.781056232697984</v>
      </c>
      <c r="N195" t="s">
        <v>108</v>
      </c>
      <c r="P195" t="s">
        <v>141</v>
      </c>
    </row>
    <row r="196" spans="1:16" x14ac:dyDescent="0.2">
      <c r="A196" s="7"/>
      <c r="B196" s="8"/>
      <c r="C196" s="3" t="s">
        <v>144</v>
      </c>
      <c r="D196">
        <v>-0.53078864076682142</v>
      </c>
      <c r="E196">
        <v>0.58814095479828821</v>
      </c>
      <c r="F196">
        <v>0.40566115670616099</v>
      </c>
      <c r="G196">
        <v>-1.1980418656882801</v>
      </c>
      <c r="H196">
        <v>0.136464584154637</v>
      </c>
      <c r="I196">
        <v>0.30178456844309542</v>
      </c>
      <c r="J196">
        <v>1.146214282909124</v>
      </c>
      <c r="K196">
        <v>-1.308453205322037</v>
      </c>
      <c r="L196">
        <v>0.19071963651077201</v>
      </c>
      <c r="M196">
        <v>2.390474703579339</v>
      </c>
      <c r="N196" t="s">
        <v>108</v>
      </c>
      <c r="P196" t="s">
        <v>141</v>
      </c>
    </row>
    <row r="197" spans="1:16" x14ac:dyDescent="0.2">
      <c r="A197" s="7"/>
      <c r="B197" s="8" t="s">
        <v>109</v>
      </c>
      <c r="C197" s="3" t="s">
        <v>140</v>
      </c>
      <c r="D197">
        <v>1.5111897228750311</v>
      </c>
      <c r="E197">
        <v>4.5321195544193156</v>
      </c>
      <c r="F197">
        <v>1.024506975336549</v>
      </c>
      <c r="G197">
        <v>-0.17397429134437289</v>
      </c>
      <c r="H197">
        <v>3.196353737094435</v>
      </c>
      <c r="I197">
        <v>0.84031850083969106</v>
      </c>
      <c r="J197">
        <v>24.44324102709291</v>
      </c>
      <c r="K197">
        <v>1.47504093115482</v>
      </c>
      <c r="L197">
        <v>0.14020153943760499</v>
      </c>
      <c r="M197">
        <v>2.8344259044061211</v>
      </c>
      <c r="N197" t="s">
        <v>109</v>
      </c>
      <c r="P197" t="s">
        <v>141</v>
      </c>
    </row>
    <row r="198" spans="1:16" x14ac:dyDescent="0.2">
      <c r="A198" s="7"/>
      <c r="B198" s="8"/>
      <c r="C198" s="3" t="s">
        <v>109</v>
      </c>
      <c r="D198">
        <v>-0.26599573292697731</v>
      </c>
      <c r="E198">
        <v>0.76644239795972136</v>
      </c>
      <c r="F198">
        <v>0.69039923769230782</v>
      </c>
      <c r="G198">
        <v>-1.4016014230897009</v>
      </c>
      <c r="H198">
        <v>0.86960995723574652</v>
      </c>
      <c r="I198">
        <v>0.24620237390682559</v>
      </c>
      <c r="J198">
        <v>2.3859800377577201</v>
      </c>
      <c r="K198">
        <v>-0.38527813822054702</v>
      </c>
      <c r="L198">
        <v>0.70003135689236506</v>
      </c>
      <c r="M198">
        <v>0.51450854794418321</v>
      </c>
      <c r="N198" t="s">
        <v>109</v>
      </c>
      <c r="O198">
        <v>0.65704918032786885</v>
      </c>
      <c r="P198" t="s">
        <v>141</v>
      </c>
    </row>
    <row r="199" spans="1:16" x14ac:dyDescent="0.2">
      <c r="A199" s="7"/>
      <c r="B199" s="8"/>
      <c r="C199" s="3" t="s">
        <v>142</v>
      </c>
      <c r="D199">
        <v>1.533285043259628E-2</v>
      </c>
      <c r="E199">
        <v>1.015451001676539</v>
      </c>
      <c r="F199">
        <v>1.30450884754421E-2</v>
      </c>
      <c r="G199">
        <v>-6.1244106601375022E-3</v>
      </c>
      <c r="H199">
        <v>3.6790111525330058E-2</v>
      </c>
      <c r="I199">
        <v>0.99389430531523093</v>
      </c>
      <c r="J199">
        <v>1.037475243888073</v>
      </c>
      <c r="K199">
        <v>1.175373433569346</v>
      </c>
      <c r="L199">
        <v>0.23984534722905451</v>
      </c>
      <c r="M199">
        <v>2.0598236419840981</v>
      </c>
      <c r="N199" t="s">
        <v>109</v>
      </c>
      <c r="P199" t="s">
        <v>141</v>
      </c>
    </row>
    <row r="200" spans="1:16" x14ac:dyDescent="0.2">
      <c r="A200" s="7"/>
      <c r="B200" s="8"/>
      <c r="C200" s="3" t="s">
        <v>143</v>
      </c>
      <c r="D200">
        <v>-0.45627597609174497</v>
      </c>
      <c r="E200">
        <v>0.63363894376719176</v>
      </c>
      <c r="F200">
        <v>0.36867618875490921</v>
      </c>
      <c r="G200">
        <v>-1.062694342335903</v>
      </c>
      <c r="H200">
        <v>0.15014239015241279</v>
      </c>
      <c r="I200">
        <v>0.34552359618872841</v>
      </c>
      <c r="J200">
        <v>1.161999688261812</v>
      </c>
      <c r="K200">
        <v>-1.237606306045089</v>
      </c>
      <c r="L200">
        <v>0.21586207506954369</v>
      </c>
      <c r="M200">
        <v>2.2118182971739579</v>
      </c>
      <c r="N200" t="s">
        <v>109</v>
      </c>
      <c r="P200" t="s">
        <v>141</v>
      </c>
    </row>
    <row r="201" spans="1:16" x14ac:dyDescent="0.2">
      <c r="A201" s="7"/>
      <c r="B201" s="8"/>
      <c r="C201" s="3" t="s">
        <v>144</v>
      </c>
      <c r="D201">
        <v>-0.27847082830338282</v>
      </c>
      <c r="E201">
        <v>0.75694034866204418</v>
      </c>
      <c r="F201">
        <v>0.52168650785069481</v>
      </c>
      <c r="G201">
        <v>-1.1365687728732461</v>
      </c>
      <c r="H201">
        <v>0.57962711626648011</v>
      </c>
      <c r="I201">
        <v>0.32091827834052328</v>
      </c>
      <c r="J201">
        <v>1.7853725702237999</v>
      </c>
      <c r="K201">
        <v>-0.53378959224124756</v>
      </c>
      <c r="L201">
        <v>0.59348711529347131</v>
      </c>
      <c r="M201">
        <v>0.75271138583566932</v>
      </c>
      <c r="N201" t="s">
        <v>109</v>
      </c>
      <c r="P201" t="s">
        <v>141</v>
      </c>
    </row>
    <row r="202" spans="1:16" x14ac:dyDescent="0.2">
      <c r="A202" s="7"/>
      <c r="B202" s="8" t="s">
        <v>110</v>
      </c>
      <c r="C202" s="3" t="s">
        <v>140</v>
      </c>
      <c r="D202">
        <v>0.2358346914424807</v>
      </c>
      <c r="E202">
        <v>1.265965018017466</v>
      </c>
      <c r="F202">
        <v>0.64770065448566638</v>
      </c>
      <c r="G202">
        <v>-0.82953807926710987</v>
      </c>
      <c r="H202">
        <v>1.3012074621520711</v>
      </c>
      <c r="I202">
        <v>0.43625075305469768</v>
      </c>
      <c r="J202">
        <v>3.673729880399816</v>
      </c>
      <c r="K202">
        <v>0.36411062704538272</v>
      </c>
      <c r="L202">
        <v>0.71577540149849939</v>
      </c>
      <c r="M202">
        <v>0.48242113026958089</v>
      </c>
      <c r="N202" t="s">
        <v>110</v>
      </c>
      <c r="P202" t="s">
        <v>141</v>
      </c>
    </row>
    <row r="203" spans="1:16" x14ac:dyDescent="0.2">
      <c r="A203" s="7"/>
      <c r="B203" s="8"/>
      <c r="C203" s="3" t="s">
        <v>110</v>
      </c>
      <c r="D203">
        <v>0.56388812154333445</v>
      </c>
      <c r="E203">
        <v>1.7574925778131181</v>
      </c>
      <c r="F203">
        <v>0.75493052623669776</v>
      </c>
      <c r="G203">
        <v>-0.67786209263348129</v>
      </c>
      <c r="H203">
        <v>1.80563833572015</v>
      </c>
      <c r="I203">
        <v>0.50770125117503917</v>
      </c>
      <c r="J203">
        <v>6.0838537504475934</v>
      </c>
      <c r="K203">
        <v>0.74694041629803609</v>
      </c>
      <c r="L203">
        <v>0.45509952807333731</v>
      </c>
      <c r="M203">
        <v>1.1357460046186341</v>
      </c>
      <c r="N203" t="s">
        <v>110</v>
      </c>
      <c r="O203">
        <v>0.64198418404025881</v>
      </c>
      <c r="P203" t="s">
        <v>141</v>
      </c>
    </row>
    <row r="204" spans="1:16" x14ac:dyDescent="0.2">
      <c r="A204" s="7"/>
      <c r="B204" s="8"/>
      <c r="C204" s="3" t="s">
        <v>142</v>
      </c>
      <c r="D204">
        <v>1.231283227437242E-2</v>
      </c>
      <c r="E204">
        <v>1.012388947269935</v>
      </c>
      <c r="F204">
        <v>1.2236436609140521E-2</v>
      </c>
      <c r="G204">
        <v>-7.8143148631341398E-3</v>
      </c>
      <c r="H204">
        <v>3.2439979411878983E-2</v>
      </c>
      <c r="I204">
        <v>0.99221613752212046</v>
      </c>
      <c r="J204">
        <v>1.032971891702857</v>
      </c>
      <c r="K204">
        <v>1.0062432935071011</v>
      </c>
      <c r="L204">
        <v>0.31429855100274051</v>
      </c>
      <c r="M204">
        <v>1.669792473931033</v>
      </c>
      <c r="N204" t="s">
        <v>110</v>
      </c>
      <c r="P204" t="s">
        <v>141</v>
      </c>
    </row>
    <row r="205" spans="1:16" x14ac:dyDescent="0.2">
      <c r="A205" s="7"/>
      <c r="B205" s="8"/>
      <c r="C205" s="3" t="s">
        <v>143</v>
      </c>
      <c r="D205">
        <v>-0.71131370240708347</v>
      </c>
      <c r="E205">
        <v>0.4909987473528396</v>
      </c>
      <c r="F205">
        <v>0.38746314175085722</v>
      </c>
      <c r="G205">
        <v>-1.348633856425993</v>
      </c>
      <c r="H205">
        <v>-7.3993548388173624E-2</v>
      </c>
      <c r="I205">
        <v>0.25959466208860382</v>
      </c>
      <c r="J205">
        <v>0.92867768528989725</v>
      </c>
      <c r="K205">
        <v>-1.835822884191822</v>
      </c>
      <c r="L205">
        <v>6.6383855804450331E-2</v>
      </c>
      <c r="M205">
        <v>3.9130237611960519</v>
      </c>
      <c r="N205" t="s">
        <v>110</v>
      </c>
      <c r="P205" t="s">
        <v>141</v>
      </c>
    </row>
    <row r="206" spans="1:16" x14ac:dyDescent="0.2">
      <c r="A206" s="7"/>
      <c r="B206" s="8"/>
      <c r="C206" s="3" t="s">
        <v>144</v>
      </c>
      <c r="D206">
        <v>-0.68975773021741504</v>
      </c>
      <c r="E206">
        <v>0.50169760051236212</v>
      </c>
      <c r="F206">
        <v>0.44406919417475821</v>
      </c>
      <c r="G206">
        <v>-1.420186554873184</v>
      </c>
      <c r="H206">
        <v>4.0671094438353372E-2</v>
      </c>
      <c r="I206">
        <v>0.2416689281751587</v>
      </c>
      <c r="J206">
        <v>1.041509490940566</v>
      </c>
      <c r="K206">
        <v>-1.553266336115108</v>
      </c>
      <c r="L206">
        <v>0.1203595191555423</v>
      </c>
      <c r="M206">
        <v>3.054577846756684</v>
      </c>
      <c r="N206" t="s">
        <v>110</v>
      </c>
      <c r="P206" t="s">
        <v>141</v>
      </c>
    </row>
    <row r="207" spans="1:16" x14ac:dyDescent="0.2">
      <c r="A207" s="7"/>
      <c r="B207" s="3" t="s">
        <v>99</v>
      </c>
      <c r="C207" s="3" t="s">
        <v>99</v>
      </c>
      <c r="D207">
        <v>-1.421303795823027</v>
      </c>
      <c r="E207">
        <v>0.24139907652502321</v>
      </c>
      <c r="F207">
        <v>0.75433004036533113</v>
      </c>
      <c r="G207">
        <v>-2.6620662986363919</v>
      </c>
      <c r="H207">
        <v>-0.1805412930096624</v>
      </c>
      <c r="I207">
        <v>6.9803837051765266E-2</v>
      </c>
      <c r="J207">
        <v>0.83481820782888194</v>
      </c>
      <c r="K207">
        <v>-1.884193548933399</v>
      </c>
      <c r="L207">
        <v>5.9538799842738958E-2</v>
      </c>
      <c r="M207">
        <v>4.0700260491255422</v>
      </c>
      <c r="N207" t="s">
        <v>99</v>
      </c>
      <c r="O207">
        <v>0.59565217391304348</v>
      </c>
      <c r="P207" t="s">
        <v>145</v>
      </c>
    </row>
    <row r="208" spans="1:16" x14ac:dyDescent="0.2">
      <c r="A208" s="7"/>
      <c r="B208" s="3" t="s">
        <v>100</v>
      </c>
      <c r="C208" s="3" t="s">
        <v>100</v>
      </c>
      <c r="D208">
        <v>-1.827175236702766</v>
      </c>
      <c r="E208">
        <v>0.16086733872984069</v>
      </c>
      <c r="F208">
        <v>0.79936700295679786</v>
      </c>
      <c r="G208">
        <v>-3.1420169507815832</v>
      </c>
      <c r="H208">
        <v>-0.51233352262394938</v>
      </c>
      <c r="I208">
        <v>4.3195586608916543E-2</v>
      </c>
      <c r="J208">
        <v>0.59909594247018383</v>
      </c>
      <c r="K208">
        <v>-2.2857776590029162</v>
      </c>
      <c r="L208">
        <v>2.2267269323150971E-2</v>
      </c>
      <c r="M208">
        <v>5.4889315411907686</v>
      </c>
      <c r="N208" t="s">
        <v>100</v>
      </c>
      <c r="O208">
        <v>0.5966791644349223</v>
      </c>
      <c r="P208" t="s">
        <v>145</v>
      </c>
    </row>
    <row r="209" spans="1:16" x14ac:dyDescent="0.2">
      <c r="A209" s="7"/>
      <c r="B209" s="3" t="s">
        <v>374</v>
      </c>
      <c r="C209" s="3" t="s">
        <v>374</v>
      </c>
      <c r="D209">
        <v>-0.59306896982174584</v>
      </c>
      <c r="E209">
        <v>0.55262867884459788</v>
      </c>
      <c r="F209">
        <v>0.85958040027550042</v>
      </c>
      <c r="G209">
        <v>-2.006952908871301</v>
      </c>
      <c r="H209">
        <v>0.82081496922780917</v>
      </c>
      <c r="I209">
        <v>0.13439757302964131</v>
      </c>
      <c r="J209">
        <v>2.2723509792410481</v>
      </c>
      <c r="K209">
        <v>-0.68995171322154836</v>
      </c>
      <c r="L209">
        <v>0.49022455363799661</v>
      </c>
      <c r="M209">
        <v>1.0284853493104329</v>
      </c>
      <c r="N209" t="s">
        <v>374</v>
      </c>
      <c r="O209">
        <v>0.55610972568578554</v>
      </c>
      <c r="P209" t="s">
        <v>145</v>
      </c>
    </row>
    <row r="210" spans="1:16" x14ac:dyDescent="0.2">
      <c r="A210" s="7"/>
      <c r="B210" s="3" t="s">
        <v>101</v>
      </c>
      <c r="C210" s="3" t="s">
        <v>101</v>
      </c>
      <c r="D210">
        <v>-1.2875353858099861</v>
      </c>
      <c r="E210">
        <v>0.27595005609695411</v>
      </c>
      <c r="F210">
        <v>0.93987114229745772</v>
      </c>
      <c r="G210">
        <v>-2.8334858430849832</v>
      </c>
      <c r="H210">
        <v>0.25841507146500969</v>
      </c>
      <c r="I210">
        <v>5.8807502240924799E-2</v>
      </c>
      <c r="J210">
        <v>1.294876173246474</v>
      </c>
      <c r="K210">
        <v>-1.3699062859432889</v>
      </c>
      <c r="L210">
        <v>0.1707161572447673</v>
      </c>
      <c r="M210">
        <v>2.550328487759018</v>
      </c>
      <c r="N210" t="s">
        <v>101</v>
      </c>
      <c r="O210">
        <v>0.54744105807935595</v>
      </c>
      <c r="P210" t="s">
        <v>145</v>
      </c>
    </row>
    <row r="211" spans="1:16" x14ac:dyDescent="0.2">
      <c r="A211" s="7"/>
      <c r="B211" s="3" t="s">
        <v>102</v>
      </c>
      <c r="C211" s="3" t="s">
        <v>102</v>
      </c>
      <c r="D211">
        <v>-0.89524429129176875</v>
      </c>
      <c r="E211">
        <v>0.40850779155424738</v>
      </c>
      <c r="F211">
        <v>0.81793591297911217</v>
      </c>
      <c r="G211">
        <v>-2.2406291443693251</v>
      </c>
      <c r="H211">
        <v>0.45014056178578749</v>
      </c>
      <c r="I211">
        <v>0.106391547675581</v>
      </c>
      <c r="J211">
        <v>1.5685326457454141</v>
      </c>
      <c r="K211">
        <v>-1.094516424925128</v>
      </c>
      <c r="L211">
        <v>0.27372854771040461</v>
      </c>
      <c r="M211">
        <v>1.869182190719797</v>
      </c>
      <c r="N211" t="s">
        <v>102</v>
      </c>
      <c r="O211">
        <v>0.56818181818181823</v>
      </c>
      <c r="P211" t="s">
        <v>145</v>
      </c>
    </row>
    <row r="212" spans="1:16" x14ac:dyDescent="0.2">
      <c r="A212" s="7"/>
      <c r="B212" s="3" t="s">
        <v>49</v>
      </c>
      <c r="C212" s="3" t="s">
        <v>49</v>
      </c>
      <c r="D212">
        <v>-1.2899127516918389</v>
      </c>
      <c r="E212">
        <v>0.27529480104761078</v>
      </c>
      <c r="F212">
        <v>0.75171080938422719</v>
      </c>
      <c r="G212">
        <v>-2.5263670029261118</v>
      </c>
      <c r="H212">
        <v>-5.3458500457566727E-2</v>
      </c>
      <c r="I212">
        <v>7.9948947607172596E-2</v>
      </c>
      <c r="J212">
        <v>0.94794527948288343</v>
      </c>
      <c r="K212">
        <v>-1.7159694068367679</v>
      </c>
      <c r="L212">
        <v>8.6167641955916072E-2</v>
      </c>
      <c r="M212">
        <v>3.536709985818784</v>
      </c>
      <c r="N212" t="s">
        <v>49</v>
      </c>
      <c r="O212">
        <v>0.58596679164434917</v>
      </c>
      <c r="P212" t="s">
        <v>145</v>
      </c>
    </row>
    <row r="213" spans="1:16" x14ac:dyDescent="0.2">
      <c r="A213" s="7"/>
      <c r="B213" s="3" t="s">
        <v>103</v>
      </c>
      <c r="C213" s="3" t="s">
        <v>103</v>
      </c>
      <c r="D213">
        <v>-0.90226311848911123</v>
      </c>
      <c r="E213">
        <v>0.40565058480653582</v>
      </c>
      <c r="F213">
        <v>0.69538971088003321</v>
      </c>
      <c r="G213">
        <v>-2.0460774065748688</v>
      </c>
      <c r="H213">
        <v>0.2415511695966468</v>
      </c>
      <c r="I213">
        <v>0.12924086997565151</v>
      </c>
      <c r="J213">
        <v>1.273222603537763</v>
      </c>
      <c r="K213">
        <v>-1.2974927646646861</v>
      </c>
      <c r="L213">
        <v>0.19446169301104649</v>
      </c>
      <c r="M213">
        <v>2.3624421080357432</v>
      </c>
      <c r="N213" t="s">
        <v>103</v>
      </c>
      <c r="O213">
        <v>0.55222281735404388</v>
      </c>
      <c r="P213" t="s">
        <v>145</v>
      </c>
    </row>
    <row r="214" spans="1:16" x14ac:dyDescent="0.2">
      <c r="A214" s="7"/>
      <c r="B214" s="3" t="s">
        <v>75</v>
      </c>
      <c r="C214" s="3" t="s">
        <v>75</v>
      </c>
      <c r="D214">
        <v>-0.83806474082075288</v>
      </c>
      <c r="E214">
        <v>0.43254680413127089</v>
      </c>
      <c r="F214">
        <v>0.68274898360728042</v>
      </c>
      <c r="G214">
        <v>-1.9610868828046191</v>
      </c>
      <c r="H214">
        <v>0.2849574011631133</v>
      </c>
      <c r="I214">
        <v>0.1407054074943544</v>
      </c>
      <c r="J214">
        <v>1.329705383012256</v>
      </c>
      <c r="K214">
        <v>-1.227485885651366</v>
      </c>
      <c r="L214">
        <v>0.21964002353251941</v>
      </c>
      <c r="M214">
        <v>2.1867871239203049</v>
      </c>
      <c r="N214" t="s">
        <v>75</v>
      </c>
      <c r="O214">
        <v>0.57870370370370372</v>
      </c>
      <c r="P214" t="s">
        <v>145</v>
      </c>
    </row>
    <row r="215" spans="1:16" x14ac:dyDescent="0.2">
      <c r="A215" s="7"/>
      <c r="B215" s="3" t="s">
        <v>104</v>
      </c>
      <c r="C215" s="3" t="s">
        <v>104</v>
      </c>
      <c r="D215">
        <v>-0.42664621390247082</v>
      </c>
      <c r="E215">
        <v>0.65269442559930968</v>
      </c>
      <c r="F215">
        <v>0.671237529382257</v>
      </c>
      <c r="G215">
        <v>-1.5307336986528211</v>
      </c>
      <c r="H215">
        <v>0.67744127084787986</v>
      </c>
      <c r="I215">
        <v>0.2163768536564179</v>
      </c>
      <c r="J215">
        <v>1.9688335698090369</v>
      </c>
      <c r="K215">
        <v>-0.63561138230026448</v>
      </c>
      <c r="L215">
        <v>0.52502974881346687</v>
      </c>
      <c r="M215">
        <v>0.92952892496625494</v>
      </c>
      <c r="N215" t="s">
        <v>104</v>
      </c>
      <c r="O215">
        <v>0.54411764705882348</v>
      </c>
      <c r="P215" t="s">
        <v>145</v>
      </c>
    </row>
    <row r="216" spans="1:16" x14ac:dyDescent="0.2">
      <c r="A216" s="7"/>
      <c r="B216" s="3" t="s">
        <v>373</v>
      </c>
      <c r="C216" s="3" t="s">
        <v>373</v>
      </c>
      <c r="D216">
        <v>3.1512904830196982E-3</v>
      </c>
      <c r="E216">
        <v>1.003156261018703</v>
      </c>
      <c r="F216">
        <v>0.74667758163878373</v>
      </c>
      <c r="G216">
        <v>-1.225024037838887</v>
      </c>
      <c r="H216">
        <v>1.231326618804927</v>
      </c>
      <c r="I216">
        <v>0.29375063910812899</v>
      </c>
      <c r="J216">
        <v>3.425771215600995</v>
      </c>
      <c r="K216">
        <v>4.220416630298914E-3</v>
      </c>
      <c r="L216">
        <v>0.99663260472715909</v>
      </c>
      <c r="M216">
        <v>4.8663224826730718E-3</v>
      </c>
      <c r="N216" t="s">
        <v>373</v>
      </c>
      <c r="O216">
        <v>0.49758971612212111</v>
      </c>
      <c r="P216" t="s">
        <v>145</v>
      </c>
    </row>
    <row r="217" spans="1:16" x14ac:dyDescent="0.2">
      <c r="A217" s="7"/>
      <c r="B217" s="3" t="s">
        <v>9</v>
      </c>
      <c r="C217" s="3" t="s">
        <v>9</v>
      </c>
      <c r="D217">
        <v>-0.89952283426303092</v>
      </c>
      <c r="E217">
        <v>0.40676370714462301</v>
      </c>
      <c r="F217">
        <v>0.76866925124186947</v>
      </c>
      <c r="G217">
        <v>-2.1638712400942919</v>
      </c>
      <c r="H217">
        <v>0.36482557156823042</v>
      </c>
      <c r="I217">
        <v>0.1148795328515313</v>
      </c>
      <c r="J217">
        <v>1.4402627634625791</v>
      </c>
      <c r="K217">
        <v>-1.170233924161469</v>
      </c>
      <c r="L217">
        <v>0.24190684430549</v>
      </c>
      <c r="M217">
        <v>2.0474765066116878</v>
      </c>
      <c r="N217" t="s">
        <v>9</v>
      </c>
      <c r="O217">
        <v>0.55921432697862505</v>
      </c>
      <c r="P217" t="s">
        <v>145</v>
      </c>
    </row>
    <row r="218" spans="1:16" x14ac:dyDescent="0.2">
      <c r="A218" s="7"/>
      <c r="B218" s="3" t="s">
        <v>105</v>
      </c>
      <c r="C218" s="3" t="s">
        <v>105</v>
      </c>
      <c r="D218">
        <v>8.5013306126038746E-2</v>
      </c>
      <c r="E218">
        <v>1.0887315534012889</v>
      </c>
      <c r="F218">
        <v>0.86538393269208236</v>
      </c>
      <c r="G218">
        <v>-1.338416594268061</v>
      </c>
      <c r="H218">
        <v>1.508443206520139</v>
      </c>
      <c r="I218">
        <v>0.26226060493244541</v>
      </c>
      <c r="J218">
        <v>4.5196890919889032</v>
      </c>
      <c r="K218">
        <v>9.8237675688725615E-2</v>
      </c>
      <c r="L218">
        <v>0.92174356626354936</v>
      </c>
      <c r="M218">
        <v>0.1175626534918552</v>
      </c>
      <c r="N218" t="s">
        <v>105</v>
      </c>
      <c r="O218">
        <v>0.53240492769148362</v>
      </c>
      <c r="P218" t="s">
        <v>145</v>
      </c>
    </row>
    <row r="219" spans="1:16" x14ac:dyDescent="0.2">
      <c r="A219" s="7"/>
      <c r="B219" s="3" t="s">
        <v>106</v>
      </c>
      <c r="C219" s="3" t="s">
        <v>106</v>
      </c>
      <c r="D219">
        <v>-0.36312475501034402</v>
      </c>
      <c r="E219">
        <v>0.69549966101915206</v>
      </c>
      <c r="F219">
        <v>0.85440694390424643</v>
      </c>
      <c r="G219">
        <v>-1.768499115583767</v>
      </c>
      <c r="H219">
        <v>1.042249605563079</v>
      </c>
      <c r="I219">
        <v>0.17058883090057281</v>
      </c>
      <c r="J219">
        <v>2.8355888010023951</v>
      </c>
      <c r="K219">
        <v>-0.42500211123171711</v>
      </c>
      <c r="L219">
        <v>0.6708351356874378</v>
      </c>
      <c r="M219">
        <v>0.57596984135402274</v>
      </c>
      <c r="N219" t="s">
        <v>106</v>
      </c>
      <c r="O219">
        <v>0.47455811462238878</v>
      </c>
      <c r="P219" t="s">
        <v>145</v>
      </c>
    </row>
    <row r="220" spans="1:16" x14ac:dyDescent="0.2">
      <c r="A220" s="7"/>
      <c r="B220" s="3" t="s">
        <v>107</v>
      </c>
      <c r="C220" s="3" t="s">
        <v>107</v>
      </c>
      <c r="D220">
        <v>-1.2506467088244919</v>
      </c>
      <c r="E220">
        <v>0.28631957157966859</v>
      </c>
      <c r="F220">
        <v>0.6869266760824374</v>
      </c>
      <c r="G220">
        <v>-2.3805405434284079</v>
      </c>
      <c r="H220">
        <v>-0.1207528742205761</v>
      </c>
      <c r="I220">
        <v>9.2500563422485721E-2</v>
      </c>
      <c r="J220">
        <v>0.88625294848352165</v>
      </c>
      <c r="K220">
        <v>-1.8206407646838909</v>
      </c>
      <c r="L220">
        <v>6.8661481933340915E-2</v>
      </c>
      <c r="M220">
        <v>3.8643551941922039</v>
      </c>
      <c r="N220" t="s">
        <v>107</v>
      </c>
      <c r="O220">
        <v>0.57311194429566148</v>
      </c>
      <c r="P220" t="s">
        <v>145</v>
      </c>
    </row>
    <row r="221" spans="1:16" x14ac:dyDescent="0.2">
      <c r="A221" s="7"/>
      <c r="B221" s="3" t="s">
        <v>108</v>
      </c>
      <c r="C221" s="3" t="s">
        <v>108</v>
      </c>
      <c r="D221">
        <v>1.8413123723963001</v>
      </c>
      <c r="E221">
        <v>6.3048070887364966</v>
      </c>
      <c r="F221">
        <v>0.7748907295213876</v>
      </c>
      <c r="G221">
        <v>0.56673054545197377</v>
      </c>
      <c r="H221">
        <v>3.1158941993406271</v>
      </c>
      <c r="I221">
        <v>1.762495223186771</v>
      </c>
      <c r="J221">
        <v>22.553588743525129</v>
      </c>
      <c r="K221">
        <v>2.376221965558408</v>
      </c>
      <c r="L221">
        <v>1.749093753973513E-2</v>
      </c>
      <c r="M221">
        <v>5.8372485678864781</v>
      </c>
      <c r="N221" t="s">
        <v>108</v>
      </c>
      <c r="O221">
        <v>0.62479155086158977</v>
      </c>
      <c r="P221" t="s">
        <v>145</v>
      </c>
    </row>
    <row r="222" spans="1:16" x14ac:dyDescent="0.2">
      <c r="A222" s="7"/>
      <c r="B222" s="3" t="s">
        <v>109</v>
      </c>
      <c r="C222" s="3" t="s">
        <v>109</v>
      </c>
      <c r="D222">
        <v>0.33665073195678757</v>
      </c>
      <c r="E222">
        <v>1.4002499157735411</v>
      </c>
      <c r="F222">
        <v>0.66327382651317446</v>
      </c>
      <c r="G222">
        <v>-0.75433762724538878</v>
      </c>
      <c r="H222">
        <v>1.427639091158964</v>
      </c>
      <c r="I222">
        <v>0.47032204008456219</v>
      </c>
      <c r="J222">
        <v>4.168845300703496</v>
      </c>
      <c r="K222">
        <v>0.5075591987800242</v>
      </c>
      <c r="L222">
        <v>0.61176251052901687</v>
      </c>
      <c r="M222">
        <v>0.70895639520121689</v>
      </c>
      <c r="N222" t="s">
        <v>109</v>
      </c>
      <c r="O222">
        <v>0.49213114754098358</v>
      </c>
      <c r="P222" t="s">
        <v>145</v>
      </c>
    </row>
    <row r="223" spans="1:16" x14ac:dyDescent="0.2">
      <c r="A223" s="7"/>
      <c r="B223" s="3" t="s">
        <v>110</v>
      </c>
      <c r="C223" s="3" t="s">
        <v>110</v>
      </c>
      <c r="D223">
        <v>0.1174487234809633</v>
      </c>
      <c r="E223">
        <v>1.1246239616632521</v>
      </c>
      <c r="F223">
        <v>0.72324526108229359</v>
      </c>
      <c r="G223">
        <v>-1.072183867385712</v>
      </c>
      <c r="H223">
        <v>1.3070813143476381</v>
      </c>
      <c r="I223">
        <v>0.34226024966066232</v>
      </c>
      <c r="J223">
        <v>3.6953723267634109</v>
      </c>
      <c r="K223">
        <v>0.16239127969564321</v>
      </c>
      <c r="L223">
        <v>0.87099773749040899</v>
      </c>
      <c r="M223">
        <v>0.19925912361271311</v>
      </c>
      <c r="N223" t="s">
        <v>110</v>
      </c>
      <c r="O223">
        <v>0.52048885693745506</v>
      </c>
      <c r="P223" t="s">
        <v>145</v>
      </c>
    </row>
    <row r="224" spans="1:16" x14ac:dyDescent="0.2">
      <c r="A224" s="7" t="s">
        <v>148</v>
      </c>
      <c r="B224" s="8" t="s">
        <v>99</v>
      </c>
      <c r="C224" s="3" t="s">
        <v>88</v>
      </c>
      <c r="D224">
        <v>-4.5500310063311148E-3</v>
      </c>
      <c r="E224">
        <v>0.99546030470287372</v>
      </c>
      <c r="F224">
        <v>9.3450558656084696E-4</v>
      </c>
      <c r="G224">
        <v>-6.0871559097921369E-3</v>
      </c>
      <c r="H224">
        <v>-3.0129061028700932E-3</v>
      </c>
      <c r="I224">
        <v>0.99393133328917482</v>
      </c>
      <c r="J224">
        <v>0.99699162814382614</v>
      </c>
      <c r="K224">
        <v>-4.8689179302566492</v>
      </c>
      <c r="L224">
        <v>1.1221099484692691E-6</v>
      </c>
      <c r="M224">
        <v>19.765354525873079</v>
      </c>
      <c r="N224" t="s">
        <v>99</v>
      </c>
      <c r="P224" t="s">
        <v>141</v>
      </c>
    </row>
    <row r="225" spans="1:16" x14ac:dyDescent="0.2">
      <c r="A225" s="7"/>
      <c r="B225" s="8"/>
      <c r="C225" s="3" t="s">
        <v>99</v>
      </c>
      <c r="D225">
        <v>-1.3161445572100621</v>
      </c>
      <c r="E225">
        <v>0.26816721480197098</v>
      </c>
      <c r="F225">
        <v>0.38228575963576189</v>
      </c>
      <c r="G225">
        <v>-1.9449486754788441</v>
      </c>
      <c r="H225">
        <v>-0.6873404389412805</v>
      </c>
      <c r="I225">
        <v>0.1429945622771944</v>
      </c>
      <c r="J225">
        <v>0.50291181671119856</v>
      </c>
      <c r="K225">
        <v>-3.442829150800887</v>
      </c>
      <c r="L225">
        <v>5.7566286313863034E-4</v>
      </c>
      <c r="M225">
        <v>10.762488234680561</v>
      </c>
      <c r="N225" t="s">
        <v>99</v>
      </c>
      <c r="O225">
        <v>0.70728523967726631</v>
      </c>
      <c r="P225" t="s">
        <v>141</v>
      </c>
    </row>
    <row r="226" spans="1:16" x14ac:dyDescent="0.2">
      <c r="A226" s="7"/>
      <c r="B226" s="8"/>
      <c r="C226" s="3" t="s">
        <v>142</v>
      </c>
      <c r="D226">
        <v>2.8466289036783221E-2</v>
      </c>
      <c r="E226">
        <v>1.0288753258716301</v>
      </c>
      <c r="F226">
        <v>6.3854136067737549E-3</v>
      </c>
      <c r="G226">
        <v>1.7963218306096131E-2</v>
      </c>
      <c r="H226">
        <v>3.8969359767470298E-2</v>
      </c>
      <c r="I226">
        <v>1.018125527319576</v>
      </c>
      <c r="J226">
        <v>1.039738625328837</v>
      </c>
      <c r="K226">
        <v>4.4580180376390492</v>
      </c>
      <c r="L226">
        <v>8.2720942747322229E-6</v>
      </c>
      <c r="M226">
        <v>16.883315941587959</v>
      </c>
      <c r="N226" t="s">
        <v>99</v>
      </c>
      <c r="P226" t="s">
        <v>141</v>
      </c>
    </row>
    <row r="227" spans="1:16" x14ac:dyDescent="0.2">
      <c r="A227" s="7"/>
      <c r="B227" s="8"/>
      <c r="C227" s="3" t="s">
        <v>143</v>
      </c>
      <c r="D227">
        <v>-5.6037214495867203E-2</v>
      </c>
      <c r="E227">
        <v>0.9455039487828707</v>
      </c>
      <c r="F227">
        <v>0.18054739244748449</v>
      </c>
      <c r="G227">
        <v>-0.35301124779974291</v>
      </c>
      <c r="H227">
        <v>0.24093681880800849</v>
      </c>
      <c r="I227">
        <v>0.70256929097410892</v>
      </c>
      <c r="J227">
        <v>1.2724406384521949</v>
      </c>
      <c r="K227">
        <v>-0.31037398954497031</v>
      </c>
      <c r="L227">
        <v>0.75627657148544136</v>
      </c>
      <c r="M227">
        <v>0.40301416818885688</v>
      </c>
      <c r="N227" t="s">
        <v>99</v>
      </c>
      <c r="P227" t="s">
        <v>141</v>
      </c>
    </row>
    <row r="228" spans="1:16" x14ac:dyDescent="0.2">
      <c r="A228" s="7"/>
      <c r="B228" s="8" t="s">
        <v>100</v>
      </c>
      <c r="C228" s="3" t="s">
        <v>88</v>
      </c>
      <c r="D228">
        <v>-4.4760009586193323E-3</v>
      </c>
      <c r="E228">
        <v>0.9955340014045776</v>
      </c>
      <c r="F228">
        <v>9.2749017259137554E-4</v>
      </c>
      <c r="G228">
        <v>-6.0015865329681034E-3</v>
      </c>
      <c r="H228">
        <v>-2.9504153842705621E-3</v>
      </c>
      <c r="I228">
        <v>0.9940163870129155</v>
      </c>
      <c r="J228">
        <v>0.99705393281381793</v>
      </c>
      <c r="K228">
        <v>-4.8259281778841281</v>
      </c>
      <c r="L228">
        <v>1.393527251328942E-6</v>
      </c>
      <c r="M228">
        <v>19.452827353769639</v>
      </c>
      <c r="N228" t="s">
        <v>100</v>
      </c>
      <c r="P228" t="s">
        <v>141</v>
      </c>
    </row>
    <row r="229" spans="1:16" x14ac:dyDescent="0.2">
      <c r="A229" s="7"/>
      <c r="B229" s="8"/>
      <c r="C229" s="3" t="s">
        <v>100</v>
      </c>
      <c r="D229">
        <v>-1.048556973625691</v>
      </c>
      <c r="E229">
        <v>0.35044308302988608</v>
      </c>
      <c r="F229">
        <v>0.41029559431586138</v>
      </c>
      <c r="G229">
        <v>-1.7234331700583461</v>
      </c>
      <c r="H229">
        <v>-0.37368077719303722</v>
      </c>
      <c r="I229">
        <v>0.1784524374629877</v>
      </c>
      <c r="J229">
        <v>0.68819656480715397</v>
      </c>
      <c r="K229">
        <v>-2.5556135336380721</v>
      </c>
      <c r="L229">
        <v>1.060007747945118E-2</v>
      </c>
      <c r="M229">
        <v>6.559781379815357</v>
      </c>
      <c r="N229" t="s">
        <v>100</v>
      </c>
      <c r="O229">
        <v>0.70561035295530639</v>
      </c>
      <c r="P229" t="s">
        <v>141</v>
      </c>
    </row>
    <row r="230" spans="1:16" x14ac:dyDescent="0.2">
      <c r="A230" s="7"/>
      <c r="B230" s="8"/>
      <c r="C230" s="3" t="s">
        <v>142</v>
      </c>
      <c r="D230">
        <v>3.0912635435846381E-2</v>
      </c>
      <c r="E230">
        <v>1.031395392541371</v>
      </c>
      <c r="F230">
        <v>6.5308385424475224E-3</v>
      </c>
      <c r="G230">
        <v>2.0170361972267108E-2</v>
      </c>
      <c r="H230">
        <v>4.1654908899425663E-2</v>
      </c>
      <c r="I230">
        <v>1.020375158344748</v>
      </c>
      <c r="J230">
        <v>1.042534647238206</v>
      </c>
      <c r="K230">
        <v>4.733333282537628</v>
      </c>
      <c r="L230">
        <v>2.208623841820054E-6</v>
      </c>
      <c r="M230">
        <v>18.78842083997057</v>
      </c>
      <c r="N230" t="s">
        <v>100</v>
      </c>
      <c r="P230" t="s">
        <v>141</v>
      </c>
    </row>
    <row r="231" spans="1:16" x14ac:dyDescent="0.2">
      <c r="A231" s="7"/>
      <c r="B231" s="8"/>
      <c r="C231" s="3" t="s">
        <v>143</v>
      </c>
      <c r="D231">
        <v>-6.2221831965896271E-2</v>
      </c>
      <c r="E231">
        <v>0.93967441384643624</v>
      </c>
      <c r="F231">
        <v>0.17862361081957601</v>
      </c>
      <c r="G231">
        <v>-0.35603152608164401</v>
      </c>
      <c r="H231">
        <v>0.2315878621498515</v>
      </c>
      <c r="I231">
        <v>0.70045053742633157</v>
      </c>
      <c r="J231">
        <v>1.260600080745188</v>
      </c>
      <c r="K231">
        <v>-0.3483404667524343</v>
      </c>
      <c r="L231">
        <v>0.72758450651077111</v>
      </c>
      <c r="M231">
        <v>0.45881327292334151</v>
      </c>
      <c r="N231" t="s">
        <v>100</v>
      </c>
      <c r="P231" t="s">
        <v>141</v>
      </c>
    </row>
    <row r="232" spans="1:16" x14ac:dyDescent="0.2">
      <c r="A232" s="7"/>
      <c r="B232" s="8" t="s">
        <v>374</v>
      </c>
      <c r="C232" s="3" t="s">
        <v>88</v>
      </c>
      <c r="D232">
        <v>-4.5339580851141252E-3</v>
      </c>
      <c r="E232">
        <v>0.9954763047865095</v>
      </c>
      <c r="F232">
        <v>9.3425436991304489E-4</v>
      </c>
      <c r="G232">
        <v>-6.0706697739608597E-3</v>
      </c>
      <c r="H232">
        <v>-2.9972463962673911E-3</v>
      </c>
      <c r="I232">
        <v>0.99394771951121474</v>
      </c>
      <c r="J232">
        <v>0.99700724086245307</v>
      </c>
      <c r="K232">
        <v>-4.8530231499330538</v>
      </c>
      <c r="L232">
        <v>1.215934904929807E-6</v>
      </c>
      <c r="M232">
        <v>19.649502573148521</v>
      </c>
      <c r="N232" t="s">
        <v>374</v>
      </c>
      <c r="P232" t="s">
        <v>141</v>
      </c>
    </row>
    <row r="233" spans="1:16" x14ac:dyDescent="0.2">
      <c r="A233" s="7"/>
      <c r="B233" s="8"/>
      <c r="C233" s="3" t="s">
        <v>374</v>
      </c>
      <c r="D233">
        <v>-1.285975796368295</v>
      </c>
      <c r="E233">
        <v>0.27638076066472439</v>
      </c>
      <c r="F233">
        <v>0.38808765556643299</v>
      </c>
      <c r="G233">
        <v>-1.924323184201836</v>
      </c>
      <c r="H233">
        <v>-0.64762840853475379</v>
      </c>
      <c r="I233">
        <v>0.14597452129193189</v>
      </c>
      <c r="J233">
        <v>0.52328532534008465</v>
      </c>
      <c r="K233">
        <v>-3.3136220076141041</v>
      </c>
      <c r="L233">
        <v>9.2095917070893739E-4</v>
      </c>
      <c r="M233">
        <v>10.084575181453721</v>
      </c>
      <c r="N233" t="s">
        <v>374</v>
      </c>
      <c r="O233">
        <v>0.70790644881866249</v>
      </c>
      <c r="P233" t="s">
        <v>141</v>
      </c>
    </row>
    <row r="234" spans="1:16" x14ac:dyDescent="0.2">
      <c r="A234" s="7"/>
      <c r="B234" s="8"/>
      <c r="C234" s="3" t="s">
        <v>142</v>
      </c>
      <c r="D234">
        <v>2.80869165680077E-2</v>
      </c>
      <c r="E234">
        <v>1.0284850729294841</v>
      </c>
      <c r="F234">
        <v>6.3658856911885421E-3</v>
      </c>
      <c r="G234">
        <v>1.761596640009775E-2</v>
      </c>
      <c r="H234">
        <v>3.8557866735917663E-2</v>
      </c>
      <c r="I234">
        <v>1.0177720426673309</v>
      </c>
      <c r="J234">
        <v>1.0393108681454639</v>
      </c>
      <c r="K234">
        <v>4.4120987919850219</v>
      </c>
      <c r="L234">
        <v>1.0237337937401611E-5</v>
      </c>
      <c r="M234">
        <v>16.575799861032809</v>
      </c>
      <c r="N234" t="s">
        <v>374</v>
      </c>
      <c r="P234" t="s">
        <v>141</v>
      </c>
    </row>
    <row r="235" spans="1:16" x14ac:dyDescent="0.2">
      <c r="A235" s="7"/>
      <c r="B235" s="8"/>
      <c r="C235" s="3" t="s">
        <v>143</v>
      </c>
      <c r="D235">
        <v>-9.0537290835050854E-2</v>
      </c>
      <c r="E235">
        <v>0.91344027031537789</v>
      </c>
      <c r="F235">
        <v>0.18110842023855961</v>
      </c>
      <c r="G235">
        <v>-0.38843413273589711</v>
      </c>
      <c r="H235">
        <v>0.20735955106579529</v>
      </c>
      <c r="I235">
        <v>0.6781178861788113</v>
      </c>
      <c r="J235">
        <v>1.2304248928390851</v>
      </c>
      <c r="K235">
        <v>-0.49990657925122051</v>
      </c>
      <c r="L235">
        <v>0.61714085940110719</v>
      </c>
      <c r="M235">
        <v>0.69632827979790268</v>
      </c>
      <c r="N235" t="s">
        <v>374</v>
      </c>
      <c r="P235" t="s">
        <v>141</v>
      </c>
    </row>
    <row r="236" spans="1:16" x14ac:dyDescent="0.2">
      <c r="A236" s="7"/>
      <c r="B236" s="8" t="s">
        <v>101</v>
      </c>
      <c r="C236" s="3" t="s">
        <v>88</v>
      </c>
      <c r="D236">
        <v>-4.4915405823086297E-3</v>
      </c>
      <c r="E236">
        <v>0.99551853130102597</v>
      </c>
      <c r="F236">
        <v>9.4794481007402461E-4</v>
      </c>
      <c r="G236">
        <v>-6.0507710413087133E-3</v>
      </c>
      <c r="H236">
        <v>-2.9323101233085461E-3</v>
      </c>
      <c r="I236">
        <v>0.99396749800793838</v>
      </c>
      <c r="J236">
        <v>0.99707198489888327</v>
      </c>
      <c r="K236">
        <v>-4.7381878507862574</v>
      </c>
      <c r="L236">
        <v>2.1563787295138649E-6</v>
      </c>
      <c r="M236">
        <v>18.822957985293709</v>
      </c>
      <c r="N236" t="s">
        <v>101</v>
      </c>
      <c r="P236" t="s">
        <v>141</v>
      </c>
    </row>
    <row r="237" spans="1:16" x14ac:dyDescent="0.2">
      <c r="A237" s="7"/>
      <c r="B237" s="8"/>
      <c r="C237" s="3" t="s">
        <v>101</v>
      </c>
      <c r="D237">
        <v>-1.1712541776603389</v>
      </c>
      <c r="E237">
        <v>0.30997792997686768</v>
      </c>
      <c r="F237">
        <v>0.40568609716070902</v>
      </c>
      <c r="G237">
        <v>-1.838548425978918</v>
      </c>
      <c r="H237">
        <v>-0.50395992934175948</v>
      </c>
      <c r="I237">
        <v>0.15904812875723071</v>
      </c>
      <c r="J237">
        <v>0.60413359040148795</v>
      </c>
      <c r="K237">
        <v>-2.8870946918261211</v>
      </c>
      <c r="L237">
        <v>3.8881719405162479E-3</v>
      </c>
      <c r="M237">
        <v>8.0066922662725855</v>
      </c>
      <c r="N237" t="s">
        <v>101</v>
      </c>
      <c r="O237">
        <v>0.6966751837975953</v>
      </c>
      <c r="P237" t="s">
        <v>141</v>
      </c>
    </row>
    <row r="238" spans="1:16" x14ac:dyDescent="0.2">
      <c r="A238" s="7"/>
      <c r="B238" s="8"/>
      <c r="C238" s="3" t="s">
        <v>142</v>
      </c>
      <c r="D238">
        <v>2.603444382410949E-2</v>
      </c>
      <c r="E238">
        <v>1.026376300189368</v>
      </c>
      <c r="F238">
        <v>6.3663302838825424E-3</v>
      </c>
      <c r="G238">
        <v>1.55627623662943E-2</v>
      </c>
      <c r="H238">
        <v>3.6506125281924692E-2</v>
      </c>
      <c r="I238">
        <v>1.0156844928200821</v>
      </c>
      <c r="J238">
        <v>1.037180657022224</v>
      </c>
      <c r="K238">
        <v>4.0893957214284269</v>
      </c>
      <c r="L238">
        <v>4.3249844993853987E-5</v>
      </c>
      <c r="M238">
        <v>14.4969455122539</v>
      </c>
      <c r="N238" t="s">
        <v>101</v>
      </c>
      <c r="P238" t="s">
        <v>141</v>
      </c>
    </row>
    <row r="239" spans="1:16" x14ac:dyDescent="0.2">
      <c r="A239" s="7"/>
      <c r="B239" s="8"/>
      <c r="C239" s="3" t="s">
        <v>143</v>
      </c>
      <c r="D239">
        <v>-9.6572159099043542E-2</v>
      </c>
      <c r="E239">
        <v>0.90794437878753409</v>
      </c>
      <c r="F239">
        <v>0.18316942391520549</v>
      </c>
      <c r="G239">
        <v>-0.39785905037258101</v>
      </c>
      <c r="H239">
        <v>0.2047147321744939</v>
      </c>
      <c r="I239">
        <v>0.67175670484676042</v>
      </c>
      <c r="J239">
        <v>1.227174941498995</v>
      </c>
      <c r="K239">
        <v>-0.52722860090311585</v>
      </c>
      <c r="L239">
        <v>0.59803484943441898</v>
      </c>
      <c r="M239">
        <v>0.74169853748525227</v>
      </c>
      <c r="N239" t="s">
        <v>101</v>
      </c>
      <c r="P239" t="s">
        <v>141</v>
      </c>
    </row>
    <row r="240" spans="1:16" x14ac:dyDescent="0.2">
      <c r="A240" s="7"/>
      <c r="B240" s="8" t="s">
        <v>102</v>
      </c>
      <c r="C240" s="3" t="s">
        <v>88</v>
      </c>
      <c r="D240">
        <v>-4.5530809870529881E-3</v>
      </c>
      <c r="E240">
        <v>0.99545726857276506</v>
      </c>
      <c r="F240">
        <v>9.411600989868308E-4</v>
      </c>
      <c r="G240">
        <v>-6.1011515894134833E-3</v>
      </c>
      <c r="H240">
        <v>-3.0050103846924929E-3</v>
      </c>
      <c r="I240">
        <v>0.99391742264201322</v>
      </c>
      <c r="J240">
        <v>0.99699950013982475</v>
      </c>
      <c r="K240">
        <v>-4.8377327002647368</v>
      </c>
      <c r="L240">
        <v>1.313285901771539E-6</v>
      </c>
      <c r="M240">
        <v>19.538387544816491</v>
      </c>
      <c r="N240" t="s">
        <v>102</v>
      </c>
      <c r="P240" t="s">
        <v>141</v>
      </c>
    </row>
    <row r="241" spans="1:16" x14ac:dyDescent="0.2">
      <c r="A241" s="7"/>
      <c r="B241" s="8"/>
      <c r="C241" s="3" t="s">
        <v>102</v>
      </c>
      <c r="D241">
        <v>-1.250736033833624</v>
      </c>
      <c r="E241">
        <v>0.28629399722355442</v>
      </c>
      <c r="F241">
        <v>0.38492961649143809</v>
      </c>
      <c r="G241">
        <v>-1.8838889096406051</v>
      </c>
      <c r="H241">
        <v>-0.61758315802664288</v>
      </c>
      <c r="I241">
        <v>0.1519978489864989</v>
      </c>
      <c r="J241">
        <v>0.53924613665763776</v>
      </c>
      <c r="K241">
        <v>-3.249259033986136</v>
      </c>
      <c r="L241">
        <v>1.157060619246808E-3</v>
      </c>
      <c r="M241">
        <v>9.7553198343949088</v>
      </c>
      <c r="N241" t="s">
        <v>102</v>
      </c>
      <c r="O241">
        <v>0.70544647276763617</v>
      </c>
      <c r="P241" t="s">
        <v>141</v>
      </c>
    </row>
    <row r="242" spans="1:16" x14ac:dyDescent="0.2">
      <c r="A242" s="7"/>
      <c r="B242" s="8"/>
      <c r="C242" s="3" t="s">
        <v>142</v>
      </c>
      <c r="D242">
        <v>2.8565397172870651E-2</v>
      </c>
      <c r="E242">
        <v>1.0289773008406351</v>
      </c>
      <c r="F242">
        <v>6.4236702035926734E-3</v>
      </c>
      <c r="G242">
        <v>1.799939994015114E-2</v>
      </c>
      <c r="H242">
        <v>3.9131394405590159E-2</v>
      </c>
      <c r="I242">
        <v>1.018162365431255</v>
      </c>
      <c r="J242">
        <v>1.039907112650754</v>
      </c>
      <c r="K242">
        <v>4.4468965976638088</v>
      </c>
      <c r="L242">
        <v>8.711974690668066E-6</v>
      </c>
      <c r="M242">
        <v>16.808568806465491</v>
      </c>
      <c r="N242" t="s">
        <v>102</v>
      </c>
      <c r="P242" t="s">
        <v>141</v>
      </c>
    </row>
    <row r="243" spans="1:16" x14ac:dyDescent="0.2">
      <c r="A243" s="7"/>
      <c r="B243" s="8"/>
      <c r="C243" s="3" t="s">
        <v>143</v>
      </c>
      <c r="D243">
        <v>-4.0254665692663748E-2</v>
      </c>
      <c r="E243">
        <v>0.96054479019746741</v>
      </c>
      <c r="F243">
        <v>0.18151559028922859</v>
      </c>
      <c r="G243">
        <v>-0.33882124272813879</v>
      </c>
      <c r="H243">
        <v>0.25831191134281128</v>
      </c>
      <c r="I243">
        <v>0.71260982189210809</v>
      </c>
      <c r="J243">
        <v>1.294742600552016</v>
      </c>
      <c r="K243">
        <v>-0.22176974235943919</v>
      </c>
      <c r="L243">
        <v>0.82449313504787924</v>
      </c>
      <c r="M243">
        <v>0.27842061344246383</v>
      </c>
      <c r="N243" t="s">
        <v>102</v>
      </c>
      <c r="P243" t="s">
        <v>141</v>
      </c>
    </row>
    <row r="244" spans="1:16" x14ac:dyDescent="0.2">
      <c r="A244" s="7"/>
      <c r="B244" s="8" t="s">
        <v>49</v>
      </c>
      <c r="C244" s="3" t="s">
        <v>88</v>
      </c>
      <c r="D244">
        <v>-4.4852940369370974E-3</v>
      </c>
      <c r="E244">
        <v>0.99552474987212214</v>
      </c>
      <c r="F244">
        <v>9.3389270264735802E-4</v>
      </c>
      <c r="G244">
        <v>-6.0214108360701164E-3</v>
      </c>
      <c r="H244">
        <v>-2.9491772378040771E-3</v>
      </c>
      <c r="I244">
        <v>0.99399668152609522</v>
      </c>
      <c r="J244">
        <v>0.99705516731338595</v>
      </c>
      <c r="K244">
        <v>-4.8027937515973544</v>
      </c>
      <c r="L244">
        <v>1.564670306989176E-6</v>
      </c>
      <c r="M244">
        <v>19.28570987164241</v>
      </c>
      <c r="N244" t="s">
        <v>49</v>
      </c>
      <c r="P244" t="s">
        <v>141</v>
      </c>
    </row>
    <row r="245" spans="1:16" x14ac:dyDescent="0.2">
      <c r="A245" s="7"/>
      <c r="B245" s="8"/>
      <c r="C245" s="3" t="s">
        <v>49</v>
      </c>
      <c r="D245">
        <v>-1.2712958572417561</v>
      </c>
      <c r="E245">
        <v>0.28046793977845341</v>
      </c>
      <c r="F245">
        <v>0.37862700795683207</v>
      </c>
      <c r="G245">
        <v>-1.8940818645413351</v>
      </c>
      <c r="H245">
        <v>-0.6485098499421772</v>
      </c>
      <c r="I245">
        <v>0.15045641101641641</v>
      </c>
      <c r="J245">
        <v>0.52282428320709617</v>
      </c>
      <c r="K245">
        <v>-3.3576470524434932</v>
      </c>
      <c r="L245">
        <v>7.8608917483056681E-4</v>
      </c>
      <c r="M245">
        <v>10.3130193968514</v>
      </c>
      <c r="N245" t="s">
        <v>49</v>
      </c>
      <c r="O245">
        <v>0.70636157760065876</v>
      </c>
      <c r="P245" t="s">
        <v>141</v>
      </c>
    </row>
    <row r="246" spans="1:16" x14ac:dyDescent="0.2">
      <c r="A246" s="7"/>
      <c r="B246" s="8"/>
      <c r="C246" s="3" t="s">
        <v>142</v>
      </c>
      <c r="D246">
        <v>2.8129805477188911E-2</v>
      </c>
      <c r="E246">
        <v>1.028529184478312</v>
      </c>
      <c r="F246">
        <v>6.3757849681077327E-3</v>
      </c>
      <c r="G246">
        <v>1.764257244773423E-2</v>
      </c>
      <c r="H246">
        <v>3.8617038506643588E-2</v>
      </c>
      <c r="I246">
        <v>1.017799121919015</v>
      </c>
      <c r="J246">
        <v>1.039372367829372</v>
      </c>
      <c r="K246">
        <v>4.4119752497765852</v>
      </c>
      <c r="L246">
        <v>1.0243182498299281E-5</v>
      </c>
      <c r="M246">
        <v>16.574976452342721</v>
      </c>
      <c r="N246" t="s">
        <v>49</v>
      </c>
      <c r="P246" t="s">
        <v>141</v>
      </c>
    </row>
    <row r="247" spans="1:16" x14ac:dyDescent="0.2">
      <c r="A247" s="7"/>
      <c r="B247" s="8"/>
      <c r="C247" s="3" t="s">
        <v>143</v>
      </c>
      <c r="D247">
        <v>-6.1185468885325812E-2</v>
      </c>
      <c r="E247">
        <v>0.94064876251899121</v>
      </c>
      <c r="F247">
        <v>0.18074205631614271</v>
      </c>
      <c r="G247">
        <v>-0.35847969575960043</v>
      </c>
      <c r="H247">
        <v>0.2361087579889487</v>
      </c>
      <c r="I247">
        <v>0.69873781303509619</v>
      </c>
      <c r="J247">
        <v>1.266312024227128</v>
      </c>
      <c r="K247">
        <v>-0.33852369577064018</v>
      </c>
      <c r="L247">
        <v>0.73496857340171595</v>
      </c>
      <c r="M247">
        <v>0.44424553196803379</v>
      </c>
      <c r="N247" t="s">
        <v>49</v>
      </c>
      <c r="P247" t="s">
        <v>141</v>
      </c>
    </row>
    <row r="248" spans="1:16" x14ac:dyDescent="0.2">
      <c r="A248" s="7"/>
      <c r="B248" s="8" t="s">
        <v>103</v>
      </c>
      <c r="C248" s="3" t="s">
        <v>88</v>
      </c>
      <c r="D248">
        <v>-4.3768063695468918E-3</v>
      </c>
      <c r="E248">
        <v>0.99563275788872796</v>
      </c>
      <c r="F248">
        <v>9.3243912032146825E-4</v>
      </c>
      <c r="G248">
        <v>-5.910532238519099E-3</v>
      </c>
      <c r="H248">
        <v>-2.843080500574685E-3</v>
      </c>
      <c r="I248">
        <v>0.99410690059446827</v>
      </c>
      <c r="J248">
        <v>0.99716095722535858</v>
      </c>
      <c r="K248">
        <v>-4.6939325840789916</v>
      </c>
      <c r="L248">
        <v>2.6800238624753228E-6</v>
      </c>
      <c r="M248">
        <v>18.509322723073389</v>
      </c>
      <c r="N248" t="s">
        <v>103</v>
      </c>
      <c r="P248" t="s">
        <v>141</v>
      </c>
    </row>
    <row r="249" spans="1:16" x14ac:dyDescent="0.2">
      <c r="A249" s="7"/>
      <c r="B249" s="8"/>
      <c r="C249" s="3" t="s">
        <v>103</v>
      </c>
      <c r="D249">
        <v>-0.24712003638749511</v>
      </c>
      <c r="E249">
        <v>0.78104693385179869</v>
      </c>
      <c r="F249">
        <v>0.45452431783472341</v>
      </c>
      <c r="G249">
        <v>-0.99474600911558342</v>
      </c>
      <c r="H249">
        <v>0.50050593634059315</v>
      </c>
      <c r="I249">
        <v>0.36981736285542077</v>
      </c>
      <c r="J249">
        <v>1.6495556297549701</v>
      </c>
      <c r="K249">
        <v>-0.54368936202298923</v>
      </c>
      <c r="L249">
        <v>0.58665525409838482</v>
      </c>
      <c r="M249">
        <v>0.76941513722644761</v>
      </c>
      <c r="N249" t="s">
        <v>103</v>
      </c>
      <c r="O249">
        <v>0.69510516710049963</v>
      </c>
      <c r="P249" t="s">
        <v>141</v>
      </c>
    </row>
    <row r="250" spans="1:16" x14ac:dyDescent="0.2">
      <c r="A250" s="7"/>
      <c r="B250" s="8"/>
      <c r="C250" s="3" t="s">
        <v>142</v>
      </c>
      <c r="D250">
        <v>2.943393828811991E-2</v>
      </c>
      <c r="E250">
        <v>1.0298713981570069</v>
      </c>
      <c r="F250">
        <v>6.3758301799254789E-3</v>
      </c>
      <c r="G250">
        <v>1.8946630891842831E-2</v>
      </c>
      <c r="H250">
        <v>3.9921245684396978E-2</v>
      </c>
      <c r="I250">
        <v>1.0191272572531931</v>
      </c>
      <c r="J250">
        <v>1.0407288090797899</v>
      </c>
      <c r="K250">
        <v>4.6164871800998837</v>
      </c>
      <c r="L250">
        <v>3.9029012057328423E-6</v>
      </c>
      <c r="M250">
        <v>17.967021625072341</v>
      </c>
      <c r="N250" t="s">
        <v>103</v>
      </c>
      <c r="P250" t="s">
        <v>141</v>
      </c>
    </row>
    <row r="251" spans="1:16" x14ac:dyDescent="0.2">
      <c r="A251" s="7"/>
      <c r="B251" s="8"/>
      <c r="C251" s="3" t="s">
        <v>143</v>
      </c>
      <c r="D251">
        <v>-3.0615183245852159E-2</v>
      </c>
      <c r="E251">
        <v>0.96984871531036976</v>
      </c>
      <c r="F251">
        <v>0.17726827890751259</v>
      </c>
      <c r="G251">
        <v>-0.32219555475031941</v>
      </c>
      <c r="H251">
        <v>0.26096518825861498</v>
      </c>
      <c r="I251">
        <v>0.72455648601216394</v>
      </c>
      <c r="J251">
        <v>1.2981824726545661</v>
      </c>
      <c r="K251">
        <v>-0.17270536744944209</v>
      </c>
      <c r="L251">
        <v>0.86288302457975552</v>
      </c>
      <c r="M251">
        <v>0.2127630989790904</v>
      </c>
      <c r="N251" t="s">
        <v>103</v>
      </c>
      <c r="P251" t="s">
        <v>141</v>
      </c>
    </row>
    <row r="252" spans="1:16" x14ac:dyDescent="0.2">
      <c r="A252" s="7"/>
      <c r="B252" s="8" t="s">
        <v>75</v>
      </c>
      <c r="C252" s="3" t="s">
        <v>88</v>
      </c>
      <c r="D252">
        <v>-4.7873999562298821E-3</v>
      </c>
      <c r="E252">
        <v>0.99522404137757847</v>
      </c>
      <c r="F252">
        <v>9.6964391552771176E-4</v>
      </c>
      <c r="G252">
        <v>-6.3823222675370656E-3</v>
      </c>
      <c r="H252">
        <v>-3.192477644922699E-3</v>
      </c>
      <c r="I252">
        <v>0.99363800149064818</v>
      </c>
      <c r="J252">
        <v>0.99681261289324996</v>
      </c>
      <c r="K252">
        <v>-4.9372763336780423</v>
      </c>
      <c r="L252">
        <v>7.9221181974889243E-7</v>
      </c>
      <c r="M252">
        <v>20.267610437892131</v>
      </c>
      <c r="N252" t="s">
        <v>75</v>
      </c>
      <c r="P252" t="s">
        <v>141</v>
      </c>
    </row>
    <row r="253" spans="1:16" x14ac:dyDescent="0.2">
      <c r="A253" s="7"/>
      <c r="B253" s="8"/>
      <c r="C253" s="3" t="s">
        <v>75</v>
      </c>
      <c r="D253">
        <v>-1.1873856559466269</v>
      </c>
      <c r="E253">
        <v>0.30501764367087691</v>
      </c>
      <c r="F253">
        <v>0.44941694977211349</v>
      </c>
      <c r="G253">
        <v>-1.926610755792755</v>
      </c>
      <c r="H253">
        <v>-0.44816055610049832</v>
      </c>
      <c r="I253">
        <v>0.14564097577410501</v>
      </c>
      <c r="J253">
        <v>0.6388021122217431</v>
      </c>
      <c r="K253">
        <v>-2.6420580188368858</v>
      </c>
      <c r="L253">
        <v>8.2403938544541883E-3</v>
      </c>
      <c r="M253">
        <v>6.9230709911505999</v>
      </c>
      <c r="N253" t="s">
        <v>75</v>
      </c>
      <c r="O253">
        <v>0.70873771379924155</v>
      </c>
      <c r="P253" t="s">
        <v>141</v>
      </c>
    </row>
    <row r="254" spans="1:16" x14ac:dyDescent="0.2">
      <c r="A254" s="7"/>
      <c r="B254" s="8"/>
      <c r="C254" s="3" t="s">
        <v>142</v>
      </c>
      <c r="D254">
        <v>2.7651634117028048E-2</v>
      </c>
      <c r="E254">
        <v>1.028037488845958</v>
      </c>
      <c r="F254">
        <v>6.4854067595237269E-3</v>
      </c>
      <c r="G254">
        <v>1.6984089286369859E-2</v>
      </c>
      <c r="H254">
        <v>3.8319178947686237E-2</v>
      </c>
      <c r="I254">
        <v>1.017129138946042</v>
      </c>
      <c r="J254">
        <v>1.039062826936443</v>
      </c>
      <c r="K254">
        <v>4.2636699812886869</v>
      </c>
      <c r="L254">
        <v>2.0109639026346741E-5</v>
      </c>
      <c r="M254">
        <v>15.601753289341209</v>
      </c>
      <c r="N254" t="s">
        <v>75</v>
      </c>
      <c r="P254" t="s">
        <v>141</v>
      </c>
    </row>
    <row r="255" spans="1:16" x14ac:dyDescent="0.2">
      <c r="A255" s="7"/>
      <c r="B255" s="8"/>
      <c r="C255" s="3" t="s">
        <v>143</v>
      </c>
      <c r="D255">
        <v>-9.8442239064827894E-2</v>
      </c>
      <c r="E255">
        <v>0.90624803683663613</v>
      </c>
      <c r="F255">
        <v>0.1862857154481915</v>
      </c>
      <c r="G255">
        <v>-0.40485497376903562</v>
      </c>
      <c r="H255">
        <v>0.20797049563937969</v>
      </c>
      <c r="I255">
        <v>0.66707354700596377</v>
      </c>
      <c r="J255">
        <v>1.231176843927398</v>
      </c>
      <c r="K255">
        <v>-0.52844759904420036</v>
      </c>
      <c r="L255">
        <v>0.5971887078717838</v>
      </c>
      <c r="M255">
        <v>0.74374120880439276</v>
      </c>
      <c r="N255" t="s">
        <v>75</v>
      </c>
      <c r="P255" t="s">
        <v>141</v>
      </c>
    </row>
    <row r="256" spans="1:16" x14ac:dyDescent="0.2">
      <c r="A256" s="7"/>
      <c r="B256" s="8" t="s">
        <v>104</v>
      </c>
      <c r="C256" s="3" t="s">
        <v>88</v>
      </c>
      <c r="D256">
        <v>-4.3566942804594087E-3</v>
      </c>
      <c r="E256">
        <v>0.99565278234481924</v>
      </c>
      <c r="F256">
        <v>9.5519946963240057E-4</v>
      </c>
      <c r="G256">
        <v>-5.9278575925463851E-3</v>
      </c>
      <c r="H256">
        <v>-2.7855309683724322E-3</v>
      </c>
      <c r="I256">
        <v>0.99408967748967314</v>
      </c>
      <c r="J256">
        <v>0.99721834502328188</v>
      </c>
      <c r="K256">
        <v>-4.5610308830427231</v>
      </c>
      <c r="L256">
        <v>5.090309286517567E-6</v>
      </c>
      <c r="M256">
        <v>17.583815252400591</v>
      </c>
      <c r="N256" t="s">
        <v>104</v>
      </c>
      <c r="P256" t="s">
        <v>141</v>
      </c>
    </row>
    <row r="257" spans="1:16" x14ac:dyDescent="0.2">
      <c r="A257" s="7"/>
      <c r="B257" s="8"/>
      <c r="C257" s="3" t="s">
        <v>104</v>
      </c>
      <c r="D257">
        <v>-3.2031835304564868E-2</v>
      </c>
      <c r="E257">
        <v>0.96847574986796303</v>
      </c>
      <c r="F257">
        <v>0.25318666823377578</v>
      </c>
      <c r="G257">
        <v>-0.44848684484465001</v>
      </c>
      <c r="H257">
        <v>0.38442317423552019</v>
      </c>
      <c r="I257">
        <v>0.63859371228391093</v>
      </c>
      <c r="J257">
        <v>1.468766854480575</v>
      </c>
      <c r="K257">
        <v>-0.12651469971945281</v>
      </c>
      <c r="L257">
        <v>0.89932451384640943</v>
      </c>
      <c r="M257">
        <v>0.15308630057334269</v>
      </c>
      <c r="N257" t="s">
        <v>104</v>
      </c>
      <c r="O257">
        <v>0.69470554237391247</v>
      </c>
      <c r="P257" t="s">
        <v>141</v>
      </c>
    </row>
    <row r="258" spans="1:16" x14ac:dyDescent="0.2">
      <c r="A258" s="7"/>
      <c r="B258" s="8"/>
      <c r="C258" s="3" t="s">
        <v>142</v>
      </c>
      <c r="D258">
        <v>2.8061656479658699E-2</v>
      </c>
      <c r="E258">
        <v>1.028459093633797</v>
      </c>
      <c r="F258">
        <v>6.35189027938249E-3</v>
      </c>
      <c r="G258">
        <v>1.7613726715618609E-2</v>
      </c>
      <c r="H258">
        <v>3.8509586243698789E-2</v>
      </c>
      <c r="I258">
        <v>1.017769763181636</v>
      </c>
      <c r="J258">
        <v>1.0392606909164821</v>
      </c>
      <c r="K258">
        <v>4.4178433891944939</v>
      </c>
      <c r="L258">
        <v>9.9690610621323222E-6</v>
      </c>
      <c r="M258">
        <v>16.614110938802511</v>
      </c>
      <c r="N258" t="s">
        <v>104</v>
      </c>
      <c r="P258" t="s">
        <v>141</v>
      </c>
    </row>
    <row r="259" spans="1:16" x14ac:dyDescent="0.2">
      <c r="A259" s="7"/>
      <c r="B259" s="8"/>
      <c r="C259" s="3" t="s">
        <v>143</v>
      </c>
      <c r="D259">
        <v>-2.7219549078167898E-2</v>
      </c>
      <c r="E259">
        <v>0.97314756441819994</v>
      </c>
      <c r="F259">
        <v>0.18389538121657609</v>
      </c>
      <c r="G259">
        <v>-0.3297005338518767</v>
      </c>
      <c r="H259">
        <v>0.27526143569554101</v>
      </c>
      <c r="I259">
        <v>0.71913905899292041</v>
      </c>
      <c r="J259">
        <v>1.3168749079757569</v>
      </c>
      <c r="K259">
        <v>-0.1480164912141598</v>
      </c>
      <c r="L259">
        <v>0.88232975349404075</v>
      </c>
      <c r="M259">
        <v>0.18061015926170759</v>
      </c>
      <c r="N259" t="s">
        <v>104</v>
      </c>
      <c r="P259" t="s">
        <v>141</v>
      </c>
    </row>
    <row r="260" spans="1:16" x14ac:dyDescent="0.2">
      <c r="A260" s="7"/>
      <c r="B260" s="8" t="s">
        <v>373</v>
      </c>
      <c r="C260" s="3" t="s">
        <v>88</v>
      </c>
      <c r="D260">
        <v>-4.1705529030816816E-3</v>
      </c>
      <c r="E260">
        <v>0.99583813177517877</v>
      </c>
      <c r="F260">
        <v>9.3559139090009197E-4</v>
      </c>
      <c r="G260">
        <v>-5.7094637957482708E-3</v>
      </c>
      <c r="H260">
        <v>-2.6316420104150928E-3</v>
      </c>
      <c r="I260">
        <v>0.99430680421740014</v>
      </c>
      <c r="J260">
        <v>0.99737181772382755</v>
      </c>
      <c r="K260">
        <v>-4.4576648990638672</v>
      </c>
      <c r="L260">
        <v>8.2857294011808216E-6</v>
      </c>
      <c r="M260">
        <v>16.880939864376259</v>
      </c>
      <c r="N260" t="s">
        <v>373</v>
      </c>
      <c r="P260" t="s">
        <v>141</v>
      </c>
    </row>
    <row r="261" spans="1:16" x14ac:dyDescent="0.2">
      <c r="A261" s="7"/>
      <c r="B261" s="8"/>
      <c r="C261" s="3" t="s">
        <v>373</v>
      </c>
      <c r="D261">
        <v>-0.33319382088675081</v>
      </c>
      <c r="E261">
        <v>0.71663128258348807</v>
      </c>
      <c r="F261">
        <v>0.40161865503874872</v>
      </c>
      <c r="G261">
        <v>-0.99379772227860852</v>
      </c>
      <c r="H261">
        <v>0.327410080505107</v>
      </c>
      <c r="I261">
        <v>0.37016822212402201</v>
      </c>
      <c r="J261">
        <v>1.3873702940529311</v>
      </c>
      <c r="K261">
        <v>-0.82962735098697993</v>
      </c>
      <c r="L261">
        <v>0.40674950787738978</v>
      </c>
      <c r="M261">
        <v>1.2977874944923951</v>
      </c>
      <c r="N261" t="s">
        <v>373</v>
      </c>
      <c r="O261">
        <v>0.68980027537554722</v>
      </c>
      <c r="P261" t="s">
        <v>141</v>
      </c>
    </row>
    <row r="262" spans="1:16" x14ac:dyDescent="0.2">
      <c r="A262" s="7"/>
      <c r="B262" s="8"/>
      <c r="C262" s="3" t="s">
        <v>142</v>
      </c>
      <c r="D262">
        <v>2.9556062951615569E-2</v>
      </c>
      <c r="E262">
        <v>1.029997178535238</v>
      </c>
      <c r="F262">
        <v>6.4536314265947747E-3</v>
      </c>
      <c r="G262">
        <v>1.894078389257315E-2</v>
      </c>
      <c r="H262">
        <v>4.0171342010657987E-2</v>
      </c>
      <c r="I262">
        <v>1.019121298434285</v>
      </c>
      <c r="J262">
        <v>1.040989124082131</v>
      </c>
      <c r="K262">
        <v>4.5797568838248131</v>
      </c>
      <c r="L262">
        <v>4.6551671959373906E-6</v>
      </c>
      <c r="M262">
        <v>17.712735584479319</v>
      </c>
      <c r="N262" t="s">
        <v>373</v>
      </c>
      <c r="P262" t="s">
        <v>141</v>
      </c>
    </row>
    <row r="263" spans="1:16" x14ac:dyDescent="0.2">
      <c r="A263" s="7"/>
      <c r="B263" s="8"/>
      <c r="C263" s="3" t="s">
        <v>143</v>
      </c>
      <c r="D263">
        <v>2.1984822239463912E-2</v>
      </c>
      <c r="E263">
        <v>1.0222282692168121</v>
      </c>
      <c r="F263">
        <v>0.18063669281134531</v>
      </c>
      <c r="G263">
        <v>-0.27513609709179621</v>
      </c>
      <c r="H263">
        <v>0.31910574157072402</v>
      </c>
      <c r="I263">
        <v>0.7594687547022253</v>
      </c>
      <c r="J263">
        <v>1.3758968067036621</v>
      </c>
      <c r="K263">
        <v>0.12170740007084049</v>
      </c>
      <c r="L263">
        <v>0.90313075240215046</v>
      </c>
      <c r="M263">
        <v>0.14699322325381059</v>
      </c>
      <c r="N263" t="s">
        <v>373</v>
      </c>
      <c r="P263" t="s">
        <v>141</v>
      </c>
    </row>
    <row r="264" spans="1:16" x14ac:dyDescent="0.2">
      <c r="A264" s="7"/>
      <c r="B264" s="8" t="s">
        <v>9</v>
      </c>
      <c r="C264" s="3" t="s">
        <v>88</v>
      </c>
      <c r="D264">
        <v>-4.670606564462867E-3</v>
      </c>
      <c r="E264">
        <v>0.99534028375697781</v>
      </c>
      <c r="F264">
        <v>9.3300284915652824E-4</v>
      </c>
      <c r="G264">
        <v>-6.2052596848540392E-3</v>
      </c>
      <c r="H264">
        <v>-3.1359534440716951E-3</v>
      </c>
      <c r="I264">
        <v>0.99381395317821464</v>
      </c>
      <c r="J264">
        <v>0.99686895852202273</v>
      </c>
      <c r="K264">
        <v>-5.0059938923930209</v>
      </c>
      <c r="L264">
        <v>5.5574519143581503E-7</v>
      </c>
      <c r="M264">
        <v>20.779073103769381</v>
      </c>
      <c r="N264" t="s">
        <v>9</v>
      </c>
      <c r="P264" t="s">
        <v>141</v>
      </c>
    </row>
    <row r="265" spans="1:16" x14ac:dyDescent="0.2">
      <c r="A265" s="7"/>
      <c r="B265" s="8"/>
      <c r="C265" s="3" t="s">
        <v>9</v>
      </c>
      <c r="D265">
        <v>-1.4891568917828291</v>
      </c>
      <c r="E265">
        <v>0.2255627492007532</v>
      </c>
      <c r="F265">
        <v>0.40570977342356268</v>
      </c>
      <c r="G265">
        <v>-2.1564900840882362</v>
      </c>
      <c r="H265">
        <v>-0.82182369947742229</v>
      </c>
      <c r="I265">
        <v>0.1157306137217422</v>
      </c>
      <c r="J265">
        <v>0.43962917149417458</v>
      </c>
      <c r="K265">
        <v>-3.6704979503368862</v>
      </c>
      <c r="L265">
        <v>2.4207841115000329E-4</v>
      </c>
      <c r="M265">
        <v>12.01223795579134</v>
      </c>
      <c r="N265" t="s">
        <v>9</v>
      </c>
      <c r="O265">
        <v>0.71007301864715555</v>
      </c>
      <c r="P265" t="s">
        <v>141</v>
      </c>
    </row>
    <row r="266" spans="1:16" x14ac:dyDescent="0.2">
      <c r="A266" s="7"/>
      <c r="B266" s="8"/>
      <c r="C266" s="3" t="s">
        <v>142</v>
      </c>
      <c r="D266">
        <v>2.7801713935492599E-2</v>
      </c>
      <c r="E266">
        <v>1.0281917881039719</v>
      </c>
      <c r="F266">
        <v>6.3935531588348374E-3</v>
      </c>
      <c r="G266">
        <v>1.728525483307608E-2</v>
      </c>
      <c r="H266">
        <v>3.8318173037909117E-2</v>
      </c>
      <c r="I266">
        <v>1.0174355093310301</v>
      </c>
      <c r="J266">
        <v>1.0390617817335119</v>
      </c>
      <c r="K266">
        <v>4.3483980260765041</v>
      </c>
      <c r="L266">
        <v>1.371355554212419E-5</v>
      </c>
      <c r="M266">
        <v>16.154037804271059</v>
      </c>
      <c r="N266" t="s">
        <v>9</v>
      </c>
      <c r="P266" t="s">
        <v>141</v>
      </c>
    </row>
    <row r="267" spans="1:16" x14ac:dyDescent="0.2">
      <c r="A267" s="7"/>
      <c r="B267" s="8"/>
      <c r="C267" s="3" t="s">
        <v>143</v>
      </c>
      <c r="D267">
        <v>-9.9614108849350264E-2</v>
      </c>
      <c r="E267">
        <v>0.90518665416758892</v>
      </c>
      <c r="F267">
        <v>0.1817120946716177</v>
      </c>
      <c r="G267">
        <v>-0.39850390683090992</v>
      </c>
      <c r="H267">
        <v>0.1992756891322093</v>
      </c>
      <c r="I267">
        <v>0.67132365783880066</v>
      </c>
      <c r="J267">
        <v>1.2205184031811089</v>
      </c>
      <c r="K267">
        <v>-0.54819746054531271</v>
      </c>
      <c r="L267">
        <v>0.58355632561962212</v>
      </c>
      <c r="M267">
        <v>0.77705618142211941</v>
      </c>
      <c r="N267" t="s">
        <v>9</v>
      </c>
      <c r="P267" t="s">
        <v>141</v>
      </c>
    </row>
    <row r="268" spans="1:16" x14ac:dyDescent="0.2">
      <c r="A268" s="7"/>
      <c r="B268" s="8" t="s">
        <v>105</v>
      </c>
      <c r="C268" s="3" t="s">
        <v>88</v>
      </c>
      <c r="D268">
        <v>-4.2741727800892169E-3</v>
      </c>
      <c r="E268">
        <v>0.9957349484964565</v>
      </c>
      <c r="F268">
        <v>9.3630640385430864E-4</v>
      </c>
      <c r="G268">
        <v>-5.8142597644068664E-3</v>
      </c>
      <c r="H268">
        <v>-2.7340857957715669E-3</v>
      </c>
      <c r="I268">
        <v>0.99420261033235324</v>
      </c>
      <c r="J268">
        <v>0.99726964841280685</v>
      </c>
      <c r="K268">
        <v>-4.5649295599117652</v>
      </c>
      <c r="L268">
        <v>4.9966208531281136E-6</v>
      </c>
      <c r="M268">
        <v>17.61061581974435</v>
      </c>
      <c r="N268" t="s">
        <v>105</v>
      </c>
      <c r="P268" t="s">
        <v>141</v>
      </c>
    </row>
    <row r="269" spans="1:16" x14ac:dyDescent="0.2">
      <c r="A269" s="7"/>
      <c r="B269" s="8"/>
      <c r="C269" s="3" t="s">
        <v>105</v>
      </c>
      <c r="D269">
        <v>0.97580198275492513</v>
      </c>
      <c r="E269">
        <v>2.653294254178213</v>
      </c>
      <c r="F269">
        <v>0.44401387115843688</v>
      </c>
      <c r="G269">
        <v>0.24546415636320659</v>
      </c>
      <c r="H269">
        <v>1.706139809146644</v>
      </c>
      <c r="I269">
        <v>1.2782144669145641</v>
      </c>
      <c r="J269">
        <v>5.5076597718758817</v>
      </c>
      <c r="K269">
        <v>2.1976835548156362</v>
      </c>
      <c r="L269">
        <v>2.79716642695686E-2</v>
      </c>
      <c r="M269">
        <v>5.159890095344851</v>
      </c>
      <c r="N269" t="s">
        <v>105</v>
      </c>
      <c r="O269">
        <v>0.68941403793954825</v>
      </c>
      <c r="P269" t="s">
        <v>141</v>
      </c>
    </row>
    <row r="270" spans="1:16" x14ac:dyDescent="0.2">
      <c r="A270" s="7"/>
      <c r="B270" s="8"/>
      <c r="C270" s="3" t="s">
        <v>142</v>
      </c>
      <c r="D270">
        <v>3.0105104520075299E-2</v>
      </c>
      <c r="E270">
        <v>1.030562845074662</v>
      </c>
      <c r="F270">
        <v>6.5368811262967704E-3</v>
      </c>
      <c r="G270">
        <v>1.9352891890535431E-2</v>
      </c>
      <c r="H270">
        <v>4.0857317149615158E-2</v>
      </c>
      <c r="I270">
        <v>1.0195413730243681</v>
      </c>
      <c r="J270">
        <v>1.041703461722095</v>
      </c>
      <c r="K270">
        <v>4.605423280372583</v>
      </c>
      <c r="L270">
        <v>4.1162772350821533E-6</v>
      </c>
      <c r="M270">
        <v>17.890228416973521</v>
      </c>
      <c r="N270" t="s">
        <v>105</v>
      </c>
      <c r="P270" t="s">
        <v>141</v>
      </c>
    </row>
    <row r="271" spans="1:16" x14ac:dyDescent="0.2">
      <c r="A271" s="7"/>
      <c r="B271" s="8"/>
      <c r="C271" s="3" t="s">
        <v>143</v>
      </c>
      <c r="D271">
        <v>-5.8900473208734788E-2</v>
      </c>
      <c r="E271">
        <v>0.94280059840612251</v>
      </c>
      <c r="F271">
        <v>0.18357309399682251</v>
      </c>
      <c r="G271">
        <v>-0.36085134268011182</v>
      </c>
      <c r="H271">
        <v>0.24305039626264219</v>
      </c>
      <c r="I271">
        <v>0.69708261719845388</v>
      </c>
      <c r="J271">
        <v>1.275132884430954</v>
      </c>
      <c r="K271">
        <v>-0.32085569800198671</v>
      </c>
      <c r="L271">
        <v>0.74831974810723945</v>
      </c>
      <c r="M271">
        <v>0.41827324664500581</v>
      </c>
      <c r="N271" t="s">
        <v>105</v>
      </c>
      <c r="P271" t="s">
        <v>141</v>
      </c>
    </row>
    <row r="272" spans="1:16" x14ac:dyDescent="0.2">
      <c r="A272" s="7"/>
      <c r="B272" s="8" t="s">
        <v>106</v>
      </c>
      <c r="C272" s="3" t="s">
        <v>88</v>
      </c>
      <c r="D272">
        <v>-3.9343392997637653E-3</v>
      </c>
      <c r="E272">
        <v>0.99607339007311801</v>
      </c>
      <c r="F272">
        <v>9.3245167513203626E-4</v>
      </c>
      <c r="G272">
        <v>-5.4680858195616713E-3</v>
      </c>
      <c r="H272">
        <v>-2.4005927799658601E-3</v>
      </c>
      <c r="I272">
        <v>0.99454683694965285</v>
      </c>
      <c r="J272">
        <v>0.9976022863385573</v>
      </c>
      <c r="K272">
        <v>-4.2193492753462616</v>
      </c>
      <c r="L272">
        <v>2.4500845523396041E-5</v>
      </c>
      <c r="M272">
        <v>15.31680893699011</v>
      </c>
      <c r="N272" t="s">
        <v>106</v>
      </c>
      <c r="P272" t="s">
        <v>141</v>
      </c>
    </row>
    <row r="273" spans="1:16" x14ac:dyDescent="0.2">
      <c r="A273" s="7"/>
      <c r="B273" s="8"/>
      <c r="C273" s="3" t="s">
        <v>106</v>
      </c>
      <c r="D273">
        <v>0.41683153239502718</v>
      </c>
      <c r="E273">
        <v>1.517146901299695</v>
      </c>
      <c r="F273">
        <v>0.40152875216533318</v>
      </c>
      <c r="G273">
        <v>-0.24362449192941979</v>
      </c>
      <c r="H273">
        <v>1.077287556719474</v>
      </c>
      <c r="I273">
        <v>0.78378189543799326</v>
      </c>
      <c r="J273">
        <v>2.93670309753329</v>
      </c>
      <c r="K273">
        <v>1.03811129376706</v>
      </c>
      <c r="L273">
        <v>0.29921824410412712</v>
      </c>
      <c r="M273">
        <v>1.740729952161433</v>
      </c>
      <c r="N273" t="s">
        <v>106</v>
      </c>
      <c r="O273">
        <v>0.6877962085308057</v>
      </c>
      <c r="P273" t="s">
        <v>141</v>
      </c>
    </row>
    <row r="274" spans="1:16" x14ac:dyDescent="0.2">
      <c r="A274" s="7"/>
      <c r="B274" s="8"/>
      <c r="C274" s="3" t="s">
        <v>142</v>
      </c>
      <c r="D274">
        <v>3.0255519592321711E-2</v>
      </c>
      <c r="E274">
        <v>1.0307178689181269</v>
      </c>
      <c r="F274">
        <v>6.4132535178794093E-3</v>
      </c>
      <c r="G274">
        <v>1.9706656282878481E-2</v>
      </c>
      <c r="H274">
        <v>4.0804382901764941E-2</v>
      </c>
      <c r="I274">
        <v>1.019902114263604</v>
      </c>
      <c r="J274">
        <v>1.0416483213922849</v>
      </c>
      <c r="K274">
        <v>4.7176553223684081</v>
      </c>
      <c r="L274">
        <v>2.385782439483926E-6</v>
      </c>
      <c r="M274">
        <v>18.677106080267698</v>
      </c>
      <c r="N274" t="s">
        <v>106</v>
      </c>
      <c r="P274" t="s">
        <v>141</v>
      </c>
    </row>
    <row r="275" spans="1:16" x14ac:dyDescent="0.2">
      <c r="A275" s="7"/>
      <c r="B275" s="8"/>
      <c r="C275" s="3" t="s">
        <v>143</v>
      </c>
      <c r="D275">
        <v>4.1565156995773088E-2</v>
      </c>
      <c r="E275">
        <v>1.042441081967886</v>
      </c>
      <c r="F275">
        <v>0.18224708710473231</v>
      </c>
      <c r="G275">
        <v>-0.25820462522978671</v>
      </c>
      <c r="H275">
        <v>0.34133493922133279</v>
      </c>
      <c r="I275">
        <v>0.77243715580377759</v>
      </c>
      <c r="J275">
        <v>1.4068243626157551</v>
      </c>
      <c r="K275">
        <v>0.2280703502925496</v>
      </c>
      <c r="L275">
        <v>0.81959154971845927</v>
      </c>
      <c r="M275">
        <v>0.28702298516255659</v>
      </c>
      <c r="N275" t="s">
        <v>106</v>
      </c>
      <c r="P275" t="s">
        <v>141</v>
      </c>
    </row>
    <row r="276" spans="1:16" x14ac:dyDescent="0.2">
      <c r="A276" s="7"/>
      <c r="B276" s="8" t="s">
        <v>107</v>
      </c>
      <c r="C276" s="3" t="s">
        <v>88</v>
      </c>
      <c r="D276">
        <v>-4.3575682308838069E-3</v>
      </c>
      <c r="E276">
        <v>0.99565191219402771</v>
      </c>
      <c r="F276">
        <v>9.3805509244352444E-4</v>
      </c>
      <c r="G276">
        <v>-5.9005315519698367E-3</v>
      </c>
      <c r="H276">
        <v>-2.8146049097977771E-3</v>
      </c>
      <c r="I276">
        <v>0.99411684239568987</v>
      </c>
      <c r="J276">
        <v>0.99718935237699768</v>
      </c>
      <c r="K276">
        <v>-4.6453222907546383</v>
      </c>
      <c r="L276">
        <v>3.3954595106196722E-6</v>
      </c>
      <c r="M276">
        <v>18.167961740411599</v>
      </c>
      <c r="N276" t="s">
        <v>107</v>
      </c>
      <c r="P276" t="s">
        <v>141</v>
      </c>
    </row>
    <row r="277" spans="1:16" x14ac:dyDescent="0.2">
      <c r="A277" s="7"/>
      <c r="B277" s="8"/>
      <c r="C277" s="3" t="s">
        <v>107</v>
      </c>
      <c r="D277">
        <v>-0.81866783324092851</v>
      </c>
      <c r="E277">
        <v>0.44101877389941618</v>
      </c>
      <c r="F277">
        <v>0.4378043918264351</v>
      </c>
      <c r="G277">
        <v>-1.5387919750319241</v>
      </c>
      <c r="H277">
        <v>-9.8543691449933357E-2</v>
      </c>
      <c r="I277">
        <v>0.21464023563897111</v>
      </c>
      <c r="J277">
        <v>0.90615610047546225</v>
      </c>
      <c r="K277">
        <v>-1.8699397459801741</v>
      </c>
      <c r="L277">
        <v>6.1492185602596533E-2</v>
      </c>
      <c r="M277">
        <v>4.0234531046673228</v>
      </c>
      <c r="N277" t="s">
        <v>107</v>
      </c>
      <c r="O277">
        <v>0.70373728058521035</v>
      </c>
      <c r="P277" t="s">
        <v>141</v>
      </c>
    </row>
    <row r="278" spans="1:16" x14ac:dyDescent="0.2">
      <c r="A278" s="7"/>
      <c r="B278" s="8"/>
      <c r="C278" s="3" t="s">
        <v>142</v>
      </c>
      <c r="D278">
        <v>2.9733961269623629E-2</v>
      </c>
      <c r="E278">
        <v>1.0301804296003969</v>
      </c>
      <c r="F278">
        <v>6.4602043114272588E-3</v>
      </c>
      <c r="G278">
        <v>1.9107870777124961E-2</v>
      </c>
      <c r="H278">
        <v>4.036005176212229E-2</v>
      </c>
      <c r="I278">
        <v>1.0192915944637411</v>
      </c>
      <c r="J278">
        <v>1.0411855874177041</v>
      </c>
      <c r="K278">
        <v>4.6026348140457607</v>
      </c>
      <c r="L278">
        <v>4.1717934842694201E-6</v>
      </c>
      <c r="M278">
        <v>17.87090082723703</v>
      </c>
      <c r="N278" t="s">
        <v>107</v>
      </c>
      <c r="P278" t="s">
        <v>141</v>
      </c>
    </row>
    <row r="279" spans="1:16" x14ac:dyDescent="0.2">
      <c r="A279" s="7"/>
      <c r="B279" s="8"/>
      <c r="C279" s="3" t="s">
        <v>143</v>
      </c>
      <c r="D279">
        <v>-6.7352149916410531E-2</v>
      </c>
      <c r="E279">
        <v>0.93486593040456667</v>
      </c>
      <c r="F279">
        <v>0.18041297782103391</v>
      </c>
      <c r="G279">
        <v>-0.36410509083445353</v>
      </c>
      <c r="H279">
        <v>0.22940079100163249</v>
      </c>
      <c r="I279">
        <v>0.69481817188448447</v>
      </c>
      <c r="J279">
        <v>1.257846071384122</v>
      </c>
      <c r="K279">
        <v>-0.37332208985111121</v>
      </c>
      <c r="L279">
        <v>0.70890873761579543</v>
      </c>
      <c r="M279">
        <v>0.49632818288619779</v>
      </c>
      <c r="N279" t="s">
        <v>107</v>
      </c>
      <c r="P279" t="s">
        <v>141</v>
      </c>
    </row>
    <row r="280" spans="1:16" x14ac:dyDescent="0.2">
      <c r="A280" s="7"/>
      <c r="B280" s="8" t="s">
        <v>108</v>
      </c>
      <c r="C280" s="3" t="s">
        <v>88</v>
      </c>
      <c r="D280">
        <v>-4.3535652980554486E-3</v>
      </c>
      <c r="E280">
        <v>0.99565589772972962</v>
      </c>
      <c r="F280">
        <v>9.3742839111552552E-4</v>
      </c>
      <c r="G280">
        <v>-5.8954977871891051E-3</v>
      </c>
      <c r="H280">
        <v>-2.8116328089217938E-3</v>
      </c>
      <c r="I280">
        <v>0.99412184655863389</v>
      </c>
      <c r="J280">
        <v>0.99719231612874981</v>
      </c>
      <c r="K280">
        <v>-4.6441577184095877</v>
      </c>
      <c r="L280">
        <v>3.4146664078769098E-6</v>
      </c>
      <c r="M280">
        <v>18.1598239264485</v>
      </c>
      <c r="N280" t="s">
        <v>108</v>
      </c>
      <c r="P280" t="s">
        <v>141</v>
      </c>
    </row>
    <row r="281" spans="1:16" x14ac:dyDescent="0.2">
      <c r="A281" s="7"/>
      <c r="B281" s="8"/>
      <c r="C281" s="3" t="s">
        <v>108</v>
      </c>
      <c r="D281">
        <v>1.131399073969737</v>
      </c>
      <c r="E281">
        <v>3.0999905836980739</v>
      </c>
      <c r="F281">
        <v>0.40893086663999872</v>
      </c>
      <c r="G281">
        <v>0.45876765480452653</v>
      </c>
      <c r="H281">
        <v>1.804030493134948</v>
      </c>
      <c r="I281">
        <v>1.5821230613823709</v>
      </c>
      <c r="J281">
        <v>6.0740797309534802</v>
      </c>
      <c r="K281">
        <v>2.7667245646334679</v>
      </c>
      <c r="L281">
        <v>5.6622572245419714E-3</v>
      </c>
      <c r="M281">
        <v>7.4644069953015251</v>
      </c>
      <c r="N281" t="s">
        <v>108</v>
      </c>
      <c r="O281">
        <v>0.69716102453877848</v>
      </c>
      <c r="P281" t="s">
        <v>141</v>
      </c>
    </row>
    <row r="282" spans="1:16" x14ac:dyDescent="0.2">
      <c r="A282" s="7"/>
      <c r="B282" s="8"/>
      <c r="C282" s="3" t="s">
        <v>142</v>
      </c>
      <c r="D282">
        <v>2.9055066961313349E-2</v>
      </c>
      <c r="E282">
        <v>1.0294812833202771</v>
      </c>
      <c r="F282">
        <v>6.3697815367711802E-3</v>
      </c>
      <c r="G282">
        <v>1.8577708697666749E-2</v>
      </c>
      <c r="H282">
        <v>3.9532425224959949E-2</v>
      </c>
      <c r="I282">
        <v>1.0187513479342121</v>
      </c>
      <c r="J282">
        <v>1.040324231085292</v>
      </c>
      <c r="K282">
        <v>4.561391437616126</v>
      </c>
      <c r="L282">
        <v>5.0815747600005164E-6</v>
      </c>
      <c r="M282">
        <v>17.58629291752737</v>
      </c>
      <c r="N282" t="s">
        <v>108</v>
      </c>
      <c r="P282" t="s">
        <v>141</v>
      </c>
    </row>
    <row r="283" spans="1:16" x14ac:dyDescent="0.2">
      <c r="A283" s="7"/>
      <c r="B283" s="8"/>
      <c r="C283" s="3" t="s">
        <v>143</v>
      </c>
      <c r="D283">
        <v>-4.1616257588450438E-2</v>
      </c>
      <c r="E283">
        <v>0.9592378101842125</v>
      </c>
      <c r="F283">
        <v>0.18197615031396569</v>
      </c>
      <c r="G283">
        <v>-0.34094038845104319</v>
      </c>
      <c r="H283">
        <v>0.2577078732741423</v>
      </c>
      <c r="I283">
        <v>0.71110129679273959</v>
      </c>
      <c r="J283">
        <v>1.2939607628857841</v>
      </c>
      <c r="K283">
        <v>-0.22869072412318539</v>
      </c>
      <c r="L283">
        <v>0.8191093048329553</v>
      </c>
      <c r="M283">
        <v>0.28787211186309208</v>
      </c>
      <c r="N283" t="s">
        <v>108</v>
      </c>
      <c r="P283" t="s">
        <v>141</v>
      </c>
    </row>
    <row r="284" spans="1:16" x14ac:dyDescent="0.2">
      <c r="A284" s="7"/>
      <c r="B284" s="8" t="s">
        <v>109</v>
      </c>
      <c r="C284" s="3" t="s">
        <v>88</v>
      </c>
      <c r="D284">
        <v>-4.8840813621560024E-3</v>
      </c>
      <c r="E284">
        <v>0.9951278263692227</v>
      </c>
      <c r="F284">
        <v>1.0132428978141569E-3</v>
      </c>
      <c r="G284">
        <v>-6.5507176176084394E-3</v>
      </c>
      <c r="H284">
        <v>-3.2174451067035659E-3</v>
      </c>
      <c r="I284">
        <v>0.99347069155904555</v>
      </c>
      <c r="J284">
        <v>0.99678772532312598</v>
      </c>
      <c r="K284">
        <v>-4.8202473194653566</v>
      </c>
      <c r="L284">
        <v>1.43380357426543E-6</v>
      </c>
      <c r="M284">
        <v>19.41172117557965</v>
      </c>
      <c r="N284" t="s">
        <v>109</v>
      </c>
      <c r="P284" t="s">
        <v>141</v>
      </c>
    </row>
    <row r="285" spans="1:16" x14ac:dyDescent="0.2">
      <c r="A285" s="7"/>
      <c r="B285" s="8"/>
      <c r="C285" s="3" t="s">
        <v>109</v>
      </c>
      <c r="D285">
        <v>-0.33153634342076738</v>
      </c>
      <c r="E285">
        <v>0.71782006770590945</v>
      </c>
      <c r="F285">
        <v>0.3584372935750792</v>
      </c>
      <c r="G285">
        <v>-0.92111322579240595</v>
      </c>
      <c r="H285">
        <v>0.25804053895087109</v>
      </c>
      <c r="I285">
        <v>0.39807564625428521</v>
      </c>
      <c r="J285">
        <v>1.294391290825593</v>
      </c>
      <c r="K285">
        <v>-0.92494935477834972</v>
      </c>
      <c r="L285">
        <v>0.3549922520763843</v>
      </c>
      <c r="M285">
        <v>1.49414055763049</v>
      </c>
      <c r="N285" t="s">
        <v>109</v>
      </c>
      <c r="O285">
        <v>0.69636711281070751</v>
      </c>
      <c r="P285" t="s">
        <v>141</v>
      </c>
    </row>
    <row r="286" spans="1:16" x14ac:dyDescent="0.2">
      <c r="A286" s="7"/>
      <c r="B286" s="8"/>
      <c r="C286" s="3" t="s">
        <v>142</v>
      </c>
      <c r="D286">
        <v>2.7024587501752139E-2</v>
      </c>
      <c r="E286">
        <v>1.0273930634816879</v>
      </c>
      <c r="F286">
        <v>6.8445982481219834E-3</v>
      </c>
      <c r="G286">
        <v>1.5766225248303008E-2</v>
      </c>
      <c r="H286">
        <v>3.8282949755201273E-2</v>
      </c>
      <c r="I286">
        <v>1.0158911679388469</v>
      </c>
      <c r="J286">
        <v>1.039025183211187</v>
      </c>
      <c r="K286">
        <v>3.9483088009098468</v>
      </c>
      <c r="L286">
        <v>7.8705239632044526E-5</v>
      </c>
      <c r="M286">
        <v>13.63318079118763</v>
      </c>
      <c r="N286" t="s">
        <v>109</v>
      </c>
      <c r="P286" t="s">
        <v>141</v>
      </c>
    </row>
    <row r="287" spans="1:16" x14ac:dyDescent="0.2">
      <c r="A287" s="7"/>
      <c r="B287" s="8"/>
      <c r="C287" s="3" t="s">
        <v>143</v>
      </c>
      <c r="D287">
        <v>-0.10007690000583661</v>
      </c>
      <c r="E287">
        <v>0.90476783870859101</v>
      </c>
      <c r="F287">
        <v>0.20021854928485641</v>
      </c>
      <c r="G287">
        <v>-0.42940710697999468</v>
      </c>
      <c r="H287">
        <v>0.22925330696832141</v>
      </c>
      <c r="I287">
        <v>0.65089489138179968</v>
      </c>
      <c r="J287">
        <v>1.257660572851601</v>
      </c>
      <c r="K287">
        <v>-0.49983830351030317</v>
      </c>
      <c r="L287">
        <v>0.617188937509072</v>
      </c>
      <c r="M287">
        <v>0.69621589160449626</v>
      </c>
      <c r="N287" t="s">
        <v>109</v>
      </c>
      <c r="P287" t="s">
        <v>141</v>
      </c>
    </row>
    <row r="288" spans="1:16" x14ac:dyDescent="0.2">
      <c r="A288" s="7"/>
      <c r="B288" s="8" t="s">
        <v>110</v>
      </c>
      <c r="C288" s="3" t="s">
        <v>88</v>
      </c>
      <c r="D288">
        <v>-3.76232861276548E-3</v>
      </c>
      <c r="E288">
        <v>0.9962447400778387</v>
      </c>
      <c r="F288">
        <v>1.022073299834431E-3</v>
      </c>
      <c r="G288">
        <v>-5.443489587008403E-3</v>
      </c>
      <c r="H288">
        <v>-2.081167638522557E-3</v>
      </c>
      <c r="I288">
        <v>0.9945712993557797</v>
      </c>
      <c r="J288">
        <v>0.99792099648928256</v>
      </c>
      <c r="K288">
        <v>-3.6810751375414581</v>
      </c>
      <c r="L288">
        <v>2.3225254392728251E-4</v>
      </c>
      <c r="M288">
        <v>12.072017980611379</v>
      </c>
      <c r="N288" t="s">
        <v>110</v>
      </c>
      <c r="P288" t="s">
        <v>141</v>
      </c>
    </row>
    <row r="289" spans="1:16" x14ac:dyDescent="0.2">
      <c r="A289" s="7"/>
      <c r="B289" s="8"/>
      <c r="C289" s="3" t="s">
        <v>110</v>
      </c>
      <c r="D289">
        <v>-0.32693287133983723</v>
      </c>
      <c r="E289">
        <v>0.72113215003687225</v>
      </c>
      <c r="F289">
        <v>0.35767406535038121</v>
      </c>
      <c r="G289">
        <v>-0.91525435499788943</v>
      </c>
      <c r="H289">
        <v>0.26138861231821509</v>
      </c>
      <c r="I289">
        <v>0.40041476564014128</v>
      </c>
      <c r="J289">
        <v>1.298732270737893</v>
      </c>
      <c r="K289">
        <v>-0.91405249362871865</v>
      </c>
      <c r="L289">
        <v>0.36068926328463657</v>
      </c>
      <c r="M289">
        <v>1.4711716161382371</v>
      </c>
      <c r="N289" t="s">
        <v>110</v>
      </c>
      <c r="O289">
        <v>0.69808516388063158</v>
      </c>
      <c r="P289" t="s">
        <v>141</v>
      </c>
    </row>
    <row r="290" spans="1:16" x14ac:dyDescent="0.2">
      <c r="A290" s="7"/>
      <c r="B290" s="8"/>
      <c r="C290" s="3" t="s">
        <v>142</v>
      </c>
      <c r="D290">
        <v>2.8257767016295791E-2</v>
      </c>
      <c r="E290">
        <v>1.028660805076782</v>
      </c>
      <c r="F290">
        <v>6.9356297238980496E-3</v>
      </c>
      <c r="G290">
        <v>1.684967130974965E-2</v>
      </c>
      <c r="H290">
        <v>3.9665862722841942E-2</v>
      </c>
      <c r="I290">
        <v>1.0169924276936539</v>
      </c>
      <c r="J290">
        <v>1.0404630586098671</v>
      </c>
      <c r="K290">
        <v>4.074290027180691</v>
      </c>
      <c r="L290">
        <v>4.6154933836743738E-5</v>
      </c>
      <c r="M290">
        <v>14.40315559815101</v>
      </c>
      <c r="N290" t="s">
        <v>110</v>
      </c>
      <c r="P290" t="s">
        <v>141</v>
      </c>
    </row>
    <row r="291" spans="1:16" x14ac:dyDescent="0.2">
      <c r="A291" s="7"/>
      <c r="B291" s="8"/>
      <c r="C291" s="3" t="s">
        <v>143</v>
      </c>
      <c r="D291">
        <v>0.1244914302692512</v>
      </c>
      <c r="E291">
        <v>1.1325723145788671</v>
      </c>
      <c r="F291">
        <v>0.20543792617752751</v>
      </c>
      <c r="G291">
        <v>-0.2134238877172436</v>
      </c>
      <c r="H291">
        <v>0.46240674825574601</v>
      </c>
      <c r="I291">
        <v>0.80781364235111897</v>
      </c>
      <c r="J291">
        <v>1.587891043802147</v>
      </c>
      <c r="K291">
        <v>0.60598075820563413</v>
      </c>
      <c r="L291">
        <v>0.54452753065563897</v>
      </c>
      <c r="M291">
        <v>0.87692310317880706</v>
      </c>
      <c r="N291" t="s">
        <v>110</v>
      </c>
      <c r="P291" t="s">
        <v>141</v>
      </c>
    </row>
    <row r="292" spans="1:16" x14ac:dyDescent="0.2">
      <c r="A292" s="7"/>
      <c r="B292" s="3" t="s">
        <v>99</v>
      </c>
      <c r="C292" s="3" t="s">
        <v>99</v>
      </c>
      <c r="D292">
        <v>-1.177787511262405</v>
      </c>
      <c r="E292">
        <v>0.3079593419856147</v>
      </c>
      <c r="F292">
        <v>0.37986561012552572</v>
      </c>
      <c r="G292">
        <v>-1.80261083783151</v>
      </c>
      <c r="H292">
        <v>-0.5529641846933</v>
      </c>
      <c r="I292">
        <v>0.16486788251853701</v>
      </c>
      <c r="J292">
        <v>0.57524215673449652</v>
      </c>
      <c r="K292">
        <v>-3.1005373475982929</v>
      </c>
      <c r="L292">
        <v>1.9316985143695269E-3</v>
      </c>
      <c r="M292">
        <v>9.0159143383995275</v>
      </c>
      <c r="N292" t="s">
        <v>99</v>
      </c>
      <c r="O292">
        <v>0.57329734219269102</v>
      </c>
      <c r="P292" t="s">
        <v>145</v>
      </c>
    </row>
    <row r="293" spans="1:16" x14ac:dyDescent="0.2">
      <c r="A293" s="7"/>
      <c r="B293" s="3" t="s">
        <v>100</v>
      </c>
      <c r="C293" s="3" t="s">
        <v>100</v>
      </c>
      <c r="D293">
        <v>-1.03587999429342</v>
      </c>
      <c r="E293">
        <v>0.35491392123839999</v>
      </c>
      <c r="F293">
        <v>0.40555936988766139</v>
      </c>
      <c r="G293">
        <v>-1.702965794797294</v>
      </c>
      <c r="H293">
        <v>-0.36879419378954648</v>
      </c>
      <c r="I293">
        <v>0.18214252485040719</v>
      </c>
      <c r="J293">
        <v>0.69156772473792438</v>
      </c>
      <c r="K293">
        <v>-2.5542006206892851</v>
      </c>
      <c r="L293">
        <v>1.064319126490495E-2</v>
      </c>
      <c r="M293">
        <v>6.5539253949745042</v>
      </c>
      <c r="N293" t="s">
        <v>100</v>
      </c>
      <c r="O293">
        <v>0.56920236004143587</v>
      </c>
      <c r="P293" t="s">
        <v>145</v>
      </c>
    </row>
    <row r="294" spans="1:16" x14ac:dyDescent="0.2">
      <c r="A294" s="7"/>
      <c r="B294" s="3" t="s">
        <v>374</v>
      </c>
      <c r="C294" s="3" t="s">
        <v>374</v>
      </c>
      <c r="D294">
        <v>-1.292739515920162</v>
      </c>
      <c r="E294">
        <v>0.27451770640089512</v>
      </c>
      <c r="F294">
        <v>0.38385422039613593</v>
      </c>
      <c r="G294">
        <v>-1.924123522559376</v>
      </c>
      <c r="H294">
        <v>-0.66135550928094766</v>
      </c>
      <c r="I294">
        <v>0.14600366971442449</v>
      </c>
      <c r="J294">
        <v>0.51615121232917072</v>
      </c>
      <c r="K294">
        <v>-3.367787684048543</v>
      </c>
      <c r="L294">
        <v>7.577392514653879E-4</v>
      </c>
      <c r="M294">
        <v>10.366010897030201</v>
      </c>
      <c r="N294" t="s">
        <v>374</v>
      </c>
      <c r="O294">
        <v>0.58252934675468204</v>
      </c>
      <c r="P294" t="s">
        <v>145</v>
      </c>
    </row>
    <row r="295" spans="1:16" x14ac:dyDescent="0.2">
      <c r="A295" s="7"/>
      <c r="B295" s="3" t="s">
        <v>101</v>
      </c>
      <c r="C295" s="3" t="s">
        <v>101</v>
      </c>
      <c r="D295">
        <v>-1.232803990122687</v>
      </c>
      <c r="E295">
        <v>0.29147414016170498</v>
      </c>
      <c r="F295">
        <v>0.39397239457002448</v>
      </c>
      <c r="G295">
        <v>-1.880830912249948</v>
      </c>
      <c r="H295">
        <v>-0.58477706799542539</v>
      </c>
      <c r="I295">
        <v>0.15246336942946481</v>
      </c>
      <c r="J295">
        <v>0.55723007238344935</v>
      </c>
      <c r="K295">
        <v>-3.1291633807697372</v>
      </c>
      <c r="L295">
        <v>1.7530480500415331E-3</v>
      </c>
      <c r="M295">
        <v>9.1559187445791288</v>
      </c>
      <c r="N295" t="s">
        <v>101</v>
      </c>
      <c r="O295">
        <v>0.56584578245262018</v>
      </c>
      <c r="P295" t="s">
        <v>145</v>
      </c>
    </row>
    <row r="296" spans="1:16" x14ac:dyDescent="0.2">
      <c r="A296" s="7"/>
      <c r="B296" s="3" t="s">
        <v>102</v>
      </c>
      <c r="C296" s="3" t="s">
        <v>102</v>
      </c>
      <c r="D296">
        <v>-1.186102057306146</v>
      </c>
      <c r="E296">
        <v>0.30540941528858212</v>
      </c>
      <c r="F296">
        <v>0.37968827467733679</v>
      </c>
      <c r="G296">
        <v>-1.810633693020111</v>
      </c>
      <c r="H296">
        <v>-0.56157042159218229</v>
      </c>
      <c r="I296">
        <v>0.16355046317059779</v>
      </c>
      <c r="J296">
        <v>0.5703127287974693</v>
      </c>
      <c r="K296">
        <v>-3.123883818414221</v>
      </c>
      <c r="L296">
        <v>1.7848091546454081E-3</v>
      </c>
      <c r="M296">
        <v>9.1300144660751616</v>
      </c>
      <c r="N296" t="s">
        <v>102</v>
      </c>
      <c r="O296">
        <v>0.56537717311413438</v>
      </c>
      <c r="P296" t="s">
        <v>145</v>
      </c>
    </row>
    <row r="297" spans="1:16" x14ac:dyDescent="0.2">
      <c r="A297" s="7"/>
      <c r="B297" s="3" t="s">
        <v>49</v>
      </c>
      <c r="C297" s="3" t="s">
        <v>49</v>
      </c>
      <c r="D297">
        <v>-1.185222800787211</v>
      </c>
      <c r="E297">
        <v>0.30567806659731861</v>
      </c>
      <c r="F297">
        <v>0.37004181058538949</v>
      </c>
      <c r="G297">
        <v>-1.7938874150522779</v>
      </c>
      <c r="H297">
        <v>-0.57655818652214297</v>
      </c>
      <c r="I297">
        <v>0.16631238610790031</v>
      </c>
      <c r="J297">
        <v>0.56182875241807451</v>
      </c>
      <c r="K297">
        <v>-3.2029429293739571</v>
      </c>
      <c r="L297">
        <v>1.360309356829922E-3</v>
      </c>
      <c r="M297">
        <v>9.5218495031778776</v>
      </c>
      <c r="N297" t="s">
        <v>49</v>
      </c>
      <c r="O297">
        <v>0.574644863386371</v>
      </c>
      <c r="P297" t="s">
        <v>145</v>
      </c>
    </row>
    <row r="298" spans="1:16" x14ac:dyDescent="0.2">
      <c r="A298" s="7"/>
      <c r="B298" s="3" t="s">
        <v>103</v>
      </c>
      <c r="C298" s="3" t="s">
        <v>103</v>
      </c>
      <c r="D298">
        <v>-0.48902482142911607</v>
      </c>
      <c r="E298">
        <v>0.61322410570634911</v>
      </c>
      <c r="F298">
        <v>0.45136472920289078</v>
      </c>
      <c r="G298">
        <v>-1.2314537333364599</v>
      </c>
      <c r="H298">
        <v>0.25340409047822782</v>
      </c>
      <c r="I298">
        <v>0.29186797092396177</v>
      </c>
      <c r="J298">
        <v>1.2884038033666929</v>
      </c>
      <c r="K298">
        <v>-1.083436054679622</v>
      </c>
      <c r="L298">
        <v>0.27861491953119788</v>
      </c>
      <c r="M298">
        <v>1.8436555801019689</v>
      </c>
      <c r="N298" t="s">
        <v>103</v>
      </c>
      <c r="O298">
        <v>0.51172097058911525</v>
      </c>
      <c r="P298" t="s">
        <v>145</v>
      </c>
    </row>
    <row r="299" spans="1:16" x14ac:dyDescent="0.2">
      <c r="A299" s="7"/>
      <c r="B299" s="3" t="s">
        <v>75</v>
      </c>
      <c r="C299" s="3" t="s">
        <v>75</v>
      </c>
      <c r="D299">
        <v>-1.0199691903768791</v>
      </c>
      <c r="E299">
        <v>0.36060605013843061</v>
      </c>
      <c r="F299">
        <v>0.42449379296512341</v>
      </c>
      <c r="G299">
        <v>-1.718199345353949</v>
      </c>
      <c r="H299">
        <v>-0.32173903539980808</v>
      </c>
      <c r="I299">
        <v>0.17938887467520409</v>
      </c>
      <c r="J299">
        <v>0.72488733558243623</v>
      </c>
      <c r="K299">
        <v>-2.402789410069607</v>
      </c>
      <c r="L299">
        <v>1.627055421625347E-2</v>
      </c>
      <c r="M299">
        <v>5.9415927960831096</v>
      </c>
      <c r="N299" t="s">
        <v>75</v>
      </c>
      <c r="O299">
        <v>0.57043572478910298</v>
      </c>
      <c r="P299" t="s">
        <v>145</v>
      </c>
    </row>
    <row r="300" spans="1:16" x14ac:dyDescent="0.2">
      <c r="A300" s="7"/>
      <c r="B300" s="3" t="s">
        <v>104</v>
      </c>
      <c r="C300" s="3" t="s">
        <v>104</v>
      </c>
      <c r="D300">
        <v>-6.221564917219085E-2</v>
      </c>
      <c r="E300">
        <v>0.93968022367744786</v>
      </c>
      <c r="F300">
        <v>0.24861250010091729</v>
      </c>
      <c r="G300">
        <v>-0.47114682166865779</v>
      </c>
      <c r="H300">
        <v>0.34671552332427608</v>
      </c>
      <c r="I300">
        <v>0.62428591298287661</v>
      </c>
      <c r="J300">
        <v>1.4144143002546301</v>
      </c>
      <c r="K300">
        <v>-0.25025149237040029</v>
      </c>
      <c r="L300">
        <v>0.80239286658760456</v>
      </c>
      <c r="M300">
        <v>0.31761931469055049</v>
      </c>
      <c r="N300" t="s">
        <v>104</v>
      </c>
      <c r="O300">
        <v>0.49733071728417588</v>
      </c>
      <c r="P300" t="s">
        <v>145</v>
      </c>
    </row>
    <row r="301" spans="1:16" x14ac:dyDescent="0.2">
      <c r="A301" s="7"/>
      <c r="B301" s="3" t="s">
        <v>373</v>
      </c>
      <c r="C301" s="3" t="s">
        <v>373</v>
      </c>
      <c r="D301">
        <v>-0.20530955899136721</v>
      </c>
      <c r="E301">
        <v>0.81439517403830908</v>
      </c>
      <c r="F301">
        <v>0.39807090653379501</v>
      </c>
      <c r="G301">
        <v>-0.8600779333873404</v>
      </c>
      <c r="H301">
        <v>0.44945881540460592</v>
      </c>
      <c r="I301">
        <v>0.42312910514830782</v>
      </c>
      <c r="J301">
        <v>1.567463668717425</v>
      </c>
      <c r="K301">
        <v>-0.51576127675117367</v>
      </c>
      <c r="L301">
        <v>0.6060211511268645</v>
      </c>
      <c r="M301">
        <v>0.72255994789982037</v>
      </c>
      <c r="N301" t="s">
        <v>373</v>
      </c>
      <c r="O301">
        <v>0.51357539565896748</v>
      </c>
      <c r="P301" t="s">
        <v>145</v>
      </c>
    </row>
    <row r="302" spans="1:16" x14ac:dyDescent="0.2">
      <c r="A302" s="7"/>
      <c r="B302" s="3" t="s">
        <v>9</v>
      </c>
      <c r="C302" s="3" t="s">
        <v>9</v>
      </c>
      <c r="D302">
        <v>-1.470870588568109</v>
      </c>
      <c r="E302">
        <v>0.22972540179559731</v>
      </c>
      <c r="F302">
        <v>0.40486663425965519</v>
      </c>
      <c r="G302">
        <v>-2.136816940361737</v>
      </c>
      <c r="H302">
        <v>-0.80492423677447955</v>
      </c>
      <c r="I302">
        <v>0.1180299420684614</v>
      </c>
      <c r="J302">
        <v>0.44712180066595342</v>
      </c>
      <c r="K302">
        <v>-3.6329755630709428</v>
      </c>
      <c r="L302">
        <v>2.801715611100174E-4</v>
      </c>
      <c r="M302">
        <v>11.80140185749873</v>
      </c>
      <c r="N302" t="s">
        <v>9</v>
      </c>
      <c r="O302">
        <v>0.56938252588237037</v>
      </c>
      <c r="P302" t="s">
        <v>145</v>
      </c>
    </row>
    <row r="303" spans="1:16" x14ac:dyDescent="0.2">
      <c r="A303" s="7"/>
      <c r="B303" s="3" t="s">
        <v>105</v>
      </c>
      <c r="C303" s="3" t="s">
        <v>105</v>
      </c>
      <c r="D303">
        <v>0.73356317010362992</v>
      </c>
      <c r="E303">
        <v>2.0824876613172849</v>
      </c>
      <c r="F303">
        <v>0.42676213571780441</v>
      </c>
      <c r="G303">
        <v>3.1601923322643E-2</v>
      </c>
      <c r="H303">
        <v>1.4355244168846171</v>
      </c>
      <c r="I303">
        <v>1.0321065659654041</v>
      </c>
      <c r="J303">
        <v>4.2018479511195199</v>
      </c>
      <c r="K303">
        <v>1.7189040655394441</v>
      </c>
      <c r="L303">
        <v>8.5631841763752825E-2</v>
      </c>
      <c r="M303">
        <v>3.5457088345886829</v>
      </c>
      <c r="N303" t="s">
        <v>105</v>
      </c>
      <c r="O303">
        <v>0.51413148491772609</v>
      </c>
      <c r="P303" t="s">
        <v>145</v>
      </c>
    </row>
    <row r="304" spans="1:16" x14ac:dyDescent="0.2">
      <c r="A304" s="7"/>
      <c r="B304" s="3" t="s">
        <v>106</v>
      </c>
      <c r="C304" s="3" t="s">
        <v>106</v>
      </c>
      <c r="D304">
        <v>0.1353022587188992</v>
      </c>
      <c r="E304">
        <v>1.144882782861385</v>
      </c>
      <c r="F304">
        <v>0.40587156944926778</v>
      </c>
      <c r="G304">
        <v>-0.53229706436621527</v>
      </c>
      <c r="H304">
        <v>0.80290158180401372</v>
      </c>
      <c r="I304">
        <v>0.58725445787682928</v>
      </c>
      <c r="J304">
        <v>2.2320078952339699</v>
      </c>
      <c r="K304">
        <v>0.33336224782261181</v>
      </c>
      <c r="L304">
        <v>0.73886085678211799</v>
      </c>
      <c r="M304">
        <v>0.43662539510476878</v>
      </c>
      <c r="N304" t="s">
        <v>106</v>
      </c>
      <c r="O304">
        <v>0.46498663264066109</v>
      </c>
      <c r="P304" t="s">
        <v>145</v>
      </c>
    </row>
    <row r="305" spans="1:16" x14ac:dyDescent="0.2">
      <c r="A305" s="7"/>
      <c r="B305" s="3" t="s">
        <v>107</v>
      </c>
      <c r="C305" s="3" t="s">
        <v>107</v>
      </c>
      <c r="D305">
        <v>-1.002885253958099</v>
      </c>
      <c r="E305">
        <v>0.36681954532731442</v>
      </c>
      <c r="F305">
        <v>0.44092232784525831</v>
      </c>
      <c r="G305">
        <v>-1.7281379441182581</v>
      </c>
      <c r="H305">
        <v>-0.27763256379793938</v>
      </c>
      <c r="I305">
        <v>0.17761483098392869</v>
      </c>
      <c r="J305">
        <v>0.75757513090960782</v>
      </c>
      <c r="K305">
        <v>-2.2745168267143439</v>
      </c>
      <c r="L305">
        <v>2.29349305658583E-2</v>
      </c>
      <c r="M305">
        <v>5.446309650021889</v>
      </c>
      <c r="N305" t="s">
        <v>107</v>
      </c>
      <c r="O305">
        <v>0.56470294011910527</v>
      </c>
      <c r="P305" t="s">
        <v>145</v>
      </c>
    </row>
    <row r="306" spans="1:16" x14ac:dyDescent="0.2">
      <c r="A306" s="7"/>
      <c r="B306" s="3" t="s">
        <v>108</v>
      </c>
      <c r="C306" s="3" t="s">
        <v>108</v>
      </c>
      <c r="D306">
        <v>0.95594422990899564</v>
      </c>
      <c r="E306">
        <v>2.6011254842207649</v>
      </c>
      <c r="F306">
        <v>0.38768928780100798</v>
      </c>
      <c r="G306">
        <v>0.31825209873927451</v>
      </c>
      <c r="H306">
        <v>1.593636361078717</v>
      </c>
      <c r="I306">
        <v>1.374722783427375</v>
      </c>
      <c r="J306">
        <v>4.9216131908387322</v>
      </c>
      <c r="K306">
        <v>2.4657483711534991</v>
      </c>
      <c r="L306">
        <v>1.367273470057162E-2</v>
      </c>
      <c r="M306">
        <v>6.19255436275097</v>
      </c>
      <c r="N306" t="s">
        <v>108</v>
      </c>
      <c r="O306">
        <v>0.53688279897307301</v>
      </c>
      <c r="P306" t="s">
        <v>145</v>
      </c>
    </row>
    <row r="307" spans="1:16" x14ac:dyDescent="0.2">
      <c r="A307" s="7"/>
      <c r="B307" s="3" t="s">
        <v>109</v>
      </c>
      <c r="C307" s="3" t="s">
        <v>109</v>
      </c>
      <c r="D307">
        <v>-0.39518690360051367</v>
      </c>
      <c r="E307">
        <v>0.67355413779002227</v>
      </c>
      <c r="F307">
        <v>0.3589557186145092</v>
      </c>
      <c r="G307">
        <v>-0.98561651927856109</v>
      </c>
      <c r="H307">
        <v>0.19524271207753369</v>
      </c>
      <c r="I307">
        <v>0.37320906541068283</v>
      </c>
      <c r="J307">
        <v>1.2156059929434779</v>
      </c>
      <c r="K307">
        <v>-1.100934970825507</v>
      </c>
      <c r="L307">
        <v>0.27092496050460152</v>
      </c>
      <c r="M307">
        <v>1.8840347787290359</v>
      </c>
      <c r="N307" t="s">
        <v>109</v>
      </c>
      <c r="O307">
        <v>0.538995672738251</v>
      </c>
      <c r="P307" t="s">
        <v>145</v>
      </c>
    </row>
    <row r="308" spans="1:16" x14ac:dyDescent="0.2">
      <c r="A308" s="7"/>
      <c r="B308" s="3" t="s">
        <v>110</v>
      </c>
      <c r="C308" s="3" t="s">
        <v>110</v>
      </c>
      <c r="D308">
        <v>-0.4911134925267247</v>
      </c>
      <c r="E308">
        <v>0.61194461891909135</v>
      </c>
      <c r="F308">
        <v>0.360013585746912</v>
      </c>
      <c r="G308">
        <v>-1.0832831447943381</v>
      </c>
      <c r="H308">
        <v>0.1010561597408883</v>
      </c>
      <c r="I308">
        <v>0.33848241261821449</v>
      </c>
      <c r="J308">
        <v>1.106338771717561</v>
      </c>
      <c r="K308">
        <v>-1.364152665260737</v>
      </c>
      <c r="L308">
        <v>0.172519522296256</v>
      </c>
      <c r="M308">
        <v>2.5351684684958231</v>
      </c>
      <c r="N308" t="s">
        <v>110</v>
      </c>
      <c r="O308">
        <v>0.56348685480446281</v>
      </c>
      <c r="P308" t="s">
        <v>145</v>
      </c>
    </row>
  </sheetData>
  <mergeCells count="54">
    <mergeCell ref="B288:B291"/>
    <mergeCell ref="B244:B247"/>
    <mergeCell ref="B272:B275"/>
    <mergeCell ref="B276:B279"/>
    <mergeCell ref="B280:B283"/>
    <mergeCell ref="B284:B287"/>
    <mergeCell ref="B187:B191"/>
    <mergeCell ref="B192:B196"/>
    <mergeCell ref="B197:B201"/>
    <mergeCell ref="B202:B206"/>
    <mergeCell ref="A224:A308"/>
    <mergeCell ref="B248:B251"/>
    <mergeCell ref="B252:B255"/>
    <mergeCell ref="B256:B259"/>
    <mergeCell ref="B260:B263"/>
    <mergeCell ref="B264:B267"/>
    <mergeCell ref="B268:B271"/>
    <mergeCell ref="B224:B227"/>
    <mergeCell ref="B228:B231"/>
    <mergeCell ref="B232:B235"/>
    <mergeCell ref="B236:B239"/>
    <mergeCell ref="B240:B243"/>
    <mergeCell ref="B93:B98"/>
    <mergeCell ref="B99:B104"/>
    <mergeCell ref="A122:A223"/>
    <mergeCell ref="B152:B156"/>
    <mergeCell ref="B157:B161"/>
    <mergeCell ref="B162:B166"/>
    <mergeCell ref="B167:B171"/>
    <mergeCell ref="B172:B176"/>
    <mergeCell ref="B177:B181"/>
    <mergeCell ref="B122:B126"/>
    <mergeCell ref="B127:B131"/>
    <mergeCell ref="B132:B136"/>
    <mergeCell ref="B137:B141"/>
    <mergeCell ref="B142:B146"/>
    <mergeCell ref="B147:B151"/>
    <mergeCell ref="B182:B186"/>
    <mergeCell ref="A3:A121"/>
    <mergeCell ref="B39:B44"/>
    <mergeCell ref="B45:B50"/>
    <mergeCell ref="B51:B56"/>
    <mergeCell ref="B57:B62"/>
    <mergeCell ref="B63:B68"/>
    <mergeCell ref="B69:B74"/>
    <mergeCell ref="B3:B8"/>
    <mergeCell ref="B9:B14"/>
    <mergeCell ref="B15:B20"/>
    <mergeCell ref="B21:B26"/>
    <mergeCell ref="B27:B32"/>
    <mergeCell ref="B33:B38"/>
    <mergeCell ref="B75:B80"/>
    <mergeCell ref="B81:B86"/>
    <mergeCell ref="B87:B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B42C-4092-1A46-AF10-A1D2750DD64B}">
  <dimension ref="A1:U206"/>
  <sheetViews>
    <sheetView workbookViewId="0">
      <selection activeCell="F17" sqref="F17"/>
    </sheetView>
  </sheetViews>
  <sheetFormatPr baseColWidth="10" defaultRowHeight="16" x14ac:dyDescent="0.2"/>
  <cols>
    <col min="1" max="1" width="13.5" customWidth="1"/>
    <col min="2" max="2" width="10.83203125" style="1"/>
  </cols>
  <sheetData>
    <row r="1" spans="1:21" x14ac:dyDescent="0.2">
      <c r="A1" s="1" t="s">
        <v>2885</v>
      </c>
    </row>
    <row r="2" spans="1:21" x14ac:dyDescent="0.2">
      <c r="A2" s="1" t="s">
        <v>139</v>
      </c>
      <c r="B2" s="1" t="s">
        <v>6</v>
      </c>
      <c r="C2" s="1" t="s">
        <v>93</v>
      </c>
      <c r="D2" s="1" t="s">
        <v>129</v>
      </c>
      <c r="E2" s="1" t="s">
        <v>130</v>
      </c>
      <c r="F2" s="1" t="s">
        <v>131</v>
      </c>
      <c r="G2" s="1" t="s">
        <v>132</v>
      </c>
      <c r="H2" s="1" t="s">
        <v>133</v>
      </c>
      <c r="I2" s="1" t="s">
        <v>134</v>
      </c>
      <c r="J2" s="1" t="s">
        <v>135</v>
      </c>
      <c r="K2" s="1" t="s">
        <v>136</v>
      </c>
      <c r="L2" s="6" t="s">
        <v>496</v>
      </c>
      <c r="M2" s="1" t="s">
        <v>138</v>
      </c>
    </row>
    <row r="3" spans="1:21" x14ac:dyDescent="0.2">
      <c r="A3" s="9" t="s">
        <v>497</v>
      </c>
      <c r="B3" s="1" t="s">
        <v>99</v>
      </c>
      <c r="C3">
        <v>-9.7455915383740002E-2</v>
      </c>
      <c r="D3">
        <v>0.90714233169590597</v>
      </c>
      <c r="E3">
        <v>0.479606437120145</v>
      </c>
      <c r="F3">
        <v>-0.88633830299008298</v>
      </c>
      <c r="G3">
        <v>0.69142647222260301</v>
      </c>
      <c r="H3">
        <v>0.41216220609894699</v>
      </c>
      <c r="I3">
        <v>1.9965615424649801</v>
      </c>
      <c r="J3">
        <v>-0.203199765142698</v>
      </c>
      <c r="K3">
        <v>0.83897889639415002</v>
      </c>
      <c r="L3">
        <v>0.25329357319773299</v>
      </c>
      <c r="M3">
        <v>0.50765864332603905</v>
      </c>
      <c r="O3" t="s">
        <v>1735</v>
      </c>
      <c r="P3" t="s">
        <v>146</v>
      </c>
      <c r="Q3" t="s">
        <v>147</v>
      </c>
      <c r="R3" t="s">
        <v>125</v>
      </c>
      <c r="S3" t="s">
        <v>126</v>
      </c>
      <c r="T3" t="s">
        <v>127</v>
      </c>
      <c r="U3" t="s">
        <v>122</v>
      </c>
    </row>
    <row r="4" spans="1:21" x14ac:dyDescent="0.2">
      <c r="A4" s="9"/>
      <c r="B4" s="1" t="s">
        <v>100</v>
      </c>
      <c r="C4">
        <v>1.9891009110938E-2</v>
      </c>
      <c r="D4">
        <v>1.02009015343495</v>
      </c>
      <c r="E4">
        <v>0.43263387686898103</v>
      </c>
      <c r="F4">
        <v>-0.69172839239908301</v>
      </c>
      <c r="G4">
        <v>0.73151041062095901</v>
      </c>
      <c r="H4">
        <v>0.50070989755847295</v>
      </c>
      <c r="I4">
        <v>2.0782171996379</v>
      </c>
      <c r="J4">
        <v>4.5976540845325001E-2</v>
      </c>
      <c r="K4">
        <v>0.963328947825564</v>
      </c>
      <c r="L4">
        <v>5.3899575778639602E-2</v>
      </c>
      <c r="M4">
        <v>0.49462562319901199</v>
      </c>
      <c r="O4" t="s">
        <v>1736</v>
      </c>
      <c r="P4">
        <v>0.51777834538875966</v>
      </c>
      <c r="Q4">
        <v>0.6410765156049586</v>
      </c>
      <c r="R4">
        <v>0.57798665109522618</v>
      </c>
      <c r="S4">
        <v>0.5509977731868746</v>
      </c>
      <c r="T4">
        <v>0.57617502275380661</v>
      </c>
      <c r="U4">
        <v>0.55996632425761628</v>
      </c>
    </row>
    <row r="5" spans="1:21" x14ac:dyDescent="0.2">
      <c r="A5" s="9"/>
      <c r="B5" s="1" t="s">
        <v>374</v>
      </c>
      <c r="C5">
        <v>0.14000024396872701</v>
      </c>
      <c r="D5">
        <v>1.1502740794880899</v>
      </c>
      <c r="E5">
        <v>0.49700289064508402</v>
      </c>
      <c r="F5">
        <v>-0.67749676331420605</v>
      </c>
      <c r="G5">
        <v>0.95749725125165996</v>
      </c>
      <c r="H5">
        <v>0.50788676321195503</v>
      </c>
      <c r="I5">
        <v>2.6051682260323101</v>
      </c>
      <c r="J5">
        <v>0.28168899337187697</v>
      </c>
      <c r="K5">
        <v>0.77818199489394901</v>
      </c>
      <c r="L5">
        <v>0.36182049439889402</v>
      </c>
      <c r="M5">
        <v>0.49429948003625401</v>
      </c>
      <c r="O5" t="s">
        <v>1737</v>
      </c>
      <c r="P5">
        <v>0.54043268007454082</v>
      </c>
      <c r="Q5">
        <v>0.51999249580145646</v>
      </c>
      <c r="R5">
        <v>0.57706467940678541</v>
      </c>
      <c r="S5">
        <v>0.58110458330106773</v>
      </c>
      <c r="T5">
        <v>0.54332647724777794</v>
      </c>
      <c r="U5">
        <v>0.52663126429426799</v>
      </c>
    </row>
    <row r="6" spans="1:21" x14ac:dyDescent="0.2">
      <c r="A6" s="9"/>
      <c r="B6" s="1" t="s">
        <v>101</v>
      </c>
      <c r="C6">
        <v>-0.15116929250796499</v>
      </c>
      <c r="D6">
        <v>0.85970214520673305</v>
      </c>
      <c r="E6">
        <v>0.454334727469908</v>
      </c>
      <c r="F6">
        <v>-0.89848341683685296</v>
      </c>
      <c r="G6">
        <v>0.59614483182092204</v>
      </c>
      <c r="H6">
        <v>0.40718672423774899</v>
      </c>
      <c r="I6">
        <v>1.8151077490471299</v>
      </c>
      <c r="J6">
        <v>-0.33272669546920602</v>
      </c>
      <c r="K6">
        <v>0.73934059654250694</v>
      </c>
      <c r="L6">
        <v>0.43568896225798098</v>
      </c>
      <c r="M6">
        <v>0.52052037998970402</v>
      </c>
    </row>
    <row r="7" spans="1:21" x14ac:dyDescent="0.2">
      <c r="A7" s="9"/>
      <c r="B7" s="1" t="s">
        <v>102</v>
      </c>
      <c r="C7">
        <v>-0.200418261839933</v>
      </c>
      <c r="D7">
        <v>0.81838838085239796</v>
      </c>
      <c r="E7">
        <v>0.48164250802890701</v>
      </c>
      <c r="F7">
        <v>-0.99264968806528597</v>
      </c>
      <c r="G7">
        <v>0.59181316438541798</v>
      </c>
      <c r="H7">
        <v>0.37059343193871103</v>
      </c>
      <c r="I7">
        <v>1.8072623101020699</v>
      </c>
      <c r="J7">
        <v>-0.41611414793958501</v>
      </c>
      <c r="K7">
        <v>0.67732647769474497</v>
      </c>
      <c r="L7">
        <v>0.56207670094254503</v>
      </c>
      <c r="M7">
        <v>0.51502967643116904</v>
      </c>
    </row>
    <row r="8" spans="1:21" x14ac:dyDescent="0.2">
      <c r="A8" s="9"/>
      <c r="B8" s="1" t="s">
        <v>49</v>
      </c>
      <c r="C8">
        <v>-0.124302741962336</v>
      </c>
      <c r="D8">
        <v>0.88311244521422005</v>
      </c>
      <c r="E8">
        <v>0.48137644998059798</v>
      </c>
      <c r="F8">
        <v>-0.91609654164194598</v>
      </c>
      <c r="G8">
        <v>0.66749105771727402</v>
      </c>
      <c r="H8">
        <v>0.40007768363534002</v>
      </c>
      <c r="I8">
        <v>1.9493403976090899</v>
      </c>
      <c r="J8">
        <v>-0.25822356280068498</v>
      </c>
      <c r="K8">
        <v>0.79623437394180796</v>
      </c>
      <c r="L8">
        <v>0.32873494005577902</v>
      </c>
      <c r="M8">
        <v>0.51093077912287699</v>
      </c>
    </row>
    <row r="9" spans="1:21" x14ac:dyDescent="0.2">
      <c r="A9" s="9"/>
      <c r="B9" s="1" t="s">
        <v>103</v>
      </c>
      <c r="C9">
        <v>0.97259802708815002</v>
      </c>
      <c r="D9">
        <v>2.6448068209573199</v>
      </c>
      <c r="E9">
        <v>0.52733268015601897</v>
      </c>
      <c r="F9">
        <v>0.10521295552348101</v>
      </c>
      <c r="G9">
        <v>1.8399830986528101</v>
      </c>
      <c r="H9">
        <v>1.1109471675023499</v>
      </c>
      <c r="I9">
        <v>6.29643184194678</v>
      </c>
      <c r="J9">
        <v>1.8443727530795</v>
      </c>
      <c r="K9">
        <v>6.5128835349070893E-2</v>
      </c>
      <c r="L9">
        <v>3.94055976152125</v>
      </c>
      <c r="M9">
        <v>0.56120407420880303</v>
      </c>
    </row>
    <row r="10" spans="1:21" x14ac:dyDescent="0.2">
      <c r="A10" s="9"/>
      <c r="B10" s="1" t="s">
        <v>75</v>
      </c>
      <c r="C10">
        <v>-0.434867071111885</v>
      </c>
      <c r="D10">
        <v>0.64735071296941005</v>
      </c>
      <c r="E10">
        <v>0.46573377943134803</v>
      </c>
      <c r="F10">
        <v>-1.2009309674033499</v>
      </c>
      <c r="G10">
        <v>0.33119682517958499</v>
      </c>
      <c r="H10">
        <v>0.30091394040089497</v>
      </c>
      <c r="I10">
        <v>1.39263387074624</v>
      </c>
      <c r="J10">
        <v>-0.933724566087624</v>
      </c>
      <c r="K10">
        <v>0.35044598957652701</v>
      </c>
      <c r="L10">
        <v>1.5127359803927301</v>
      </c>
      <c r="M10">
        <v>0.51045191193510997</v>
      </c>
    </row>
    <row r="11" spans="1:21" x14ac:dyDescent="0.2">
      <c r="A11" s="9"/>
      <c r="B11" s="1" t="s">
        <v>104</v>
      </c>
      <c r="C11">
        <v>-0.35635771051953602</v>
      </c>
      <c r="D11">
        <v>0.70022209862012696</v>
      </c>
      <c r="E11">
        <v>0.47937304032361999</v>
      </c>
      <c r="F11">
        <v>-1.14485619455859</v>
      </c>
      <c r="G11">
        <v>0.43214077351952501</v>
      </c>
      <c r="H11">
        <v>0.31826968341197498</v>
      </c>
      <c r="I11">
        <v>1.5405519688197999</v>
      </c>
      <c r="J11">
        <v>-0.74338287835077599</v>
      </c>
      <c r="K11">
        <v>0.457249907255244</v>
      </c>
      <c r="L11">
        <v>1.1289452175375601</v>
      </c>
      <c r="M11">
        <v>0.50323883047162699</v>
      </c>
    </row>
    <row r="12" spans="1:21" x14ac:dyDescent="0.2">
      <c r="A12" s="9"/>
      <c r="B12" s="1" t="s">
        <v>373</v>
      </c>
      <c r="C12">
        <v>-0.188748154766816</v>
      </c>
      <c r="D12">
        <v>0.82799500703434403</v>
      </c>
      <c r="E12">
        <v>0.46224640225468</v>
      </c>
      <c r="F12">
        <v>-0.94907582606069696</v>
      </c>
      <c r="G12">
        <v>0.57157951652706396</v>
      </c>
      <c r="H12">
        <v>0.387098604637791</v>
      </c>
      <c r="I12">
        <v>1.77106226542794</v>
      </c>
      <c r="J12">
        <v>-0.40832801260575902</v>
      </c>
      <c r="K12">
        <v>0.68303287609596697</v>
      </c>
      <c r="L12">
        <v>0.54997307414779295</v>
      </c>
      <c r="M12">
        <v>0.51938285381592297</v>
      </c>
    </row>
    <row r="13" spans="1:21" x14ac:dyDescent="0.2">
      <c r="A13" s="9"/>
      <c r="B13" s="1" t="s">
        <v>9</v>
      </c>
      <c r="C13">
        <v>-1.3008723967136899</v>
      </c>
      <c r="D13">
        <v>0.27229414087194598</v>
      </c>
      <c r="E13">
        <v>0.50587856983329804</v>
      </c>
      <c r="F13">
        <v>-2.1329685971010202</v>
      </c>
      <c r="G13">
        <v>-0.46877619632637202</v>
      </c>
      <c r="H13">
        <v>0.11848503691953099</v>
      </c>
      <c r="I13">
        <v>0.62576761657715596</v>
      </c>
      <c r="J13">
        <v>-2.5715111773609398</v>
      </c>
      <c r="K13">
        <v>1.0125574674512401E-2</v>
      </c>
      <c r="L13">
        <v>6.6258523996498901</v>
      </c>
      <c r="M13">
        <v>0.53800664149570099</v>
      </c>
    </row>
    <row r="14" spans="1:21" x14ac:dyDescent="0.2">
      <c r="A14" s="9"/>
      <c r="B14" s="1" t="s">
        <v>105</v>
      </c>
      <c r="C14">
        <v>0.61097561568160796</v>
      </c>
      <c r="D14">
        <v>1.84222782868531</v>
      </c>
      <c r="E14">
        <v>0.53339455461514895</v>
      </c>
      <c r="F14">
        <v>-0.26638035207328498</v>
      </c>
      <c r="G14">
        <v>1.4883315834365001</v>
      </c>
      <c r="H14">
        <v>0.76614766622229102</v>
      </c>
      <c r="I14">
        <v>4.4296987674931003</v>
      </c>
      <c r="J14">
        <v>1.14544779356143</v>
      </c>
      <c r="K14">
        <v>0.25202370982647199</v>
      </c>
      <c r="L14">
        <v>1.9883686292573699</v>
      </c>
      <c r="M14">
        <v>0.541313407098721</v>
      </c>
    </row>
    <row r="15" spans="1:21" x14ac:dyDescent="0.2">
      <c r="A15" s="9"/>
      <c r="B15" s="1" t="s">
        <v>106</v>
      </c>
      <c r="C15">
        <v>-0.433733749363367</v>
      </c>
      <c r="D15">
        <v>0.64808478550294901</v>
      </c>
      <c r="E15">
        <v>0.49487169710172102</v>
      </c>
      <c r="F15">
        <v>-1.2477252552167599</v>
      </c>
      <c r="G15">
        <v>0.38025775649002802</v>
      </c>
      <c r="H15">
        <v>0.28715726396894797</v>
      </c>
      <c r="I15">
        <v>1.4626615513575201</v>
      </c>
      <c r="J15">
        <v>-0.87645697239018505</v>
      </c>
      <c r="K15">
        <v>0.38078165784912699</v>
      </c>
      <c r="L15">
        <v>1.39296410880303</v>
      </c>
      <c r="M15">
        <v>0.527378771811433</v>
      </c>
    </row>
    <row r="16" spans="1:21" x14ac:dyDescent="0.2">
      <c r="A16" s="9"/>
      <c r="B16" s="1" t="s">
        <v>107</v>
      </c>
      <c r="C16">
        <v>0.80376880637032699</v>
      </c>
      <c r="D16">
        <v>2.2339443868781199</v>
      </c>
      <c r="E16">
        <v>0.54149617998454203</v>
      </c>
      <c r="F16">
        <v>-8.69131492576148E-2</v>
      </c>
      <c r="G16">
        <v>1.6944507619982601</v>
      </c>
      <c r="H16">
        <v>0.91675671317680596</v>
      </c>
      <c r="I16">
        <v>5.4436552816404404</v>
      </c>
      <c r="J16">
        <v>1.48434806390189</v>
      </c>
      <c r="K16">
        <v>0.13771660542283301</v>
      </c>
      <c r="L16">
        <v>2.86022556942455</v>
      </c>
      <c r="M16">
        <v>0.53652110270797704</v>
      </c>
    </row>
    <row r="17" spans="1:13" x14ac:dyDescent="0.2">
      <c r="A17" s="9"/>
      <c r="B17" s="1" t="s">
        <v>108</v>
      </c>
      <c r="C17">
        <v>0.17988575191566999</v>
      </c>
      <c r="D17">
        <v>1.19708059114466</v>
      </c>
      <c r="E17">
        <v>0.55476913770046998</v>
      </c>
      <c r="F17">
        <v>-0.73262827635168903</v>
      </c>
      <c r="G17">
        <v>1.0923997801830201</v>
      </c>
      <c r="H17">
        <v>0.480644063104882</v>
      </c>
      <c r="I17">
        <v>2.9814202477365499</v>
      </c>
      <c r="J17">
        <v>0.324253350972803</v>
      </c>
      <c r="K17">
        <v>0.74574623380830296</v>
      </c>
      <c r="L17">
        <v>0.42324330825352902</v>
      </c>
      <c r="M17">
        <v>0.49691215780256198</v>
      </c>
    </row>
    <row r="18" spans="1:13" x14ac:dyDescent="0.2">
      <c r="A18" s="9"/>
      <c r="B18" s="1" t="s">
        <v>109</v>
      </c>
      <c r="C18">
        <v>0.394645129996058</v>
      </c>
      <c r="D18">
        <v>1.4838575209524401</v>
      </c>
      <c r="E18">
        <v>0.47696022003906202</v>
      </c>
      <c r="F18">
        <v>-0.38988461784676498</v>
      </c>
      <c r="G18">
        <v>1.17917487783888</v>
      </c>
      <c r="H18">
        <v>0.67713499928522203</v>
      </c>
      <c r="I18">
        <v>3.2516900541418901</v>
      </c>
      <c r="J18">
        <v>0.82741728432559203</v>
      </c>
      <c r="K18">
        <v>0.40800058721235599</v>
      </c>
      <c r="L18">
        <v>1.29335686629905</v>
      </c>
      <c r="M18">
        <v>0.52713947075613099</v>
      </c>
    </row>
    <row r="19" spans="1:13" x14ac:dyDescent="0.2">
      <c r="A19" s="9"/>
      <c r="B19" s="1" t="s">
        <v>110</v>
      </c>
      <c r="C19">
        <v>1.8910027042007799E-2</v>
      </c>
      <c r="D19">
        <v>1.0190899539548299</v>
      </c>
      <c r="E19">
        <v>0.53273264600965797</v>
      </c>
      <c r="F19">
        <v>-0.85735719794243204</v>
      </c>
      <c r="G19">
        <v>0.89517725202644804</v>
      </c>
      <c r="H19">
        <v>0.42428189500945601</v>
      </c>
      <c r="I19">
        <v>2.4477696231381998</v>
      </c>
      <c r="J19">
        <v>3.5496279763686599E-2</v>
      </c>
      <c r="K19">
        <v>0.97168401282609995</v>
      </c>
      <c r="L19">
        <v>4.14408625837328E-2</v>
      </c>
      <c r="M19">
        <v>0.49761806739987002</v>
      </c>
    </row>
    <row r="20" spans="1:13" x14ac:dyDescent="0.2">
      <c r="A20" s="9" t="s">
        <v>498</v>
      </c>
      <c r="B20" s="1" t="s">
        <v>99</v>
      </c>
      <c r="C20">
        <v>-0.89145482009130295</v>
      </c>
      <c r="D20">
        <v>0.41005875687872301</v>
      </c>
      <c r="E20">
        <v>0.42893362569613902</v>
      </c>
      <c r="F20">
        <v>-1.59698785003904</v>
      </c>
      <c r="G20">
        <v>-0.185921790143562</v>
      </c>
      <c r="H20">
        <v>0.20250557741209799</v>
      </c>
      <c r="I20">
        <v>0.83033853309996697</v>
      </c>
      <c r="J20">
        <v>-2.07830481614611</v>
      </c>
      <c r="K20">
        <v>3.7681293150003597E-2</v>
      </c>
      <c r="L20">
        <v>4.7300077134364198</v>
      </c>
      <c r="M20">
        <v>0.56019972008926799</v>
      </c>
    </row>
    <row r="21" spans="1:13" x14ac:dyDescent="0.2">
      <c r="A21" s="9"/>
      <c r="B21" s="1" t="s">
        <v>100</v>
      </c>
      <c r="C21">
        <v>-0.49924469932965998</v>
      </c>
      <c r="D21">
        <v>0.60698894577659401</v>
      </c>
      <c r="E21">
        <v>0.33855798857415498</v>
      </c>
      <c r="F21">
        <v>-1.0561230347692501</v>
      </c>
      <c r="G21">
        <v>5.76336361099338E-2</v>
      </c>
      <c r="H21">
        <v>0.34780161459314801</v>
      </c>
      <c r="I21">
        <v>1.0593268255122099</v>
      </c>
      <c r="J21">
        <v>-1.4746209399229899</v>
      </c>
      <c r="K21">
        <v>0.140314481994819</v>
      </c>
      <c r="L21">
        <v>2.8332641762797102</v>
      </c>
      <c r="M21">
        <v>0.53737960556489806</v>
      </c>
    </row>
    <row r="22" spans="1:13" x14ac:dyDescent="0.2">
      <c r="A22" s="9"/>
      <c r="B22" s="1" t="s">
        <v>374</v>
      </c>
      <c r="C22">
        <v>-0.78046461664971001</v>
      </c>
      <c r="D22">
        <v>0.45819307771012102</v>
      </c>
      <c r="E22">
        <v>0.407472795617081</v>
      </c>
      <c r="F22">
        <v>-1.4506977224045201</v>
      </c>
      <c r="G22">
        <v>-0.11023151089489799</v>
      </c>
      <c r="H22">
        <v>0.23440668023143199</v>
      </c>
      <c r="I22">
        <v>0.89562676393947604</v>
      </c>
      <c r="J22">
        <v>-1.91537846218117</v>
      </c>
      <c r="K22">
        <v>5.5444255825707701E-2</v>
      </c>
      <c r="L22">
        <v>4.1728181887391003</v>
      </c>
      <c r="M22">
        <v>0.57542750058561698</v>
      </c>
    </row>
    <row r="23" spans="1:13" x14ac:dyDescent="0.2">
      <c r="A23" s="9"/>
      <c r="B23" s="1" t="s">
        <v>101</v>
      </c>
      <c r="C23">
        <v>-0.57868164368701902</v>
      </c>
      <c r="D23">
        <v>0.56063699889490504</v>
      </c>
      <c r="E23">
        <v>0.39784778628600398</v>
      </c>
      <c r="F23">
        <v>-1.2330830179341601</v>
      </c>
      <c r="G23">
        <v>7.5719730560129303E-2</v>
      </c>
      <c r="H23">
        <v>0.29139282211579698</v>
      </c>
      <c r="I23">
        <v>1.0786602162937899</v>
      </c>
      <c r="J23">
        <v>-1.4545302591454301</v>
      </c>
      <c r="K23">
        <v>0.145799350524944</v>
      </c>
      <c r="L23">
        <v>2.7779438018104998</v>
      </c>
      <c r="M23">
        <v>0.56773437500000001</v>
      </c>
    </row>
    <row r="24" spans="1:13" x14ac:dyDescent="0.2">
      <c r="A24" s="9"/>
      <c r="B24" s="1" t="s">
        <v>102</v>
      </c>
      <c r="C24">
        <v>-1.0449560704948899</v>
      </c>
      <c r="D24">
        <v>0.35170726936499203</v>
      </c>
      <c r="E24">
        <v>0.41853870693005601</v>
      </c>
      <c r="F24">
        <v>-1.73339098060838</v>
      </c>
      <c r="G24">
        <v>-0.35652116038141601</v>
      </c>
      <c r="H24">
        <v>0.17668426009687299</v>
      </c>
      <c r="I24">
        <v>0.70010765676782905</v>
      </c>
      <c r="J24">
        <v>-2.4966772563511599</v>
      </c>
      <c r="K24">
        <v>1.2536299685076399E-2</v>
      </c>
      <c r="L24">
        <v>6.3177446162582802</v>
      </c>
      <c r="M24">
        <v>0.57399275864725297</v>
      </c>
    </row>
    <row r="25" spans="1:13" x14ac:dyDescent="0.2">
      <c r="A25" s="9"/>
      <c r="B25" s="1" t="s">
        <v>49</v>
      </c>
      <c r="C25">
        <v>-0.530044260117573</v>
      </c>
      <c r="D25">
        <v>0.58857891852971</v>
      </c>
      <c r="E25">
        <v>0.41448304891506899</v>
      </c>
      <c r="F25">
        <v>-1.2118082064354201</v>
      </c>
      <c r="G25">
        <v>0.15171968620028201</v>
      </c>
      <c r="H25">
        <v>0.29765856439097699</v>
      </c>
      <c r="I25">
        <v>1.16383395198591</v>
      </c>
      <c r="J25">
        <v>-1.2788080513907401</v>
      </c>
      <c r="K25">
        <v>0.200964657959354</v>
      </c>
      <c r="L25">
        <v>2.3149862863683199</v>
      </c>
      <c r="M25">
        <v>0.55599526592203496</v>
      </c>
    </row>
    <row r="26" spans="1:13" x14ac:dyDescent="0.2">
      <c r="A26" s="9"/>
      <c r="B26" s="1" t="s">
        <v>103</v>
      </c>
      <c r="C26">
        <v>-0.343398613416111</v>
      </c>
      <c r="D26">
        <v>0.70935539661915403</v>
      </c>
      <c r="E26">
        <v>0.40407064278691002</v>
      </c>
      <c r="F26">
        <v>-1.0080356757487701</v>
      </c>
      <c r="G26">
        <v>0.32123844891655001</v>
      </c>
      <c r="H26">
        <v>0.36493512688834701</v>
      </c>
      <c r="I26">
        <v>1.3788343232485401</v>
      </c>
      <c r="J26">
        <v>-0.84984796482036196</v>
      </c>
      <c r="K26">
        <v>0.395409618671199</v>
      </c>
      <c r="L26">
        <v>1.3385801286243499</v>
      </c>
      <c r="M26">
        <v>0.53773339284385901</v>
      </c>
    </row>
    <row r="27" spans="1:13" x14ac:dyDescent="0.2">
      <c r="A27" s="9"/>
      <c r="B27" s="1" t="s">
        <v>75</v>
      </c>
      <c r="C27">
        <v>-0.40679271414836599</v>
      </c>
      <c r="D27">
        <v>0.665782183225889</v>
      </c>
      <c r="E27">
        <v>0.39715122855940799</v>
      </c>
      <c r="F27">
        <v>-1.06004835289254</v>
      </c>
      <c r="G27">
        <v>0.24646292459580901</v>
      </c>
      <c r="H27">
        <v>0.34643905859448998</v>
      </c>
      <c r="I27">
        <v>1.2794917446646099</v>
      </c>
      <c r="J27">
        <v>-1.02427661025733</v>
      </c>
      <c r="K27">
        <v>0.30570464234580302</v>
      </c>
      <c r="L27">
        <v>1.70978963412987</v>
      </c>
      <c r="M27">
        <v>0.53112958065734694</v>
      </c>
    </row>
    <row r="28" spans="1:13" x14ac:dyDescent="0.2">
      <c r="A28" s="9"/>
      <c r="B28" s="1" t="s">
        <v>104</v>
      </c>
      <c r="C28">
        <v>-0.38288393405844201</v>
      </c>
      <c r="D28">
        <v>0.68189203913474306</v>
      </c>
      <c r="E28">
        <v>0.372322876948328</v>
      </c>
      <c r="F28">
        <v>-0.99530056860390803</v>
      </c>
      <c r="G28">
        <v>0.22953270048702201</v>
      </c>
      <c r="H28">
        <v>0.36961233398350901</v>
      </c>
      <c r="I28">
        <v>1.25801200415591</v>
      </c>
      <c r="J28">
        <v>-1.0283653188240101</v>
      </c>
      <c r="K28">
        <v>0.303778015954356</v>
      </c>
      <c r="L28">
        <v>1.7189106273555701</v>
      </c>
      <c r="M28">
        <v>0.53806869200838003</v>
      </c>
    </row>
    <row r="29" spans="1:13" x14ac:dyDescent="0.2">
      <c r="A29" s="9"/>
      <c r="B29" s="1" t="s">
        <v>373</v>
      </c>
      <c r="C29">
        <v>-0.84382981740707896</v>
      </c>
      <c r="D29">
        <v>0.43006031297103797</v>
      </c>
      <c r="E29">
        <v>0.36157940347151302</v>
      </c>
      <c r="F29">
        <v>-1.4385750106381401</v>
      </c>
      <c r="G29">
        <v>-0.24908462417600999</v>
      </c>
      <c r="H29">
        <v>0.23726561888419601</v>
      </c>
      <c r="I29">
        <v>0.77951400486312294</v>
      </c>
      <c r="J29">
        <v>-2.3337330868558599</v>
      </c>
      <c r="K29">
        <v>1.96097024471883E-2</v>
      </c>
      <c r="L29">
        <v>5.6722885451790104</v>
      </c>
      <c r="M29">
        <v>0.54978838014621001</v>
      </c>
    </row>
    <row r="30" spans="1:13" x14ac:dyDescent="0.2">
      <c r="A30" s="9"/>
      <c r="B30" s="1" t="s">
        <v>9</v>
      </c>
      <c r="C30">
        <v>1.0142586282775E-2</v>
      </c>
      <c r="D30">
        <v>1.01019419665098</v>
      </c>
      <c r="E30">
        <v>0.38893090406980202</v>
      </c>
      <c r="F30">
        <v>-0.629591821909955</v>
      </c>
      <c r="G30">
        <v>0.64987699447550495</v>
      </c>
      <c r="H30">
        <v>0.53280923768443</v>
      </c>
      <c r="I30">
        <v>1.9153052214003401</v>
      </c>
      <c r="J30">
        <v>2.60781187008855E-2</v>
      </c>
      <c r="K30">
        <v>0.97919502987385898</v>
      </c>
      <c r="L30">
        <v>3.0331859563632099E-2</v>
      </c>
      <c r="M30">
        <v>0.47309892395695802</v>
      </c>
    </row>
    <row r="31" spans="1:13" x14ac:dyDescent="0.2">
      <c r="A31" s="9"/>
      <c r="B31" s="1" t="s">
        <v>105</v>
      </c>
      <c r="C31">
        <v>-0.79675172167146102</v>
      </c>
      <c r="D31">
        <v>0.45079088272758799</v>
      </c>
      <c r="E31">
        <v>0.42965504773895302</v>
      </c>
      <c r="F31">
        <v>-1.50347138528288</v>
      </c>
      <c r="G31">
        <v>-9.0032058060036502E-2</v>
      </c>
      <c r="H31">
        <v>0.222356932256766</v>
      </c>
      <c r="I31">
        <v>0.91390188688004803</v>
      </c>
      <c r="J31">
        <v>-1.8543986061943001</v>
      </c>
      <c r="K31">
        <v>6.3682154075914002E-2</v>
      </c>
      <c r="L31">
        <v>3.97296705329518</v>
      </c>
      <c r="M31">
        <v>0.54647247670503396</v>
      </c>
    </row>
    <row r="32" spans="1:13" x14ac:dyDescent="0.2">
      <c r="A32" s="9"/>
      <c r="B32" s="1" t="s">
        <v>106</v>
      </c>
      <c r="C32">
        <v>4.2567667574862599E-2</v>
      </c>
      <c r="D32">
        <v>1.04348666419668</v>
      </c>
      <c r="E32">
        <v>0.35545659203202501</v>
      </c>
      <c r="F32">
        <v>-0.54210639705282304</v>
      </c>
      <c r="G32">
        <v>0.62724173220254897</v>
      </c>
      <c r="H32">
        <v>0.581522045065761</v>
      </c>
      <c r="I32">
        <v>1.8724387623743399</v>
      </c>
      <c r="J32">
        <v>0.119754897022777</v>
      </c>
      <c r="K32">
        <v>0.904677311690539</v>
      </c>
      <c r="L32">
        <v>0.14452480417279101</v>
      </c>
      <c r="M32">
        <v>0.49839178453788002</v>
      </c>
    </row>
    <row r="33" spans="1:13" x14ac:dyDescent="0.2">
      <c r="A33" s="9"/>
      <c r="B33" s="1" t="s">
        <v>107</v>
      </c>
      <c r="C33">
        <v>-0.54604212651132</v>
      </c>
      <c r="D33">
        <v>0.579237829597818</v>
      </c>
      <c r="E33">
        <v>0.40005623923761502</v>
      </c>
      <c r="F33">
        <v>-1.2040760826058701</v>
      </c>
      <c r="G33">
        <v>0.111991829583237</v>
      </c>
      <c r="H33">
        <v>0.29996901811592203</v>
      </c>
      <c r="I33">
        <v>1.11850372196615</v>
      </c>
      <c r="J33">
        <v>-1.3649134120540301</v>
      </c>
      <c r="K33">
        <v>0.17228026631383</v>
      </c>
      <c r="L33">
        <v>2.53717063605015</v>
      </c>
      <c r="M33">
        <v>0.533977964404037</v>
      </c>
    </row>
    <row r="34" spans="1:13" x14ac:dyDescent="0.2">
      <c r="A34" s="9"/>
      <c r="B34" s="1" t="s">
        <v>108</v>
      </c>
      <c r="C34">
        <v>0.171210954036812</v>
      </c>
      <c r="D34">
        <v>1.18674107043708</v>
      </c>
      <c r="E34">
        <v>0.39181216531427698</v>
      </c>
      <c r="F34">
        <v>-0.47326270716408603</v>
      </c>
      <c r="G34">
        <v>0.81568461523771096</v>
      </c>
      <c r="H34">
        <v>0.62296639194459602</v>
      </c>
      <c r="I34">
        <v>2.2607228679960798</v>
      </c>
      <c r="J34">
        <v>0.43697202178365702</v>
      </c>
      <c r="K34">
        <v>0.66213163861330204</v>
      </c>
      <c r="L34">
        <v>0.59481002665414495</v>
      </c>
      <c r="M34">
        <v>0.51677257277966604</v>
      </c>
    </row>
    <row r="35" spans="1:13" x14ac:dyDescent="0.2">
      <c r="A35" s="9"/>
      <c r="B35" s="1" t="s">
        <v>109</v>
      </c>
      <c r="C35">
        <v>-0.61000512171369603</v>
      </c>
      <c r="D35">
        <v>0.54334808619403796</v>
      </c>
      <c r="E35">
        <v>0.371403307108015</v>
      </c>
      <c r="F35">
        <v>-1.2209091984720799</v>
      </c>
      <c r="G35">
        <v>8.9895504469394896E-4</v>
      </c>
      <c r="H35">
        <v>0.294961866095167</v>
      </c>
      <c r="I35">
        <v>1.0008993592258799</v>
      </c>
      <c r="J35">
        <v>-1.64243319873371</v>
      </c>
      <c r="K35">
        <v>0.100500259508813</v>
      </c>
      <c r="L35">
        <v>3.31472886819365</v>
      </c>
      <c r="M35">
        <v>0.55631000620596505</v>
      </c>
    </row>
    <row r="36" spans="1:13" x14ac:dyDescent="0.2">
      <c r="A36" s="9"/>
      <c r="B36" s="1" t="s">
        <v>110</v>
      </c>
      <c r="C36">
        <v>0.17793563583793101</v>
      </c>
      <c r="D36">
        <v>1.1947484197790501</v>
      </c>
      <c r="E36">
        <v>0.39355014696021301</v>
      </c>
      <c r="F36">
        <v>-0.46939675077686099</v>
      </c>
      <c r="G36">
        <v>0.82526802245272302</v>
      </c>
      <c r="H36">
        <v>0.62537941416054399</v>
      </c>
      <c r="I36">
        <v>2.2824924425768001</v>
      </c>
      <c r="J36">
        <v>0.45212951186096101</v>
      </c>
      <c r="K36">
        <v>0.65117568433138795</v>
      </c>
      <c r="L36">
        <v>0.618881266212993</v>
      </c>
      <c r="M36">
        <v>0.53488256121278599</v>
      </c>
    </row>
    <row r="37" spans="1:13" x14ac:dyDescent="0.2">
      <c r="A37" s="9" t="s">
        <v>499</v>
      </c>
      <c r="B37" s="1" t="s">
        <v>99</v>
      </c>
      <c r="C37">
        <v>-2.7011852680478001</v>
      </c>
      <c r="D37">
        <v>6.71259033813974E-2</v>
      </c>
      <c r="E37">
        <v>1.8515474486836501</v>
      </c>
      <c r="F37">
        <v>-5.7467098044878497</v>
      </c>
      <c r="G37">
        <v>0.34433926839224299</v>
      </c>
      <c r="H37">
        <v>3.1932700139280399E-3</v>
      </c>
      <c r="I37">
        <v>1.4110572814436</v>
      </c>
      <c r="J37">
        <v>-1.45887985207627</v>
      </c>
      <c r="K37">
        <v>0.14459817944136699</v>
      </c>
      <c r="L37">
        <v>2.78987870668854</v>
      </c>
      <c r="M37">
        <v>0.71341463414634099</v>
      </c>
    </row>
    <row r="38" spans="1:13" x14ac:dyDescent="0.2">
      <c r="A38" s="9"/>
      <c r="B38" s="1" t="s">
        <v>100</v>
      </c>
      <c r="C38">
        <v>-1.6688807918815201</v>
      </c>
      <c r="D38">
        <v>0.18845787122854701</v>
      </c>
      <c r="E38">
        <v>2.0875079699744901</v>
      </c>
      <c r="F38">
        <v>-5.1025258475841797</v>
      </c>
      <c r="G38">
        <v>1.7647642638211301</v>
      </c>
      <c r="H38">
        <v>6.0813665449026199E-3</v>
      </c>
      <c r="I38">
        <v>5.8401954504395901</v>
      </c>
      <c r="J38">
        <v>-0.79946080009548903</v>
      </c>
      <c r="K38">
        <v>0.42402326785564698</v>
      </c>
      <c r="L38">
        <v>1.23778466146935</v>
      </c>
      <c r="M38">
        <v>0.66081871345029197</v>
      </c>
    </row>
    <row r="39" spans="1:13" x14ac:dyDescent="0.2">
      <c r="A39" s="9"/>
      <c r="B39" s="1" t="s">
        <v>374</v>
      </c>
      <c r="C39">
        <v>-2.1921727638271902</v>
      </c>
      <c r="D39">
        <v>0.111673843937087</v>
      </c>
      <c r="E39">
        <v>2.5916576265236002</v>
      </c>
      <c r="F39">
        <v>-6.4550702106309901</v>
      </c>
      <c r="G39">
        <v>2.0707246829766</v>
      </c>
      <c r="H39">
        <v>1.57252886941302E-3</v>
      </c>
      <c r="I39">
        <v>7.9305681836798403</v>
      </c>
      <c r="J39">
        <v>-0.84585739311859998</v>
      </c>
      <c r="K39">
        <v>0.39763230357771201</v>
      </c>
      <c r="L39">
        <v>1.3304931289372099</v>
      </c>
      <c r="M39">
        <v>0.625</v>
      </c>
    </row>
    <row r="40" spans="1:13" x14ac:dyDescent="0.2">
      <c r="A40" s="9"/>
      <c r="B40" s="1" t="s">
        <v>101</v>
      </c>
      <c r="C40">
        <v>-4.0861118853384504</v>
      </c>
      <c r="D40">
        <v>1.68044443092891E-2</v>
      </c>
      <c r="E40">
        <v>2.7012737932347601</v>
      </c>
      <c r="F40">
        <v>-8.5293118815296101</v>
      </c>
      <c r="G40">
        <v>0.35708811085270098</v>
      </c>
      <c r="H40">
        <v>1.97590889095537E-4</v>
      </c>
      <c r="I40">
        <v>1.4291617889702399</v>
      </c>
      <c r="J40">
        <v>-1.5126611362283799</v>
      </c>
      <c r="K40">
        <v>0.130365756208459</v>
      </c>
      <c r="L40">
        <v>2.93936313510499</v>
      </c>
      <c r="M40">
        <v>0.65517241379310298</v>
      </c>
    </row>
    <row r="41" spans="1:13" x14ac:dyDescent="0.2">
      <c r="A41" s="9"/>
      <c r="B41" s="1" t="s">
        <v>102</v>
      </c>
      <c r="C41">
        <v>-2.6170070990554901</v>
      </c>
      <c r="D41">
        <v>7.3021080974112904E-2</v>
      </c>
      <c r="E41">
        <v>1.9057193444365701</v>
      </c>
      <c r="F41">
        <v>-5.75163647470358</v>
      </c>
      <c r="G41">
        <v>0.51762227659258697</v>
      </c>
      <c r="H41">
        <v>3.17757651574747E-3</v>
      </c>
      <c r="I41">
        <v>1.6780330041473901</v>
      </c>
      <c r="J41">
        <v>-1.3732384606869801</v>
      </c>
      <c r="K41">
        <v>0.169678226736861</v>
      </c>
      <c r="L41">
        <v>2.5591266460591502</v>
      </c>
      <c r="M41">
        <v>0.72535211267605604</v>
      </c>
    </row>
    <row r="42" spans="1:13" x14ac:dyDescent="0.2">
      <c r="A42" s="9"/>
      <c r="B42" s="1" t="s">
        <v>49</v>
      </c>
      <c r="C42">
        <v>-2.0681675046255399</v>
      </c>
      <c r="D42">
        <v>0.126417228564217</v>
      </c>
      <c r="E42">
        <v>1.9807560320046</v>
      </c>
      <c r="F42">
        <v>-5.3262212479743196</v>
      </c>
      <c r="G42">
        <v>1.1898862387232301</v>
      </c>
      <c r="H42">
        <v>4.8624091793807202E-3</v>
      </c>
      <c r="I42">
        <v>3.2867072860974198</v>
      </c>
      <c r="J42">
        <v>-1.0441303579080701</v>
      </c>
      <c r="K42">
        <v>0.29642508213607799</v>
      </c>
      <c r="L42">
        <v>1.7542605678159799</v>
      </c>
      <c r="M42">
        <v>0.63742690058479501</v>
      </c>
    </row>
    <row r="43" spans="1:13" x14ac:dyDescent="0.2">
      <c r="A43" s="9"/>
      <c r="B43" s="1" t="s">
        <v>103</v>
      </c>
      <c r="C43">
        <v>1.62682139009053</v>
      </c>
      <c r="D43">
        <v>5.0876772481373598</v>
      </c>
      <c r="E43">
        <v>1.7153748377493101</v>
      </c>
      <c r="F43">
        <v>-1.1947191333627101</v>
      </c>
      <c r="G43">
        <v>4.4483619135437902</v>
      </c>
      <c r="H43">
        <v>0.30278898556452699</v>
      </c>
      <c r="I43">
        <v>85.486794484795993</v>
      </c>
      <c r="J43">
        <v>0.94837661966933995</v>
      </c>
      <c r="K43">
        <v>0.34293775759265299</v>
      </c>
      <c r="L43">
        <v>1.5439813405326399</v>
      </c>
      <c r="M43">
        <v>0.60818713450292305</v>
      </c>
    </row>
    <row r="44" spans="1:13" x14ac:dyDescent="0.2">
      <c r="A44" s="9"/>
      <c r="B44" s="1" t="s">
        <v>75</v>
      </c>
      <c r="C44">
        <v>-0.73515215594568795</v>
      </c>
      <c r="D44">
        <v>0.47943250491865802</v>
      </c>
      <c r="E44">
        <v>1.7726451336270901</v>
      </c>
      <c r="F44">
        <v>-3.65089393329009</v>
      </c>
      <c r="G44">
        <v>2.1805896213987199</v>
      </c>
      <c r="H44">
        <v>2.5967904825371799E-2</v>
      </c>
      <c r="I44">
        <v>8.8515237682171293</v>
      </c>
      <c r="J44">
        <v>-0.41472043219471399</v>
      </c>
      <c r="K44">
        <v>0.67834657313948898</v>
      </c>
      <c r="L44">
        <v>0.55990554777811796</v>
      </c>
      <c r="M44">
        <v>0.54545454545454497</v>
      </c>
    </row>
    <row r="45" spans="1:13" x14ac:dyDescent="0.2">
      <c r="A45" s="9"/>
      <c r="B45" s="1" t="s">
        <v>104</v>
      </c>
      <c r="C45">
        <v>3.4832684611124098</v>
      </c>
      <c r="D45">
        <v>32.5659889852163</v>
      </c>
      <c r="E45">
        <v>1.88125802407033</v>
      </c>
      <c r="F45">
        <v>0.38887437698876298</v>
      </c>
      <c r="G45">
        <v>6.57766254523606</v>
      </c>
      <c r="H45">
        <v>1.4753192056502999</v>
      </c>
      <c r="I45">
        <v>718.85706803210098</v>
      </c>
      <c r="J45">
        <v>1.8515633775615301</v>
      </c>
      <c r="K45">
        <v>6.4088546007911307E-2</v>
      </c>
      <c r="L45">
        <v>3.9637896503121</v>
      </c>
      <c r="M45">
        <v>0.74260355029585801</v>
      </c>
    </row>
    <row r="46" spans="1:13" x14ac:dyDescent="0.2">
      <c r="A46" s="9"/>
      <c r="B46" s="1" t="s">
        <v>373</v>
      </c>
      <c r="C46">
        <v>-2.9813932576945299</v>
      </c>
      <c r="D46">
        <v>5.07221156340881E-2</v>
      </c>
      <c r="E46">
        <v>2.3848970347926999</v>
      </c>
      <c r="F46">
        <v>-6.9041997952791201</v>
      </c>
      <c r="G46">
        <v>0.94141327989004997</v>
      </c>
      <c r="H46">
        <v>1.00356181193294E-3</v>
      </c>
      <c r="I46">
        <v>2.56360194639382</v>
      </c>
      <c r="J46">
        <v>-1.2501140360358001</v>
      </c>
      <c r="K46">
        <v>0.211257893147383</v>
      </c>
      <c r="L46">
        <v>2.24292284962578</v>
      </c>
      <c r="M46">
        <v>0.73099415204678297</v>
      </c>
    </row>
    <row r="47" spans="1:13" x14ac:dyDescent="0.2">
      <c r="A47" s="9"/>
      <c r="B47" s="1" t="s">
        <v>9</v>
      </c>
      <c r="C47">
        <v>-2.2379074297719401</v>
      </c>
      <c r="D47">
        <v>0.106681509521625</v>
      </c>
      <c r="E47">
        <v>1.8167271830118501</v>
      </c>
      <c r="F47">
        <v>-5.22615772593032</v>
      </c>
      <c r="G47">
        <v>0.750342866386424</v>
      </c>
      <c r="H47">
        <v>5.3741345820068204E-3</v>
      </c>
      <c r="I47">
        <v>2.1177259892071199</v>
      </c>
      <c r="J47">
        <v>-1.2318346148494601</v>
      </c>
      <c r="K47">
        <v>0.21801087004130401</v>
      </c>
      <c r="L47">
        <v>2.19752802518919</v>
      </c>
      <c r="M47">
        <v>0.67836257309941494</v>
      </c>
    </row>
    <row r="48" spans="1:13" x14ac:dyDescent="0.2">
      <c r="A48" s="9"/>
      <c r="B48" s="1" t="s">
        <v>105</v>
      </c>
      <c r="C48">
        <v>-0.45577377906490402</v>
      </c>
      <c r="D48">
        <v>0.63395723527667702</v>
      </c>
      <c r="E48">
        <v>2.6395831961505301</v>
      </c>
      <c r="F48">
        <v>-4.7975017728932601</v>
      </c>
      <c r="G48">
        <v>3.88595421476345</v>
      </c>
      <c r="H48">
        <v>8.2503325290752098E-3</v>
      </c>
      <c r="I48">
        <v>48.713403337780001</v>
      </c>
      <c r="J48">
        <v>-0.172668843978696</v>
      </c>
      <c r="K48">
        <v>0.86291173480435401</v>
      </c>
      <c r="L48">
        <v>0.21271509779189199</v>
      </c>
      <c r="M48">
        <v>0.43274853801169499</v>
      </c>
    </row>
    <row r="49" spans="1:13" x14ac:dyDescent="0.2">
      <c r="A49" s="9"/>
      <c r="B49" s="1" t="s">
        <v>106</v>
      </c>
      <c r="C49">
        <v>-1.3980658725066</v>
      </c>
      <c r="D49">
        <v>0.24707437544788699</v>
      </c>
      <c r="E49">
        <v>2.1949180470381</v>
      </c>
      <c r="F49">
        <v>-5.0083847830384602</v>
      </c>
      <c r="G49">
        <v>2.2122530380252599</v>
      </c>
      <c r="H49">
        <v>6.6816869690573396E-3</v>
      </c>
      <c r="I49">
        <v>9.1362776025971009</v>
      </c>
      <c r="J49">
        <v>-0.63695584187901699</v>
      </c>
      <c r="K49">
        <v>0.52415360732348804</v>
      </c>
      <c r="L49">
        <v>0.93193842807003502</v>
      </c>
      <c r="M49">
        <v>0.573099415204678</v>
      </c>
    </row>
    <row r="50" spans="1:13" x14ac:dyDescent="0.2">
      <c r="A50" s="9"/>
      <c r="B50" s="1" t="s">
        <v>107</v>
      </c>
      <c r="C50">
        <v>-2.85466247089715</v>
      </c>
      <c r="D50">
        <v>5.7575251164474803E-2</v>
      </c>
      <c r="E50">
        <v>1.8221450508381101</v>
      </c>
      <c r="F50">
        <v>-5.8518243665998897</v>
      </c>
      <c r="G50">
        <v>0.14249942480559299</v>
      </c>
      <c r="H50">
        <v>2.8746499559436098E-3</v>
      </c>
      <c r="I50">
        <v>1.15315241767035</v>
      </c>
      <c r="J50">
        <v>-1.56664941113448</v>
      </c>
      <c r="K50">
        <v>0.117196661591182</v>
      </c>
      <c r="L50">
        <v>3.0929966204722699</v>
      </c>
      <c r="M50">
        <v>0.75308641975308599</v>
      </c>
    </row>
    <row r="51" spans="1:13" x14ac:dyDescent="0.2">
      <c r="A51" s="9"/>
      <c r="B51" s="1" t="s">
        <v>108</v>
      </c>
      <c r="C51">
        <v>2.8579452606975702</v>
      </c>
      <c r="D51">
        <v>17.4256848865477</v>
      </c>
      <c r="E51">
        <v>2.6910805610304198</v>
      </c>
      <c r="F51">
        <v>-1.56848836053193</v>
      </c>
      <c r="G51">
        <v>7.2843788819270703</v>
      </c>
      <c r="H51">
        <v>0.20835990948285399</v>
      </c>
      <c r="I51">
        <v>1457.35566174376</v>
      </c>
      <c r="J51">
        <v>1.0620065790981901</v>
      </c>
      <c r="K51">
        <v>0.28823269845859301</v>
      </c>
      <c r="L51">
        <v>1.79469408405151</v>
      </c>
      <c r="M51">
        <v>0.59649122807017496</v>
      </c>
    </row>
    <row r="52" spans="1:13" x14ac:dyDescent="0.2">
      <c r="A52" s="9"/>
      <c r="B52" s="1" t="s">
        <v>109</v>
      </c>
      <c r="C52">
        <v>-0.32846960534477698</v>
      </c>
      <c r="D52">
        <v>0.72002481279916797</v>
      </c>
      <c r="E52">
        <v>1.78561597026848</v>
      </c>
      <c r="F52">
        <v>-3.2655465103833698</v>
      </c>
      <c r="G52">
        <v>2.6086072996938099</v>
      </c>
      <c r="H52">
        <v>3.8176065765212597E-2</v>
      </c>
      <c r="I52">
        <v>13.5801246318811</v>
      </c>
      <c r="J52">
        <v>-0.18395310683482899</v>
      </c>
      <c r="K52">
        <v>0.85405024237723803</v>
      </c>
      <c r="L52">
        <v>0.227607151158257</v>
      </c>
      <c r="M52">
        <v>0.60616438356164304</v>
      </c>
    </row>
    <row r="53" spans="1:13" x14ac:dyDescent="0.2">
      <c r="A53" s="9"/>
      <c r="B53" s="1" t="s">
        <v>110</v>
      </c>
      <c r="C53">
        <v>-1.18976342773196</v>
      </c>
      <c r="D53">
        <v>0.30429324289489001</v>
      </c>
      <c r="E53">
        <v>2.2394594020473901</v>
      </c>
      <c r="F53">
        <v>-4.8733463476001901</v>
      </c>
      <c r="G53">
        <v>2.4938194921362702</v>
      </c>
      <c r="H53">
        <v>7.6477304558299304E-3</v>
      </c>
      <c r="I53">
        <v>12.1074321599427</v>
      </c>
      <c r="J53">
        <v>-0.53127260384548003</v>
      </c>
      <c r="K53">
        <v>0.59522988717116698</v>
      </c>
      <c r="L53">
        <v>0.74848112726011995</v>
      </c>
      <c r="M53">
        <v>0.613924050632911</v>
      </c>
    </row>
    <row r="54" spans="1:13" x14ac:dyDescent="0.2">
      <c r="A54" s="9" t="s">
        <v>500</v>
      </c>
      <c r="B54" s="1" t="s">
        <v>99</v>
      </c>
      <c r="C54">
        <v>0.35839304142026601</v>
      </c>
      <c r="D54">
        <v>1.4310279632237699</v>
      </c>
      <c r="E54">
        <v>0.61516227868089102</v>
      </c>
      <c r="F54">
        <v>-0.65345886383172902</v>
      </c>
      <c r="G54">
        <v>1.3702449466722599</v>
      </c>
      <c r="H54">
        <v>0.52024321071763402</v>
      </c>
      <c r="I54">
        <v>3.9363147645954499</v>
      </c>
      <c r="J54">
        <v>0.58259918372885</v>
      </c>
      <c r="K54">
        <v>0.56016315504260805</v>
      </c>
      <c r="L54">
        <v>0.83608100220227599</v>
      </c>
      <c r="M54">
        <v>0.51401230348598703</v>
      </c>
    </row>
    <row r="55" spans="1:13" x14ac:dyDescent="0.2">
      <c r="A55" s="9"/>
      <c r="B55" s="1" t="s">
        <v>100</v>
      </c>
      <c r="C55">
        <v>-0.46685743229059801</v>
      </c>
      <c r="D55">
        <v>0.626969469642081</v>
      </c>
      <c r="E55">
        <v>0.76891390910664104</v>
      </c>
      <c r="F55">
        <v>-1.7316082644980899</v>
      </c>
      <c r="G55">
        <v>0.79789339991689501</v>
      </c>
      <c r="H55">
        <v>0.176999518898761</v>
      </c>
      <c r="I55">
        <v>2.2208575385343701</v>
      </c>
      <c r="J55">
        <v>-0.60716476417108101</v>
      </c>
      <c r="K55">
        <v>0.54374157355865904</v>
      </c>
      <c r="L55">
        <v>0.87900695651786298</v>
      </c>
      <c r="M55">
        <v>0.52326901248581104</v>
      </c>
    </row>
    <row r="56" spans="1:13" x14ac:dyDescent="0.2">
      <c r="A56" s="9"/>
      <c r="B56" s="1" t="s">
        <v>374</v>
      </c>
      <c r="C56">
        <v>-0.29918549387622101</v>
      </c>
      <c r="D56">
        <v>0.741421867462696</v>
      </c>
      <c r="E56">
        <v>0.77196515040033398</v>
      </c>
      <c r="F56">
        <v>-1.56895517139235</v>
      </c>
      <c r="G56">
        <v>0.97058418363990695</v>
      </c>
      <c r="H56">
        <v>0.20826266751280101</v>
      </c>
      <c r="I56">
        <v>2.6394859535643</v>
      </c>
      <c r="J56">
        <v>-0.38756347190163498</v>
      </c>
      <c r="K56">
        <v>0.69833910522831999</v>
      </c>
      <c r="L56">
        <v>0.51800033262011502</v>
      </c>
      <c r="M56">
        <v>0.57570422535211196</v>
      </c>
    </row>
    <row r="57" spans="1:13" x14ac:dyDescent="0.2">
      <c r="A57" s="9"/>
      <c r="B57" s="1" t="s">
        <v>101</v>
      </c>
      <c r="C57">
        <v>0.17623824935865701</v>
      </c>
      <c r="D57">
        <v>1.1927221900991001</v>
      </c>
      <c r="E57">
        <v>0.90133777502202095</v>
      </c>
      <c r="F57">
        <v>-1.30633045899468</v>
      </c>
      <c r="G57">
        <v>1.6588069577119899</v>
      </c>
      <c r="H57">
        <v>0.27081199100495101</v>
      </c>
      <c r="I57">
        <v>5.2530400056354702</v>
      </c>
      <c r="J57">
        <v>0.19552963854682601</v>
      </c>
      <c r="K57">
        <v>0.84497833723625504</v>
      </c>
      <c r="L57">
        <v>0.24301373948359001</v>
      </c>
      <c r="M57">
        <v>0.47487001733102202</v>
      </c>
    </row>
    <row r="58" spans="1:13" x14ac:dyDescent="0.2">
      <c r="A58" s="9"/>
      <c r="B58" s="1" t="s">
        <v>102</v>
      </c>
      <c r="C58">
        <v>-0.25051440057239299</v>
      </c>
      <c r="D58">
        <v>0.77840027052358596</v>
      </c>
      <c r="E58">
        <v>0.82902237090630904</v>
      </c>
      <c r="F58">
        <v>-1.6141348541815399</v>
      </c>
      <c r="G58">
        <v>1.11310605303675</v>
      </c>
      <c r="H58">
        <v>0.19906281432672501</v>
      </c>
      <c r="I58">
        <v>3.0437979247932501</v>
      </c>
      <c r="J58">
        <v>-0.30218050726245599</v>
      </c>
      <c r="K58">
        <v>0.76251446302332204</v>
      </c>
      <c r="L58">
        <v>0.39116339268954298</v>
      </c>
      <c r="M58">
        <v>0.55104408352668199</v>
      </c>
    </row>
    <row r="59" spans="1:13" x14ac:dyDescent="0.2">
      <c r="A59" s="9"/>
      <c r="B59" s="1" t="s">
        <v>49</v>
      </c>
      <c r="C59">
        <v>0.13229768929886801</v>
      </c>
      <c r="D59">
        <v>1.14144806556964</v>
      </c>
      <c r="E59">
        <v>0.70734567408905602</v>
      </c>
      <c r="F59">
        <v>-1.0311824082349399</v>
      </c>
      <c r="G59">
        <v>1.2957777868326801</v>
      </c>
      <c r="H59">
        <v>0.35658508206449702</v>
      </c>
      <c r="I59">
        <v>3.6538367753618202</v>
      </c>
      <c r="J59">
        <v>0.18703399786709099</v>
      </c>
      <c r="K59">
        <v>0.851633976825521</v>
      </c>
      <c r="L59">
        <v>0.23169458612597599</v>
      </c>
      <c r="M59">
        <v>0.48864926220204302</v>
      </c>
    </row>
    <row r="60" spans="1:13" x14ac:dyDescent="0.2">
      <c r="A60" s="9"/>
      <c r="B60" s="1" t="s">
        <v>103</v>
      </c>
      <c r="C60">
        <v>0.32864489598573199</v>
      </c>
      <c r="D60">
        <v>1.38908449851467</v>
      </c>
      <c r="E60">
        <v>0.71853279301091499</v>
      </c>
      <c r="F60">
        <v>-0.85323637468184199</v>
      </c>
      <c r="G60">
        <v>1.5105261666533001</v>
      </c>
      <c r="H60">
        <v>0.42603389306938799</v>
      </c>
      <c r="I60">
        <v>4.5291132358323898</v>
      </c>
      <c r="J60">
        <v>0.45738329437768599</v>
      </c>
      <c r="K60">
        <v>0.64739556968624001</v>
      </c>
      <c r="L60">
        <v>0.62728060208287795</v>
      </c>
      <c r="M60">
        <v>0.53149829738932997</v>
      </c>
    </row>
    <row r="61" spans="1:13" x14ac:dyDescent="0.2">
      <c r="A61" s="9"/>
      <c r="B61" s="1" t="s">
        <v>75</v>
      </c>
      <c r="C61">
        <v>0.29941812907190801</v>
      </c>
      <c r="D61">
        <v>1.34907359244792</v>
      </c>
      <c r="E61">
        <v>0.56645109330535903</v>
      </c>
      <c r="F61">
        <v>-0.63231100624203695</v>
      </c>
      <c r="G61">
        <v>1.2311472643858501</v>
      </c>
      <c r="H61">
        <v>0.53136239915514905</v>
      </c>
      <c r="I61">
        <v>3.4251568434915698</v>
      </c>
      <c r="J61">
        <v>0.528586020241822</v>
      </c>
      <c r="K61">
        <v>0.59709266018252705</v>
      </c>
      <c r="L61">
        <v>0.74397326052852297</v>
      </c>
      <c r="M61">
        <v>0.53657037492317095</v>
      </c>
    </row>
    <row r="62" spans="1:13" x14ac:dyDescent="0.2">
      <c r="A62" s="9"/>
      <c r="B62" s="1" t="s">
        <v>104</v>
      </c>
      <c r="C62">
        <v>0.66015001951099095</v>
      </c>
      <c r="D62">
        <v>1.93508261277507</v>
      </c>
      <c r="E62">
        <v>0.62159206267885203</v>
      </c>
      <c r="F62">
        <v>-0.36227793927056501</v>
      </c>
      <c r="G62">
        <v>1.6825779782925401</v>
      </c>
      <c r="H62">
        <v>0.69608887051984303</v>
      </c>
      <c r="I62">
        <v>5.3794061029419398</v>
      </c>
      <c r="J62">
        <v>1.0620309671683501</v>
      </c>
      <c r="K62">
        <v>0.28822162710743698</v>
      </c>
      <c r="L62">
        <v>1.7947495007001599</v>
      </c>
      <c r="M62">
        <v>0.53185840707964605</v>
      </c>
    </row>
    <row r="63" spans="1:13" x14ac:dyDescent="0.2">
      <c r="A63" s="9"/>
      <c r="B63" s="1" t="s">
        <v>373</v>
      </c>
      <c r="C63">
        <v>0.102671119126449</v>
      </c>
      <c r="D63">
        <v>1.1081269073951601</v>
      </c>
      <c r="E63">
        <v>0.66234080379211202</v>
      </c>
      <c r="F63">
        <v>-0.98678255426896</v>
      </c>
      <c r="G63">
        <v>1.1921247925218601</v>
      </c>
      <c r="H63">
        <v>0.37277414419763399</v>
      </c>
      <c r="I63">
        <v>3.2940729983733998</v>
      </c>
      <c r="J63">
        <v>0.15501252306761801</v>
      </c>
      <c r="K63">
        <v>0.87681144466318495</v>
      </c>
      <c r="L63">
        <v>0.189661465554404</v>
      </c>
      <c r="M63">
        <v>0.49140486069946598</v>
      </c>
    </row>
    <row r="64" spans="1:13" x14ac:dyDescent="0.2">
      <c r="A64" s="9"/>
      <c r="B64" s="1" t="s">
        <v>9</v>
      </c>
      <c r="C64">
        <v>0.46576905162424498</v>
      </c>
      <c r="D64">
        <v>1.59323900089635</v>
      </c>
      <c r="E64">
        <v>0.65827741879236701</v>
      </c>
      <c r="F64">
        <v>-0.61700094821663198</v>
      </c>
      <c r="G64">
        <v>1.5485390514651201</v>
      </c>
      <c r="H64">
        <v>0.53956018245981197</v>
      </c>
      <c r="I64">
        <v>4.7045919926944801</v>
      </c>
      <c r="J64">
        <v>0.70755738891775299</v>
      </c>
      <c r="K64">
        <v>0.47922016225597303</v>
      </c>
      <c r="L64">
        <v>1.0612394868967501</v>
      </c>
      <c r="M64">
        <v>0.50309023485784898</v>
      </c>
    </row>
    <row r="65" spans="1:13" x14ac:dyDescent="0.2">
      <c r="A65" s="9"/>
      <c r="B65" s="1" t="s">
        <v>105</v>
      </c>
      <c r="C65">
        <v>0.27592766909615601</v>
      </c>
      <c r="D65">
        <v>1.31775254634741</v>
      </c>
      <c r="E65">
        <v>0.79122751174601302</v>
      </c>
      <c r="F65">
        <v>-1.0255257733430601</v>
      </c>
      <c r="G65">
        <v>1.57738111153537</v>
      </c>
      <c r="H65">
        <v>0.35860786937258399</v>
      </c>
      <c r="I65">
        <v>4.8422578579862501</v>
      </c>
      <c r="J65">
        <v>0.34873366383236898</v>
      </c>
      <c r="K65">
        <v>0.72728926887985901</v>
      </c>
      <c r="L65">
        <v>0.45939880533041499</v>
      </c>
      <c r="M65">
        <v>0.54426787741203098</v>
      </c>
    </row>
    <row r="66" spans="1:13" x14ac:dyDescent="0.2">
      <c r="A66" s="9"/>
      <c r="B66" s="1" t="s">
        <v>106</v>
      </c>
      <c r="C66">
        <v>0.58240005356124702</v>
      </c>
      <c r="D66">
        <v>1.7903301667843701</v>
      </c>
      <c r="E66">
        <v>0.77912981381074897</v>
      </c>
      <c r="F66">
        <v>-0.69915444655138903</v>
      </c>
      <c r="G66">
        <v>1.86395455367388</v>
      </c>
      <c r="H66">
        <v>0.49700537077707602</v>
      </c>
      <c r="I66">
        <v>6.4491900783418901</v>
      </c>
      <c r="J66">
        <v>0.74750066450763697</v>
      </c>
      <c r="K66">
        <v>0.45476140184224101</v>
      </c>
      <c r="L66">
        <v>1.1368182851028501</v>
      </c>
      <c r="M66">
        <v>0.58513053348467603</v>
      </c>
    </row>
    <row r="67" spans="1:13" x14ac:dyDescent="0.2">
      <c r="A67" s="9"/>
      <c r="B67" s="1" t="s">
        <v>107</v>
      </c>
      <c r="C67">
        <v>0.337865020802187</v>
      </c>
      <c r="D67">
        <v>1.4019512563774399</v>
      </c>
      <c r="E67">
        <v>0.603291771670602</v>
      </c>
      <c r="F67">
        <v>-0.65446163794018097</v>
      </c>
      <c r="G67">
        <v>1.3301916795445501</v>
      </c>
      <c r="H67">
        <v>0.51972178577523798</v>
      </c>
      <c r="I67">
        <v>3.78176820570744</v>
      </c>
      <c r="J67">
        <v>0.56003585108842202</v>
      </c>
      <c r="K67">
        <v>0.57545498421808305</v>
      </c>
      <c r="L67">
        <v>0.79722501898065901</v>
      </c>
      <c r="M67">
        <v>0.51624129930394402</v>
      </c>
    </row>
    <row r="68" spans="1:13" x14ac:dyDescent="0.2">
      <c r="A68" s="9"/>
      <c r="B68" s="1" t="s">
        <v>108</v>
      </c>
      <c r="C68">
        <v>-0.27668166115857401</v>
      </c>
      <c r="D68">
        <v>0.75829585371540797</v>
      </c>
      <c r="E68">
        <v>0.70635728708276702</v>
      </c>
      <c r="F68">
        <v>-1.4385360067402599</v>
      </c>
      <c r="G68">
        <v>0.88517268442311603</v>
      </c>
      <c r="H68">
        <v>0.237274873348645</v>
      </c>
      <c r="I68">
        <v>2.42340283927608</v>
      </c>
      <c r="J68">
        <v>-0.39170214028832501</v>
      </c>
      <c r="K68">
        <v>0.69527830843944305</v>
      </c>
      <c r="L68">
        <v>0.52433751441101495</v>
      </c>
      <c r="M68">
        <v>0.47365339578454302</v>
      </c>
    </row>
    <row r="69" spans="1:13" x14ac:dyDescent="0.2">
      <c r="A69" s="9"/>
      <c r="B69" s="1" t="s">
        <v>109</v>
      </c>
      <c r="C69">
        <v>-0.222999458430271</v>
      </c>
      <c r="D69">
        <v>0.80011528261265297</v>
      </c>
      <c r="E69">
        <v>0.60736565776948204</v>
      </c>
      <c r="F69">
        <v>-1.22202706349817</v>
      </c>
      <c r="G69">
        <v>0.77602814663762798</v>
      </c>
      <c r="H69">
        <v>0.29463232276782803</v>
      </c>
      <c r="I69">
        <v>2.17282496182469</v>
      </c>
      <c r="J69">
        <v>-0.36715849106323301</v>
      </c>
      <c r="K69">
        <v>0.71350079966256197</v>
      </c>
      <c r="L69">
        <v>0.48701304827172398</v>
      </c>
      <c r="M69">
        <v>0.52797202797202802</v>
      </c>
    </row>
    <row r="70" spans="1:13" x14ac:dyDescent="0.2">
      <c r="A70" s="9"/>
      <c r="B70" s="1" t="s">
        <v>110</v>
      </c>
      <c r="C70">
        <v>-8.0143164625091801E-2</v>
      </c>
      <c r="D70">
        <v>0.92298419824068401</v>
      </c>
      <c r="E70">
        <v>0.62874077727323796</v>
      </c>
      <c r="F70">
        <v>-1.11432971253526</v>
      </c>
      <c r="G70">
        <v>0.95404338328508198</v>
      </c>
      <c r="H70">
        <v>0.32813515008074501</v>
      </c>
      <c r="I70">
        <v>2.5961858398661901</v>
      </c>
      <c r="J70">
        <v>-0.12746614745215201</v>
      </c>
      <c r="K70">
        <v>0.89857146501100305</v>
      </c>
      <c r="L70">
        <v>0.154294846447738</v>
      </c>
      <c r="M70">
        <v>0.47063621533442002</v>
      </c>
    </row>
    <row r="71" spans="1:13" x14ac:dyDescent="0.2">
      <c r="A71" s="9" t="s">
        <v>501</v>
      </c>
      <c r="B71" s="1" t="s">
        <v>99</v>
      </c>
      <c r="C71">
        <v>-2.3516758251024901</v>
      </c>
      <c r="D71">
        <v>9.5209474021619001E-2</v>
      </c>
      <c r="E71">
        <v>1.01347786736974</v>
      </c>
      <c r="F71">
        <v>-4.0186985710806598</v>
      </c>
      <c r="G71">
        <v>-0.68465307912432305</v>
      </c>
      <c r="H71">
        <v>1.79763446574835E-2</v>
      </c>
      <c r="I71">
        <v>0.50426513933685901</v>
      </c>
      <c r="J71">
        <v>-2.3204017579641198</v>
      </c>
      <c r="K71">
        <v>2.0319153884762998E-2</v>
      </c>
      <c r="L71">
        <v>5.62101586205792</v>
      </c>
      <c r="M71">
        <v>0.65042016806722602</v>
      </c>
    </row>
    <row r="72" spans="1:13" x14ac:dyDescent="0.2">
      <c r="A72" s="9"/>
      <c r="B72" s="1" t="s">
        <v>100</v>
      </c>
      <c r="C72">
        <v>-1.1702005467202801</v>
      </c>
      <c r="D72">
        <v>0.31030470443423502</v>
      </c>
      <c r="E72">
        <v>0.86396259136074305</v>
      </c>
      <c r="F72">
        <v>-2.5912925486703902</v>
      </c>
      <c r="G72">
        <v>0.25089145522982997</v>
      </c>
      <c r="H72">
        <v>7.4923135672588195E-2</v>
      </c>
      <c r="I72">
        <v>1.2851705782149601</v>
      </c>
      <c r="J72">
        <v>-1.3544574249183701</v>
      </c>
      <c r="K72">
        <v>0.17559048760002299</v>
      </c>
      <c r="L72">
        <v>2.5097134041370501</v>
      </c>
      <c r="M72">
        <v>0.58027522935779796</v>
      </c>
    </row>
    <row r="73" spans="1:13" x14ac:dyDescent="0.2">
      <c r="A73" s="9"/>
      <c r="B73" s="1" t="s">
        <v>374</v>
      </c>
      <c r="C73">
        <v>-2.72616416955064</v>
      </c>
      <c r="D73">
        <v>6.5469940224509401E-2</v>
      </c>
      <c r="E73">
        <v>1.27782504868258</v>
      </c>
      <c r="F73">
        <v>-4.8279993354856297</v>
      </c>
      <c r="G73">
        <v>-0.62432900361564503</v>
      </c>
      <c r="H73">
        <v>8.0025156099687595E-3</v>
      </c>
      <c r="I73">
        <v>0.53562070752618796</v>
      </c>
      <c r="J73">
        <v>-2.1334408590293799</v>
      </c>
      <c r="K73">
        <v>3.2888578289915101E-2</v>
      </c>
      <c r="L73">
        <v>4.9262695451897498</v>
      </c>
      <c r="M73">
        <v>0.62786596119929405</v>
      </c>
    </row>
    <row r="74" spans="1:13" x14ac:dyDescent="0.2">
      <c r="A74" s="9"/>
      <c r="B74" s="1" t="s">
        <v>101</v>
      </c>
      <c r="C74">
        <v>-1.8579559587691701</v>
      </c>
      <c r="D74">
        <v>0.15599115707293601</v>
      </c>
      <c r="E74">
        <v>1.1752239485977301</v>
      </c>
      <c r="F74">
        <v>-3.7910273331003799</v>
      </c>
      <c r="G74">
        <v>7.5115415562043694E-2</v>
      </c>
      <c r="H74">
        <v>2.2572400561184199E-2</v>
      </c>
      <c r="I74">
        <v>1.07800856266911</v>
      </c>
      <c r="J74">
        <v>-1.58093779571635</v>
      </c>
      <c r="K74">
        <v>0.113892261315951</v>
      </c>
      <c r="L74">
        <v>3.13425837190097</v>
      </c>
      <c r="M74">
        <v>0.59412780656303898</v>
      </c>
    </row>
    <row r="75" spans="1:13" x14ac:dyDescent="0.2">
      <c r="A75" s="9"/>
      <c r="B75" s="1" t="s">
        <v>102</v>
      </c>
      <c r="C75">
        <v>-1.8593540640586901</v>
      </c>
      <c r="D75">
        <v>0.15577321739791999</v>
      </c>
      <c r="E75">
        <v>0.93164915272307203</v>
      </c>
      <c r="F75">
        <v>-3.3917805519614999</v>
      </c>
      <c r="G75">
        <v>-0.32692757615588602</v>
      </c>
      <c r="H75">
        <v>3.3648710251508403E-2</v>
      </c>
      <c r="I75">
        <v>0.72113596857436901</v>
      </c>
      <c r="J75">
        <v>-1.9957663876192799</v>
      </c>
      <c r="K75">
        <v>4.5959357056033698E-2</v>
      </c>
      <c r="L75">
        <v>4.4434975740918201</v>
      </c>
      <c r="M75">
        <v>0.62591240875912402</v>
      </c>
    </row>
    <row r="76" spans="1:13" x14ac:dyDescent="0.2">
      <c r="A76" s="9"/>
      <c r="B76" s="1" t="s">
        <v>49</v>
      </c>
      <c r="C76">
        <v>-2.3136030635607399</v>
      </c>
      <c r="D76">
        <v>9.8904250496136201E-2</v>
      </c>
      <c r="E76">
        <v>1.05150044145188</v>
      </c>
      <c r="F76">
        <v>-4.0431673784239504</v>
      </c>
      <c r="G76">
        <v>-0.58403874869753403</v>
      </c>
      <c r="H76">
        <v>1.75418227394941E-2</v>
      </c>
      <c r="I76">
        <v>0.55764163801398203</v>
      </c>
      <c r="J76">
        <v>-2.2002872964714801</v>
      </c>
      <c r="K76">
        <v>2.7786518016919198E-2</v>
      </c>
      <c r="L76">
        <v>5.1694711308554799</v>
      </c>
      <c r="M76">
        <v>0.62016806722689</v>
      </c>
    </row>
    <row r="77" spans="1:13" x14ac:dyDescent="0.2">
      <c r="A77" s="9"/>
      <c r="B77" s="1" t="s">
        <v>103</v>
      </c>
      <c r="C77">
        <v>0.56547348709004397</v>
      </c>
      <c r="D77">
        <v>1.7602810557889901</v>
      </c>
      <c r="E77">
        <v>1.04092795298714</v>
      </c>
      <c r="F77">
        <v>-1.14670063177602</v>
      </c>
      <c r="G77">
        <v>2.2776476059561102</v>
      </c>
      <c r="H77">
        <v>0.31768319599858302</v>
      </c>
      <c r="I77">
        <v>9.7537088344560505</v>
      </c>
      <c r="J77">
        <v>0.54323979432708003</v>
      </c>
      <c r="K77">
        <v>0.586964710808767</v>
      </c>
      <c r="L77">
        <v>0.76865432591591298</v>
      </c>
      <c r="M77">
        <v>0.54957983193277304</v>
      </c>
    </row>
    <row r="78" spans="1:13" x14ac:dyDescent="0.2">
      <c r="A78" s="9"/>
      <c r="B78" s="1" t="s">
        <v>75</v>
      </c>
      <c r="C78">
        <v>-1.9265948264471999</v>
      </c>
      <c r="D78">
        <v>0.14564329575801199</v>
      </c>
      <c r="E78">
        <v>1.20330710196541</v>
      </c>
      <c r="F78">
        <v>-3.9058588774514802</v>
      </c>
      <c r="G78">
        <v>5.2669224557071001E-2</v>
      </c>
      <c r="H78">
        <v>2.0123663306191999E-2</v>
      </c>
      <c r="I78">
        <v>1.0540809233639299</v>
      </c>
      <c r="J78">
        <v>-1.6010832341140599</v>
      </c>
      <c r="K78">
        <v>0.10935848510815099</v>
      </c>
      <c r="L78">
        <v>3.19286293167068</v>
      </c>
      <c r="M78">
        <v>0.62414965986394499</v>
      </c>
    </row>
    <row r="79" spans="1:13" x14ac:dyDescent="0.2">
      <c r="A79" s="9"/>
      <c r="B79" s="1" t="s">
        <v>104</v>
      </c>
      <c r="C79">
        <v>0.266178744094762</v>
      </c>
      <c r="D79">
        <v>1.3049682932179201</v>
      </c>
      <c r="E79">
        <v>0.86939754292082205</v>
      </c>
      <c r="F79">
        <v>-1.16385295764125</v>
      </c>
      <c r="G79">
        <v>1.6962104458307701</v>
      </c>
      <c r="H79">
        <v>0.31228065581641801</v>
      </c>
      <c r="I79">
        <v>5.4532428268794799</v>
      </c>
      <c r="J79">
        <v>0.30616459209271402</v>
      </c>
      <c r="K79">
        <v>0.75947933013322599</v>
      </c>
      <c r="L79">
        <v>0.39691739378091001</v>
      </c>
      <c r="M79">
        <v>0.48214285714285698</v>
      </c>
    </row>
    <row r="80" spans="1:13" x14ac:dyDescent="0.2">
      <c r="A80" s="9"/>
      <c r="B80" s="1" t="s">
        <v>373</v>
      </c>
      <c r="C80">
        <v>0.91649595382541804</v>
      </c>
      <c r="D80">
        <v>2.5005131075268201</v>
      </c>
      <c r="E80">
        <v>0.93138260513090798</v>
      </c>
      <c r="F80">
        <v>-0.61549210230366602</v>
      </c>
      <c r="G80">
        <v>2.4484840099545</v>
      </c>
      <c r="H80">
        <v>0.54037491013060501</v>
      </c>
      <c r="I80">
        <v>11.5707922105455</v>
      </c>
      <c r="J80">
        <v>0.98401661011974995</v>
      </c>
      <c r="K80">
        <v>0.32510734604077801</v>
      </c>
      <c r="L80">
        <v>1.62101193973001</v>
      </c>
      <c r="M80">
        <v>0.56707317073170704</v>
      </c>
    </row>
    <row r="81" spans="1:13" x14ac:dyDescent="0.2">
      <c r="A81" s="9"/>
      <c r="B81" s="1" t="s">
        <v>9</v>
      </c>
      <c r="C81">
        <v>-1.7901104168677999</v>
      </c>
      <c r="D81">
        <v>0.16694173546579899</v>
      </c>
      <c r="E81">
        <v>0.973052694740555</v>
      </c>
      <c r="F81">
        <v>-3.3906396710267099</v>
      </c>
      <c r="G81">
        <v>-0.18958116270889999</v>
      </c>
      <c r="H81">
        <v>3.3687121330582402E-2</v>
      </c>
      <c r="I81">
        <v>0.82730556781151998</v>
      </c>
      <c r="J81">
        <v>-1.8396849693171999</v>
      </c>
      <c r="K81">
        <v>6.5814501521517396E-2</v>
      </c>
      <c r="L81">
        <v>3.92545068836557</v>
      </c>
      <c r="M81">
        <v>0.59495798319327697</v>
      </c>
    </row>
    <row r="82" spans="1:13" x14ac:dyDescent="0.2">
      <c r="A82" s="9"/>
      <c r="B82" s="1" t="s">
        <v>105</v>
      </c>
      <c r="C82">
        <v>-0.56786036177572397</v>
      </c>
      <c r="D82">
        <v>0.56673675397108503</v>
      </c>
      <c r="E82">
        <v>0.88480637836404197</v>
      </c>
      <c r="F82">
        <v>-2.0232373423776102</v>
      </c>
      <c r="G82">
        <v>0.88751661882616695</v>
      </c>
      <c r="H82">
        <v>0.132226708312084</v>
      </c>
      <c r="I82">
        <v>2.4290897988899598</v>
      </c>
      <c r="J82">
        <v>-0.64179053820302001</v>
      </c>
      <c r="K82">
        <v>0.52100919392947398</v>
      </c>
      <c r="L82">
        <v>0.94061926380502503</v>
      </c>
      <c r="M82">
        <v>0.55315315315315305</v>
      </c>
    </row>
    <row r="83" spans="1:13" x14ac:dyDescent="0.2">
      <c r="A83" s="9"/>
      <c r="B83" s="1" t="s">
        <v>106</v>
      </c>
      <c r="C83">
        <v>0.10169661300284399</v>
      </c>
      <c r="D83">
        <v>1.1070475569404099</v>
      </c>
      <c r="E83">
        <v>1.2198238528708001</v>
      </c>
      <c r="F83">
        <v>-1.9047350756336201</v>
      </c>
      <c r="G83">
        <v>2.1081283016393102</v>
      </c>
      <c r="H83">
        <v>0.148862074589453</v>
      </c>
      <c r="I83">
        <v>8.2328175037711002</v>
      </c>
      <c r="J83">
        <v>8.3369916700272703E-2</v>
      </c>
      <c r="K83">
        <v>0.93355740821143196</v>
      </c>
      <c r="L83">
        <v>9.9189352569423794E-2</v>
      </c>
      <c r="M83">
        <v>0.51092436974789901</v>
      </c>
    </row>
    <row r="84" spans="1:13" x14ac:dyDescent="0.2">
      <c r="A84" s="9"/>
      <c r="B84" s="1" t="s">
        <v>107</v>
      </c>
      <c r="C84">
        <v>-0.64100253294503096</v>
      </c>
      <c r="D84">
        <v>0.52676406091125605</v>
      </c>
      <c r="E84">
        <v>0.88176778727053795</v>
      </c>
      <c r="F84">
        <v>-2.0913814759659499</v>
      </c>
      <c r="G84">
        <v>0.80937641007588701</v>
      </c>
      <c r="H84">
        <v>0.123516382984649</v>
      </c>
      <c r="I84">
        <v>2.2465066508804998</v>
      </c>
      <c r="J84">
        <v>-0.72695163307021904</v>
      </c>
      <c r="K84">
        <v>0.46725558546930801</v>
      </c>
      <c r="L84">
        <v>1.0977161851583199</v>
      </c>
      <c r="M84">
        <v>0.53781512605042003</v>
      </c>
    </row>
    <row r="85" spans="1:13" x14ac:dyDescent="0.2">
      <c r="A85" s="9"/>
      <c r="B85" s="1" t="s">
        <v>108</v>
      </c>
      <c r="C85">
        <v>0.83058185499883996</v>
      </c>
      <c r="D85">
        <v>2.2946535075199801</v>
      </c>
      <c r="E85">
        <v>1.25794804288314</v>
      </c>
      <c r="F85">
        <v>-1.23855854585401</v>
      </c>
      <c r="G85">
        <v>2.8997222558516902</v>
      </c>
      <c r="H85">
        <v>0.28980165280411202</v>
      </c>
      <c r="I85">
        <v>18.1690983078445</v>
      </c>
      <c r="J85">
        <v>0.66026721826697399</v>
      </c>
      <c r="K85">
        <v>0.509082363126239</v>
      </c>
      <c r="L85">
        <v>0.97402900978271101</v>
      </c>
      <c r="M85">
        <v>0.54895104895104896</v>
      </c>
    </row>
    <row r="86" spans="1:13" x14ac:dyDescent="0.2">
      <c r="A86" s="9"/>
      <c r="B86" s="1" t="s">
        <v>109</v>
      </c>
      <c r="C86">
        <v>-1.49042579373865</v>
      </c>
      <c r="D86">
        <v>0.22527671370101199</v>
      </c>
      <c r="E86">
        <v>0.93080695441454997</v>
      </c>
      <c r="F86">
        <v>-3.0214669886990801</v>
      </c>
      <c r="G86">
        <v>4.0615401221770098E-2</v>
      </c>
      <c r="H86">
        <v>4.8729680011979401E-2</v>
      </c>
      <c r="I86">
        <v>1.0414514875421199</v>
      </c>
      <c r="J86">
        <v>-1.60121901396416</v>
      </c>
      <c r="K86">
        <v>0.10932841892633401</v>
      </c>
      <c r="L86">
        <v>3.1932596296976699</v>
      </c>
      <c r="M86">
        <v>0.61371841155234597</v>
      </c>
    </row>
    <row r="87" spans="1:13" x14ac:dyDescent="0.2">
      <c r="A87" s="9"/>
      <c r="B87" s="1" t="s">
        <v>110</v>
      </c>
      <c r="C87">
        <v>0.111373704600349</v>
      </c>
      <c r="D87">
        <v>1.1178125605062399</v>
      </c>
      <c r="E87">
        <v>0.92385131493180195</v>
      </c>
      <c r="F87">
        <v>-1.4082264815291099</v>
      </c>
      <c r="G87">
        <v>1.6309738907298099</v>
      </c>
      <c r="H87">
        <v>0.244576659962947</v>
      </c>
      <c r="I87">
        <v>5.1088477560157104</v>
      </c>
      <c r="J87">
        <v>0.120553711187357</v>
      </c>
      <c r="K87">
        <v>0.90404453446459598</v>
      </c>
      <c r="L87">
        <v>0.14553425137446199</v>
      </c>
      <c r="M87">
        <v>0.54453781512605004</v>
      </c>
    </row>
    <row r="88" spans="1:13" x14ac:dyDescent="0.2">
      <c r="A88" s="9" t="s">
        <v>502</v>
      </c>
      <c r="B88" s="1" t="s">
        <v>99</v>
      </c>
      <c r="C88">
        <v>-1.05292983338049</v>
      </c>
      <c r="D88">
        <v>0.34891399026645398</v>
      </c>
      <c r="E88">
        <v>0.84888780104149197</v>
      </c>
      <c r="F88">
        <v>-2.4492260117984501</v>
      </c>
      <c r="G88">
        <v>0.343366345037461</v>
      </c>
      <c r="H88">
        <v>8.6360402571280206E-2</v>
      </c>
      <c r="I88">
        <v>1.40968509848222</v>
      </c>
      <c r="J88">
        <v>-1.2403639586864901</v>
      </c>
      <c r="K88">
        <v>0.21484080546522699</v>
      </c>
      <c r="L88">
        <v>2.2186600594257899</v>
      </c>
      <c r="M88">
        <v>0.6</v>
      </c>
    </row>
    <row r="89" spans="1:13" x14ac:dyDescent="0.2">
      <c r="A89" s="9"/>
      <c r="B89" s="1" t="s">
        <v>100</v>
      </c>
      <c r="C89">
        <v>-1.73990061020294</v>
      </c>
      <c r="D89">
        <v>0.175537846420945</v>
      </c>
      <c r="E89">
        <v>0.85813142175356405</v>
      </c>
      <c r="F89">
        <v>-3.15140119167532</v>
      </c>
      <c r="G89">
        <v>-0.328400028730573</v>
      </c>
      <c r="H89">
        <v>4.27921248705702E-2</v>
      </c>
      <c r="I89">
        <v>0.72007491143061197</v>
      </c>
      <c r="J89">
        <v>-2.0275456254095801</v>
      </c>
      <c r="K89">
        <v>4.2606643358813603E-2</v>
      </c>
      <c r="L89">
        <v>4.55277779233848</v>
      </c>
      <c r="M89">
        <v>0.68</v>
      </c>
    </row>
    <row r="90" spans="1:13" x14ac:dyDescent="0.2">
      <c r="A90" s="9"/>
      <c r="B90" s="1" t="s">
        <v>374</v>
      </c>
      <c r="C90">
        <v>-0.92982800953564304</v>
      </c>
      <c r="D90">
        <v>0.39462157568338702</v>
      </c>
      <c r="E90">
        <v>0.96719775269401498</v>
      </c>
      <c r="F90">
        <v>-2.5207267410337</v>
      </c>
      <c r="G90">
        <v>0.661070721962421</v>
      </c>
      <c r="H90">
        <v>8.0401154694077798E-2</v>
      </c>
      <c r="I90">
        <v>1.9368650685101401</v>
      </c>
      <c r="J90">
        <v>-0.96136287222102801</v>
      </c>
      <c r="K90">
        <v>0.336369745499082</v>
      </c>
      <c r="L90">
        <v>1.57188014548135</v>
      </c>
      <c r="M90">
        <v>0.608080808080808</v>
      </c>
    </row>
    <row r="91" spans="1:13" x14ac:dyDescent="0.2">
      <c r="A91" s="9"/>
      <c r="B91" s="1" t="s">
        <v>101</v>
      </c>
      <c r="C91">
        <v>-0.89013276490896198</v>
      </c>
      <c r="D91">
        <v>0.41060123569777202</v>
      </c>
      <c r="E91">
        <v>0.78888199016744598</v>
      </c>
      <c r="F91">
        <v>-2.1877281676725802</v>
      </c>
      <c r="G91">
        <v>0.40746263785465697</v>
      </c>
      <c r="H91">
        <v>0.112171293737253</v>
      </c>
      <c r="I91">
        <v>1.50299928920714</v>
      </c>
      <c r="J91">
        <v>-1.1283471748670799</v>
      </c>
      <c r="K91">
        <v>0.25917332769743801</v>
      </c>
      <c r="L91">
        <v>1.94801084108848</v>
      </c>
      <c r="M91">
        <v>0.56546489563567304</v>
      </c>
    </row>
    <row r="92" spans="1:13" x14ac:dyDescent="0.2">
      <c r="A92" s="9"/>
      <c r="B92" s="1" t="s">
        <v>102</v>
      </c>
      <c r="C92">
        <v>-0.67374526943838897</v>
      </c>
      <c r="D92">
        <v>0.50979567569170303</v>
      </c>
      <c r="E92">
        <v>0.81744693183216999</v>
      </c>
      <c r="F92">
        <v>-2.0183258201028802</v>
      </c>
      <c r="G92">
        <v>0.67083528122610803</v>
      </c>
      <c r="H92">
        <v>0.132877740205356</v>
      </c>
      <c r="I92">
        <v>1.95587034030161</v>
      </c>
      <c r="J92">
        <v>-0.82420673832404301</v>
      </c>
      <c r="K92">
        <v>0.409822098962694</v>
      </c>
      <c r="L92">
        <v>1.2869303135536201</v>
      </c>
      <c r="M92">
        <v>0.57974137931034397</v>
      </c>
    </row>
    <row r="93" spans="1:13" x14ac:dyDescent="0.2">
      <c r="A93" s="9"/>
      <c r="B93" s="1" t="s">
        <v>49</v>
      </c>
      <c r="C93">
        <v>-0.74584267172021501</v>
      </c>
      <c r="D93">
        <v>0.474334423276777</v>
      </c>
      <c r="E93">
        <v>0.85179507608030403</v>
      </c>
      <c r="F93">
        <v>-2.1469208920303</v>
      </c>
      <c r="G93">
        <v>0.65523554858987798</v>
      </c>
      <c r="H93">
        <v>0.116843377826893</v>
      </c>
      <c r="I93">
        <v>1.9255960353923101</v>
      </c>
      <c r="J93">
        <v>-0.87561280014947995</v>
      </c>
      <c r="K93">
        <v>0.38124056441534798</v>
      </c>
      <c r="L93">
        <v>1.39122646313336</v>
      </c>
      <c r="M93">
        <v>0.57115749525616699</v>
      </c>
    </row>
    <row r="94" spans="1:13" x14ac:dyDescent="0.2">
      <c r="A94" s="9"/>
      <c r="B94" s="1" t="s">
        <v>103</v>
      </c>
      <c r="C94">
        <v>0.65761857930131895</v>
      </c>
      <c r="D94">
        <v>1.93019026179964</v>
      </c>
      <c r="E94">
        <v>0.83680764067954405</v>
      </c>
      <c r="F94">
        <v>-0.71880750353113299</v>
      </c>
      <c r="G94">
        <v>2.0340446621337702</v>
      </c>
      <c r="H94">
        <v>0.48733305253652298</v>
      </c>
      <c r="I94">
        <v>7.64494513014166</v>
      </c>
      <c r="J94">
        <v>0.785865887609831</v>
      </c>
      <c r="K94">
        <v>0.43194606119107298</v>
      </c>
      <c r="L94">
        <v>1.2110769262732</v>
      </c>
      <c r="M94">
        <v>0.567676767676767</v>
      </c>
    </row>
    <row r="95" spans="1:13" x14ac:dyDescent="0.2">
      <c r="A95" s="9"/>
      <c r="B95" s="1" t="s">
        <v>75</v>
      </c>
      <c r="C95">
        <v>-3.0140526958908098</v>
      </c>
      <c r="D95">
        <v>4.9092318821963001E-2</v>
      </c>
      <c r="E95">
        <v>1.1398912631071101</v>
      </c>
      <c r="F95">
        <v>-4.8890069743428404</v>
      </c>
      <c r="G95">
        <v>-1.1390984174387799</v>
      </c>
      <c r="H95">
        <v>7.5288951501542604E-3</v>
      </c>
      <c r="I95">
        <v>0.32010749509081499</v>
      </c>
      <c r="J95">
        <v>-2.6441580819517001</v>
      </c>
      <c r="K95">
        <v>8.1894399014678706E-3</v>
      </c>
      <c r="L95">
        <v>6.9320194993411599</v>
      </c>
      <c r="M95">
        <v>0.65275142314990497</v>
      </c>
    </row>
    <row r="96" spans="1:13" x14ac:dyDescent="0.2">
      <c r="A96" s="9"/>
      <c r="B96" s="1" t="s">
        <v>104</v>
      </c>
      <c r="C96">
        <v>0.15952666214147501</v>
      </c>
      <c r="D96">
        <v>1.1729555353102401</v>
      </c>
      <c r="E96">
        <v>0.65866386439390401</v>
      </c>
      <c r="F96">
        <v>-0.92387898414870995</v>
      </c>
      <c r="G96">
        <v>1.2429323084316599</v>
      </c>
      <c r="H96">
        <v>0.39697618633030402</v>
      </c>
      <c r="I96">
        <v>3.4657612602237999</v>
      </c>
      <c r="J96">
        <v>0.242197379824792</v>
      </c>
      <c r="K96">
        <v>0.80862722521972397</v>
      </c>
      <c r="L96">
        <v>0.30645331716414098</v>
      </c>
      <c r="M96">
        <v>0.53663793103448199</v>
      </c>
    </row>
    <row r="97" spans="1:13" x14ac:dyDescent="0.2">
      <c r="A97" s="9"/>
      <c r="B97" s="1" t="s">
        <v>373</v>
      </c>
      <c r="C97">
        <v>0.148677219243393</v>
      </c>
      <c r="D97">
        <v>1.1602984067607101</v>
      </c>
      <c r="E97">
        <v>0.96089488324660899</v>
      </c>
      <c r="F97">
        <v>-1.4318542145838999</v>
      </c>
      <c r="G97">
        <v>1.72920865307069</v>
      </c>
      <c r="H97">
        <v>0.238865603281329</v>
      </c>
      <c r="I97">
        <v>5.6361919599860304</v>
      </c>
      <c r="J97">
        <v>0.1547278706918</v>
      </c>
      <c r="K97">
        <v>0.87703585695689201</v>
      </c>
      <c r="L97">
        <v>0.18929226750083</v>
      </c>
      <c r="M97">
        <v>0.53017241379310298</v>
      </c>
    </row>
    <row r="98" spans="1:13" x14ac:dyDescent="0.2">
      <c r="A98" s="9"/>
      <c r="B98" s="1" t="s">
        <v>9</v>
      </c>
      <c r="C98">
        <v>-1.1430099313217099</v>
      </c>
      <c r="D98">
        <v>0.31885783580287302</v>
      </c>
      <c r="E98">
        <v>0.93481782278959302</v>
      </c>
      <c r="F98">
        <v>-2.6806484176760499</v>
      </c>
      <c r="G98">
        <v>0.394628555032628</v>
      </c>
      <c r="H98">
        <v>6.8518711003617505E-2</v>
      </c>
      <c r="I98">
        <v>1.4838329262721199</v>
      </c>
      <c r="J98">
        <v>-1.2227087497228599</v>
      </c>
      <c r="K98">
        <v>0.22143972102941401</v>
      </c>
      <c r="L98">
        <v>2.1750140643115299</v>
      </c>
      <c r="M98">
        <v>0.59013282732447803</v>
      </c>
    </row>
    <row r="99" spans="1:13" x14ac:dyDescent="0.2">
      <c r="A99" s="9"/>
      <c r="B99" s="1" t="s">
        <v>105</v>
      </c>
      <c r="C99">
        <v>1.5600253891856599</v>
      </c>
      <c r="D99">
        <v>4.7589420692677802</v>
      </c>
      <c r="E99">
        <v>0.90269157557618296</v>
      </c>
      <c r="F99">
        <v>7.5229877080639204E-2</v>
      </c>
      <c r="G99">
        <v>3.0448209012906799</v>
      </c>
      <c r="H99">
        <v>1.07813196022825</v>
      </c>
      <c r="I99">
        <v>21.006268670350799</v>
      </c>
      <c r="J99">
        <v>1.7281931408187801</v>
      </c>
      <c r="K99">
        <v>8.3953603069804497E-2</v>
      </c>
      <c r="L99">
        <v>3.5742639465732</v>
      </c>
      <c r="M99">
        <v>0.607210626185958</v>
      </c>
    </row>
    <row r="100" spans="1:13" x14ac:dyDescent="0.2">
      <c r="A100" s="9"/>
      <c r="B100" s="1" t="s">
        <v>106</v>
      </c>
      <c r="C100">
        <v>3.2560971018466903E-2</v>
      </c>
      <c r="D100">
        <v>1.0330968801927201</v>
      </c>
      <c r="E100">
        <v>0.99810385068941299</v>
      </c>
      <c r="F100">
        <v>-1.60917376786224</v>
      </c>
      <c r="G100">
        <v>1.67429570989917</v>
      </c>
      <c r="H100">
        <v>0.20005283589222</v>
      </c>
      <c r="I100">
        <v>5.33503641227529</v>
      </c>
      <c r="J100">
        <v>3.2622828772753798E-2</v>
      </c>
      <c r="K100">
        <v>0.97397536478950597</v>
      </c>
      <c r="L100">
        <v>3.8042812872850398E-2</v>
      </c>
      <c r="M100">
        <v>0.45858585858585799</v>
      </c>
    </row>
    <row r="101" spans="1:13" x14ac:dyDescent="0.2">
      <c r="A101" s="9"/>
      <c r="B101" s="1" t="s">
        <v>107</v>
      </c>
      <c r="C101">
        <v>-0.861426798191267</v>
      </c>
      <c r="D101">
        <v>0.42255874594606002</v>
      </c>
      <c r="E101">
        <v>0.74962628230600103</v>
      </c>
      <c r="F101">
        <v>-2.0944523075004402</v>
      </c>
      <c r="G101">
        <v>0.37159871111790699</v>
      </c>
      <c r="H101">
        <v>0.12313766676521599</v>
      </c>
      <c r="I101">
        <v>1.45005097518986</v>
      </c>
      <c r="J101">
        <v>-1.14914167035518</v>
      </c>
      <c r="K101">
        <v>0.25049756817433599</v>
      </c>
      <c r="L101">
        <v>1.9971314970551199</v>
      </c>
      <c r="M101">
        <v>0.56854838709677402</v>
      </c>
    </row>
    <row r="102" spans="1:13" x14ac:dyDescent="0.2">
      <c r="A102" s="9"/>
      <c r="B102" s="1" t="s">
        <v>108</v>
      </c>
      <c r="C102">
        <v>1.12998707209369</v>
      </c>
      <c r="D102">
        <v>3.0956164800261998</v>
      </c>
      <c r="E102">
        <v>0.93838174975769995</v>
      </c>
      <c r="F102">
        <v>-0.413513552460329</v>
      </c>
      <c r="G102">
        <v>2.6734876966477099</v>
      </c>
      <c r="H102">
        <v>0.66132257177178499</v>
      </c>
      <c r="I102">
        <v>14.490419351234101</v>
      </c>
      <c r="J102">
        <v>1.2041869658968301</v>
      </c>
      <c r="K102">
        <v>0.22851732262102201</v>
      </c>
      <c r="L102">
        <v>2.12962456281103</v>
      </c>
      <c r="M102">
        <v>0.57874762808349101</v>
      </c>
    </row>
    <row r="103" spans="1:13" x14ac:dyDescent="0.2">
      <c r="A103" s="9"/>
      <c r="B103" s="1" t="s">
        <v>109</v>
      </c>
      <c r="C103">
        <v>0.54386576815598897</v>
      </c>
      <c r="D103">
        <v>1.7226533855501101</v>
      </c>
      <c r="E103">
        <v>0.82627990560588505</v>
      </c>
      <c r="F103">
        <v>-0.81524373145697104</v>
      </c>
      <c r="G103">
        <v>1.90297526776895</v>
      </c>
      <c r="H103">
        <v>0.44253145537961103</v>
      </c>
      <c r="I103">
        <v>6.7058163903889199</v>
      </c>
      <c r="J103">
        <v>0.65821008651685498</v>
      </c>
      <c r="K103">
        <v>0.51040314436030998</v>
      </c>
      <c r="L103">
        <v>0.97029087797295499</v>
      </c>
      <c r="M103">
        <v>0.60285714285714198</v>
      </c>
    </row>
    <row r="104" spans="1:13" x14ac:dyDescent="0.2">
      <c r="A104" s="9"/>
      <c r="B104" s="1" t="s">
        <v>110</v>
      </c>
      <c r="C104">
        <v>-0.18199400036575999</v>
      </c>
      <c r="D104">
        <v>0.83360634173388204</v>
      </c>
      <c r="E104">
        <v>0.72760510275322199</v>
      </c>
      <c r="F104">
        <v>-1.37879789261779</v>
      </c>
      <c r="G104">
        <v>1.01480989188627</v>
      </c>
      <c r="H104">
        <v>0.25188115934177602</v>
      </c>
      <c r="I104">
        <v>2.75883886986577</v>
      </c>
      <c r="J104">
        <v>-0.25012743819017202</v>
      </c>
      <c r="K104">
        <v>0.80248879763431702</v>
      </c>
      <c r="L104">
        <v>0.31744684185518801</v>
      </c>
      <c r="M104">
        <v>0.51233396584440205</v>
      </c>
    </row>
    <row r="105" spans="1:13" x14ac:dyDescent="0.2">
      <c r="A105" s="9" t="s">
        <v>503</v>
      </c>
      <c r="B105" s="1" t="s">
        <v>99</v>
      </c>
      <c r="C105">
        <v>-0.57745351390309596</v>
      </c>
      <c r="D105">
        <v>0.56132595686952502</v>
      </c>
      <c r="E105">
        <v>0.91386864713847005</v>
      </c>
      <c r="F105">
        <v>-2.0806336727060399</v>
      </c>
      <c r="G105">
        <v>0.92572664489985101</v>
      </c>
      <c r="H105">
        <v>0.124851072409962</v>
      </c>
      <c r="I105">
        <v>2.5237014290183</v>
      </c>
      <c r="J105">
        <v>-0.631878022855072</v>
      </c>
      <c r="K105">
        <v>0.52746658513796696</v>
      </c>
      <c r="L105">
        <v>0.92284839250389605</v>
      </c>
      <c r="M105">
        <v>0.51351351351351304</v>
      </c>
    </row>
    <row r="106" spans="1:13" x14ac:dyDescent="0.2">
      <c r="A106" s="9"/>
      <c r="B106" s="1" t="s">
        <v>100</v>
      </c>
      <c r="C106">
        <v>-1.55626236310429</v>
      </c>
      <c r="D106">
        <v>0.210922953157062</v>
      </c>
      <c r="E106">
        <v>0.86272383262844599</v>
      </c>
      <c r="F106">
        <v>-2.9753167882606699</v>
      </c>
      <c r="G106">
        <v>-0.13720793794791999</v>
      </c>
      <c r="H106">
        <v>5.1031265337481597E-2</v>
      </c>
      <c r="I106">
        <v>0.87178892928254004</v>
      </c>
      <c r="J106">
        <v>-1.8038940205962</v>
      </c>
      <c r="K106">
        <v>7.1247922535337599E-2</v>
      </c>
      <c r="L106">
        <v>3.8110082414578601</v>
      </c>
      <c r="M106">
        <v>0.60826115922718105</v>
      </c>
    </row>
    <row r="107" spans="1:13" x14ac:dyDescent="0.2">
      <c r="A107" s="9"/>
      <c r="B107" s="1" t="s">
        <v>374</v>
      </c>
      <c r="C107">
        <v>-0.30452462143154502</v>
      </c>
      <c r="D107">
        <v>0.73747387034865297</v>
      </c>
      <c r="E107">
        <v>0.65500896187677604</v>
      </c>
      <c r="F107">
        <v>-1.38191848806027</v>
      </c>
      <c r="G107">
        <v>0.77286924519718903</v>
      </c>
      <c r="H107">
        <v>0.25109636529312002</v>
      </c>
      <c r="I107">
        <v>2.1659720514557401</v>
      </c>
      <c r="J107">
        <v>-0.464916725046021</v>
      </c>
      <c r="K107">
        <v>0.641991092828051</v>
      </c>
      <c r="L107">
        <v>0.63937481377334004</v>
      </c>
      <c r="M107">
        <v>0.50729927007299203</v>
      </c>
    </row>
    <row r="108" spans="1:13" x14ac:dyDescent="0.2">
      <c r="A108" s="9"/>
      <c r="B108" s="1" t="s">
        <v>101</v>
      </c>
      <c r="C108">
        <v>-0.54904226138712797</v>
      </c>
      <c r="D108">
        <v>0.577502642183501</v>
      </c>
      <c r="E108">
        <v>0.64803093613663998</v>
      </c>
      <c r="F108">
        <v>-1.6149582970682299</v>
      </c>
      <c r="G108">
        <v>0.51687377429398196</v>
      </c>
      <c r="H108">
        <v>0.19889896493782799</v>
      </c>
      <c r="I108">
        <v>1.6767774625331699</v>
      </c>
      <c r="J108">
        <v>-0.84724699203458997</v>
      </c>
      <c r="K108">
        <v>0.39685746575067699</v>
      </c>
      <c r="L108">
        <v>1.3333071489236901</v>
      </c>
      <c r="M108">
        <v>0.52341849148418496</v>
      </c>
    </row>
    <row r="109" spans="1:13" x14ac:dyDescent="0.2">
      <c r="A109" s="9"/>
      <c r="B109" s="1" t="s">
        <v>102</v>
      </c>
      <c r="C109">
        <v>-1.5593284191779699</v>
      </c>
      <c r="D109">
        <v>0.21027724195467801</v>
      </c>
      <c r="E109">
        <v>1.01266563151913</v>
      </c>
      <c r="F109">
        <v>-3.2250151560713198</v>
      </c>
      <c r="G109">
        <v>0.106358317715377</v>
      </c>
      <c r="H109">
        <v>3.97551790393261E-2</v>
      </c>
      <c r="I109">
        <v>1.1122203333640399</v>
      </c>
      <c r="J109">
        <v>-1.5398255560809</v>
      </c>
      <c r="K109">
        <v>0.12360288072591499</v>
      </c>
      <c r="L109">
        <v>3.0162157273686798</v>
      </c>
      <c r="M109">
        <v>0.55275229357798095</v>
      </c>
    </row>
    <row r="110" spans="1:13" x14ac:dyDescent="0.2">
      <c r="A110" s="9"/>
      <c r="B110" s="1" t="s">
        <v>49</v>
      </c>
      <c r="C110">
        <v>-0.84089299411219498</v>
      </c>
      <c r="D110">
        <v>0.43132518055355101</v>
      </c>
      <c r="E110">
        <v>0.88222039139030395</v>
      </c>
      <c r="F110">
        <v>-2.29201640466108</v>
      </c>
      <c r="G110">
        <v>0.61023041643669296</v>
      </c>
      <c r="H110">
        <v>0.101062473418921</v>
      </c>
      <c r="I110">
        <v>1.84085551328612</v>
      </c>
      <c r="J110">
        <v>-0.95315524592105505</v>
      </c>
      <c r="K110">
        <v>0.34051141810811802</v>
      </c>
      <c r="L110">
        <v>1.5542249190530399</v>
      </c>
      <c r="M110">
        <v>0.50831792975970402</v>
      </c>
    </row>
    <row r="111" spans="1:13" x14ac:dyDescent="0.2">
      <c r="A111" s="9"/>
      <c r="B111" s="1" t="s">
        <v>103</v>
      </c>
      <c r="C111">
        <v>2.24858842548681</v>
      </c>
      <c r="D111">
        <v>9.4743526381770593</v>
      </c>
      <c r="E111">
        <v>0.92018646221898903</v>
      </c>
      <c r="F111">
        <v>0.73501638563426797</v>
      </c>
      <c r="G111">
        <v>3.7621604653393601</v>
      </c>
      <c r="H111">
        <v>2.0855161647301901</v>
      </c>
      <c r="I111">
        <v>43.041314869954597</v>
      </c>
      <c r="J111">
        <v>2.44362258934395</v>
      </c>
      <c r="K111">
        <v>1.4540628671321099E-2</v>
      </c>
      <c r="L111">
        <v>6.1037665435302602</v>
      </c>
      <c r="M111">
        <v>0.67857142857142805</v>
      </c>
    </row>
    <row r="112" spans="1:13" x14ac:dyDescent="0.2">
      <c r="A112" s="9"/>
      <c r="B112" s="1" t="s">
        <v>75</v>
      </c>
      <c r="C112">
        <v>-8.5701348022063306E-2</v>
      </c>
      <c r="D112">
        <v>0.91786831347781495</v>
      </c>
      <c r="E112">
        <v>0.71381887415527501</v>
      </c>
      <c r="F112">
        <v>-1.2598289121627799</v>
      </c>
      <c r="G112">
        <v>1.08842621611865</v>
      </c>
      <c r="H112">
        <v>0.28370256040534297</v>
      </c>
      <c r="I112">
        <v>2.9695968893721001</v>
      </c>
      <c r="J112">
        <v>-0.12006035581992799</v>
      </c>
      <c r="K112">
        <v>0.90443533664012199</v>
      </c>
      <c r="L112">
        <v>0.144910735040789</v>
      </c>
      <c r="M112">
        <v>0.48436502871729398</v>
      </c>
    </row>
    <row r="113" spans="1:13" x14ac:dyDescent="0.2">
      <c r="A113" s="9"/>
      <c r="B113" s="1" t="s">
        <v>104</v>
      </c>
      <c r="C113">
        <v>-0.83347251955576396</v>
      </c>
      <c r="D113">
        <v>0.43453772263365797</v>
      </c>
      <c r="E113">
        <v>0.57067769421089198</v>
      </c>
      <c r="F113">
        <v>-1.7721537946988499</v>
      </c>
      <c r="G113">
        <v>0.105208755587324</v>
      </c>
      <c r="H113">
        <v>0.16996652132657999</v>
      </c>
      <c r="I113">
        <v>1.1109425016049701</v>
      </c>
      <c r="J113">
        <v>-1.4604960523439601</v>
      </c>
      <c r="K113">
        <v>0.14415379170078599</v>
      </c>
      <c r="L113">
        <v>2.79431931011157</v>
      </c>
      <c r="M113">
        <v>0.55932203389830504</v>
      </c>
    </row>
    <row r="114" spans="1:13" x14ac:dyDescent="0.2">
      <c r="A114" s="9"/>
      <c r="B114" s="1" t="s">
        <v>373</v>
      </c>
      <c r="C114">
        <v>-0.50705898243719305</v>
      </c>
      <c r="D114">
        <v>0.602264246422339</v>
      </c>
      <c r="E114">
        <v>0.68462867059077503</v>
      </c>
      <c r="F114">
        <v>-1.6331729343733901</v>
      </c>
      <c r="G114">
        <v>0.61905496949900796</v>
      </c>
      <c r="H114">
        <v>0.19530888766583099</v>
      </c>
      <c r="I114">
        <v>1.85717212797441</v>
      </c>
      <c r="J114">
        <v>-0.74063357878314595</v>
      </c>
      <c r="K114">
        <v>0.45891564243726102</v>
      </c>
      <c r="L114">
        <v>1.1236991121030699</v>
      </c>
      <c r="M114">
        <v>0.56540607563546097</v>
      </c>
    </row>
    <row r="115" spans="1:13" x14ac:dyDescent="0.2">
      <c r="A115" s="9"/>
      <c r="B115" s="1" t="s">
        <v>9</v>
      </c>
      <c r="C115">
        <v>-1.14717943294091</v>
      </c>
      <c r="D115">
        <v>0.31753112532298899</v>
      </c>
      <c r="E115">
        <v>0.777220312628076</v>
      </c>
      <c r="F115">
        <v>-2.4255930831075601</v>
      </c>
      <c r="G115">
        <v>0.131234217225736</v>
      </c>
      <c r="H115">
        <v>8.8425659722200595E-2</v>
      </c>
      <c r="I115">
        <v>1.1402348126736099</v>
      </c>
      <c r="J115">
        <v>-1.4760028968644201</v>
      </c>
      <c r="K115">
        <v>0.13994311456111799</v>
      </c>
      <c r="L115">
        <v>2.8370875892762801</v>
      </c>
      <c r="M115">
        <v>0.54088050314465397</v>
      </c>
    </row>
    <row r="116" spans="1:13" x14ac:dyDescent="0.2">
      <c r="A116" s="9"/>
      <c r="B116" s="1" t="s">
        <v>105</v>
      </c>
      <c r="C116">
        <v>1.4763534258717399</v>
      </c>
      <c r="D116">
        <v>4.3769556509855603</v>
      </c>
      <c r="E116">
        <v>0.86603239365183704</v>
      </c>
      <c r="F116">
        <v>5.1856902116052997E-2</v>
      </c>
      <c r="G116">
        <v>2.90084994962743</v>
      </c>
      <c r="H116">
        <v>1.0532250174580799</v>
      </c>
      <c r="I116">
        <v>18.189599044020799</v>
      </c>
      <c r="J116">
        <v>1.7047323364503</v>
      </c>
      <c r="K116">
        <v>8.8244356073715904E-2</v>
      </c>
      <c r="L116">
        <v>3.5023521802276498</v>
      </c>
      <c r="M116">
        <v>0.61538461538461497</v>
      </c>
    </row>
    <row r="117" spans="1:13" x14ac:dyDescent="0.2">
      <c r="A117" s="9"/>
      <c r="B117" s="1" t="s">
        <v>106</v>
      </c>
      <c r="C117">
        <v>-0.27650162670163803</v>
      </c>
      <c r="D117">
        <v>0.75843238538746305</v>
      </c>
      <c r="E117">
        <v>0.85304980089881499</v>
      </c>
      <c r="F117">
        <v>-1.6796436856802801</v>
      </c>
      <c r="G117">
        <v>1.1266404322770001</v>
      </c>
      <c r="H117">
        <v>0.18644039558830999</v>
      </c>
      <c r="I117">
        <v>3.0852738827839201</v>
      </c>
      <c r="J117">
        <v>-0.32413304171726198</v>
      </c>
      <c r="K117">
        <v>0.74583731247385798</v>
      </c>
      <c r="L117">
        <v>0.423067121355227</v>
      </c>
      <c r="M117">
        <v>0.52493917274939095</v>
      </c>
    </row>
    <row r="118" spans="1:13" x14ac:dyDescent="0.2">
      <c r="A118" s="9"/>
      <c r="B118" s="1" t="s">
        <v>107</v>
      </c>
      <c r="C118">
        <v>0.96944441405264903</v>
      </c>
      <c r="D118">
        <v>2.6364792615419899</v>
      </c>
      <c r="E118">
        <v>1.05310624264247</v>
      </c>
      <c r="F118">
        <v>-0.76276120872306996</v>
      </c>
      <c r="G118">
        <v>2.7016500368283598</v>
      </c>
      <c r="H118">
        <v>0.46637688356079099</v>
      </c>
      <c r="I118">
        <v>14.904304097299701</v>
      </c>
      <c r="J118">
        <v>0.92055708607338205</v>
      </c>
      <c r="K118">
        <v>0.35728171591362801</v>
      </c>
      <c r="L118">
        <v>1.48486600977942</v>
      </c>
      <c r="M118">
        <v>0.58918222794591102</v>
      </c>
    </row>
    <row r="119" spans="1:13" x14ac:dyDescent="0.2">
      <c r="A119" s="9"/>
      <c r="B119" s="1" t="s">
        <v>108</v>
      </c>
      <c r="C119">
        <v>1.15727136214543</v>
      </c>
      <c r="D119">
        <v>3.1812409678992299</v>
      </c>
      <c r="E119">
        <v>0.89647545595383205</v>
      </c>
      <c r="F119">
        <v>-0.31729954305320401</v>
      </c>
      <c r="G119">
        <v>2.63184226734406</v>
      </c>
      <c r="H119">
        <v>0.72811262137942301</v>
      </c>
      <c r="I119">
        <v>13.899352653257599</v>
      </c>
      <c r="J119">
        <v>1.2909124889695001</v>
      </c>
      <c r="K119">
        <v>0.196734024265589</v>
      </c>
      <c r="L119">
        <v>2.3456816080673799</v>
      </c>
      <c r="M119">
        <v>0.522970421648835</v>
      </c>
    </row>
    <row r="120" spans="1:13" x14ac:dyDescent="0.2">
      <c r="A120" s="9"/>
      <c r="B120" s="1" t="s">
        <v>109</v>
      </c>
      <c r="C120">
        <v>0.79621181603932401</v>
      </c>
      <c r="D120">
        <v>2.2171261185303299</v>
      </c>
      <c r="E120">
        <v>0.71812773410516995</v>
      </c>
      <c r="F120">
        <v>-0.38500319201800698</v>
      </c>
      <c r="G120">
        <v>1.9774268240966499</v>
      </c>
      <c r="H120">
        <v>0.68044846419737004</v>
      </c>
      <c r="I120">
        <v>7.2241300908330901</v>
      </c>
      <c r="J120">
        <v>1.1087328593867001</v>
      </c>
      <c r="K120">
        <v>0.26754544209762798</v>
      </c>
      <c r="L120">
        <v>1.90214414348185</v>
      </c>
      <c r="M120">
        <v>0.50413533834586399</v>
      </c>
    </row>
    <row r="121" spans="1:13" x14ac:dyDescent="0.2">
      <c r="A121" s="9"/>
      <c r="B121" s="1" t="s">
        <v>110</v>
      </c>
      <c r="C121">
        <v>-0.90995939545043203</v>
      </c>
      <c r="D121">
        <v>0.40254056868027399</v>
      </c>
      <c r="E121">
        <v>1.05378775995264</v>
      </c>
      <c r="F121">
        <v>-2.6432860144456098</v>
      </c>
      <c r="G121">
        <v>0.82336722354474701</v>
      </c>
      <c r="H121">
        <v>7.1127160247708807E-2</v>
      </c>
      <c r="I121">
        <v>2.2781580041874099</v>
      </c>
      <c r="J121">
        <v>-0.86351296725188798</v>
      </c>
      <c r="K121">
        <v>0.38785549297508098</v>
      </c>
      <c r="L121">
        <v>1.36640886103427</v>
      </c>
      <c r="M121">
        <v>0.56824264049955397</v>
      </c>
    </row>
    <row r="122" spans="1:13" x14ac:dyDescent="0.2">
      <c r="A122" s="9" t="s">
        <v>504</v>
      </c>
      <c r="B122" s="1" t="s">
        <v>99</v>
      </c>
      <c r="C122">
        <v>-1.75532734466218</v>
      </c>
      <c r="D122">
        <v>0.17285065129178401</v>
      </c>
      <c r="E122">
        <v>1.1495181416471001</v>
      </c>
      <c r="F122">
        <v>-3.6461164291969301</v>
      </c>
      <c r="G122">
        <v>0.13546173987256399</v>
      </c>
      <c r="H122">
        <v>2.6092263422283098E-2</v>
      </c>
      <c r="I122">
        <v>1.1450653846487899</v>
      </c>
      <c r="J122">
        <v>-1.52701143293575</v>
      </c>
      <c r="K122">
        <v>0.12675816844570101</v>
      </c>
      <c r="L122">
        <v>2.9798493756951001</v>
      </c>
      <c r="M122">
        <v>0.58698940998487104</v>
      </c>
    </row>
    <row r="123" spans="1:13" x14ac:dyDescent="0.2">
      <c r="A123" s="9"/>
      <c r="B123" s="1" t="s">
        <v>100</v>
      </c>
      <c r="C123">
        <v>-1.4086687665486399</v>
      </c>
      <c r="D123">
        <v>0.244468511288151</v>
      </c>
      <c r="E123">
        <v>0.99848936660597998</v>
      </c>
      <c r="F123">
        <v>-3.0510376226829599</v>
      </c>
      <c r="G123">
        <v>0.233700089585683</v>
      </c>
      <c r="H123">
        <v>4.7309809182885597E-2</v>
      </c>
      <c r="I123">
        <v>1.26326556888893</v>
      </c>
      <c r="J123">
        <v>-1.4107999680927199</v>
      </c>
      <c r="K123">
        <v>0.158303603915223</v>
      </c>
      <c r="L123">
        <v>2.6592339948674999</v>
      </c>
      <c r="M123">
        <v>0.53895071542130302</v>
      </c>
    </row>
    <row r="124" spans="1:13" x14ac:dyDescent="0.2">
      <c r="A124" s="9"/>
      <c r="B124" s="1" t="s">
        <v>374</v>
      </c>
      <c r="C124">
        <v>-1.7586614080640901</v>
      </c>
      <c r="D124">
        <v>0.17227531589660999</v>
      </c>
      <c r="E124">
        <v>0.73050208865491795</v>
      </c>
      <c r="F124">
        <v>-2.9602304180837602</v>
      </c>
      <c r="G124">
        <v>-0.55709239804442801</v>
      </c>
      <c r="H124">
        <v>5.1806978532620201E-2</v>
      </c>
      <c r="I124">
        <v>0.57287232932508603</v>
      </c>
      <c r="J124">
        <v>-2.4074693767164099</v>
      </c>
      <c r="K124">
        <v>1.6063509337278601E-2</v>
      </c>
      <c r="L124">
        <v>5.96006908207446</v>
      </c>
      <c r="M124">
        <v>0.62533692722371903</v>
      </c>
    </row>
    <row r="125" spans="1:13" x14ac:dyDescent="0.2">
      <c r="A125" s="9"/>
      <c r="B125" s="1" t="s">
        <v>101</v>
      </c>
      <c r="C125">
        <v>-1.6627845082407999</v>
      </c>
      <c r="D125">
        <v>0.18961027298080599</v>
      </c>
      <c r="E125">
        <v>0.76586040574954195</v>
      </c>
      <c r="F125">
        <v>-2.9225127743764601</v>
      </c>
      <c r="G125">
        <v>-0.40305624210514601</v>
      </c>
      <c r="H125">
        <v>5.3798334239948897E-2</v>
      </c>
      <c r="I125">
        <v>0.66827451310117303</v>
      </c>
      <c r="J125">
        <v>-2.1711326186309998</v>
      </c>
      <c r="K125">
        <v>2.9921148983601299E-2</v>
      </c>
      <c r="L125">
        <v>5.0626906134423404</v>
      </c>
      <c r="M125">
        <v>0.63477088948786997</v>
      </c>
    </row>
    <row r="126" spans="1:13" x14ac:dyDescent="0.2">
      <c r="A126" s="9"/>
      <c r="B126" s="1" t="s">
        <v>102</v>
      </c>
      <c r="C126">
        <v>-2.3783866731385599</v>
      </c>
      <c r="D126">
        <v>9.2700012354293204E-2</v>
      </c>
      <c r="E126">
        <v>1.2961226079422199</v>
      </c>
      <c r="F126">
        <v>-4.5103186457861302</v>
      </c>
      <c r="G126">
        <v>-0.24645470049099699</v>
      </c>
      <c r="H126">
        <v>1.0994956121123599E-2</v>
      </c>
      <c r="I126">
        <v>0.78156676532583302</v>
      </c>
      <c r="J126">
        <v>-1.83500130200999</v>
      </c>
      <c r="K126">
        <v>6.65054965399655E-2</v>
      </c>
      <c r="L126">
        <v>3.9103826085105302</v>
      </c>
      <c r="M126">
        <v>0.59386281588447598</v>
      </c>
    </row>
    <row r="127" spans="1:13" x14ac:dyDescent="0.2">
      <c r="A127" s="9"/>
      <c r="B127" s="1" t="s">
        <v>49</v>
      </c>
      <c r="C127">
        <v>-2.4170823784241602</v>
      </c>
      <c r="D127">
        <v>8.9181435930724001E-2</v>
      </c>
      <c r="E127">
        <v>1.22576533406241</v>
      </c>
      <c r="F127">
        <v>-4.4332869339481098</v>
      </c>
      <c r="G127">
        <v>-0.40087782290021101</v>
      </c>
      <c r="H127">
        <v>1.18753918234347E-2</v>
      </c>
      <c r="I127">
        <v>0.66973188193848299</v>
      </c>
      <c r="J127">
        <v>-1.9718965051927899</v>
      </c>
      <c r="K127">
        <v>4.8621422348229998E-2</v>
      </c>
      <c r="L127">
        <v>4.3622640918683198</v>
      </c>
      <c r="M127">
        <v>0.58355795148247902</v>
      </c>
    </row>
    <row r="128" spans="1:13" x14ac:dyDescent="0.2">
      <c r="A128" s="9"/>
      <c r="B128" s="1" t="s">
        <v>103</v>
      </c>
      <c r="C128">
        <v>-1.1392764873427299</v>
      </c>
      <c r="D128">
        <v>0.32005049865473401</v>
      </c>
      <c r="E128">
        <v>0.77356579836271799</v>
      </c>
      <c r="F128">
        <v>-2.4116789964652598</v>
      </c>
      <c r="G128">
        <v>0.13312602177978999</v>
      </c>
      <c r="H128">
        <v>8.96646215352781E-2</v>
      </c>
      <c r="I128">
        <v>1.1423939557793401</v>
      </c>
      <c r="J128">
        <v>-1.47275964081408</v>
      </c>
      <c r="K128">
        <v>0.14081585846134601</v>
      </c>
      <c r="L128">
        <v>2.8281182777076102</v>
      </c>
      <c r="M128">
        <v>0.57412398921832797</v>
      </c>
    </row>
    <row r="129" spans="1:13" x14ac:dyDescent="0.2">
      <c r="A129" s="9"/>
      <c r="B129" s="1" t="s">
        <v>75</v>
      </c>
      <c r="C129">
        <v>-1.4383281179174801</v>
      </c>
      <c r="D129">
        <v>0.23732420527034201</v>
      </c>
      <c r="E129">
        <v>0.96220602921060305</v>
      </c>
      <c r="F129">
        <v>-3.0210161949391101</v>
      </c>
      <c r="G129">
        <v>0.144359959104153</v>
      </c>
      <c r="H129">
        <v>4.87516519996994E-2</v>
      </c>
      <c r="I129">
        <v>1.1552998944024799</v>
      </c>
      <c r="J129">
        <v>-1.4948234310041499</v>
      </c>
      <c r="K129">
        <v>0.13496052955371901</v>
      </c>
      <c r="L129">
        <v>2.88939055533843</v>
      </c>
      <c r="M129">
        <v>0.56198347107437996</v>
      </c>
    </row>
    <row r="130" spans="1:13" x14ac:dyDescent="0.2">
      <c r="A130" s="9"/>
      <c r="B130" s="1" t="s">
        <v>104</v>
      </c>
      <c r="C130">
        <v>-1.0930009452787399</v>
      </c>
      <c r="D130">
        <v>0.33520903882186398</v>
      </c>
      <c r="E130">
        <v>0.68069383204874401</v>
      </c>
      <c r="F130">
        <v>-2.2126426637676202</v>
      </c>
      <c r="G130">
        <v>2.6640773210125899E-2</v>
      </c>
      <c r="H130">
        <v>0.10941112930584999</v>
      </c>
      <c r="I130">
        <v>1.0269988110055099</v>
      </c>
      <c r="J130">
        <v>-1.60571595307253</v>
      </c>
      <c r="K130">
        <v>0.10833633447902</v>
      </c>
      <c r="L130">
        <v>3.2064109112087</v>
      </c>
      <c r="M130">
        <v>0.60022026431718001</v>
      </c>
    </row>
    <row r="131" spans="1:13" x14ac:dyDescent="0.2">
      <c r="A131" s="9"/>
      <c r="B131" s="1" t="s">
        <v>373</v>
      </c>
      <c r="C131">
        <v>-0.118200776469036</v>
      </c>
      <c r="D131">
        <v>0.888517641270125</v>
      </c>
      <c r="E131">
        <v>0.88874646587554496</v>
      </c>
      <c r="F131">
        <v>-1.5800586243047301</v>
      </c>
      <c r="G131">
        <v>1.34365707136665</v>
      </c>
      <c r="H131">
        <v>0.20596302341190101</v>
      </c>
      <c r="I131">
        <v>3.83303558944848</v>
      </c>
      <c r="J131">
        <v>-0.13299718311969999</v>
      </c>
      <c r="K131">
        <v>0.89419560825480604</v>
      </c>
      <c r="L131">
        <v>0.161337634630349</v>
      </c>
      <c r="M131">
        <v>0.47155688622754399</v>
      </c>
    </row>
    <row r="132" spans="1:13" x14ac:dyDescent="0.2">
      <c r="A132" s="9"/>
      <c r="B132" s="1" t="s">
        <v>9</v>
      </c>
      <c r="C132">
        <v>-2.2377772993907201</v>
      </c>
      <c r="D132">
        <v>0.10669539293043501</v>
      </c>
      <c r="E132">
        <v>1.0264665909525901</v>
      </c>
      <c r="F132">
        <v>-3.9261645944636099</v>
      </c>
      <c r="G132">
        <v>-0.54939000431783402</v>
      </c>
      <c r="H132">
        <v>1.9719158670932001E-2</v>
      </c>
      <c r="I132">
        <v>0.57730185463546602</v>
      </c>
      <c r="J132">
        <v>-2.1800780649996501</v>
      </c>
      <c r="K132">
        <v>2.9251675412194599E-2</v>
      </c>
      <c r="L132">
        <v>5.0953369312447503</v>
      </c>
      <c r="M132">
        <v>0.64420485175202102</v>
      </c>
    </row>
    <row r="133" spans="1:13" x14ac:dyDescent="0.2">
      <c r="A133" s="9"/>
      <c r="B133" s="1" t="s">
        <v>105</v>
      </c>
      <c r="C133">
        <v>-1.0889993765228401</v>
      </c>
      <c r="D133">
        <v>0.33655308819783097</v>
      </c>
      <c r="E133">
        <v>0.84359807405643505</v>
      </c>
      <c r="F133">
        <v>-2.4765947283238501</v>
      </c>
      <c r="G133">
        <v>0.29859597527815401</v>
      </c>
      <c r="H133">
        <v>8.4028880115969096E-2</v>
      </c>
      <c r="I133">
        <v>1.3479649022952001</v>
      </c>
      <c r="J133">
        <v>-1.2908983673782</v>
      </c>
      <c r="K133">
        <v>0.196738921620078</v>
      </c>
      <c r="L133">
        <v>2.3456456951076299</v>
      </c>
      <c r="M133">
        <v>0.59824046920821095</v>
      </c>
    </row>
    <row r="134" spans="1:13" x14ac:dyDescent="0.2">
      <c r="A134" s="9"/>
      <c r="B134" s="1" t="s">
        <v>106</v>
      </c>
      <c r="C134">
        <v>-0.74181622871873498</v>
      </c>
      <c r="D134">
        <v>0.47624815397403902</v>
      </c>
      <c r="E134">
        <v>0.88707062269732395</v>
      </c>
      <c r="F134">
        <v>-2.2009175598245299</v>
      </c>
      <c r="G134">
        <v>0.71728510238706</v>
      </c>
      <c r="H134">
        <v>0.110701536465004</v>
      </c>
      <c r="I134">
        <v>2.0488631992509001</v>
      </c>
      <c r="J134">
        <v>-0.83625385593661805</v>
      </c>
      <c r="K134">
        <v>0.40301210642562801</v>
      </c>
      <c r="L134">
        <v>1.31110491713193</v>
      </c>
      <c r="M134">
        <v>0.54160363086232899</v>
      </c>
    </row>
    <row r="135" spans="1:13" x14ac:dyDescent="0.2">
      <c r="A135" s="9"/>
      <c r="B135" s="1" t="s">
        <v>107</v>
      </c>
      <c r="C135">
        <v>-1.4858380823488699</v>
      </c>
      <c r="D135">
        <v>0.22631259258613701</v>
      </c>
      <c r="E135">
        <v>0.97072932607748796</v>
      </c>
      <c r="F135">
        <v>-3.0825457351355801</v>
      </c>
      <c r="G135">
        <v>0.110869570437839</v>
      </c>
      <c r="H135">
        <v>4.5842405353918099E-2</v>
      </c>
      <c r="I135">
        <v>1.1172491750300699</v>
      </c>
      <c r="J135">
        <v>-1.5306409752271799</v>
      </c>
      <c r="K135">
        <v>0.12585814894633299</v>
      </c>
      <c r="L135">
        <v>2.9901294650880401</v>
      </c>
      <c r="M135">
        <v>0.59131736526946099</v>
      </c>
    </row>
    <row r="136" spans="1:13" x14ac:dyDescent="0.2">
      <c r="A136" s="9"/>
      <c r="B136" s="1" t="s">
        <v>108</v>
      </c>
      <c r="C136">
        <v>0.63231133095672798</v>
      </c>
      <c r="D136">
        <v>1.8819553779204401</v>
      </c>
      <c r="E136">
        <v>0.75143581345524302</v>
      </c>
      <c r="F136">
        <v>-0.60369059222635901</v>
      </c>
      <c r="G136">
        <v>1.86831325413981</v>
      </c>
      <c r="H136">
        <v>0.54678992907893498</v>
      </c>
      <c r="I136">
        <v>6.4773615169718797</v>
      </c>
      <c r="J136">
        <v>0.841470847721832</v>
      </c>
      <c r="K136">
        <v>0.40008420995205202</v>
      </c>
      <c r="L136">
        <v>1.3216244036529701</v>
      </c>
      <c r="M136">
        <v>0.58625336927223703</v>
      </c>
    </row>
    <row r="137" spans="1:13" x14ac:dyDescent="0.2">
      <c r="A137" s="9"/>
      <c r="B137" s="1" t="s">
        <v>109</v>
      </c>
      <c r="C137">
        <v>-1.0974726264483601</v>
      </c>
      <c r="D137">
        <v>0.33371343729383501</v>
      </c>
      <c r="E137">
        <v>0.836997697592199</v>
      </c>
      <c r="F137">
        <v>-2.4742113250829201</v>
      </c>
      <c r="G137">
        <v>0.27926607218619398</v>
      </c>
      <c r="H137">
        <v>8.4229393678586506E-2</v>
      </c>
      <c r="I137">
        <v>1.3221590868316799</v>
      </c>
      <c r="J137">
        <v>-1.3112014878959299</v>
      </c>
      <c r="K137">
        <v>0.189789699818875</v>
      </c>
      <c r="L137">
        <v>2.3975263976993602</v>
      </c>
      <c r="M137">
        <v>0.63140161725067301</v>
      </c>
    </row>
    <row r="138" spans="1:13" x14ac:dyDescent="0.2">
      <c r="A138" s="9"/>
      <c r="B138" s="1" t="s">
        <v>110</v>
      </c>
      <c r="C138">
        <v>0.741902843188745</v>
      </c>
      <c r="D138">
        <v>2.0999275480145299</v>
      </c>
      <c r="E138">
        <v>0.77871531355019996</v>
      </c>
      <c r="F138">
        <v>-0.53896986466695396</v>
      </c>
      <c r="G138">
        <v>2.0227755510444401</v>
      </c>
      <c r="H138">
        <v>0.58334887124527701</v>
      </c>
      <c r="I138">
        <v>7.5592770026226797</v>
      </c>
      <c r="J138">
        <v>0.95272666439083398</v>
      </c>
      <c r="K138">
        <v>0.34072857962703601</v>
      </c>
      <c r="L138">
        <v>1.5533051320233</v>
      </c>
      <c r="M138">
        <v>0.51440329218106995</v>
      </c>
    </row>
    <row r="139" spans="1:13" x14ac:dyDescent="0.2">
      <c r="A139" s="9" t="s">
        <v>505</v>
      </c>
      <c r="B139" s="1" t="s">
        <v>99</v>
      </c>
      <c r="C139">
        <v>-1.77314739881691</v>
      </c>
      <c r="D139">
        <v>0.16979772576292801</v>
      </c>
      <c r="E139">
        <v>0.99682636586278595</v>
      </c>
      <c r="F139">
        <v>-3.4127808621471698</v>
      </c>
      <c r="G139">
        <v>-0.13351393548665699</v>
      </c>
      <c r="H139">
        <v>3.2949444991132698E-2</v>
      </c>
      <c r="I139">
        <v>0.87501527512896105</v>
      </c>
      <c r="J139">
        <v>-1.77879263584907</v>
      </c>
      <c r="K139">
        <v>7.5273764970827606E-2</v>
      </c>
      <c r="L139">
        <v>3.7317090571679001</v>
      </c>
      <c r="M139">
        <v>0.611328125</v>
      </c>
    </row>
    <row r="140" spans="1:13" x14ac:dyDescent="0.2">
      <c r="A140" s="9"/>
      <c r="B140" s="1" t="s">
        <v>100</v>
      </c>
      <c r="C140">
        <v>-0.62753663264053505</v>
      </c>
      <c r="D140">
        <v>0.533905387524235</v>
      </c>
      <c r="E140">
        <v>0.752251216238492</v>
      </c>
      <c r="F140">
        <v>-1.8648797740490699</v>
      </c>
      <c r="G140">
        <v>0.60980650876800502</v>
      </c>
      <c r="H140">
        <v>0.154914833548536</v>
      </c>
      <c r="I140">
        <v>1.84007532589248</v>
      </c>
      <c r="J140">
        <v>-0.83421152281870403</v>
      </c>
      <c r="K140">
        <v>0.40416179903643801</v>
      </c>
      <c r="L140">
        <v>1.3069951287985699</v>
      </c>
      <c r="M140">
        <v>0.54152249134948005</v>
      </c>
    </row>
    <row r="141" spans="1:13" x14ac:dyDescent="0.2">
      <c r="A141" s="9"/>
      <c r="B141" s="1" t="s">
        <v>374</v>
      </c>
      <c r="C141">
        <v>-2.225438049583</v>
      </c>
      <c r="D141">
        <v>0.108020090114035</v>
      </c>
      <c r="E141">
        <v>0.89052345862021098</v>
      </c>
      <c r="F141">
        <v>-3.6902187903798298</v>
      </c>
      <c r="G141">
        <v>-0.76065730878618498</v>
      </c>
      <c r="H141">
        <v>2.4966539006115802E-2</v>
      </c>
      <c r="I141">
        <v>0.46735912676507102</v>
      </c>
      <c r="J141">
        <v>-2.4990223761551702</v>
      </c>
      <c r="K141">
        <v>1.24536447308797E-2</v>
      </c>
      <c r="L141">
        <v>6.3272881610843399</v>
      </c>
      <c r="M141">
        <v>0.62454212454212399</v>
      </c>
    </row>
    <row r="142" spans="1:13" x14ac:dyDescent="0.2">
      <c r="A142" s="9"/>
      <c r="B142" s="1" t="s">
        <v>101</v>
      </c>
      <c r="C142">
        <v>-2.5937388052691999</v>
      </c>
      <c r="D142">
        <v>7.4740078451300498E-2</v>
      </c>
      <c r="E142">
        <v>1.05761574925283</v>
      </c>
      <c r="F142">
        <v>-4.3333619063487196</v>
      </c>
      <c r="G142">
        <v>-0.85411570418967397</v>
      </c>
      <c r="H142">
        <v>1.31233537577948E-2</v>
      </c>
      <c r="I142">
        <v>0.42565943355665398</v>
      </c>
      <c r="J142">
        <v>-2.4524396569373801</v>
      </c>
      <c r="K142">
        <v>1.4189117584764E-2</v>
      </c>
      <c r="L142">
        <v>6.1390713181824301</v>
      </c>
      <c r="M142">
        <v>0.60068846815834698</v>
      </c>
    </row>
    <row r="143" spans="1:13" x14ac:dyDescent="0.2">
      <c r="A143" s="9"/>
      <c r="B143" s="1" t="s">
        <v>102</v>
      </c>
      <c r="C143">
        <v>-1.7333797956646</v>
      </c>
      <c r="D143">
        <v>0.17668623631144001</v>
      </c>
      <c r="E143">
        <v>1.0657013544873899</v>
      </c>
      <c r="F143">
        <v>-3.4863025338403002</v>
      </c>
      <c r="G143">
        <v>1.9542942511088401E-2</v>
      </c>
      <c r="H143">
        <v>3.06138568637302E-2</v>
      </c>
      <c r="I143">
        <v>1.01973515590868</v>
      </c>
      <c r="J143">
        <v>-1.6265155227266801</v>
      </c>
      <c r="K143">
        <v>0.103840033928738</v>
      </c>
      <c r="L143">
        <v>3.2675653350507701</v>
      </c>
      <c r="M143">
        <v>0.60073260073260004</v>
      </c>
    </row>
    <row r="144" spans="1:13" x14ac:dyDescent="0.2">
      <c r="A144" s="9"/>
      <c r="B144" s="1" t="s">
        <v>49</v>
      </c>
      <c r="C144">
        <v>-1.0765778218865401</v>
      </c>
      <c r="D144">
        <v>0.34075967284362202</v>
      </c>
      <c r="E144">
        <v>0.71763142920304401</v>
      </c>
      <c r="F144">
        <v>-2.2569764810255299</v>
      </c>
      <c r="G144">
        <v>0.103820837252455</v>
      </c>
      <c r="H144">
        <v>0.104666467875177</v>
      </c>
      <c r="I144">
        <v>1.10940167365703</v>
      </c>
      <c r="J144">
        <v>-1.50018209637518</v>
      </c>
      <c r="K144">
        <v>0.133567239610033</v>
      </c>
      <c r="L144">
        <v>2.9043618973138701</v>
      </c>
      <c r="M144">
        <v>0.60207612456747395</v>
      </c>
    </row>
    <row r="145" spans="1:13" x14ac:dyDescent="0.2">
      <c r="A145" s="9"/>
      <c r="B145" s="1" t="s">
        <v>103</v>
      </c>
      <c r="C145">
        <v>-1.2621714022352</v>
      </c>
      <c r="D145">
        <v>0.28303876774146902</v>
      </c>
      <c r="E145">
        <v>1.1401169311361401</v>
      </c>
      <c r="F145">
        <v>-3.1374968715632701</v>
      </c>
      <c r="G145">
        <v>0.61315406709286002</v>
      </c>
      <c r="H145">
        <v>4.3391276014899297E-2</v>
      </c>
      <c r="I145">
        <v>1.84624540695925</v>
      </c>
      <c r="J145">
        <v>-1.1070543448358701</v>
      </c>
      <c r="K145">
        <v>0.26827043295379399</v>
      </c>
      <c r="L145">
        <v>1.89824003612007</v>
      </c>
      <c r="M145">
        <v>0.55311355311355304</v>
      </c>
    </row>
    <row r="146" spans="1:13" x14ac:dyDescent="0.2">
      <c r="A146" s="9"/>
      <c r="B146" s="1" t="s">
        <v>75</v>
      </c>
      <c r="C146">
        <v>-3.4972064795236601</v>
      </c>
      <c r="D146">
        <v>3.0281858367549999E-2</v>
      </c>
      <c r="E146">
        <v>1.14316833155038</v>
      </c>
      <c r="F146">
        <v>-5.3775510558903701</v>
      </c>
      <c r="G146">
        <v>-1.61686190315695</v>
      </c>
      <c r="H146">
        <v>4.6191200569606202E-3</v>
      </c>
      <c r="I146">
        <v>0.19852069980526499</v>
      </c>
      <c r="J146">
        <v>-3.05922267351536</v>
      </c>
      <c r="K146">
        <v>2.2191214024513701E-3</v>
      </c>
      <c r="L146">
        <v>8.8157956888155091</v>
      </c>
      <c r="M146">
        <v>0.66666666666666596</v>
      </c>
    </row>
    <row r="147" spans="1:13" x14ac:dyDescent="0.2">
      <c r="A147" s="9"/>
      <c r="B147" s="1" t="s">
        <v>104</v>
      </c>
      <c r="C147">
        <v>-0.86851124071196795</v>
      </c>
      <c r="D147">
        <v>0.41957573177129398</v>
      </c>
      <c r="E147">
        <v>0.78153523399607605</v>
      </c>
      <c r="F147">
        <v>-2.1540223049407801</v>
      </c>
      <c r="G147">
        <v>0.416999823516845</v>
      </c>
      <c r="H147">
        <v>0.116016564002959</v>
      </c>
      <c r="I147">
        <v>1.51740224513912</v>
      </c>
      <c r="J147">
        <v>-1.1112886571615801</v>
      </c>
      <c r="K147">
        <v>0.26644412019896502</v>
      </c>
      <c r="L147">
        <v>1.9080950983568301</v>
      </c>
      <c r="M147">
        <v>0.55144694533761995</v>
      </c>
    </row>
    <row r="148" spans="1:13" x14ac:dyDescent="0.2">
      <c r="A148" s="9"/>
      <c r="B148" s="1" t="s">
        <v>373</v>
      </c>
      <c r="C148">
        <v>-0.32589186891351801</v>
      </c>
      <c r="D148">
        <v>0.72188324123080505</v>
      </c>
      <c r="E148">
        <v>1.1974345892570299</v>
      </c>
      <c r="F148">
        <v>-2.2954964960900899</v>
      </c>
      <c r="G148">
        <v>1.64371275826306</v>
      </c>
      <c r="H148">
        <v>0.100711378047721</v>
      </c>
      <c r="I148">
        <v>5.1743449853597197</v>
      </c>
      <c r="J148">
        <v>-0.27215838914067297</v>
      </c>
      <c r="K148">
        <v>0.78550023521841905</v>
      </c>
      <c r="L148">
        <v>0.34831638735210901</v>
      </c>
      <c r="M148">
        <v>0.52631578947368396</v>
      </c>
    </row>
    <row r="149" spans="1:13" x14ac:dyDescent="0.2">
      <c r="A149" s="9"/>
      <c r="B149" s="1" t="s">
        <v>9</v>
      </c>
      <c r="C149">
        <v>-1.49096505226222</v>
      </c>
      <c r="D149">
        <v>0.22515526406230599</v>
      </c>
      <c r="E149">
        <v>1.04846744664106</v>
      </c>
      <c r="F149">
        <v>-3.2155405346103301</v>
      </c>
      <c r="G149">
        <v>0.23361043008587901</v>
      </c>
      <c r="H149">
        <v>4.0133634341091698E-2</v>
      </c>
      <c r="I149">
        <v>1.2631523102073401</v>
      </c>
      <c r="J149">
        <v>-1.4220422932908101</v>
      </c>
      <c r="K149">
        <v>0.15501397348264001</v>
      </c>
      <c r="L149">
        <v>2.6895298241268102</v>
      </c>
      <c r="M149">
        <v>0.590032154340836</v>
      </c>
    </row>
    <row r="150" spans="1:13" x14ac:dyDescent="0.2">
      <c r="A150" s="9"/>
      <c r="B150" s="1" t="s">
        <v>105</v>
      </c>
      <c r="C150">
        <v>2.4493520913211801</v>
      </c>
      <c r="D150">
        <v>11.580840960596399</v>
      </c>
      <c r="E150">
        <v>1.0734187183716699</v>
      </c>
      <c r="F150">
        <v>0.68373541916992298</v>
      </c>
      <c r="G150">
        <v>4.21496876347243</v>
      </c>
      <c r="H150">
        <v>1.9812647812232</v>
      </c>
      <c r="I150">
        <v>67.692051373278801</v>
      </c>
      <c r="J150">
        <v>2.2818235320478801</v>
      </c>
      <c r="K150">
        <v>2.2499760883526398E-2</v>
      </c>
      <c r="L150">
        <v>5.4739465205094602</v>
      </c>
      <c r="M150">
        <v>0.60368663594469996</v>
      </c>
    </row>
    <row r="151" spans="1:13" x14ac:dyDescent="0.2">
      <c r="A151" s="9"/>
      <c r="B151" s="1" t="s">
        <v>106</v>
      </c>
      <c r="C151">
        <v>-0.292469346540078</v>
      </c>
      <c r="D151">
        <v>0.74641812498328397</v>
      </c>
      <c r="E151">
        <v>0.75141140341555801</v>
      </c>
      <c r="F151">
        <v>-1.5284311187808499</v>
      </c>
      <c r="G151">
        <v>0.94349242570069802</v>
      </c>
      <c r="H151">
        <v>0.216875652686328</v>
      </c>
      <c r="I151">
        <v>2.5689375935129202</v>
      </c>
      <c r="J151">
        <v>-0.38922665428106601</v>
      </c>
      <c r="K151">
        <v>0.69710848776011103</v>
      </c>
      <c r="L151">
        <v>0.520544901384704</v>
      </c>
      <c r="M151">
        <v>0.52688172043010695</v>
      </c>
    </row>
    <row r="152" spans="1:13" x14ac:dyDescent="0.2">
      <c r="A152" s="9"/>
      <c r="B152" s="1" t="s">
        <v>107</v>
      </c>
      <c r="C152">
        <v>-1.1102478180770701</v>
      </c>
      <c r="D152">
        <v>0.32947730052606899</v>
      </c>
      <c r="E152">
        <v>0.875860480424976</v>
      </c>
      <c r="F152">
        <v>-2.5509101060075499</v>
      </c>
      <c r="G152">
        <v>0.330414469853402</v>
      </c>
      <c r="H152">
        <v>7.8010635735283898E-2</v>
      </c>
      <c r="I152">
        <v>1.39154476231049</v>
      </c>
      <c r="J152">
        <v>-1.2676080755902699</v>
      </c>
      <c r="K152">
        <v>0.20493794659912901</v>
      </c>
      <c r="L152">
        <v>2.2867409543561301</v>
      </c>
      <c r="M152">
        <v>0.56374807987711195</v>
      </c>
    </row>
    <row r="153" spans="1:13" x14ac:dyDescent="0.2">
      <c r="A153" s="9"/>
      <c r="B153" s="1" t="s">
        <v>108</v>
      </c>
      <c r="C153">
        <v>3.0651752904907701</v>
      </c>
      <c r="D153">
        <v>21.438219573867801</v>
      </c>
      <c r="E153">
        <v>0.95506439325560999</v>
      </c>
      <c r="F153">
        <v>1.49423415927207</v>
      </c>
      <c r="G153">
        <v>4.6361164217094704</v>
      </c>
      <c r="H153">
        <v>4.4559227186896102</v>
      </c>
      <c r="I153">
        <v>103.143004830328</v>
      </c>
      <c r="J153">
        <v>3.2093912328175498</v>
      </c>
      <c r="K153">
        <v>1.33016362370811E-3</v>
      </c>
      <c r="L153">
        <v>9.5541805617981499</v>
      </c>
      <c r="M153">
        <v>0.67032967032966995</v>
      </c>
    </row>
    <row r="154" spans="1:13" x14ac:dyDescent="0.2">
      <c r="A154" s="9"/>
      <c r="B154" s="1" t="s">
        <v>109</v>
      </c>
      <c r="C154">
        <v>2.6172309062871799E-2</v>
      </c>
      <c r="D154">
        <v>1.0265178115575699</v>
      </c>
      <c r="E154">
        <v>0.82336213667499203</v>
      </c>
      <c r="F154">
        <v>-1.3281378877415</v>
      </c>
      <c r="G154">
        <v>1.3804825058672401</v>
      </c>
      <c r="H154">
        <v>0.26497020646736402</v>
      </c>
      <c r="I154">
        <v>3.9768200036283901</v>
      </c>
      <c r="J154">
        <v>3.1787117596352298E-2</v>
      </c>
      <c r="K154">
        <v>0.97464182011493306</v>
      </c>
      <c r="L154">
        <v>3.70559675982578E-2</v>
      </c>
      <c r="M154">
        <v>0.48262548262548199</v>
      </c>
    </row>
    <row r="155" spans="1:13" x14ac:dyDescent="0.2">
      <c r="A155" s="9"/>
      <c r="B155" s="1" t="s">
        <v>110</v>
      </c>
      <c r="C155">
        <v>-0.144082823942632</v>
      </c>
      <c r="D155">
        <v>0.86581603479186198</v>
      </c>
      <c r="E155">
        <v>0.712585544460831</v>
      </c>
      <c r="F155">
        <v>-1.3161817412622201</v>
      </c>
      <c r="G155">
        <v>1.02801609337695</v>
      </c>
      <c r="H155">
        <v>0.26815724344365699</v>
      </c>
      <c r="I155">
        <v>2.7955142903316998</v>
      </c>
      <c r="J155">
        <v>-0.20219723100284201</v>
      </c>
      <c r="K155">
        <v>0.83976253776453202</v>
      </c>
      <c r="L155">
        <v>0.25194666464112198</v>
      </c>
      <c r="M155">
        <v>0.47923875432525898</v>
      </c>
    </row>
    <row r="156" spans="1:13" x14ac:dyDescent="0.2">
      <c r="A156" s="9" t="s">
        <v>506</v>
      </c>
      <c r="B156" s="1" t="s">
        <v>99</v>
      </c>
      <c r="C156">
        <v>-3.1622663010658698E-2</v>
      </c>
      <c r="D156">
        <v>0.96887210439524396</v>
      </c>
      <c r="E156">
        <v>0.695647823853764</v>
      </c>
      <c r="F156">
        <v>-1.17586150915742</v>
      </c>
      <c r="G156">
        <v>1.1126161831360999</v>
      </c>
      <c r="H156">
        <v>0.30855304387854798</v>
      </c>
      <c r="I156">
        <v>3.0423072249605201</v>
      </c>
      <c r="J156">
        <v>-4.5457862335390897E-2</v>
      </c>
      <c r="K156">
        <v>0.96374236114037304</v>
      </c>
      <c r="L156">
        <v>5.3280574971054699E-2</v>
      </c>
      <c r="M156">
        <v>0.53067729083665305</v>
      </c>
    </row>
    <row r="157" spans="1:13" x14ac:dyDescent="0.2">
      <c r="A157" s="9"/>
      <c r="B157" s="1" t="s">
        <v>100</v>
      </c>
      <c r="C157">
        <v>-8.8599464625539706E-2</v>
      </c>
      <c r="D157">
        <v>0.91521207498232604</v>
      </c>
      <c r="E157">
        <v>0.77140851729775595</v>
      </c>
      <c r="F157">
        <v>-1.35745356216401</v>
      </c>
      <c r="G157">
        <v>1.18025463291293</v>
      </c>
      <c r="H157">
        <v>0.25731518051238</v>
      </c>
      <c r="I157">
        <v>3.2552029791850998</v>
      </c>
      <c r="J157">
        <v>-0.114854143607207</v>
      </c>
      <c r="K157">
        <v>0.90856073257613001</v>
      </c>
      <c r="L157">
        <v>0.138345140518324</v>
      </c>
      <c r="M157">
        <v>0.51071975497702904</v>
      </c>
    </row>
    <row r="158" spans="1:13" x14ac:dyDescent="0.2">
      <c r="A158" s="9"/>
      <c r="B158" s="1" t="s">
        <v>374</v>
      </c>
      <c r="C158">
        <v>-0.56565796117622702</v>
      </c>
      <c r="D158">
        <v>0.56798631084510298</v>
      </c>
      <c r="E158">
        <v>0.68586101258507604</v>
      </c>
      <c r="F158">
        <v>-1.6937989353114</v>
      </c>
      <c r="G158">
        <v>0.56248301295894498</v>
      </c>
      <c r="H158">
        <v>0.18381987605771</v>
      </c>
      <c r="I158">
        <v>1.7550248440280001</v>
      </c>
      <c r="J158">
        <v>-0.82474138461990598</v>
      </c>
      <c r="K158">
        <v>0.40951843087032203</v>
      </c>
      <c r="L158">
        <v>1.28799971133159</v>
      </c>
      <c r="M158">
        <v>0.56814701378254195</v>
      </c>
    </row>
    <row r="159" spans="1:13" x14ac:dyDescent="0.2">
      <c r="A159" s="9"/>
      <c r="B159" s="1" t="s">
        <v>101</v>
      </c>
      <c r="C159">
        <v>-0.62980228497254398</v>
      </c>
      <c r="D159">
        <v>0.532697112819977</v>
      </c>
      <c r="E159">
        <v>0.69366587193963503</v>
      </c>
      <c r="F159">
        <v>-1.7707811103249</v>
      </c>
      <c r="G159">
        <v>0.51117654037981997</v>
      </c>
      <c r="H159">
        <v>0.170199991918556</v>
      </c>
      <c r="I159">
        <v>1.6672516303204401</v>
      </c>
      <c r="J159">
        <v>-0.90793321460587995</v>
      </c>
      <c r="K159">
        <v>0.36391350783450099</v>
      </c>
      <c r="L159">
        <v>1.4583324923910199</v>
      </c>
      <c r="M159">
        <v>0.56738131699846805</v>
      </c>
    </row>
    <row r="160" spans="1:13" x14ac:dyDescent="0.2">
      <c r="A160" s="9"/>
      <c r="B160" s="1" t="s">
        <v>102</v>
      </c>
      <c r="C160">
        <v>0.47696798150396003</v>
      </c>
      <c r="D160">
        <v>1.61118185560849</v>
      </c>
      <c r="E160">
        <v>0.54028204068148999</v>
      </c>
      <c r="F160">
        <v>-0.41171689268773198</v>
      </c>
      <c r="G160">
        <v>1.36565285569565</v>
      </c>
      <c r="H160">
        <v>0.662511811442832</v>
      </c>
      <c r="I160">
        <v>3.9182802887522801</v>
      </c>
      <c r="J160">
        <v>0.88281294877455396</v>
      </c>
      <c r="K160">
        <v>0.37733734311787898</v>
      </c>
      <c r="L160">
        <v>1.4060732116356001</v>
      </c>
      <c r="M160">
        <v>0.49146757679180803</v>
      </c>
    </row>
    <row r="161" spans="1:13" x14ac:dyDescent="0.2">
      <c r="A161" s="9"/>
      <c r="B161" s="1" t="s">
        <v>49</v>
      </c>
      <c r="C161">
        <v>0.359835626365484</v>
      </c>
      <c r="D161">
        <v>1.4330938323572899</v>
      </c>
      <c r="E161">
        <v>0.53322038895755797</v>
      </c>
      <c r="F161">
        <v>-0.51723386437582897</v>
      </c>
      <c r="G161">
        <v>1.23690511710679</v>
      </c>
      <c r="H161">
        <v>0.59616734902472501</v>
      </c>
      <c r="I161">
        <v>3.4449352781568301</v>
      </c>
      <c r="J161">
        <v>0.67483470965722103</v>
      </c>
      <c r="K161">
        <v>0.49978078543728799</v>
      </c>
      <c r="L161">
        <v>1.00063265822306</v>
      </c>
      <c r="M161">
        <v>0.48737201365187699</v>
      </c>
    </row>
    <row r="162" spans="1:13" x14ac:dyDescent="0.2">
      <c r="A162" s="9"/>
      <c r="B162" s="1" t="s">
        <v>103</v>
      </c>
      <c r="C162">
        <v>8.0719791541708705E-2</v>
      </c>
      <c r="D162">
        <v>1.08406708923629</v>
      </c>
      <c r="E162">
        <v>0.76788053852627802</v>
      </c>
      <c r="F162">
        <v>-1.1823312973186799</v>
      </c>
      <c r="G162">
        <v>1.3437708804021</v>
      </c>
      <c r="H162">
        <v>0.30656321487508098</v>
      </c>
      <c r="I162">
        <v>3.8334718483563899</v>
      </c>
      <c r="J162">
        <v>0.105120246564168</v>
      </c>
      <c r="K162">
        <v>0.91628039387617599</v>
      </c>
      <c r="L162">
        <v>0.12613894530566899</v>
      </c>
      <c r="M162">
        <v>0.523505976095617</v>
      </c>
    </row>
    <row r="163" spans="1:13" x14ac:dyDescent="0.2">
      <c r="A163" s="9"/>
      <c r="B163" s="1" t="s">
        <v>75</v>
      </c>
      <c r="C163">
        <v>-0.79826807864189797</v>
      </c>
      <c r="D163">
        <v>0.45010784082890598</v>
      </c>
      <c r="E163">
        <v>0.64222367924610102</v>
      </c>
      <c r="F163">
        <v>-1.85463202676396</v>
      </c>
      <c r="G163">
        <v>0.25809586948016999</v>
      </c>
      <c r="H163">
        <v>0.156510523764057</v>
      </c>
      <c r="I163">
        <v>1.29446291216223</v>
      </c>
      <c r="J163">
        <v>-1.2429751571586001</v>
      </c>
      <c r="K163">
        <v>0.21387698818301901</v>
      </c>
      <c r="L163">
        <v>2.22514682893503</v>
      </c>
      <c r="M163">
        <v>0.53619302949061598</v>
      </c>
    </row>
    <row r="164" spans="1:13" x14ac:dyDescent="0.2">
      <c r="A164" s="9"/>
      <c r="B164" s="1" t="s">
        <v>104</v>
      </c>
      <c r="C164">
        <v>-0.84799338251807099</v>
      </c>
      <c r="D164">
        <v>0.42827345129510702</v>
      </c>
      <c r="E164">
        <v>0.45805917845694399</v>
      </c>
      <c r="F164">
        <v>-1.6014336835613801</v>
      </c>
      <c r="G164">
        <v>-9.4553081474753803E-2</v>
      </c>
      <c r="H164">
        <v>0.201607269670533</v>
      </c>
      <c r="I164">
        <v>0.90977944090986596</v>
      </c>
      <c r="J164">
        <v>-1.8512747313015101</v>
      </c>
      <c r="K164">
        <v>6.4130039405605299E-2</v>
      </c>
      <c r="L164">
        <v>3.96285589611447</v>
      </c>
      <c r="M164">
        <v>0.580563947633434</v>
      </c>
    </row>
    <row r="165" spans="1:13" x14ac:dyDescent="0.2">
      <c r="A165" s="9"/>
      <c r="B165" s="1" t="s">
        <v>373</v>
      </c>
      <c r="C165">
        <v>0.32935732699028702</v>
      </c>
      <c r="D165">
        <v>1.3900744779835199</v>
      </c>
      <c r="E165">
        <v>0.68180949650192302</v>
      </c>
      <c r="F165">
        <v>-0.79211949622085698</v>
      </c>
      <c r="G165">
        <v>1.4508341502014299</v>
      </c>
      <c r="H165">
        <v>0.45288389162944898</v>
      </c>
      <c r="I165">
        <v>4.2666720765643698</v>
      </c>
      <c r="J165">
        <v>0.48306356640686399</v>
      </c>
      <c r="K165">
        <v>0.62905060230752696</v>
      </c>
      <c r="L165">
        <v>0.66875201933803796</v>
      </c>
      <c r="M165">
        <v>0.55469183786785103</v>
      </c>
    </row>
    <row r="166" spans="1:13" x14ac:dyDescent="0.2">
      <c r="A166" s="9"/>
      <c r="B166" s="1" t="s">
        <v>9</v>
      </c>
      <c r="C166">
        <v>-0.86023275737616001</v>
      </c>
      <c r="D166">
        <v>0.42306359968350199</v>
      </c>
      <c r="E166">
        <v>0.59163036191937501</v>
      </c>
      <c r="F166">
        <v>-1.8333781039938499</v>
      </c>
      <c r="G166">
        <v>0.11291258924153499</v>
      </c>
      <c r="H166">
        <v>0.15987258831808701</v>
      </c>
      <c r="I166">
        <v>1.1195340693493501</v>
      </c>
      <c r="J166">
        <v>-1.45400373737646</v>
      </c>
      <c r="K166">
        <v>0.14594527002299201</v>
      </c>
      <c r="L166">
        <v>2.7765006399563901</v>
      </c>
      <c r="M166">
        <v>0.56006240249609895</v>
      </c>
    </row>
    <row r="167" spans="1:13" x14ac:dyDescent="0.2">
      <c r="A167" s="9"/>
      <c r="B167" s="1" t="s">
        <v>105</v>
      </c>
      <c r="C167">
        <v>0.87589946695840504</v>
      </c>
      <c r="D167">
        <v>2.4010339737163702</v>
      </c>
      <c r="E167">
        <v>0.62220197179405601</v>
      </c>
      <c r="F167">
        <v>-0.14753170304340499</v>
      </c>
      <c r="G167">
        <v>1.8993306369602101</v>
      </c>
      <c r="H167">
        <v>0.86283508338965997</v>
      </c>
      <c r="I167">
        <v>6.6814206491146502</v>
      </c>
      <c r="J167">
        <v>1.4077413873068201</v>
      </c>
      <c r="K167">
        <v>0.159207661810775</v>
      </c>
      <c r="L167">
        <v>2.6510183281613902</v>
      </c>
      <c r="M167">
        <v>0.54498179927196999</v>
      </c>
    </row>
    <row r="168" spans="1:13" x14ac:dyDescent="0.2">
      <c r="A168" s="9"/>
      <c r="B168" s="1" t="s">
        <v>106</v>
      </c>
      <c r="C168">
        <v>-0.35696622122240901</v>
      </c>
      <c r="D168">
        <v>0.69979613559340204</v>
      </c>
      <c r="E168">
        <v>0.54764550098034803</v>
      </c>
      <c r="F168">
        <v>-1.2577629097935901</v>
      </c>
      <c r="G168">
        <v>0.54383046734877205</v>
      </c>
      <c r="H168">
        <v>0.28428929645762302</v>
      </c>
      <c r="I168">
        <v>1.72259257556837</v>
      </c>
      <c r="J168">
        <v>-0.65181987359231197</v>
      </c>
      <c r="K168">
        <v>0.51451737953142995</v>
      </c>
      <c r="L168">
        <v>0.95870828513384299</v>
      </c>
      <c r="M168">
        <v>0.57733619763694899</v>
      </c>
    </row>
    <row r="169" spans="1:13" x14ac:dyDescent="0.2">
      <c r="A169" s="9"/>
      <c r="B169" s="1" t="s">
        <v>107</v>
      </c>
      <c r="C169">
        <v>0</v>
      </c>
      <c r="D169">
        <v>1</v>
      </c>
      <c r="E169">
        <v>0.546531170575561</v>
      </c>
      <c r="F169">
        <v>-0.89896377816324502</v>
      </c>
      <c r="G169">
        <v>0.89896377816324502</v>
      </c>
      <c r="H169">
        <v>0.40699117445384198</v>
      </c>
      <c r="I169">
        <v>2.4570557367538401</v>
      </c>
      <c r="J169">
        <v>0</v>
      </c>
      <c r="K169">
        <v>1</v>
      </c>
      <c r="L169">
        <v>0</v>
      </c>
      <c r="M169">
        <v>0.5</v>
      </c>
    </row>
    <row r="170" spans="1:13" x14ac:dyDescent="0.2">
      <c r="A170" s="9"/>
      <c r="B170" s="1" t="s">
        <v>108</v>
      </c>
      <c r="C170">
        <v>0.46267337128486602</v>
      </c>
      <c r="D170">
        <v>1.5883144685670401</v>
      </c>
      <c r="E170">
        <v>0.59427528724395196</v>
      </c>
      <c r="F170">
        <v>-0.51482249034597505</v>
      </c>
      <c r="G170">
        <v>1.4401692329157001</v>
      </c>
      <c r="H170">
        <v>0.59760666615614999</v>
      </c>
      <c r="I170">
        <v>4.2214101580992898</v>
      </c>
      <c r="J170">
        <v>0.778550582896673</v>
      </c>
      <c r="K170">
        <v>0.43624449879939498</v>
      </c>
      <c r="L170">
        <v>1.19679115635561</v>
      </c>
      <c r="M170">
        <v>0.53359244863964395</v>
      </c>
    </row>
    <row r="171" spans="1:13" x14ac:dyDescent="0.2">
      <c r="A171" s="9"/>
      <c r="B171" s="1" t="s">
        <v>109</v>
      </c>
      <c r="C171">
        <v>-0.83168340098370996</v>
      </c>
      <c r="D171">
        <v>0.43531585802415501</v>
      </c>
      <c r="E171">
        <v>0.73839632677048095</v>
      </c>
      <c r="F171">
        <v>-2.0462372771997801</v>
      </c>
      <c r="G171">
        <v>0.38287047523235901</v>
      </c>
      <c r="H171">
        <v>0.129220209808525</v>
      </c>
      <c r="I171">
        <v>1.4664880712398001</v>
      </c>
      <c r="J171">
        <v>-1.1263374028704001</v>
      </c>
      <c r="K171">
        <v>0.26002273170412199</v>
      </c>
      <c r="L171">
        <v>1.94329034285183</v>
      </c>
      <c r="M171">
        <v>0.59291084854994602</v>
      </c>
    </row>
    <row r="172" spans="1:13" x14ac:dyDescent="0.2">
      <c r="A172" s="9"/>
      <c r="B172" s="1" t="s">
        <v>110</v>
      </c>
      <c r="C172">
        <v>1.2830621811723</v>
      </c>
      <c r="D172">
        <v>3.6076701680077199</v>
      </c>
      <c r="E172">
        <v>0.68057845537012995</v>
      </c>
      <c r="F172">
        <v>0.16361024043171099</v>
      </c>
      <c r="G172">
        <v>2.40251412191289</v>
      </c>
      <c r="H172">
        <v>1.1777551842710401</v>
      </c>
      <c r="I172">
        <v>11.0509248568397</v>
      </c>
      <c r="J172">
        <v>1.88525242174248</v>
      </c>
      <c r="K172">
        <v>5.9395766376215298E-2</v>
      </c>
      <c r="L172">
        <v>4.0734960878010602</v>
      </c>
      <c r="M172">
        <v>0.576946658491722</v>
      </c>
    </row>
    <row r="173" spans="1:13" x14ac:dyDescent="0.2">
      <c r="A173" s="9" t="s">
        <v>507</v>
      </c>
      <c r="B173" s="1" t="s">
        <v>99</v>
      </c>
      <c r="C173">
        <v>1.44832595853843</v>
      </c>
      <c r="D173">
        <v>4.25598385489074</v>
      </c>
      <c r="E173">
        <v>0.68243045118192003</v>
      </c>
      <c r="F173">
        <v>0.32582775576972201</v>
      </c>
      <c r="G173">
        <v>2.5708241613071401</v>
      </c>
      <c r="H173">
        <v>1.38517675961908</v>
      </c>
      <c r="I173">
        <v>13.076597226531399</v>
      </c>
      <c r="J173">
        <v>2.12230558590994</v>
      </c>
      <c r="K173">
        <v>3.3812084713649403E-2</v>
      </c>
      <c r="L173">
        <v>4.8863172201768696</v>
      </c>
      <c r="M173">
        <v>0.58302967204580902</v>
      </c>
    </row>
    <row r="174" spans="1:13" x14ac:dyDescent="0.2">
      <c r="A174" s="9"/>
      <c r="B174" s="1" t="s">
        <v>100</v>
      </c>
      <c r="C174">
        <v>1.1325697344446299</v>
      </c>
      <c r="D174">
        <v>3.1036217451608801</v>
      </c>
      <c r="E174">
        <v>0.65900037326729699</v>
      </c>
      <c r="F174">
        <v>4.8610580313548798E-2</v>
      </c>
      <c r="G174">
        <v>2.2165288885757199</v>
      </c>
      <c r="H174">
        <v>1.04981145388174</v>
      </c>
      <c r="I174">
        <v>9.1754265981941501</v>
      </c>
      <c r="J174">
        <v>1.7186177434610499</v>
      </c>
      <c r="K174">
        <v>8.5683998662327704E-2</v>
      </c>
      <c r="L174">
        <v>3.5448303810719501</v>
      </c>
      <c r="M174">
        <v>0.580544747081712</v>
      </c>
    </row>
    <row r="175" spans="1:13" x14ac:dyDescent="0.2">
      <c r="A175" s="9"/>
      <c r="B175" s="1" t="s">
        <v>374</v>
      </c>
      <c r="C175">
        <v>1.5774421959754901</v>
      </c>
      <c r="D175">
        <v>4.8425536536306097</v>
      </c>
      <c r="E175">
        <v>0.66147485778841497</v>
      </c>
      <c r="F175">
        <v>0.48941287700501501</v>
      </c>
      <c r="G175">
        <v>2.6654715149459798</v>
      </c>
      <c r="H175">
        <v>1.63135813085315</v>
      </c>
      <c r="I175">
        <v>14.374725846388699</v>
      </c>
      <c r="J175">
        <v>2.38473492590412</v>
      </c>
      <c r="K175">
        <v>1.70914314728568E-2</v>
      </c>
      <c r="L175">
        <v>5.8705829564642302</v>
      </c>
      <c r="M175">
        <v>0.59351047521716904</v>
      </c>
    </row>
    <row r="176" spans="1:13" x14ac:dyDescent="0.2">
      <c r="A176" s="9"/>
      <c r="B176" s="1" t="s">
        <v>101</v>
      </c>
      <c r="C176">
        <v>1.6044192761123901</v>
      </c>
      <c r="D176">
        <v>4.9749696799640502</v>
      </c>
      <c r="E176">
        <v>0.64735428823094698</v>
      </c>
      <c r="F176">
        <v>0.53961622719313596</v>
      </c>
      <c r="G176">
        <v>2.6692223250316598</v>
      </c>
      <c r="H176">
        <v>1.7153484317666801</v>
      </c>
      <c r="I176">
        <v>14.428743955576699</v>
      </c>
      <c r="J176">
        <v>2.4784253464928199</v>
      </c>
      <c r="K176">
        <v>1.3196372345531299E-2</v>
      </c>
      <c r="L176">
        <v>6.2437147994636204</v>
      </c>
      <c r="M176">
        <v>0.594532447623914</v>
      </c>
    </row>
    <row r="177" spans="1:13" x14ac:dyDescent="0.2">
      <c r="A177" s="9"/>
      <c r="B177" s="1" t="s">
        <v>102</v>
      </c>
      <c r="C177">
        <v>1.3511107709911001</v>
      </c>
      <c r="D177">
        <v>3.8617126276274898</v>
      </c>
      <c r="E177">
        <v>0.62182709401810399</v>
      </c>
      <c r="F177">
        <v>0.32829622005873399</v>
      </c>
      <c r="G177">
        <v>2.3739253219234802</v>
      </c>
      <c r="H177">
        <v>1.38860024261857</v>
      </c>
      <c r="I177">
        <v>10.739465514031201</v>
      </c>
      <c r="J177">
        <v>2.1728078174602099</v>
      </c>
      <c r="K177">
        <v>2.97947846957189E-2</v>
      </c>
      <c r="L177">
        <v>5.0687963675469003</v>
      </c>
      <c r="M177">
        <v>0.58814512008175701</v>
      </c>
    </row>
    <row r="178" spans="1:13" x14ac:dyDescent="0.2">
      <c r="A178" s="9"/>
      <c r="B178" s="1" t="s">
        <v>49</v>
      </c>
      <c r="C178">
        <v>1.2999866735522401</v>
      </c>
      <c r="D178">
        <v>3.6692477692547398</v>
      </c>
      <c r="E178">
        <v>0.65830269462176705</v>
      </c>
      <c r="F178">
        <v>0.21717509867170701</v>
      </c>
      <c r="G178">
        <v>2.3827982484327901</v>
      </c>
      <c r="H178">
        <v>1.24256165398581</v>
      </c>
      <c r="I178">
        <v>10.835180008166001</v>
      </c>
      <c r="J178">
        <v>1.9747552063403899</v>
      </c>
      <c r="K178">
        <v>4.8295934599466399E-2</v>
      </c>
      <c r="L178">
        <v>4.3719544371533496</v>
      </c>
      <c r="M178">
        <v>0.58124680633622805</v>
      </c>
    </row>
    <row r="179" spans="1:13" x14ac:dyDescent="0.2">
      <c r="A179" s="9"/>
      <c r="B179" s="1" t="s">
        <v>103</v>
      </c>
      <c r="C179">
        <v>1.21759429089382</v>
      </c>
      <c r="D179">
        <v>3.3790489389576699</v>
      </c>
      <c r="E179">
        <v>0.72856438941366697</v>
      </c>
      <c r="F179">
        <v>1.9212512499068E-2</v>
      </c>
      <c r="G179">
        <v>2.4159760692885701</v>
      </c>
      <c r="H179">
        <v>1.0193982604720999</v>
      </c>
      <c r="I179">
        <v>11.2006976807897</v>
      </c>
      <c r="J179">
        <v>1.6712239969259499</v>
      </c>
      <c r="K179">
        <v>9.4677442059283495E-2</v>
      </c>
      <c r="L179">
        <v>3.40083546108113</v>
      </c>
      <c r="M179">
        <v>0.562905317769131</v>
      </c>
    </row>
    <row r="180" spans="1:13" x14ac:dyDescent="0.2">
      <c r="A180" s="9"/>
      <c r="B180" s="1" t="s">
        <v>75</v>
      </c>
      <c r="C180">
        <v>0.91516730153898496</v>
      </c>
      <c r="D180">
        <v>2.4971930011910999</v>
      </c>
      <c r="E180">
        <v>0.68988570430905705</v>
      </c>
      <c r="F180">
        <v>-0.219593701375737</v>
      </c>
      <c r="G180">
        <v>2.0499283044537</v>
      </c>
      <c r="H180">
        <v>0.80284492649433503</v>
      </c>
      <c r="I180">
        <v>7.7673442023574202</v>
      </c>
      <c r="J180">
        <v>1.3265491599881101</v>
      </c>
      <c r="K180">
        <v>0.18465786298849801</v>
      </c>
      <c r="L180">
        <v>2.43707339907554</v>
      </c>
      <c r="M180">
        <v>0.56148613291470395</v>
      </c>
    </row>
    <row r="181" spans="1:13" x14ac:dyDescent="0.2">
      <c r="A181" s="9"/>
      <c r="B181" s="1" t="s">
        <v>104</v>
      </c>
      <c r="C181">
        <v>-0.59713728243060904</v>
      </c>
      <c r="D181">
        <v>0.55038497975174205</v>
      </c>
      <c r="E181">
        <v>0.596151406794728</v>
      </c>
      <c r="F181">
        <v>-1.5777190861091399</v>
      </c>
      <c r="G181">
        <v>0.383444521247921</v>
      </c>
      <c r="H181">
        <v>0.20644544587489899</v>
      </c>
      <c r="I181">
        <v>1.46733014454525</v>
      </c>
      <c r="J181">
        <v>-1.0016537336398801</v>
      </c>
      <c r="K181">
        <v>0.31651085935859502</v>
      </c>
      <c r="L181">
        <v>1.65967309610569</v>
      </c>
      <c r="M181">
        <v>0.53476510067114003</v>
      </c>
    </row>
    <row r="182" spans="1:13" x14ac:dyDescent="0.2">
      <c r="A182" s="9"/>
      <c r="B182" s="1" t="s">
        <v>373</v>
      </c>
      <c r="C182">
        <v>1.2091840787450201</v>
      </c>
      <c r="D182">
        <v>3.3507495890927199</v>
      </c>
      <c r="E182">
        <v>0.60352172745175803</v>
      </c>
      <c r="F182">
        <v>0.216479176401983</v>
      </c>
      <c r="G182">
        <v>2.20188898108806</v>
      </c>
      <c r="H182">
        <v>1.24169722848066</v>
      </c>
      <c r="I182">
        <v>9.0420776911477301</v>
      </c>
      <c r="J182">
        <v>2.0035468877823899</v>
      </c>
      <c r="K182">
        <v>4.5118620146974098E-2</v>
      </c>
      <c r="L182">
        <v>4.47013324299453</v>
      </c>
      <c r="M182">
        <v>0.61372705506783698</v>
      </c>
    </row>
    <row r="183" spans="1:13" x14ac:dyDescent="0.2">
      <c r="A183" s="9"/>
      <c r="B183" s="1" t="s">
        <v>9</v>
      </c>
      <c r="C183">
        <v>0.236369003264783</v>
      </c>
      <c r="D183">
        <v>1.26664161883502</v>
      </c>
      <c r="E183">
        <v>0.62070000920711299</v>
      </c>
      <c r="F183">
        <v>-0.78459165812834897</v>
      </c>
      <c r="G183">
        <v>1.25732966465791</v>
      </c>
      <c r="H183">
        <v>0.45630599259094201</v>
      </c>
      <c r="I183">
        <v>3.5160199879366201</v>
      </c>
      <c r="J183">
        <v>0.38081037499374698</v>
      </c>
      <c r="K183">
        <v>0.70334396018370404</v>
      </c>
      <c r="L183">
        <v>0.50769770389034097</v>
      </c>
      <c r="M183">
        <v>0.51803374054682905</v>
      </c>
    </row>
    <row r="184" spans="1:13" x14ac:dyDescent="0.2">
      <c r="A184" s="9"/>
      <c r="B184" s="1" t="s">
        <v>105</v>
      </c>
      <c r="C184">
        <v>-0.50550634872450395</v>
      </c>
      <c r="D184">
        <v>0.60320006850173902</v>
      </c>
      <c r="E184">
        <v>0.71814717778701398</v>
      </c>
      <c r="F184">
        <v>-1.6867533387924301</v>
      </c>
      <c r="G184">
        <v>0.67574064134342904</v>
      </c>
      <c r="H184">
        <v>0.18511956991941</v>
      </c>
      <c r="I184">
        <v>1.9654881588094699</v>
      </c>
      <c r="J184">
        <v>-0.70390355119438397</v>
      </c>
      <c r="K184">
        <v>0.48149283978872798</v>
      </c>
      <c r="L184">
        <v>1.05441375077107</v>
      </c>
      <c r="M184">
        <v>0.51660705160960596</v>
      </c>
    </row>
    <row r="185" spans="1:13" x14ac:dyDescent="0.2">
      <c r="A185" s="9"/>
      <c r="B185" s="1" t="s">
        <v>106</v>
      </c>
      <c r="C185">
        <v>0.218391219056319</v>
      </c>
      <c r="D185">
        <v>1.2440736777574799</v>
      </c>
      <c r="E185">
        <v>0.66480690729480996</v>
      </c>
      <c r="F185">
        <v>-0.87511883362994103</v>
      </c>
      <c r="G185">
        <v>1.31190127174258</v>
      </c>
      <c r="H185">
        <v>0.41681248539475202</v>
      </c>
      <c r="I185">
        <v>3.7132268584114301</v>
      </c>
      <c r="J185">
        <v>0.32850323403675602</v>
      </c>
      <c r="K185">
        <v>0.74253119943799295</v>
      </c>
      <c r="L185">
        <v>0.429476449002479</v>
      </c>
      <c r="M185">
        <v>0.50917671735710501</v>
      </c>
    </row>
    <row r="186" spans="1:13" x14ac:dyDescent="0.2">
      <c r="A186" s="9"/>
      <c r="B186" s="1" t="s">
        <v>107</v>
      </c>
      <c r="C186">
        <v>1.2550033899633899</v>
      </c>
      <c r="D186">
        <v>3.5078502658064199</v>
      </c>
      <c r="E186">
        <v>0.66194992550229104</v>
      </c>
      <c r="F186">
        <v>0.16619265414069301</v>
      </c>
      <c r="G186">
        <v>2.3438141257860901</v>
      </c>
      <c r="H186">
        <v>1.1808005659299701</v>
      </c>
      <c r="I186">
        <v>10.420907511698999</v>
      </c>
      <c r="J186">
        <v>1.8959189231890701</v>
      </c>
      <c r="K186">
        <v>5.79707662772306E-2</v>
      </c>
      <c r="L186">
        <v>4.1085306340043797</v>
      </c>
      <c r="M186">
        <v>0.56379585326953696</v>
      </c>
    </row>
    <row r="187" spans="1:13" x14ac:dyDescent="0.2">
      <c r="A187" s="9"/>
      <c r="B187" s="1" t="s">
        <v>108</v>
      </c>
      <c r="C187">
        <v>-1.1613732001477299</v>
      </c>
      <c r="D187">
        <v>0.313055997044558</v>
      </c>
      <c r="E187">
        <v>0.60986243026627096</v>
      </c>
      <c r="F187">
        <v>-2.1645076305126398</v>
      </c>
      <c r="G187">
        <v>-0.15823876978281801</v>
      </c>
      <c r="H187">
        <v>0.11480644787531499</v>
      </c>
      <c r="I187">
        <v>0.85364593277896295</v>
      </c>
      <c r="J187">
        <v>-1.9043199621932201</v>
      </c>
      <c r="K187">
        <v>5.6868525955370702E-2</v>
      </c>
      <c r="L187">
        <v>4.1362257799708999</v>
      </c>
      <c r="M187">
        <v>0.55390904445579903</v>
      </c>
    </row>
    <row r="188" spans="1:13" x14ac:dyDescent="0.2">
      <c r="A188" s="9"/>
      <c r="B188" s="1" t="s">
        <v>109</v>
      </c>
      <c r="C188">
        <v>-0.43041143168808299</v>
      </c>
      <c r="D188">
        <v>0.65024150971860994</v>
      </c>
      <c r="E188">
        <v>0.622005783485305</v>
      </c>
      <c r="F188">
        <v>-1.4535199006386801</v>
      </c>
      <c r="G188">
        <v>0.59269703726251199</v>
      </c>
      <c r="H188">
        <v>0.23374607541127301</v>
      </c>
      <c r="I188">
        <v>1.8088604063927101</v>
      </c>
      <c r="J188">
        <v>-0.69197335959859596</v>
      </c>
      <c r="K188">
        <v>0.48895405917886597</v>
      </c>
      <c r="L188">
        <v>1.0322291751258099</v>
      </c>
      <c r="M188">
        <v>0.54573326520183896</v>
      </c>
    </row>
    <row r="189" spans="1:13" x14ac:dyDescent="0.2">
      <c r="A189" s="9"/>
      <c r="B189" s="1" t="s">
        <v>110</v>
      </c>
      <c r="C189">
        <v>0.42918287806730399</v>
      </c>
      <c r="D189">
        <v>1.5360019097742199</v>
      </c>
      <c r="E189">
        <v>0.62367566149480402</v>
      </c>
      <c r="F189">
        <v>-0.596672295783782</v>
      </c>
      <c r="G189">
        <v>1.4550380519183901</v>
      </c>
      <c r="H189">
        <v>0.55064096092724202</v>
      </c>
      <c r="I189">
        <v>4.2846465015191901</v>
      </c>
      <c r="J189">
        <v>0.68815075617774402</v>
      </c>
      <c r="K189">
        <v>0.491357850530725</v>
      </c>
      <c r="L189">
        <v>1.0251539885881</v>
      </c>
      <c r="M189">
        <v>0.518278965129358</v>
      </c>
    </row>
    <row r="190" spans="1:13" x14ac:dyDescent="0.2">
      <c r="A190" s="9" t="s">
        <v>508</v>
      </c>
      <c r="B190" s="1" t="s">
        <v>99</v>
      </c>
      <c r="C190">
        <v>0.43393594213615599</v>
      </c>
      <c r="D190">
        <v>1.54332000316735</v>
      </c>
      <c r="E190">
        <v>0.64637449679275405</v>
      </c>
      <c r="F190">
        <v>-0.62925549328233799</v>
      </c>
      <c r="G190">
        <v>1.4971273775546501</v>
      </c>
      <c r="H190">
        <v>0.53298846682237799</v>
      </c>
      <c r="I190">
        <v>4.4688333433868399</v>
      </c>
      <c r="J190">
        <v>0.67133827879859598</v>
      </c>
      <c r="K190">
        <v>0.50200505449421995</v>
      </c>
      <c r="L190">
        <v>0.99422620470128498</v>
      </c>
      <c r="M190">
        <v>0.55943691345151203</v>
      </c>
    </row>
    <row r="191" spans="1:13" x14ac:dyDescent="0.2">
      <c r="A191" s="9"/>
      <c r="B191" s="1" t="s">
        <v>100</v>
      </c>
      <c r="C191">
        <v>0.75441645161851101</v>
      </c>
      <c r="D191">
        <v>2.1263703212803602</v>
      </c>
      <c r="E191">
        <v>0.59447039744706498</v>
      </c>
      <c r="F191">
        <v>-0.223400337737577</v>
      </c>
      <c r="G191">
        <v>1.7322332409746</v>
      </c>
      <c r="H191">
        <v>0.79979459723475499</v>
      </c>
      <c r="I191">
        <v>5.6532649243375799</v>
      </c>
      <c r="J191">
        <v>1.2690563817110601</v>
      </c>
      <c r="K191">
        <v>0.20442095566469001</v>
      </c>
      <c r="L191">
        <v>2.29038499702735</v>
      </c>
      <c r="M191">
        <v>0.56412930135557804</v>
      </c>
    </row>
    <row r="192" spans="1:13" x14ac:dyDescent="0.2">
      <c r="A192" s="9"/>
      <c r="B192" s="1" t="s">
        <v>374</v>
      </c>
      <c r="C192">
        <v>0.43688741263777697</v>
      </c>
      <c r="D192">
        <v>1.5478817953171899</v>
      </c>
      <c r="E192">
        <v>0.61770605274089496</v>
      </c>
      <c r="F192">
        <v>-0.57914862860296201</v>
      </c>
      <c r="G192">
        <v>1.4529234538785101</v>
      </c>
      <c r="H192">
        <v>0.56037525099401897</v>
      </c>
      <c r="I192">
        <v>4.27559576912856</v>
      </c>
      <c r="J192">
        <v>0.70727397068429698</v>
      </c>
      <c r="K192">
        <v>0.47939623792443598</v>
      </c>
      <c r="L192">
        <v>1.0607095074461099</v>
      </c>
      <c r="M192">
        <v>0.55118507312153298</v>
      </c>
    </row>
    <row r="193" spans="1:13" x14ac:dyDescent="0.2">
      <c r="A193" s="9"/>
      <c r="B193" s="1" t="s">
        <v>101</v>
      </c>
      <c r="C193">
        <v>0.16054498214405399</v>
      </c>
      <c r="D193">
        <v>1.17415058776363</v>
      </c>
      <c r="E193">
        <v>0.65015283687749403</v>
      </c>
      <c r="F193">
        <v>-0.90886126966668002</v>
      </c>
      <c r="G193">
        <v>1.22995123395478</v>
      </c>
      <c r="H193">
        <v>0.40298285165447101</v>
      </c>
      <c r="I193">
        <v>3.4210627005234202</v>
      </c>
      <c r="J193">
        <v>0.246934217675812</v>
      </c>
      <c r="K193">
        <v>0.80495913428130195</v>
      </c>
      <c r="L193">
        <v>0.31301255174237302</v>
      </c>
      <c r="M193">
        <v>0.50829268292682905</v>
      </c>
    </row>
    <row r="194" spans="1:13" x14ac:dyDescent="0.2">
      <c r="A194" s="9"/>
      <c r="B194" s="1" t="s">
        <v>102</v>
      </c>
      <c r="C194">
        <v>0.30074280757795702</v>
      </c>
      <c r="D194">
        <v>1.3508618654208</v>
      </c>
      <c r="E194">
        <v>0.62407728864058498</v>
      </c>
      <c r="F194">
        <v>-0.72577298414055003</v>
      </c>
      <c r="G194">
        <v>1.3272585992964601</v>
      </c>
      <c r="H194">
        <v>0.48395033840045598</v>
      </c>
      <c r="I194">
        <v>3.7706922273875501</v>
      </c>
      <c r="J194">
        <v>0.48189993940183101</v>
      </c>
      <c r="K194">
        <v>0.62987702916583899</v>
      </c>
      <c r="L194">
        <v>0.66685789600385903</v>
      </c>
      <c r="M194">
        <v>0.53151790216843098</v>
      </c>
    </row>
    <row r="195" spans="1:13" x14ac:dyDescent="0.2">
      <c r="A195" s="9"/>
      <c r="B195" s="1" t="s">
        <v>49</v>
      </c>
      <c r="C195">
        <v>0.32489096980957399</v>
      </c>
      <c r="D195">
        <v>1.38387975308195</v>
      </c>
      <c r="E195">
        <v>0.68856097488390799</v>
      </c>
      <c r="F195">
        <v>-0.80769104710546402</v>
      </c>
      <c r="G195">
        <v>1.4574729867246099</v>
      </c>
      <c r="H195">
        <v>0.44588640928358297</v>
      </c>
      <c r="I195">
        <v>4.2950920483699999</v>
      </c>
      <c r="J195">
        <v>0.471840521987687</v>
      </c>
      <c r="K195">
        <v>0.63704062476273104</v>
      </c>
      <c r="L195">
        <v>0.65054271726464596</v>
      </c>
      <c r="M195">
        <v>0.54261220373171903</v>
      </c>
    </row>
    <row r="196" spans="1:13" x14ac:dyDescent="0.2">
      <c r="A196" s="9"/>
      <c r="B196" s="1" t="s">
        <v>103</v>
      </c>
      <c r="C196">
        <v>0.69509427084160302</v>
      </c>
      <c r="D196">
        <v>2.0038979741856502</v>
      </c>
      <c r="E196">
        <v>0.77813669045737799</v>
      </c>
      <c r="F196">
        <v>-0.58482668672122895</v>
      </c>
      <c r="G196">
        <v>1.97501522840443</v>
      </c>
      <c r="H196">
        <v>0.55720242402322095</v>
      </c>
      <c r="I196">
        <v>7.2067293999748001</v>
      </c>
      <c r="J196">
        <v>0.89328042150671005</v>
      </c>
      <c r="K196">
        <v>0.37170701996563299</v>
      </c>
      <c r="L196">
        <v>1.4277621600533801</v>
      </c>
      <c r="M196">
        <v>0.52966328166755705</v>
      </c>
    </row>
    <row r="197" spans="1:13" x14ac:dyDescent="0.2">
      <c r="A197" s="9"/>
      <c r="B197" s="1" t="s">
        <v>75</v>
      </c>
      <c r="C197">
        <v>-0.53065333908719703</v>
      </c>
      <c r="D197">
        <v>0.58822053664098495</v>
      </c>
      <c r="E197">
        <v>0.71828384267089196</v>
      </c>
      <c r="F197">
        <v>-1.71212512288505</v>
      </c>
      <c r="G197">
        <v>0.65081844471065997</v>
      </c>
      <c r="H197">
        <v>0.18048183870123299</v>
      </c>
      <c r="I197">
        <v>1.9171092350126999</v>
      </c>
      <c r="J197">
        <v>-0.73877944562138098</v>
      </c>
      <c r="K197">
        <v>0.46004093494528697</v>
      </c>
      <c r="L197">
        <v>1.12016585542417</v>
      </c>
      <c r="M197">
        <v>0.48878048780487798</v>
      </c>
    </row>
    <row r="198" spans="1:13" x14ac:dyDescent="0.2">
      <c r="A198" s="9"/>
      <c r="B198" s="1" t="s">
        <v>104</v>
      </c>
      <c r="C198">
        <v>-0.40270637042164198</v>
      </c>
      <c r="D198">
        <v>0.66850836433669203</v>
      </c>
      <c r="E198">
        <v>0.54262038800358103</v>
      </c>
      <c r="F198">
        <v>-1.2952374836871401</v>
      </c>
      <c r="G198">
        <v>0.48982474284386301</v>
      </c>
      <c r="H198">
        <v>0.27383282577982498</v>
      </c>
      <c r="I198">
        <v>1.6320301699236399</v>
      </c>
      <c r="J198">
        <v>-0.74215119690450004</v>
      </c>
      <c r="K198">
        <v>0.45799573355224699</v>
      </c>
      <c r="L198">
        <v>1.1265939358919601</v>
      </c>
      <c r="M198">
        <v>0.50100704934541795</v>
      </c>
    </row>
    <row r="199" spans="1:13" x14ac:dyDescent="0.2">
      <c r="A199" s="9"/>
      <c r="B199" s="1" t="s">
        <v>373</v>
      </c>
      <c r="C199">
        <v>1.03391604683299</v>
      </c>
      <c r="D199">
        <v>2.81205644551794</v>
      </c>
      <c r="E199">
        <v>0.67208496525388295</v>
      </c>
      <c r="F199">
        <v>-7.1565345884407605E-2</v>
      </c>
      <c r="G199">
        <v>2.1393974395503998</v>
      </c>
      <c r="H199">
        <v>0.93093544280739504</v>
      </c>
      <c r="I199">
        <v>8.4943177466013093</v>
      </c>
      <c r="J199">
        <v>1.53837103980213</v>
      </c>
      <c r="K199">
        <v>0.12395791901936599</v>
      </c>
      <c r="L199">
        <v>3.0120776543217098</v>
      </c>
      <c r="M199">
        <v>0.56731707317073099</v>
      </c>
    </row>
    <row r="200" spans="1:13" x14ac:dyDescent="0.2">
      <c r="A200" s="9"/>
      <c r="B200" s="1" t="s">
        <v>9</v>
      </c>
      <c r="C200">
        <v>-0.12320371663808399</v>
      </c>
      <c r="D200">
        <v>0.88408354168773495</v>
      </c>
      <c r="E200">
        <v>0.57041756250780395</v>
      </c>
      <c r="F200">
        <v>-1.0614571132058599</v>
      </c>
      <c r="G200">
        <v>0.81504967992969402</v>
      </c>
      <c r="H200">
        <v>0.34595135260883503</v>
      </c>
      <c r="I200">
        <v>2.2592879108262398</v>
      </c>
      <c r="J200">
        <v>-0.215988645399394</v>
      </c>
      <c r="K200">
        <v>0.82899659833855399</v>
      </c>
      <c r="L200">
        <v>0.27056191303384802</v>
      </c>
      <c r="M200">
        <v>0.50780487804878005</v>
      </c>
    </row>
    <row r="201" spans="1:13" x14ac:dyDescent="0.2">
      <c r="A201" s="9"/>
      <c r="B201" s="1" t="s">
        <v>105</v>
      </c>
      <c r="C201">
        <v>-0.103225719492469</v>
      </c>
      <c r="D201">
        <v>0.90192336881855395</v>
      </c>
      <c r="E201">
        <v>0.72594561650370504</v>
      </c>
      <c r="F201">
        <v>-1.2972999997681101</v>
      </c>
      <c r="G201">
        <v>1.0908485607831699</v>
      </c>
      <c r="H201">
        <v>0.273268623211602</v>
      </c>
      <c r="I201">
        <v>2.97679899602345</v>
      </c>
      <c r="J201">
        <v>-0.142194838216152</v>
      </c>
      <c r="K201">
        <v>0.88692610886902201</v>
      </c>
      <c r="L201">
        <v>0.17311417842044199</v>
      </c>
      <c r="M201">
        <v>0.51365853658536498</v>
      </c>
    </row>
    <row r="202" spans="1:13" x14ac:dyDescent="0.2">
      <c r="A202" s="9"/>
      <c r="B202" s="1" t="s">
        <v>106</v>
      </c>
      <c r="C202">
        <v>-0.176842364603158</v>
      </c>
      <c r="D202">
        <v>0.83791185868130003</v>
      </c>
      <c r="E202">
        <v>0.63073776552338201</v>
      </c>
      <c r="F202">
        <v>-1.2143136658795599</v>
      </c>
      <c r="G202">
        <v>0.86062893667324403</v>
      </c>
      <c r="H202">
        <v>0.29691372640001901</v>
      </c>
      <c r="I202">
        <v>2.3646474396163399</v>
      </c>
      <c r="J202">
        <v>-0.280373832469688</v>
      </c>
      <c r="K202">
        <v>0.77919071092998504</v>
      </c>
      <c r="L202">
        <v>0.359951616357155</v>
      </c>
      <c r="M202">
        <v>0.468277945619335</v>
      </c>
    </row>
    <row r="203" spans="1:13" x14ac:dyDescent="0.2">
      <c r="A203" s="9"/>
      <c r="B203" s="1" t="s">
        <v>107</v>
      </c>
      <c r="C203">
        <v>-0.45177023585203702</v>
      </c>
      <c r="D203">
        <v>0.63650039789704804</v>
      </c>
      <c r="E203">
        <v>0.63800171117128002</v>
      </c>
      <c r="F203">
        <v>-1.50118966447336</v>
      </c>
      <c r="G203">
        <v>0.59764919276928796</v>
      </c>
      <c r="H203">
        <v>0.2228648679596</v>
      </c>
      <c r="I203">
        <v>1.81784038117906</v>
      </c>
      <c r="J203">
        <v>-0.70810191875920103</v>
      </c>
      <c r="K203">
        <v>0.478881968160419</v>
      </c>
      <c r="L203">
        <v>1.06225798158387</v>
      </c>
      <c r="M203">
        <v>0.51376623376623298</v>
      </c>
    </row>
    <row r="204" spans="1:13" x14ac:dyDescent="0.2">
      <c r="A204" s="9"/>
      <c r="B204" s="1" t="s">
        <v>108</v>
      </c>
      <c r="C204">
        <v>0.51326687292033701</v>
      </c>
      <c r="D204">
        <v>1.67074038571565</v>
      </c>
      <c r="E204">
        <v>0.704066930255557</v>
      </c>
      <c r="F204">
        <v>-0.64482017092710497</v>
      </c>
      <c r="G204">
        <v>1.67135391676778</v>
      </c>
      <c r="H204">
        <v>0.52475690016902898</v>
      </c>
      <c r="I204">
        <v>5.3193649012755699</v>
      </c>
      <c r="J204">
        <v>0.729002955349763</v>
      </c>
      <c r="K204">
        <v>0.46599985469409</v>
      </c>
      <c r="L204">
        <v>1.1015985898622001</v>
      </c>
      <c r="M204">
        <v>0.52097560975609702</v>
      </c>
    </row>
    <row r="205" spans="1:13" x14ac:dyDescent="0.2">
      <c r="A205" s="9"/>
      <c r="B205" s="1" t="s">
        <v>109</v>
      </c>
      <c r="C205">
        <v>0.53888399462860004</v>
      </c>
      <c r="D205">
        <v>1.7140928575276899</v>
      </c>
      <c r="E205">
        <v>0.66847812820749697</v>
      </c>
      <c r="F205">
        <v>-0.56066467909123097</v>
      </c>
      <c r="G205">
        <v>1.63843266834843</v>
      </c>
      <c r="H205">
        <v>0.57082951927899495</v>
      </c>
      <c r="I205">
        <v>5.1470959804926197</v>
      </c>
      <c r="J205">
        <v>0.80613556657956897</v>
      </c>
      <c r="K205">
        <v>0.420164685904451</v>
      </c>
      <c r="L205">
        <v>1.25097318373666</v>
      </c>
      <c r="M205">
        <v>0.52731707317073095</v>
      </c>
    </row>
    <row r="206" spans="1:13" x14ac:dyDescent="0.2">
      <c r="A206" s="9"/>
      <c r="B206" s="1" t="s">
        <v>110</v>
      </c>
      <c r="C206">
        <v>1.30841992147311</v>
      </c>
      <c r="D206">
        <v>3.7003222907807198</v>
      </c>
      <c r="E206">
        <v>0.764575511712694</v>
      </c>
      <c r="F206">
        <v>5.0805117954212803E-2</v>
      </c>
      <c r="G206">
        <v>2.5660347249920101</v>
      </c>
      <c r="H206">
        <v>1.0521178344267199</v>
      </c>
      <c r="I206">
        <v>13.014117437814599</v>
      </c>
      <c r="J206">
        <v>1.7113024173925899</v>
      </c>
      <c r="K206">
        <v>8.7025300342469095E-2</v>
      </c>
      <c r="L206">
        <v>3.5224213017755699</v>
      </c>
      <c r="M206">
        <v>0.55698924731182797</v>
      </c>
    </row>
  </sheetData>
  <mergeCells count="12">
    <mergeCell ref="A105:A121"/>
    <mergeCell ref="A122:A138"/>
    <mergeCell ref="A139:A155"/>
    <mergeCell ref="A156:A172"/>
    <mergeCell ref="A173:A189"/>
    <mergeCell ref="A190:A206"/>
    <mergeCell ref="A3:A19"/>
    <mergeCell ref="A20:A36"/>
    <mergeCell ref="A37:A53"/>
    <mergeCell ref="A54:A70"/>
    <mergeCell ref="A71:A87"/>
    <mergeCell ref="A88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3DB1-67FE-DB4F-B5A5-1C160AC7CB93}">
  <dimension ref="A1:G121"/>
  <sheetViews>
    <sheetView workbookViewId="0">
      <selection activeCell="M30" sqref="M30"/>
    </sheetView>
  </sheetViews>
  <sheetFormatPr baseColWidth="10" defaultRowHeight="16" x14ac:dyDescent="0.2"/>
  <sheetData>
    <row r="1" spans="1:7" x14ac:dyDescent="0.2">
      <c r="A1" s="1" t="s">
        <v>2890</v>
      </c>
    </row>
    <row r="2" spans="1:7" x14ac:dyDescent="0.2">
      <c r="A2" t="s">
        <v>118</v>
      </c>
      <c r="B2" t="s">
        <v>6</v>
      </c>
      <c r="C2" t="s">
        <v>119</v>
      </c>
      <c r="D2" t="s">
        <v>97</v>
      </c>
      <c r="E2" t="s">
        <v>120</v>
      </c>
      <c r="F2" t="s">
        <v>375</v>
      </c>
      <c r="G2" t="s">
        <v>376</v>
      </c>
    </row>
    <row r="3" spans="1:7" x14ac:dyDescent="0.2">
      <c r="A3" t="s">
        <v>121</v>
      </c>
      <c r="B3" t="s">
        <v>75</v>
      </c>
      <c r="C3">
        <v>1461</v>
      </c>
      <c r="D3">
        <v>9.2590200979775304E-3</v>
      </c>
      <c r="E3">
        <v>2.03343497320571</v>
      </c>
      <c r="F3" t="s">
        <v>377</v>
      </c>
      <c r="G3">
        <v>0.66078697421981003</v>
      </c>
    </row>
    <row r="4" spans="1:7" x14ac:dyDescent="0.2">
      <c r="A4" t="s">
        <v>121</v>
      </c>
      <c r="B4" t="s">
        <v>110</v>
      </c>
      <c r="C4">
        <v>1200</v>
      </c>
      <c r="D4">
        <v>5.1926695837240203E-2</v>
      </c>
      <c r="E4">
        <v>1.28460931124487</v>
      </c>
      <c r="F4" t="s">
        <v>378</v>
      </c>
      <c r="G4">
        <v>0.62434963579604497</v>
      </c>
    </row>
    <row r="5" spans="1:7" x14ac:dyDescent="0.2">
      <c r="A5" t="s">
        <v>121</v>
      </c>
      <c r="B5" t="s">
        <v>108</v>
      </c>
      <c r="C5">
        <v>1014</v>
      </c>
      <c r="D5">
        <v>0.223930483187184</v>
      </c>
      <c r="E5">
        <v>0.64988678279940904</v>
      </c>
      <c r="F5" t="s">
        <v>379</v>
      </c>
      <c r="G5">
        <v>0.57394957983193196</v>
      </c>
    </row>
    <row r="6" spans="1:7" x14ac:dyDescent="0.2">
      <c r="A6" t="s">
        <v>121</v>
      </c>
      <c r="B6" t="s">
        <v>101</v>
      </c>
      <c r="C6">
        <v>1009</v>
      </c>
      <c r="D6">
        <v>0.25152976220336398</v>
      </c>
      <c r="E6">
        <v>0.59941061976927301</v>
      </c>
      <c r="F6" t="s">
        <v>380</v>
      </c>
      <c r="G6">
        <v>0.430093776641091</v>
      </c>
    </row>
    <row r="7" spans="1:7" x14ac:dyDescent="0.2">
      <c r="A7" t="s">
        <v>121</v>
      </c>
      <c r="B7" t="s">
        <v>105</v>
      </c>
      <c r="C7">
        <v>1318</v>
      </c>
      <c r="D7">
        <v>0.25161391286672902</v>
      </c>
      <c r="E7">
        <v>0.59926534846447699</v>
      </c>
      <c r="F7" t="s">
        <v>381</v>
      </c>
      <c r="G7">
        <v>0.42993079584775001</v>
      </c>
    </row>
    <row r="8" spans="1:7" x14ac:dyDescent="0.2">
      <c r="A8" t="s">
        <v>121</v>
      </c>
      <c r="B8" t="s">
        <v>109</v>
      </c>
      <c r="C8">
        <v>869</v>
      </c>
      <c r="D8">
        <v>0.27956356115445702</v>
      </c>
      <c r="E8">
        <v>0.55351943600519604</v>
      </c>
      <c r="F8" t="s">
        <v>382</v>
      </c>
      <c r="G8">
        <v>0.43126550868486302</v>
      </c>
    </row>
    <row r="9" spans="1:7" x14ac:dyDescent="0.2">
      <c r="A9" t="s">
        <v>121</v>
      </c>
      <c r="B9" t="s">
        <v>106</v>
      </c>
      <c r="C9">
        <v>1272</v>
      </c>
      <c r="D9">
        <v>0.57223597877955201</v>
      </c>
      <c r="E9">
        <v>0.242424839829953</v>
      </c>
      <c r="F9" t="s">
        <v>383</v>
      </c>
      <c r="G9">
        <v>0.53445378151260503</v>
      </c>
    </row>
    <row r="10" spans="1:7" x14ac:dyDescent="0.2">
      <c r="A10" t="s">
        <v>121</v>
      </c>
      <c r="B10" t="s">
        <v>104</v>
      </c>
      <c r="C10">
        <v>1189</v>
      </c>
      <c r="D10">
        <v>0.61670301361409696</v>
      </c>
      <c r="E10">
        <v>0.209923929321748</v>
      </c>
      <c r="F10" t="s">
        <v>384</v>
      </c>
      <c r="G10">
        <v>0.52985739750445604</v>
      </c>
    </row>
    <row r="11" spans="1:7" x14ac:dyDescent="0.2">
      <c r="A11" t="s">
        <v>121</v>
      </c>
      <c r="B11" t="s">
        <v>100</v>
      </c>
      <c r="C11">
        <v>1086</v>
      </c>
      <c r="D11">
        <v>0.62175907100583305</v>
      </c>
      <c r="E11">
        <v>0.20637786997593299</v>
      </c>
      <c r="F11" t="s">
        <v>385</v>
      </c>
      <c r="G11">
        <v>0.469723183391003</v>
      </c>
    </row>
    <row r="12" spans="1:7" x14ac:dyDescent="0.2">
      <c r="A12" t="s">
        <v>121</v>
      </c>
      <c r="B12" t="s">
        <v>373</v>
      </c>
      <c r="C12">
        <v>1118.5</v>
      </c>
      <c r="D12">
        <v>0.62269277213497498</v>
      </c>
      <c r="E12">
        <v>0.20572617529371801</v>
      </c>
      <c r="F12" t="s">
        <v>489</v>
      </c>
      <c r="G12">
        <v>0.53004201680672203</v>
      </c>
    </row>
    <row r="13" spans="1:7" x14ac:dyDescent="0.2">
      <c r="A13" t="s">
        <v>121</v>
      </c>
      <c r="B13" t="s">
        <v>9</v>
      </c>
      <c r="C13">
        <v>1256</v>
      </c>
      <c r="D13">
        <v>0.64990937026226003</v>
      </c>
      <c r="E13">
        <v>0.18714720141751401</v>
      </c>
      <c r="F13" t="s">
        <v>386</v>
      </c>
      <c r="G13">
        <v>0.52773109243697403</v>
      </c>
    </row>
    <row r="14" spans="1:7" x14ac:dyDescent="0.2">
      <c r="A14" t="s">
        <v>121</v>
      </c>
      <c r="B14" t="s">
        <v>374</v>
      </c>
      <c r="C14">
        <v>996</v>
      </c>
      <c r="D14">
        <v>0.74832293301050101</v>
      </c>
      <c r="E14">
        <v>0.125910945238944</v>
      </c>
      <c r="F14" t="s">
        <v>482</v>
      </c>
      <c r="G14">
        <v>0.47953779489648501</v>
      </c>
    </row>
    <row r="15" spans="1:7" x14ac:dyDescent="0.2">
      <c r="A15" t="s">
        <v>121</v>
      </c>
      <c r="B15" t="s">
        <v>102</v>
      </c>
      <c r="C15">
        <v>953</v>
      </c>
      <c r="D15">
        <v>0.77295426460246097</v>
      </c>
      <c r="E15">
        <v>0.11184620235386</v>
      </c>
      <c r="F15" t="s">
        <v>387</v>
      </c>
      <c r="G15">
        <v>0.48131313131313103</v>
      </c>
    </row>
    <row r="16" spans="1:7" x14ac:dyDescent="0.2">
      <c r="A16" t="s">
        <v>121</v>
      </c>
      <c r="B16" t="s">
        <v>49</v>
      </c>
      <c r="C16">
        <v>1179</v>
      </c>
      <c r="D16">
        <v>0.77478506826291205</v>
      </c>
      <c r="E16">
        <v>0.110818757639955</v>
      </c>
      <c r="F16" t="s">
        <v>388</v>
      </c>
      <c r="G16">
        <v>0.51778656126482203</v>
      </c>
    </row>
    <row r="17" spans="1:7" x14ac:dyDescent="0.2">
      <c r="A17" t="s">
        <v>121</v>
      </c>
      <c r="B17" t="s">
        <v>107</v>
      </c>
      <c r="C17">
        <v>1143</v>
      </c>
      <c r="D17">
        <v>0.77868786213492402</v>
      </c>
      <c r="E17">
        <v>0.10863659485426699</v>
      </c>
      <c r="F17" t="s">
        <v>389</v>
      </c>
      <c r="G17">
        <v>0.51766304347825998</v>
      </c>
    </row>
    <row r="18" spans="1:7" x14ac:dyDescent="0.2">
      <c r="A18" t="s">
        <v>121</v>
      </c>
      <c r="B18" t="s">
        <v>103</v>
      </c>
      <c r="C18">
        <v>1140</v>
      </c>
      <c r="D18">
        <v>0.91238584781716703</v>
      </c>
      <c r="E18">
        <v>3.9821459763843797E-2</v>
      </c>
      <c r="F18" t="s">
        <v>390</v>
      </c>
      <c r="G18">
        <v>0.49307958477508601</v>
      </c>
    </row>
    <row r="19" spans="1:7" x14ac:dyDescent="0.2">
      <c r="A19" t="s">
        <v>121</v>
      </c>
      <c r="B19" t="s">
        <v>99</v>
      </c>
      <c r="C19">
        <v>1096</v>
      </c>
      <c r="D19">
        <v>0.95580434728699204</v>
      </c>
      <c r="E19">
        <v>1.96309985081955E-2</v>
      </c>
      <c r="F19" t="s">
        <v>391</v>
      </c>
      <c r="G19">
        <v>0.50367647058823495</v>
      </c>
    </row>
    <row r="20" spans="1:7" x14ac:dyDescent="0.2">
      <c r="A20" t="s">
        <v>122</v>
      </c>
      <c r="B20" t="s">
        <v>109</v>
      </c>
      <c r="C20">
        <v>4279</v>
      </c>
      <c r="D20">
        <v>1.4256835938921899E-2</v>
      </c>
      <c r="E20">
        <v>1.8459768480281999</v>
      </c>
      <c r="F20" t="s">
        <v>392</v>
      </c>
      <c r="G20">
        <v>0.61093660765276903</v>
      </c>
    </row>
    <row r="21" spans="1:7" x14ac:dyDescent="0.2">
      <c r="A21" t="s">
        <v>122</v>
      </c>
      <c r="B21" t="s">
        <v>99</v>
      </c>
      <c r="C21">
        <v>3728</v>
      </c>
      <c r="D21">
        <v>0.19657577710489699</v>
      </c>
      <c r="E21">
        <v>0.70646999880196804</v>
      </c>
      <c r="F21" t="s">
        <v>393</v>
      </c>
      <c r="G21">
        <v>0.55925592559255899</v>
      </c>
    </row>
    <row r="22" spans="1:7" x14ac:dyDescent="0.2">
      <c r="A22" t="s">
        <v>122</v>
      </c>
      <c r="B22" t="s">
        <v>102</v>
      </c>
      <c r="C22">
        <v>3836</v>
      </c>
      <c r="D22">
        <v>0.21955426905370601</v>
      </c>
      <c r="E22">
        <v>0.65845811397547804</v>
      </c>
      <c r="F22" t="s">
        <v>394</v>
      </c>
      <c r="G22">
        <v>0.55586146935226699</v>
      </c>
    </row>
    <row r="23" spans="1:7" x14ac:dyDescent="0.2">
      <c r="A23" t="s">
        <v>122</v>
      </c>
      <c r="B23" t="s">
        <v>101</v>
      </c>
      <c r="C23">
        <v>3886</v>
      </c>
      <c r="D23">
        <v>0.22613636200881099</v>
      </c>
      <c r="E23">
        <v>0.64562959886617199</v>
      </c>
      <c r="F23" t="s">
        <v>395</v>
      </c>
      <c r="G23">
        <v>0.55482581382067397</v>
      </c>
    </row>
    <row r="24" spans="1:7" x14ac:dyDescent="0.2">
      <c r="A24" t="s">
        <v>122</v>
      </c>
      <c r="B24" t="s">
        <v>105</v>
      </c>
      <c r="C24">
        <v>3136</v>
      </c>
      <c r="D24">
        <v>0.248680034791395</v>
      </c>
      <c r="E24">
        <v>0.60435908054423104</v>
      </c>
      <c r="F24" t="s">
        <v>396</v>
      </c>
      <c r="G24">
        <v>0.44774414620217001</v>
      </c>
    </row>
    <row r="25" spans="1:7" x14ac:dyDescent="0.2">
      <c r="A25" t="s">
        <v>122</v>
      </c>
      <c r="B25" t="s">
        <v>100</v>
      </c>
      <c r="C25">
        <v>3719</v>
      </c>
      <c r="D25">
        <v>0.25228686278661899</v>
      </c>
      <c r="E25">
        <v>0.59810536370289202</v>
      </c>
      <c r="F25" t="s">
        <v>397</v>
      </c>
      <c r="G25">
        <v>0.55243612596553704</v>
      </c>
    </row>
    <row r="26" spans="1:7" x14ac:dyDescent="0.2">
      <c r="A26" t="s">
        <v>122</v>
      </c>
      <c r="B26" t="s">
        <v>108</v>
      </c>
      <c r="C26">
        <v>3140</v>
      </c>
      <c r="D26">
        <v>0.25389617558211203</v>
      </c>
      <c r="E26">
        <v>0.59534384082022795</v>
      </c>
      <c r="F26" t="s">
        <v>398</v>
      </c>
      <c r="G26">
        <v>0.44831524842946802</v>
      </c>
    </row>
    <row r="27" spans="1:7" x14ac:dyDescent="0.2">
      <c r="A27" t="s">
        <v>122</v>
      </c>
      <c r="B27" t="s">
        <v>374</v>
      </c>
      <c r="C27">
        <v>3778</v>
      </c>
      <c r="D27">
        <v>0.297059524354225</v>
      </c>
      <c r="E27">
        <v>0.52715651866796198</v>
      </c>
      <c r="F27" t="s">
        <v>483</v>
      </c>
      <c r="G27">
        <v>0.54745689030575195</v>
      </c>
    </row>
    <row r="28" spans="1:7" x14ac:dyDescent="0.2">
      <c r="A28" t="s">
        <v>122</v>
      </c>
      <c r="B28" t="s">
        <v>9</v>
      </c>
      <c r="C28">
        <v>3070</v>
      </c>
      <c r="D28">
        <v>0.39051137135087699</v>
      </c>
      <c r="E28">
        <v>0.40836631532564399</v>
      </c>
      <c r="F28" t="s">
        <v>399</v>
      </c>
      <c r="G28">
        <v>0.46068427370948301</v>
      </c>
    </row>
    <row r="29" spans="1:7" x14ac:dyDescent="0.2">
      <c r="A29" t="s">
        <v>122</v>
      </c>
      <c r="B29" t="s">
        <v>75</v>
      </c>
      <c r="C29">
        <v>3738</v>
      </c>
      <c r="D29">
        <v>0.39131840341436902</v>
      </c>
      <c r="E29">
        <v>0.40746972707155199</v>
      </c>
      <c r="F29" t="s">
        <v>400</v>
      </c>
      <c r="G29">
        <v>0.53892733564013795</v>
      </c>
    </row>
    <row r="30" spans="1:7" x14ac:dyDescent="0.2">
      <c r="A30" t="s">
        <v>122</v>
      </c>
      <c r="B30" t="s">
        <v>103</v>
      </c>
      <c r="C30">
        <v>3141</v>
      </c>
      <c r="D30">
        <v>0.56903024327623097</v>
      </c>
      <c r="E30">
        <v>0.24486465075970101</v>
      </c>
      <c r="F30" t="s">
        <v>401</v>
      </c>
      <c r="G30">
        <v>0.47375565610859699</v>
      </c>
    </row>
    <row r="31" spans="1:7" x14ac:dyDescent="0.2">
      <c r="A31" t="s">
        <v>122</v>
      </c>
      <c r="B31" t="s">
        <v>107</v>
      </c>
      <c r="C31">
        <v>3483</v>
      </c>
      <c r="D31">
        <v>0.624574045923318</v>
      </c>
      <c r="E31">
        <v>0.204416066770052</v>
      </c>
      <c r="F31" t="s">
        <v>402</v>
      </c>
      <c r="G31">
        <v>0.52250225022502195</v>
      </c>
    </row>
    <row r="32" spans="1:7" x14ac:dyDescent="0.2">
      <c r="A32" t="s">
        <v>122</v>
      </c>
      <c r="B32" t="s">
        <v>49</v>
      </c>
      <c r="C32">
        <v>3592</v>
      </c>
      <c r="D32">
        <v>0.65297696418588003</v>
      </c>
      <c r="E32">
        <v>0.18510213955711999</v>
      </c>
      <c r="F32" t="s">
        <v>403</v>
      </c>
      <c r="G32">
        <v>0.52050427474279004</v>
      </c>
    </row>
    <row r="33" spans="1:7" x14ac:dyDescent="0.2">
      <c r="A33" t="s">
        <v>122</v>
      </c>
      <c r="B33" t="s">
        <v>373</v>
      </c>
      <c r="C33">
        <v>3561</v>
      </c>
      <c r="D33">
        <v>0.68507523673709403</v>
      </c>
      <c r="E33">
        <v>0.164261730543384</v>
      </c>
      <c r="F33" t="s">
        <v>490</v>
      </c>
      <c r="G33">
        <v>0.51849155503785604</v>
      </c>
    </row>
    <row r="34" spans="1:7" x14ac:dyDescent="0.2">
      <c r="A34" t="s">
        <v>122</v>
      </c>
      <c r="B34" t="s">
        <v>110</v>
      </c>
      <c r="C34">
        <v>3275</v>
      </c>
      <c r="D34">
        <v>0.761634844882216</v>
      </c>
      <c r="E34">
        <v>0.118253195146301</v>
      </c>
      <c r="F34" t="s">
        <v>404</v>
      </c>
      <c r="G34">
        <v>0.51412872841444202</v>
      </c>
    </row>
    <row r="35" spans="1:7" x14ac:dyDescent="0.2">
      <c r="A35" t="s">
        <v>122</v>
      </c>
      <c r="B35" t="s">
        <v>106</v>
      </c>
      <c r="C35">
        <v>3335</v>
      </c>
      <c r="D35">
        <v>0.79337492616733896</v>
      </c>
      <c r="E35">
        <v>0.10052152909408101</v>
      </c>
      <c r="F35" t="s">
        <v>405</v>
      </c>
      <c r="G35">
        <v>0.48800117061749998</v>
      </c>
    </row>
    <row r="36" spans="1:7" x14ac:dyDescent="0.2">
      <c r="A36" t="s">
        <v>122</v>
      </c>
      <c r="B36" t="s">
        <v>104</v>
      </c>
      <c r="C36">
        <v>3319.5</v>
      </c>
      <c r="D36">
        <v>0.83061339987305005</v>
      </c>
      <c r="E36">
        <v>8.0601066912653493E-2</v>
      </c>
      <c r="F36" t="s">
        <v>406</v>
      </c>
      <c r="G36">
        <v>0.49054233781587098</v>
      </c>
    </row>
    <row r="37" spans="1:7" x14ac:dyDescent="0.2">
      <c r="A37" t="s">
        <v>123</v>
      </c>
      <c r="B37" t="s">
        <v>9</v>
      </c>
      <c r="C37">
        <v>1310</v>
      </c>
      <c r="D37">
        <v>1.1943718343374199E-4</v>
      </c>
      <c r="E37">
        <v>3.92286044668964</v>
      </c>
      <c r="F37" t="s">
        <v>407</v>
      </c>
      <c r="G37">
        <v>0.75287356321839005</v>
      </c>
    </row>
    <row r="38" spans="1:7" x14ac:dyDescent="0.2">
      <c r="A38" t="s">
        <v>123</v>
      </c>
      <c r="B38" t="s">
        <v>75</v>
      </c>
      <c r="C38">
        <v>1011</v>
      </c>
      <c r="D38">
        <v>2.97890640106463E-2</v>
      </c>
      <c r="E38">
        <v>1.5259431423504899</v>
      </c>
      <c r="F38" t="s">
        <v>408</v>
      </c>
      <c r="G38">
        <v>0.582758620689655</v>
      </c>
    </row>
    <row r="39" spans="1:7" x14ac:dyDescent="0.2">
      <c r="A39" t="s">
        <v>123</v>
      </c>
      <c r="B39" t="s">
        <v>109</v>
      </c>
      <c r="C39">
        <v>828.5</v>
      </c>
      <c r="D39">
        <v>3.2998822953861397E-2</v>
      </c>
      <c r="E39">
        <v>1.4815015508420999</v>
      </c>
      <c r="F39" t="s">
        <v>409</v>
      </c>
      <c r="G39">
        <v>0.61206896551724099</v>
      </c>
    </row>
    <row r="40" spans="1:7" x14ac:dyDescent="0.2">
      <c r="A40" t="s">
        <v>123</v>
      </c>
      <c r="B40" t="s">
        <v>108</v>
      </c>
      <c r="C40">
        <v>639</v>
      </c>
      <c r="D40">
        <v>5.5180609033535499E-2</v>
      </c>
      <c r="E40">
        <v>1.2582135104816199</v>
      </c>
      <c r="F40" t="s">
        <v>410</v>
      </c>
      <c r="G40">
        <v>0.63275862068965505</v>
      </c>
    </row>
    <row r="41" spans="1:7" x14ac:dyDescent="0.2">
      <c r="A41" t="s">
        <v>123</v>
      </c>
      <c r="B41" t="s">
        <v>110</v>
      </c>
      <c r="C41">
        <v>497</v>
      </c>
      <c r="D41">
        <v>9.7119561683402703E-2</v>
      </c>
      <c r="E41">
        <v>1.012693286307</v>
      </c>
      <c r="F41" t="s">
        <v>411</v>
      </c>
      <c r="G41">
        <v>0.41321839080459699</v>
      </c>
    </row>
    <row r="42" spans="1:7" x14ac:dyDescent="0.2">
      <c r="A42" t="s">
        <v>123</v>
      </c>
      <c r="B42" t="s">
        <v>49</v>
      </c>
      <c r="C42">
        <v>955</v>
      </c>
      <c r="D42">
        <v>0.141504132485546</v>
      </c>
      <c r="E42">
        <v>0.84923087682193299</v>
      </c>
      <c r="F42" t="s">
        <v>412</v>
      </c>
      <c r="G42">
        <v>0.61666666666666603</v>
      </c>
    </row>
    <row r="43" spans="1:7" x14ac:dyDescent="0.2">
      <c r="A43" t="s">
        <v>123</v>
      </c>
      <c r="B43" t="s">
        <v>106</v>
      </c>
      <c r="C43">
        <v>1016</v>
      </c>
      <c r="D43">
        <v>0.155510358534066</v>
      </c>
      <c r="E43">
        <v>0.80824067734868799</v>
      </c>
      <c r="F43" t="s">
        <v>413</v>
      </c>
      <c r="G43">
        <v>0.58390804597701096</v>
      </c>
    </row>
    <row r="44" spans="1:7" x14ac:dyDescent="0.2">
      <c r="A44" t="s">
        <v>123</v>
      </c>
      <c r="B44" t="s">
        <v>374</v>
      </c>
      <c r="C44">
        <v>917</v>
      </c>
      <c r="D44">
        <v>0.26415798849187799</v>
      </c>
      <c r="E44">
        <v>0.57813625113081002</v>
      </c>
      <c r="F44" t="s">
        <v>484</v>
      </c>
      <c r="G44">
        <v>0.59568965517241301</v>
      </c>
    </row>
    <row r="45" spans="1:7" x14ac:dyDescent="0.2">
      <c r="A45" t="s">
        <v>123</v>
      </c>
      <c r="B45" t="s">
        <v>101</v>
      </c>
      <c r="C45">
        <v>903</v>
      </c>
      <c r="D45">
        <v>0.32851716298243</v>
      </c>
      <c r="E45">
        <v>0.48344193632078403</v>
      </c>
      <c r="F45" t="s">
        <v>414</v>
      </c>
      <c r="G45">
        <v>0.55229885057471195</v>
      </c>
    </row>
    <row r="46" spans="1:7" x14ac:dyDescent="0.2">
      <c r="A46" t="s">
        <v>123</v>
      </c>
      <c r="B46" t="s">
        <v>99</v>
      </c>
      <c r="C46">
        <v>841</v>
      </c>
      <c r="D46">
        <v>0.32861882962032801</v>
      </c>
      <c r="E46">
        <v>0.48330755542951598</v>
      </c>
      <c r="F46" t="s">
        <v>415</v>
      </c>
      <c r="G46">
        <v>0.58333333333333304</v>
      </c>
    </row>
    <row r="47" spans="1:7" x14ac:dyDescent="0.2">
      <c r="A47" t="s">
        <v>123</v>
      </c>
      <c r="B47" t="s">
        <v>105</v>
      </c>
      <c r="C47">
        <v>751</v>
      </c>
      <c r="D47">
        <v>0.420323869492784</v>
      </c>
      <c r="E47">
        <v>0.37641594643365001</v>
      </c>
      <c r="F47" t="s">
        <v>416</v>
      </c>
      <c r="G47">
        <v>0.56839080459770097</v>
      </c>
    </row>
    <row r="48" spans="1:7" x14ac:dyDescent="0.2">
      <c r="A48" t="s">
        <v>123</v>
      </c>
      <c r="B48" t="s">
        <v>100</v>
      </c>
      <c r="C48">
        <v>823</v>
      </c>
      <c r="D48">
        <v>0.42360993693867399</v>
      </c>
      <c r="E48">
        <v>0.37303386087093499</v>
      </c>
      <c r="F48" t="s">
        <v>417</v>
      </c>
      <c r="G48">
        <v>0.57298850574712601</v>
      </c>
    </row>
    <row r="49" spans="1:7" x14ac:dyDescent="0.2">
      <c r="A49" t="s">
        <v>123</v>
      </c>
      <c r="B49" t="s">
        <v>373</v>
      </c>
      <c r="C49">
        <v>772</v>
      </c>
      <c r="D49">
        <v>0.54537392225835402</v>
      </c>
      <c r="E49">
        <v>0.26330563223608699</v>
      </c>
      <c r="F49" t="s">
        <v>491</v>
      </c>
      <c r="G49">
        <v>0.52212643678160897</v>
      </c>
    </row>
    <row r="50" spans="1:7" x14ac:dyDescent="0.2">
      <c r="A50" t="s">
        <v>123</v>
      </c>
      <c r="B50" t="s">
        <v>104</v>
      </c>
      <c r="C50">
        <v>818</v>
      </c>
      <c r="D50">
        <v>0.64698162253684299</v>
      </c>
      <c r="E50">
        <v>0.18910805525740801</v>
      </c>
      <c r="F50" t="s">
        <v>418</v>
      </c>
      <c r="G50">
        <v>0.47011494252873498</v>
      </c>
    </row>
    <row r="51" spans="1:7" x14ac:dyDescent="0.2">
      <c r="A51" t="s">
        <v>123</v>
      </c>
      <c r="B51" t="s">
        <v>107</v>
      </c>
      <c r="C51">
        <v>846</v>
      </c>
      <c r="D51">
        <v>0.64842444707581004</v>
      </c>
      <c r="E51">
        <v>0.18814061962553699</v>
      </c>
      <c r="F51" t="s">
        <v>419</v>
      </c>
      <c r="G51">
        <v>0.55402298850574705</v>
      </c>
    </row>
    <row r="52" spans="1:7" x14ac:dyDescent="0.2">
      <c r="A52" t="s">
        <v>123</v>
      </c>
      <c r="B52" t="s">
        <v>102</v>
      </c>
      <c r="C52">
        <v>752</v>
      </c>
      <c r="D52">
        <v>0.69444230300578502</v>
      </c>
      <c r="E52">
        <v>0.158363831318904</v>
      </c>
      <c r="F52" t="s">
        <v>420</v>
      </c>
      <c r="G52">
        <v>0.56551724137931003</v>
      </c>
    </row>
    <row r="53" spans="1:7" x14ac:dyDescent="0.2">
      <c r="A53" t="s">
        <v>123</v>
      </c>
      <c r="B53" t="s">
        <v>103</v>
      </c>
      <c r="C53">
        <v>690</v>
      </c>
      <c r="D53">
        <v>0.98343712869246303</v>
      </c>
      <c r="E53">
        <v>7.2533993793271996E-3</v>
      </c>
      <c r="F53" t="s">
        <v>421</v>
      </c>
      <c r="G53">
        <v>0.53017241379310298</v>
      </c>
    </row>
    <row r="54" spans="1:7" x14ac:dyDescent="0.2">
      <c r="A54" t="s">
        <v>124</v>
      </c>
      <c r="B54" t="s">
        <v>49</v>
      </c>
      <c r="C54">
        <v>435</v>
      </c>
      <c r="D54">
        <v>4.4867242096544503E-2</v>
      </c>
      <c r="E54">
        <v>1.3480706248966701</v>
      </c>
      <c r="F54" t="s">
        <v>422</v>
      </c>
      <c r="G54">
        <v>0.68288854003139698</v>
      </c>
    </row>
    <row r="55" spans="1:7" x14ac:dyDescent="0.2">
      <c r="A55" t="s">
        <v>124</v>
      </c>
      <c r="B55" t="s">
        <v>374</v>
      </c>
      <c r="C55">
        <v>386</v>
      </c>
      <c r="D55">
        <v>7.1568717818240105E-2</v>
      </c>
      <c r="E55">
        <v>1.1452767632730001</v>
      </c>
      <c r="F55" t="s">
        <v>485</v>
      </c>
      <c r="G55">
        <v>0.67013888888888895</v>
      </c>
    </row>
    <row r="56" spans="1:7" x14ac:dyDescent="0.2">
      <c r="A56" t="s">
        <v>124</v>
      </c>
      <c r="B56" t="s">
        <v>108</v>
      </c>
      <c r="C56">
        <v>210</v>
      </c>
      <c r="D56">
        <v>7.3841775182126104E-2</v>
      </c>
      <c r="E56">
        <v>1.1316978712652599</v>
      </c>
      <c r="F56" t="s">
        <v>423</v>
      </c>
      <c r="G56">
        <v>0.66346153846153799</v>
      </c>
    </row>
    <row r="57" spans="1:7" x14ac:dyDescent="0.2">
      <c r="A57" t="s">
        <v>124</v>
      </c>
      <c r="B57" t="s">
        <v>102</v>
      </c>
      <c r="C57">
        <v>411</v>
      </c>
      <c r="D57">
        <v>0.11163572898151</v>
      </c>
      <c r="E57">
        <v>0.95219678733249202</v>
      </c>
      <c r="F57" t="s">
        <v>424</v>
      </c>
      <c r="G57">
        <v>0.64521193092621598</v>
      </c>
    </row>
    <row r="58" spans="1:7" x14ac:dyDescent="0.2">
      <c r="A58" t="s">
        <v>124</v>
      </c>
      <c r="B58" t="s">
        <v>99</v>
      </c>
      <c r="C58">
        <v>388</v>
      </c>
      <c r="D58">
        <v>0.18362140744730901</v>
      </c>
      <c r="E58">
        <v>0.73607668808975801</v>
      </c>
      <c r="F58" t="s">
        <v>425</v>
      </c>
      <c r="G58">
        <v>0.62179487179487103</v>
      </c>
    </row>
    <row r="59" spans="1:7" x14ac:dyDescent="0.2">
      <c r="A59" t="s">
        <v>124</v>
      </c>
      <c r="B59" t="s">
        <v>75</v>
      </c>
      <c r="C59">
        <v>354</v>
      </c>
      <c r="D59">
        <v>0.22609674285614401</v>
      </c>
      <c r="E59">
        <v>0.64570569404469802</v>
      </c>
      <c r="F59" t="s">
        <v>426</v>
      </c>
      <c r="G59">
        <v>0.61458333333333304</v>
      </c>
    </row>
    <row r="60" spans="1:7" x14ac:dyDescent="0.2">
      <c r="A60" t="s">
        <v>124</v>
      </c>
      <c r="B60" t="s">
        <v>9</v>
      </c>
      <c r="C60">
        <v>385</v>
      </c>
      <c r="D60">
        <v>0.25375084111681201</v>
      </c>
      <c r="E60">
        <v>0.59559250950519504</v>
      </c>
      <c r="F60" t="s">
        <v>427</v>
      </c>
      <c r="G60">
        <v>0.60439560439560402</v>
      </c>
    </row>
    <row r="61" spans="1:7" x14ac:dyDescent="0.2">
      <c r="A61" t="s">
        <v>124</v>
      </c>
      <c r="B61" t="s">
        <v>109</v>
      </c>
      <c r="C61">
        <v>358</v>
      </c>
      <c r="D61">
        <v>0.28071867240409498</v>
      </c>
      <c r="E61">
        <v>0.55172869868599195</v>
      </c>
      <c r="F61" t="s">
        <v>428</v>
      </c>
      <c r="G61">
        <v>0.59866220735785902</v>
      </c>
    </row>
    <row r="62" spans="1:7" x14ac:dyDescent="0.2">
      <c r="A62" t="s">
        <v>124</v>
      </c>
      <c r="B62" t="s">
        <v>106</v>
      </c>
      <c r="C62">
        <v>365</v>
      </c>
      <c r="D62">
        <v>0.35516526367948398</v>
      </c>
      <c r="E62">
        <v>0.44956951623244901</v>
      </c>
      <c r="F62" t="s">
        <v>429</v>
      </c>
      <c r="G62">
        <v>0.58493589743589702</v>
      </c>
    </row>
    <row r="63" spans="1:7" x14ac:dyDescent="0.2">
      <c r="A63" t="s">
        <v>124</v>
      </c>
      <c r="B63" t="s">
        <v>373</v>
      </c>
      <c r="C63">
        <v>253</v>
      </c>
      <c r="D63">
        <v>0.40535219853637999</v>
      </c>
      <c r="E63">
        <v>0.39216746712769801</v>
      </c>
      <c r="F63" t="s">
        <v>492</v>
      </c>
      <c r="G63">
        <v>0.57692307692307598</v>
      </c>
    </row>
    <row r="64" spans="1:7" x14ac:dyDescent="0.2">
      <c r="A64" t="s">
        <v>124</v>
      </c>
      <c r="B64" t="s">
        <v>100</v>
      </c>
      <c r="C64">
        <v>365</v>
      </c>
      <c r="D64">
        <v>0.42635649491162902</v>
      </c>
      <c r="E64">
        <v>0.37022711679514803</v>
      </c>
      <c r="F64" t="s">
        <v>430</v>
      </c>
      <c r="G64">
        <v>0.57299843014128704</v>
      </c>
    </row>
    <row r="65" spans="1:7" x14ac:dyDescent="0.2">
      <c r="A65" t="s">
        <v>124</v>
      </c>
      <c r="B65" t="s">
        <v>107</v>
      </c>
      <c r="C65">
        <v>361</v>
      </c>
      <c r="D65">
        <v>0.467671403904173</v>
      </c>
      <c r="E65">
        <v>0.33005918452019301</v>
      </c>
      <c r="F65" t="s">
        <v>431</v>
      </c>
      <c r="G65">
        <v>0.56671899529042302</v>
      </c>
    </row>
    <row r="66" spans="1:7" x14ac:dyDescent="0.2">
      <c r="A66" t="s">
        <v>124</v>
      </c>
      <c r="B66" t="s">
        <v>105</v>
      </c>
      <c r="C66">
        <v>277</v>
      </c>
      <c r="D66">
        <v>0.61537519487113301</v>
      </c>
      <c r="E66">
        <v>0.21086001369094101</v>
      </c>
      <c r="F66" t="s">
        <v>432</v>
      </c>
      <c r="G66">
        <v>0.54664484451718398</v>
      </c>
    </row>
    <row r="67" spans="1:7" x14ac:dyDescent="0.2">
      <c r="A67" t="s">
        <v>124</v>
      </c>
      <c r="B67" t="s">
        <v>101</v>
      </c>
      <c r="C67">
        <v>308</v>
      </c>
      <c r="D67">
        <v>0.86271261902113305</v>
      </c>
      <c r="E67">
        <v>6.4133849428024095E-2</v>
      </c>
      <c r="F67" t="s">
        <v>433</v>
      </c>
      <c r="G67">
        <v>0.48351648351648302</v>
      </c>
    </row>
    <row r="68" spans="1:7" x14ac:dyDescent="0.2">
      <c r="A68" t="s">
        <v>124</v>
      </c>
      <c r="B68" t="s">
        <v>103</v>
      </c>
      <c r="C68">
        <v>327</v>
      </c>
      <c r="D68">
        <v>0.88997351444891304</v>
      </c>
      <c r="E68">
        <v>5.0622917736932699E-2</v>
      </c>
      <c r="F68" t="s">
        <v>434</v>
      </c>
      <c r="G68">
        <v>0.51334379905808403</v>
      </c>
    </row>
    <row r="69" spans="1:7" x14ac:dyDescent="0.2">
      <c r="A69" t="s">
        <v>124</v>
      </c>
      <c r="B69" t="s">
        <v>104</v>
      </c>
      <c r="C69">
        <v>326.5</v>
      </c>
      <c r="D69">
        <v>0.89357666944206005</v>
      </c>
      <c r="E69">
        <v>4.8868178819086699E-2</v>
      </c>
      <c r="F69" t="s">
        <v>435</v>
      </c>
      <c r="G69">
        <v>0.51255886970172604</v>
      </c>
    </row>
    <row r="70" spans="1:7" x14ac:dyDescent="0.2">
      <c r="A70" t="s">
        <v>124</v>
      </c>
      <c r="B70" t="s">
        <v>110</v>
      </c>
      <c r="C70">
        <v>251</v>
      </c>
      <c r="D70">
        <v>0.89462037159818297</v>
      </c>
      <c r="E70">
        <v>4.8361216635141001E-2</v>
      </c>
      <c r="F70" t="s">
        <v>436</v>
      </c>
      <c r="G70">
        <v>0.48643410852713098</v>
      </c>
    </row>
    <row r="71" spans="1:7" x14ac:dyDescent="0.2">
      <c r="A71" t="s">
        <v>125</v>
      </c>
      <c r="B71" t="s">
        <v>373</v>
      </c>
      <c r="C71">
        <v>400</v>
      </c>
      <c r="D71">
        <v>2.12071452969947E-2</v>
      </c>
      <c r="E71">
        <v>1.6735177881172201</v>
      </c>
      <c r="F71" t="s">
        <v>493</v>
      </c>
      <c r="G71">
        <v>0.66216216216216195</v>
      </c>
    </row>
    <row r="72" spans="1:7" x14ac:dyDescent="0.2">
      <c r="A72" t="s">
        <v>125</v>
      </c>
      <c r="B72" t="s">
        <v>110</v>
      </c>
      <c r="C72">
        <v>841</v>
      </c>
      <c r="D72">
        <v>0.12670392102640701</v>
      </c>
      <c r="E72">
        <v>0.897209945070916</v>
      </c>
      <c r="F72" t="s">
        <v>437</v>
      </c>
      <c r="G72">
        <v>0.60329985652797702</v>
      </c>
    </row>
    <row r="73" spans="1:7" x14ac:dyDescent="0.2">
      <c r="A73" t="s">
        <v>125</v>
      </c>
      <c r="B73" t="s">
        <v>108</v>
      </c>
      <c r="C73">
        <v>556</v>
      </c>
      <c r="D73">
        <v>0.180393127415512</v>
      </c>
      <c r="E73">
        <v>0.74378001215091905</v>
      </c>
      <c r="F73" t="s">
        <v>438</v>
      </c>
      <c r="G73">
        <v>0.59117647058823497</v>
      </c>
    </row>
    <row r="74" spans="1:7" x14ac:dyDescent="0.2">
      <c r="A74" t="s">
        <v>125</v>
      </c>
      <c r="B74" t="s">
        <v>9</v>
      </c>
      <c r="C74">
        <v>806</v>
      </c>
      <c r="D74">
        <v>0.248199126925089</v>
      </c>
      <c r="E74">
        <v>0.60519975052577701</v>
      </c>
      <c r="F74" t="s">
        <v>439</v>
      </c>
      <c r="G74">
        <v>0.57819225251076001</v>
      </c>
    </row>
    <row r="75" spans="1:7" x14ac:dyDescent="0.2">
      <c r="A75" t="s">
        <v>125</v>
      </c>
      <c r="B75" t="s">
        <v>75</v>
      </c>
      <c r="C75">
        <v>777</v>
      </c>
      <c r="D75">
        <v>0.295242826954358</v>
      </c>
      <c r="E75">
        <v>0.52982064494893699</v>
      </c>
      <c r="F75" t="s">
        <v>440</v>
      </c>
      <c r="G75">
        <v>0.57132352941176401</v>
      </c>
    </row>
    <row r="76" spans="1:7" x14ac:dyDescent="0.2">
      <c r="A76" t="s">
        <v>125</v>
      </c>
      <c r="B76" t="s">
        <v>109</v>
      </c>
      <c r="C76">
        <v>625</v>
      </c>
      <c r="D76">
        <v>0.318319515156818</v>
      </c>
      <c r="E76">
        <v>0.49713673534972602</v>
      </c>
      <c r="F76" t="s">
        <v>441</v>
      </c>
      <c r="G76">
        <v>0.57234432234432198</v>
      </c>
    </row>
    <row r="77" spans="1:7" x14ac:dyDescent="0.2">
      <c r="A77" t="s">
        <v>125</v>
      </c>
      <c r="B77" t="s">
        <v>102</v>
      </c>
      <c r="C77">
        <v>694</v>
      </c>
      <c r="D77">
        <v>0.42188245884268999</v>
      </c>
      <c r="E77">
        <v>0.37480853147091697</v>
      </c>
      <c r="F77" t="s">
        <v>442</v>
      </c>
      <c r="G77">
        <v>0.55608974358974295</v>
      </c>
    </row>
    <row r="78" spans="1:7" x14ac:dyDescent="0.2">
      <c r="A78" t="s">
        <v>125</v>
      </c>
      <c r="B78" t="s">
        <v>49</v>
      </c>
      <c r="C78">
        <v>769</v>
      </c>
      <c r="D78">
        <v>0.44668446194658101</v>
      </c>
      <c r="E78">
        <v>0.34999915432964901</v>
      </c>
      <c r="F78" t="s">
        <v>443</v>
      </c>
      <c r="G78">
        <v>0.55164992826398795</v>
      </c>
    </row>
    <row r="79" spans="1:7" x14ac:dyDescent="0.2">
      <c r="A79" t="s">
        <v>125</v>
      </c>
      <c r="B79" t="s">
        <v>106</v>
      </c>
      <c r="C79">
        <v>739</v>
      </c>
      <c r="D79">
        <v>0.50017032004710404</v>
      </c>
      <c r="E79">
        <v>0.30088208274185702</v>
      </c>
      <c r="F79" t="s">
        <v>444</v>
      </c>
      <c r="G79">
        <v>0.54619364375461898</v>
      </c>
    </row>
    <row r="80" spans="1:7" x14ac:dyDescent="0.2">
      <c r="A80" t="s">
        <v>125</v>
      </c>
      <c r="B80" t="s">
        <v>107</v>
      </c>
      <c r="C80">
        <v>738</v>
      </c>
      <c r="D80">
        <v>0.50710818645531797</v>
      </c>
      <c r="E80">
        <v>0.294899378401696</v>
      </c>
      <c r="F80" t="s">
        <v>445</v>
      </c>
      <c r="G80">
        <v>0.54545454545454497</v>
      </c>
    </row>
    <row r="81" spans="1:7" x14ac:dyDescent="0.2">
      <c r="A81" t="s">
        <v>125</v>
      </c>
      <c r="B81" t="s">
        <v>99</v>
      </c>
      <c r="C81">
        <v>736</v>
      </c>
      <c r="D81">
        <v>0.52113413290096999</v>
      </c>
      <c r="E81">
        <v>0.283050480767081</v>
      </c>
      <c r="F81" t="s">
        <v>446</v>
      </c>
      <c r="G81">
        <v>0.54397634885439705</v>
      </c>
    </row>
    <row r="82" spans="1:7" x14ac:dyDescent="0.2">
      <c r="A82" t="s">
        <v>125</v>
      </c>
      <c r="B82" t="s">
        <v>104</v>
      </c>
      <c r="C82">
        <v>578</v>
      </c>
      <c r="D82">
        <v>0.70444999513269102</v>
      </c>
      <c r="E82">
        <v>0.15214982953645401</v>
      </c>
      <c r="F82" t="s">
        <v>447</v>
      </c>
      <c r="G82">
        <v>0.47532894736842102</v>
      </c>
    </row>
    <row r="83" spans="1:7" x14ac:dyDescent="0.2">
      <c r="A83" t="s">
        <v>125</v>
      </c>
      <c r="B83" t="s">
        <v>100</v>
      </c>
      <c r="C83">
        <v>496</v>
      </c>
      <c r="D83">
        <v>0.744018167403935</v>
      </c>
      <c r="E83">
        <v>0.128416459740478</v>
      </c>
      <c r="F83" t="s">
        <v>448</v>
      </c>
      <c r="G83">
        <v>0.52486772486772404</v>
      </c>
    </row>
    <row r="84" spans="1:7" x14ac:dyDescent="0.2">
      <c r="A84" t="s">
        <v>125</v>
      </c>
      <c r="B84" t="s">
        <v>374</v>
      </c>
      <c r="C84">
        <v>686</v>
      </c>
      <c r="D84">
        <v>0.77745563161472198</v>
      </c>
      <c r="E84">
        <v>0.109324386217154</v>
      </c>
      <c r="F84" t="s">
        <v>486</v>
      </c>
      <c r="G84">
        <v>0.51969696969696899</v>
      </c>
    </row>
    <row r="85" spans="1:7" x14ac:dyDescent="0.2">
      <c r="A85" t="s">
        <v>125</v>
      </c>
      <c r="B85" t="s">
        <v>103</v>
      </c>
      <c r="C85">
        <v>651</v>
      </c>
      <c r="D85">
        <v>0.78572688201635699</v>
      </c>
      <c r="E85">
        <v>0.104728388115572</v>
      </c>
      <c r="F85" t="s">
        <v>449</v>
      </c>
      <c r="G85">
        <v>0.48115299334811501</v>
      </c>
    </row>
    <row r="86" spans="1:7" x14ac:dyDescent="0.2">
      <c r="A86" t="s">
        <v>125</v>
      </c>
      <c r="B86" t="s">
        <v>101</v>
      </c>
      <c r="C86">
        <v>656</v>
      </c>
      <c r="D86">
        <v>0.798805520536227</v>
      </c>
      <c r="E86">
        <v>9.7558942386542793E-2</v>
      </c>
      <c r="F86" t="s">
        <v>450</v>
      </c>
      <c r="G86">
        <v>0.48235294117646998</v>
      </c>
    </row>
    <row r="87" spans="1:7" x14ac:dyDescent="0.2">
      <c r="A87" t="s">
        <v>125</v>
      </c>
      <c r="B87" t="s">
        <v>105</v>
      </c>
      <c r="C87">
        <v>701</v>
      </c>
      <c r="D87">
        <v>0.82403853666100002</v>
      </c>
      <c r="E87">
        <v>8.4052477783616505E-2</v>
      </c>
      <c r="F87" t="s">
        <v>451</v>
      </c>
      <c r="G87">
        <v>0.48455882352941099</v>
      </c>
    </row>
    <row r="88" spans="1:7" x14ac:dyDescent="0.2">
      <c r="A88" t="s">
        <v>126</v>
      </c>
      <c r="B88" t="s">
        <v>75</v>
      </c>
      <c r="C88">
        <v>2387</v>
      </c>
      <c r="D88">
        <v>1.4970719378328E-2</v>
      </c>
      <c r="E88">
        <v>1.82475733028274</v>
      </c>
      <c r="F88" t="s">
        <v>452</v>
      </c>
      <c r="G88">
        <v>0.63081395348837199</v>
      </c>
    </row>
    <row r="89" spans="1:7" x14ac:dyDescent="0.2">
      <c r="A89" t="s">
        <v>126</v>
      </c>
      <c r="B89" t="s">
        <v>373</v>
      </c>
      <c r="C89">
        <v>1445</v>
      </c>
      <c r="D89">
        <v>1.8537704553322199E-2</v>
      </c>
      <c r="E89">
        <v>1.7319440437375799</v>
      </c>
      <c r="F89" t="s">
        <v>494</v>
      </c>
      <c r="G89">
        <v>0.62661498708010299</v>
      </c>
    </row>
    <row r="90" spans="1:7" x14ac:dyDescent="0.2">
      <c r="A90" t="s">
        <v>126</v>
      </c>
      <c r="B90" t="s">
        <v>100</v>
      </c>
      <c r="C90">
        <v>2224</v>
      </c>
      <c r="D90">
        <v>4.6276238249151697E-2</v>
      </c>
      <c r="E90">
        <v>1.33464195166573</v>
      </c>
      <c r="F90" t="s">
        <v>453</v>
      </c>
      <c r="G90">
        <v>0.60864805692391899</v>
      </c>
    </row>
    <row r="91" spans="1:7" x14ac:dyDescent="0.2">
      <c r="A91" t="s">
        <v>126</v>
      </c>
      <c r="B91" t="s">
        <v>107</v>
      </c>
      <c r="C91">
        <v>2259</v>
      </c>
      <c r="D91">
        <v>5.4862580260143297E-2</v>
      </c>
      <c r="E91">
        <v>1.2607237708038499</v>
      </c>
      <c r="F91" t="s">
        <v>454</v>
      </c>
      <c r="G91">
        <v>0.60384923817161096</v>
      </c>
    </row>
    <row r="92" spans="1:7" x14ac:dyDescent="0.2">
      <c r="A92" t="s">
        <v>126</v>
      </c>
      <c r="B92" t="s">
        <v>108</v>
      </c>
      <c r="C92">
        <v>1576</v>
      </c>
      <c r="D92">
        <v>5.5007155061063198E-2</v>
      </c>
      <c r="E92">
        <v>1.2595808159342801</v>
      </c>
      <c r="F92" t="s">
        <v>455</v>
      </c>
      <c r="G92">
        <v>0.60202020202020201</v>
      </c>
    </row>
    <row r="93" spans="1:7" x14ac:dyDescent="0.2">
      <c r="A93" t="s">
        <v>126</v>
      </c>
      <c r="B93" t="s">
        <v>49</v>
      </c>
      <c r="C93">
        <v>2421</v>
      </c>
      <c r="D93">
        <v>6.4886991391924095E-2</v>
      </c>
      <c r="E93">
        <v>1.1878423622594401</v>
      </c>
      <c r="F93" t="s">
        <v>456</v>
      </c>
      <c r="G93">
        <v>0.59777777777777696</v>
      </c>
    </row>
    <row r="94" spans="1:7" x14ac:dyDescent="0.2">
      <c r="A94" t="s">
        <v>126</v>
      </c>
      <c r="B94" t="s">
        <v>374</v>
      </c>
      <c r="C94">
        <v>2377</v>
      </c>
      <c r="D94">
        <v>0.12785554389697401</v>
      </c>
      <c r="E94">
        <v>0.893280435946881</v>
      </c>
      <c r="F94" t="s">
        <v>487</v>
      </c>
      <c r="G94">
        <v>0.58046398046397996</v>
      </c>
    </row>
    <row r="95" spans="1:7" x14ac:dyDescent="0.2">
      <c r="A95" t="s">
        <v>126</v>
      </c>
      <c r="B95" t="s">
        <v>102</v>
      </c>
      <c r="C95">
        <v>1936</v>
      </c>
      <c r="D95">
        <v>0.13690507044281799</v>
      </c>
      <c r="E95">
        <v>0.86358046695323998</v>
      </c>
      <c r="F95" t="s">
        <v>457</v>
      </c>
      <c r="G95">
        <v>0.58313253012048105</v>
      </c>
    </row>
    <row r="96" spans="1:7" x14ac:dyDescent="0.2">
      <c r="A96" t="s">
        <v>126</v>
      </c>
      <c r="B96" t="s">
        <v>9</v>
      </c>
      <c r="C96">
        <v>2291</v>
      </c>
      <c r="D96">
        <v>0.174845629977853</v>
      </c>
      <c r="E96">
        <v>0.75734521780266995</v>
      </c>
      <c r="F96" t="s">
        <v>458</v>
      </c>
      <c r="G96">
        <v>0.57203495630461898</v>
      </c>
    </row>
    <row r="97" spans="1:7" x14ac:dyDescent="0.2">
      <c r="A97" t="s">
        <v>126</v>
      </c>
      <c r="B97" t="s">
        <v>99</v>
      </c>
      <c r="C97">
        <v>2114</v>
      </c>
      <c r="D97">
        <v>0.22918883251990699</v>
      </c>
      <c r="E97">
        <v>0.63980654766947698</v>
      </c>
      <c r="F97" t="s">
        <v>459</v>
      </c>
      <c r="G97">
        <v>0.56508954824913105</v>
      </c>
    </row>
    <row r="98" spans="1:7" x14ac:dyDescent="0.2">
      <c r="A98" t="s">
        <v>126</v>
      </c>
      <c r="B98" t="s">
        <v>106</v>
      </c>
      <c r="C98">
        <v>2154</v>
      </c>
      <c r="D98">
        <v>0.29322361580543699</v>
      </c>
      <c r="E98">
        <v>0.53280105517359</v>
      </c>
      <c r="F98" t="s">
        <v>460</v>
      </c>
      <c r="G98">
        <v>0.55658914728682096</v>
      </c>
    </row>
    <row r="99" spans="1:7" x14ac:dyDescent="0.2">
      <c r="A99" t="s">
        <v>126</v>
      </c>
      <c r="B99" t="s">
        <v>109</v>
      </c>
      <c r="C99">
        <v>1904.5</v>
      </c>
      <c r="D99">
        <v>0.52815729208991602</v>
      </c>
      <c r="E99">
        <v>0.27723671967504299</v>
      </c>
      <c r="F99" t="s">
        <v>461</v>
      </c>
      <c r="G99">
        <v>0.53437149270482598</v>
      </c>
    </row>
    <row r="100" spans="1:7" x14ac:dyDescent="0.2">
      <c r="A100" t="s">
        <v>126</v>
      </c>
      <c r="B100" t="s">
        <v>101</v>
      </c>
      <c r="C100">
        <v>2181</v>
      </c>
      <c r="D100">
        <v>0.53820844542538204</v>
      </c>
      <c r="E100">
        <v>0.269049491684</v>
      </c>
      <c r="F100" t="s">
        <v>462</v>
      </c>
      <c r="G100">
        <v>0.53260073260073204</v>
      </c>
    </row>
    <row r="101" spans="1:7" x14ac:dyDescent="0.2">
      <c r="A101" t="s">
        <v>126</v>
      </c>
      <c r="B101" t="s">
        <v>103</v>
      </c>
      <c r="C101">
        <v>2152</v>
      </c>
      <c r="D101">
        <v>0.55488610528226001</v>
      </c>
      <c r="E101">
        <v>0.25579615007282902</v>
      </c>
      <c r="F101" t="s">
        <v>463</v>
      </c>
      <c r="G101">
        <v>0.53135802469135796</v>
      </c>
    </row>
    <row r="102" spans="1:7" x14ac:dyDescent="0.2">
      <c r="A102" t="s">
        <v>126</v>
      </c>
      <c r="B102" t="s">
        <v>110</v>
      </c>
      <c r="C102">
        <v>1410</v>
      </c>
      <c r="D102">
        <v>0.674050471442739</v>
      </c>
      <c r="E102">
        <v>0.17130758321480799</v>
      </c>
      <c r="F102" t="s">
        <v>464</v>
      </c>
      <c r="G102">
        <v>0.47570850202429099</v>
      </c>
    </row>
    <row r="103" spans="1:7" x14ac:dyDescent="0.2">
      <c r="A103" t="s">
        <v>126</v>
      </c>
      <c r="B103" t="s">
        <v>104</v>
      </c>
      <c r="C103">
        <v>1407</v>
      </c>
      <c r="D103">
        <v>0.75377761517947295</v>
      </c>
      <c r="E103">
        <v>0.122756763872858</v>
      </c>
      <c r="F103" t="s">
        <v>465</v>
      </c>
      <c r="G103">
        <v>0.48251028806584301</v>
      </c>
    </row>
    <row r="104" spans="1:7" x14ac:dyDescent="0.2">
      <c r="A104" t="s">
        <v>126</v>
      </c>
      <c r="B104" t="s">
        <v>105</v>
      </c>
      <c r="C104">
        <v>1828</v>
      </c>
      <c r="D104">
        <v>0.835360895100136</v>
      </c>
      <c r="E104">
        <v>7.8125858780886806E-2</v>
      </c>
      <c r="F104" t="s">
        <v>466</v>
      </c>
      <c r="G104">
        <v>0.51136059877038198</v>
      </c>
    </row>
    <row r="105" spans="1:7" x14ac:dyDescent="0.2">
      <c r="A105" t="s">
        <v>127</v>
      </c>
      <c r="B105" t="s">
        <v>107</v>
      </c>
      <c r="C105">
        <v>1424</v>
      </c>
      <c r="D105">
        <v>1.6010126772085E-2</v>
      </c>
      <c r="E105">
        <v>1.7956052292175499</v>
      </c>
      <c r="F105" t="s">
        <v>467</v>
      </c>
      <c r="G105">
        <v>0.646098003629764</v>
      </c>
    </row>
    <row r="106" spans="1:7" x14ac:dyDescent="0.2">
      <c r="A106" t="s">
        <v>127</v>
      </c>
      <c r="B106" t="s">
        <v>99</v>
      </c>
      <c r="C106">
        <v>1133</v>
      </c>
      <c r="D106">
        <v>1.72343878016918E-2</v>
      </c>
      <c r="E106">
        <v>1.76360413894992</v>
      </c>
      <c r="F106" t="s">
        <v>468</v>
      </c>
      <c r="G106">
        <v>0.65340253748558197</v>
      </c>
    </row>
    <row r="107" spans="1:7" x14ac:dyDescent="0.2">
      <c r="A107" t="s">
        <v>127</v>
      </c>
      <c r="B107" t="s">
        <v>102</v>
      </c>
      <c r="C107">
        <v>1214</v>
      </c>
      <c r="D107">
        <v>3.77610593589238E-2</v>
      </c>
      <c r="E107">
        <v>1.4229558303887599</v>
      </c>
      <c r="F107" t="s">
        <v>469</v>
      </c>
      <c r="G107">
        <v>0.63064935064935002</v>
      </c>
    </row>
    <row r="108" spans="1:7" x14ac:dyDescent="0.2">
      <c r="A108" t="s">
        <v>127</v>
      </c>
      <c r="B108" t="s">
        <v>101</v>
      </c>
      <c r="C108">
        <v>1175</v>
      </c>
      <c r="D108">
        <v>4.2960287459685297E-2</v>
      </c>
      <c r="E108">
        <v>1.3669328213090199</v>
      </c>
      <c r="F108" t="s">
        <v>470</v>
      </c>
      <c r="G108">
        <v>0.62767094017094005</v>
      </c>
    </row>
    <row r="109" spans="1:7" x14ac:dyDescent="0.2">
      <c r="A109" t="s">
        <v>127</v>
      </c>
      <c r="B109" t="s">
        <v>49</v>
      </c>
      <c r="C109">
        <v>1232</v>
      </c>
      <c r="D109">
        <v>4.9982510127615003E-2</v>
      </c>
      <c r="E109">
        <v>1.3011819373412501</v>
      </c>
      <c r="F109" t="s">
        <v>471</v>
      </c>
      <c r="G109">
        <v>0.62222222222222201</v>
      </c>
    </row>
    <row r="110" spans="1:7" x14ac:dyDescent="0.2">
      <c r="A110" t="s">
        <v>127</v>
      </c>
      <c r="B110" t="s">
        <v>374</v>
      </c>
      <c r="C110">
        <v>1121</v>
      </c>
      <c r="D110">
        <v>6.8443960513209903E-2</v>
      </c>
      <c r="E110">
        <v>1.1646648679318301</v>
      </c>
      <c r="F110" t="s">
        <v>488</v>
      </c>
      <c r="G110">
        <v>0.61593406593406597</v>
      </c>
    </row>
    <row r="111" spans="1:7" x14ac:dyDescent="0.2">
      <c r="A111" t="s">
        <v>127</v>
      </c>
      <c r="B111" t="s">
        <v>106</v>
      </c>
      <c r="C111">
        <v>1429</v>
      </c>
      <c r="D111">
        <v>7.5257173565454097E-2</v>
      </c>
      <c r="E111">
        <v>1.1234520965127901</v>
      </c>
      <c r="F111" t="s">
        <v>472</v>
      </c>
      <c r="G111">
        <v>0.606536502546689</v>
      </c>
    </row>
    <row r="112" spans="1:7" x14ac:dyDescent="0.2">
      <c r="A112" t="s">
        <v>127</v>
      </c>
      <c r="B112" t="s">
        <v>108</v>
      </c>
      <c r="C112">
        <v>843</v>
      </c>
      <c r="D112">
        <v>8.8172861737781896E-2</v>
      </c>
      <c r="E112">
        <v>1.0546650635203201</v>
      </c>
      <c r="F112" t="s">
        <v>473</v>
      </c>
      <c r="G112">
        <v>0.60515222482435505</v>
      </c>
    </row>
    <row r="113" spans="1:7" x14ac:dyDescent="0.2">
      <c r="A113" t="s">
        <v>127</v>
      </c>
      <c r="B113" t="s">
        <v>104</v>
      </c>
      <c r="C113">
        <v>1406.5</v>
      </c>
      <c r="D113">
        <v>9.31694185546037E-2</v>
      </c>
      <c r="E113">
        <v>1.0307266148181899</v>
      </c>
      <c r="F113" t="s">
        <v>474</v>
      </c>
      <c r="G113">
        <v>0.59396114864864802</v>
      </c>
    </row>
    <row r="114" spans="1:7" x14ac:dyDescent="0.2">
      <c r="A114" t="s">
        <v>127</v>
      </c>
      <c r="B114" t="s">
        <v>109</v>
      </c>
      <c r="C114">
        <v>1200</v>
      </c>
      <c r="D114">
        <v>0.26500711863092402</v>
      </c>
      <c r="E114">
        <v>0.57674245987222605</v>
      </c>
      <c r="F114" t="s">
        <v>475</v>
      </c>
      <c r="G114">
        <v>0.56925996204933504</v>
      </c>
    </row>
    <row r="115" spans="1:7" x14ac:dyDescent="0.2">
      <c r="A115" t="s">
        <v>127</v>
      </c>
      <c r="B115" t="s">
        <v>100</v>
      </c>
      <c r="C115">
        <v>1050</v>
      </c>
      <c r="D115">
        <v>0.33542258900017402</v>
      </c>
      <c r="E115">
        <v>0.47440769322729698</v>
      </c>
      <c r="F115" t="s">
        <v>476</v>
      </c>
      <c r="G115">
        <v>0.56089743589743501</v>
      </c>
    </row>
    <row r="116" spans="1:7" x14ac:dyDescent="0.2">
      <c r="A116" t="s">
        <v>127</v>
      </c>
      <c r="B116" t="s">
        <v>75</v>
      </c>
      <c r="C116">
        <v>1312</v>
      </c>
      <c r="D116">
        <v>0.34311253930059898</v>
      </c>
      <c r="E116">
        <v>0.46456341004191198</v>
      </c>
      <c r="F116" t="s">
        <v>477</v>
      </c>
      <c r="G116">
        <v>0.556876061120543</v>
      </c>
    </row>
    <row r="117" spans="1:7" x14ac:dyDescent="0.2">
      <c r="A117" t="s">
        <v>127</v>
      </c>
      <c r="B117" t="s">
        <v>105</v>
      </c>
      <c r="C117">
        <v>1125</v>
      </c>
      <c r="D117">
        <v>0.61621133496434499</v>
      </c>
      <c r="E117">
        <v>0.21027031726998299</v>
      </c>
      <c r="F117" t="s">
        <v>478</v>
      </c>
      <c r="G117">
        <v>0.53007518796992403</v>
      </c>
    </row>
    <row r="118" spans="1:7" x14ac:dyDescent="0.2">
      <c r="A118" t="s">
        <v>127</v>
      </c>
      <c r="B118" t="s">
        <v>103</v>
      </c>
      <c r="C118">
        <v>944</v>
      </c>
      <c r="D118">
        <v>0.65392677600414495</v>
      </c>
      <c r="E118">
        <v>0.18447087943985399</v>
      </c>
      <c r="F118" t="s">
        <v>479</v>
      </c>
      <c r="G118">
        <v>0.52885154061624595</v>
      </c>
    </row>
    <row r="119" spans="1:7" x14ac:dyDescent="0.2">
      <c r="A119" t="s">
        <v>127</v>
      </c>
      <c r="B119" t="s">
        <v>9</v>
      </c>
      <c r="C119">
        <v>1228</v>
      </c>
      <c r="D119">
        <v>0.65802627158137805</v>
      </c>
      <c r="E119">
        <v>0.18175676691027301</v>
      </c>
      <c r="F119" t="s">
        <v>480</v>
      </c>
      <c r="G119">
        <v>0.52681252681252599</v>
      </c>
    </row>
    <row r="120" spans="1:7" x14ac:dyDescent="0.2">
      <c r="A120" t="s">
        <v>127</v>
      </c>
      <c r="B120" t="s">
        <v>373</v>
      </c>
      <c r="C120">
        <v>1033</v>
      </c>
      <c r="D120">
        <v>0.79578014942945097</v>
      </c>
      <c r="E120">
        <v>9.9206898440165198E-2</v>
      </c>
      <c r="F120" t="s">
        <v>495</v>
      </c>
      <c r="G120">
        <v>0.51615925058547996</v>
      </c>
    </row>
    <row r="121" spans="1:7" x14ac:dyDescent="0.2">
      <c r="A121" t="s">
        <v>127</v>
      </c>
      <c r="B121" t="s">
        <v>110</v>
      </c>
      <c r="C121">
        <v>1036</v>
      </c>
      <c r="D121">
        <v>0.95348225607985704</v>
      </c>
      <c r="E121">
        <v>2.0687384587884598E-2</v>
      </c>
      <c r="F121" t="s">
        <v>481</v>
      </c>
      <c r="G121">
        <v>0.49616858237547801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0A34-5AA0-F642-B481-0CC9528BE0B0}">
  <dimension ref="A1:K138"/>
  <sheetViews>
    <sheetView workbookViewId="0">
      <selection activeCell="G12" sqref="G12"/>
    </sheetView>
  </sheetViews>
  <sheetFormatPr baseColWidth="10" defaultRowHeight="16" x14ac:dyDescent="0.2"/>
  <sheetData>
    <row r="1" spans="1:11" x14ac:dyDescent="0.2">
      <c r="A1" s="1" t="s">
        <v>2887</v>
      </c>
    </row>
    <row r="2" spans="1:11" x14ac:dyDescent="0.2">
      <c r="A2" t="s">
        <v>88</v>
      </c>
      <c r="B2" t="s">
        <v>6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  <c r="I2" t="s">
        <v>95</v>
      </c>
      <c r="J2" t="s">
        <v>96</v>
      </c>
      <c r="K2" t="s">
        <v>97</v>
      </c>
    </row>
    <row r="3" spans="1:11" x14ac:dyDescent="0.2">
      <c r="A3" t="s">
        <v>98</v>
      </c>
      <c r="B3" t="s">
        <v>99</v>
      </c>
      <c r="C3">
        <v>86</v>
      </c>
      <c r="D3">
        <v>43</v>
      </c>
      <c r="E3">
        <v>43</v>
      </c>
      <c r="F3">
        <v>19</v>
      </c>
      <c r="G3">
        <v>-0.19636831663670801</v>
      </c>
      <c r="H3">
        <v>0.82170952964564803</v>
      </c>
      <c r="I3">
        <v>0.32275101217636498</v>
      </c>
      <c r="J3">
        <v>2.0920354255667202</v>
      </c>
      <c r="K3">
        <v>0.68045045628256395</v>
      </c>
    </row>
    <row r="4" spans="1:11" x14ac:dyDescent="0.2">
      <c r="A4" t="s">
        <v>98</v>
      </c>
      <c r="B4" t="s">
        <v>100</v>
      </c>
      <c r="C4">
        <v>86</v>
      </c>
      <c r="D4">
        <v>43</v>
      </c>
      <c r="E4">
        <v>43</v>
      </c>
      <c r="F4">
        <v>19</v>
      </c>
      <c r="G4">
        <v>0.39582131333252901</v>
      </c>
      <c r="H4">
        <v>1.4856038362344299</v>
      </c>
      <c r="I4">
        <v>0.58965958872487101</v>
      </c>
      <c r="J4">
        <v>3.7428692765042602</v>
      </c>
      <c r="K4">
        <v>0.40114548790308302</v>
      </c>
    </row>
    <row r="5" spans="1:11" x14ac:dyDescent="0.2">
      <c r="A5" t="s">
        <v>98</v>
      </c>
      <c r="B5" t="s">
        <v>374</v>
      </c>
      <c r="C5">
        <v>86</v>
      </c>
      <c r="D5">
        <v>43</v>
      </c>
      <c r="E5">
        <v>43</v>
      </c>
      <c r="F5">
        <v>19</v>
      </c>
      <c r="G5">
        <v>6.7644664532869698E-3</v>
      </c>
      <c r="H5">
        <v>1.0067873971319199</v>
      </c>
      <c r="I5">
        <v>0.41466291523955001</v>
      </c>
      <c r="J5">
        <v>2.4444454176427</v>
      </c>
      <c r="K5">
        <v>0.98807507747520595</v>
      </c>
    </row>
    <row r="6" spans="1:11" x14ac:dyDescent="0.2">
      <c r="A6" t="s">
        <v>98</v>
      </c>
      <c r="B6" t="s">
        <v>101</v>
      </c>
      <c r="C6">
        <v>80</v>
      </c>
      <c r="D6">
        <v>40</v>
      </c>
      <c r="E6">
        <v>40</v>
      </c>
      <c r="F6">
        <v>15</v>
      </c>
      <c r="G6">
        <v>-0.40614138775538899</v>
      </c>
      <c r="H6">
        <v>0.666215965985543</v>
      </c>
      <c r="I6">
        <v>0.24080927094953</v>
      </c>
      <c r="J6">
        <v>1.8431338277963201</v>
      </c>
      <c r="K6">
        <v>0.43406875968585801</v>
      </c>
    </row>
    <row r="7" spans="1:11" x14ac:dyDescent="0.2">
      <c r="A7" t="s">
        <v>98</v>
      </c>
      <c r="B7" t="s">
        <v>102</v>
      </c>
      <c r="C7">
        <v>86</v>
      </c>
      <c r="D7">
        <v>43</v>
      </c>
      <c r="E7">
        <v>43</v>
      </c>
      <c r="F7">
        <v>18</v>
      </c>
      <c r="G7">
        <v>-0.43559885040873803</v>
      </c>
      <c r="H7">
        <v>0.64687716840604204</v>
      </c>
      <c r="I7">
        <v>0.26622239046285101</v>
      </c>
      <c r="J7">
        <v>1.5718064520324699</v>
      </c>
      <c r="K7">
        <v>0.33623579817007598</v>
      </c>
    </row>
    <row r="8" spans="1:11" x14ac:dyDescent="0.2">
      <c r="A8" t="s">
        <v>98</v>
      </c>
      <c r="B8" t="s">
        <v>49</v>
      </c>
      <c r="C8">
        <v>88</v>
      </c>
      <c r="D8">
        <v>44</v>
      </c>
      <c r="E8">
        <v>44</v>
      </c>
      <c r="F8">
        <v>19</v>
      </c>
      <c r="G8">
        <v>-1.5864793349227298E-2</v>
      </c>
      <c r="H8">
        <v>0.98426038960990503</v>
      </c>
      <c r="I8">
        <v>0.40558269743159597</v>
      </c>
      <c r="J8">
        <v>2.38858442603664</v>
      </c>
      <c r="K8">
        <v>0.97202161646726204</v>
      </c>
    </row>
    <row r="9" spans="1:11" x14ac:dyDescent="0.2">
      <c r="A9" t="s">
        <v>98</v>
      </c>
      <c r="B9" t="s">
        <v>103</v>
      </c>
      <c r="C9">
        <v>88</v>
      </c>
      <c r="D9">
        <v>44</v>
      </c>
      <c r="E9">
        <v>44</v>
      </c>
      <c r="F9">
        <v>19</v>
      </c>
      <c r="G9">
        <v>0.66466177841938701</v>
      </c>
      <c r="H9">
        <v>1.9438329638855401</v>
      </c>
      <c r="I9">
        <v>0.77693011106240994</v>
      </c>
      <c r="J9">
        <v>4.8633545510563199</v>
      </c>
      <c r="K9">
        <v>0.15545583689950701</v>
      </c>
    </row>
    <row r="10" spans="1:11" x14ac:dyDescent="0.2">
      <c r="A10" t="s">
        <v>98</v>
      </c>
      <c r="B10" t="s">
        <v>75</v>
      </c>
      <c r="C10">
        <v>86</v>
      </c>
      <c r="D10">
        <v>43</v>
      </c>
      <c r="E10">
        <v>43</v>
      </c>
      <c r="F10">
        <v>19</v>
      </c>
      <c r="G10">
        <v>-0.12990844528085799</v>
      </c>
      <c r="H10">
        <v>0.87817582838144503</v>
      </c>
      <c r="I10">
        <v>0.37383564753104997</v>
      </c>
      <c r="J10">
        <v>2.0629193353996098</v>
      </c>
      <c r="K10">
        <v>0.76560060510042305</v>
      </c>
    </row>
    <row r="11" spans="1:11" x14ac:dyDescent="0.2">
      <c r="A11" t="s">
        <v>98</v>
      </c>
      <c r="B11" t="s">
        <v>104</v>
      </c>
      <c r="C11">
        <v>172</v>
      </c>
      <c r="D11">
        <v>74</v>
      </c>
      <c r="E11">
        <v>98</v>
      </c>
      <c r="F11">
        <v>19</v>
      </c>
      <c r="G11">
        <v>1.3102234271212801E-3</v>
      </c>
      <c r="H11">
        <v>1.0013110821448299</v>
      </c>
      <c r="I11">
        <v>0.51369873580460201</v>
      </c>
      <c r="J11">
        <v>1.9517740912008501</v>
      </c>
      <c r="K11">
        <v>0.99693007562623603</v>
      </c>
    </row>
    <row r="12" spans="1:11" x14ac:dyDescent="0.2">
      <c r="A12" t="s">
        <v>98</v>
      </c>
      <c r="B12" t="s">
        <v>373</v>
      </c>
      <c r="C12">
        <v>84</v>
      </c>
      <c r="D12">
        <v>42</v>
      </c>
      <c r="E12">
        <v>42</v>
      </c>
      <c r="F12">
        <v>18</v>
      </c>
      <c r="G12">
        <v>0.25845251959335902</v>
      </c>
      <c r="H12">
        <v>1.2949246648435599</v>
      </c>
      <c r="I12">
        <v>0.52787230403193297</v>
      </c>
      <c r="J12">
        <v>3.17658243255506</v>
      </c>
      <c r="K12">
        <v>0.57241265669561003</v>
      </c>
    </row>
    <row r="13" spans="1:11" x14ac:dyDescent="0.2">
      <c r="A13" t="s">
        <v>98</v>
      </c>
      <c r="B13" t="s">
        <v>9</v>
      </c>
      <c r="C13">
        <v>88</v>
      </c>
      <c r="D13">
        <v>44</v>
      </c>
      <c r="E13">
        <v>44</v>
      </c>
      <c r="F13">
        <v>19</v>
      </c>
      <c r="G13">
        <v>-0.20732566923371801</v>
      </c>
      <c r="H13">
        <v>0.81275491761109597</v>
      </c>
      <c r="I13">
        <v>0.33675647005436199</v>
      </c>
      <c r="J13">
        <v>1.96156752680768</v>
      </c>
      <c r="K13">
        <v>0.64465385654402296</v>
      </c>
    </row>
    <row r="14" spans="1:11" x14ac:dyDescent="0.2">
      <c r="A14" t="s">
        <v>98</v>
      </c>
      <c r="B14" t="s">
        <v>105</v>
      </c>
      <c r="C14">
        <v>86</v>
      </c>
      <c r="D14">
        <v>43</v>
      </c>
      <c r="E14">
        <v>43</v>
      </c>
      <c r="F14">
        <v>19</v>
      </c>
      <c r="G14">
        <v>0.21019094452805701</v>
      </c>
      <c r="H14">
        <v>1.2339136465229401</v>
      </c>
      <c r="I14">
        <v>0.49218979809816799</v>
      </c>
      <c r="J14">
        <v>3.0934060253964701</v>
      </c>
      <c r="K14">
        <v>0.65398200018560904</v>
      </c>
    </row>
    <row r="15" spans="1:11" x14ac:dyDescent="0.2">
      <c r="A15" t="s">
        <v>98</v>
      </c>
      <c r="B15" t="s">
        <v>106</v>
      </c>
      <c r="C15">
        <v>86</v>
      </c>
      <c r="D15">
        <v>43</v>
      </c>
      <c r="E15">
        <v>43</v>
      </c>
      <c r="F15">
        <v>19</v>
      </c>
      <c r="G15">
        <v>0.30081310802394501</v>
      </c>
      <c r="H15">
        <v>1.3509568349505701</v>
      </c>
      <c r="I15">
        <v>0.50150859881037302</v>
      </c>
      <c r="J15">
        <v>3.63918858864823</v>
      </c>
      <c r="K15">
        <v>0.55186437153379597</v>
      </c>
    </row>
    <row r="16" spans="1:11" x14ac:dyDescent="0.2">
      <c r="A16" t="s">
        <v>98</v>
      </c>
      <c r="B16" t="s">
        <v>107</v>
      </c>
      <c r="C16">
        <v>84</v>
      </c>
      <c r="D16">
        <v>42</v>
      </c>
      <c r="E16">
        <v>42</v>
      </c>
      <c r="F16">
        <v>18</v>
      </c>
      <c r="G16">
        <v>-2.44973134020833E-2</v>
      </c>
      <c r="H16">
        <v>0.97580031049796701</v>
      </c>
      <c r="I16">
        <v>0.34845150998570901</v>
      </c>
      <c r="J16">
        <v>2.73262195364565</v>
      </c>
      <c r="K16">
        <v>0.96281106633489699</v>
      </c>
    </row>
    <row r="17" spans="1:11" x14ac:dyDescent="0.2">
      <c r="A17" t="s">
        <v>98</v>
      </c>
      <c r="B17" t="s">
        <v>108</v>
      </c>
      <c r="C17">
        <v>88</v>
      </c>
      <c r="D17">
        <v>44</v>
      </c>
      <c r="E17">
        <v>44</v>
      </c>
      <c r="F17">
        <v>19</v>
      </c>
      <c r="G17">
        <v>0.32856940605697699</v>
      </c>
      <c r="H17">
        <v>1.3889796405827499</v>
      </c>
      <c r="I17">
        <v>0.58636925272787699</v>
      </c>
      <c r="J17">
        <v>3.2901869137547402</v>
      </c>
      <c r="K17">
        <v>0.45521049609345399</v>
      </c>
    </row>
    <row r="18" spans="1:11" x14ac:dyDescent="0.2">
      <c r="A18" t="s">
        <v>98</v>
      </c>
      <c r="B18" t="s">
        <v>109</v>
      </c>
      <c r="C18">
        <v>137</v>
      </c>
      <c r="D18">
        <v>94</v>
      </c>
      <c r="E18">
        <v>43</v>
      </c>
      <c r="F18">
        <v>19</v>
      </c>
      <c r="G18">
        <v>-0.17423154409768199</v>
      </c>
      <c r="H18">
        <v>0.84010235439501801</v>
      </c>
      <c r="I18">
        <v>0.37858005695366298</v>
      </c>
      <c r="J18">
        <v>1.8642608159003899</v>
      </c>
      <c r="K18">
        <v>0.66834937627723401</v>
      </c>
    </row>
    <row r="19" spans="1:11" x14ac:dyDescent="0.2">
      <c r="A19" t="s">
        <v>98</v>
      </c>
      <c r="B19" t="s">
        <v>110</v>
      </c>
      <c r="C19">
        <v>86</v>
      </c>
      <c r="D19">
        <v>43</v>
      </c>
      <c r="E19">
        <v>43</v>
      </c>
      <c r="F19">
        <v>18</v>
      </c>
      <c r="G19">
        <v>-0.13155996027025199</v>
      </c>
      <c r="H19">
        <v>0.87672670479158898</v>
      </c>
      <c r="I19">
        <v>0.32557934323419602</v>
      </c>
      <c r="J19">
        <v>2.3608675761158802</v>
      </c>
      <c r="K19">
        <v>0.79463047762375505</v>
      </c>
    </row>
    <row r="20" spans="1:11" x14ac:dyDescent="0.2">
      <c r="A20" t="s">
        <v>111</v>
      </c>
      <c r="B20" t="s">
        <v>99</v>
      </c>
      <c r="C20">
        <v>70</v>
      </c>
      <c r="D20">
        <v>35</v>
      </c>
      <c r="E20">
        <v>35</v>
      </c>
      <c r="F20">
        <v>39</v>
      </c>
      <c r="G20">
        <v>0.313801666886942</v>
      </c>
      <c r="H20">
        <v>1.3686182673060501</v>
      </c>
      <c r="I20">
        <v>0.74343363311480604</v>
      </c>
      <c r="J20">
        <v>2.5195469752369402</v>
      </c>
      <c r="K20">
        <v>0.31354863334550598</v>
      </c>
    </row>
    <row r="21" spans="1:11" x14ac:dyDescent="0.2">
      <c r="A21" t="s">
        <v>111</v>
      </c>
      <c r="B21" t="s">
        <v>100</v>
      </c>
      <c r="C21">
        <v>71</v>
      </c>
      <c r="D21">
        <v>36</v>
      </c>
      <c r="E21">
        <v>35</v>
      </c>
      <c r="F21">
        <v>39</v>
      </c>
      <c r="G21">
        <v>0.18551280941909901</v>
      </c>
      <c r="H21">
        <v>1.20383562011135</v>
      </c>
      <c r="I21">
        <v>0.65883085016552101</v>
      </c>
      <c r="J21">
        <v>2.19968478993477</v>
      </c>
      <c r="K21">
        <v>0.54638811349387495</v>
      </c>
    </row>
    <row r="22" spans="1:11" x14ac:dyDescent="0.2">
      <c r="A22" t="s">
        <v>111</v>
      </c>
      <c r="B22" t="s">
        <v>374</v>
      </c>
      <c r="C22">
        <v>69</v>
      </c>
      <c r="D22">
        <v>35</v>
      </c>
      <c r="E22">
        <v>34</v>
      </c>
      <c r="F22">
        <v>39</v>
      </c>
      <c r="G22">
        <v>0.15855758594974401</v>
      </c>
      <c r="H22">
        <v>1.1718194026155</v>
      </c>
      <c r="I22">
        <v>0.64208525641097502</v>
      </c>
      <c r="J22">
        <v>2.1385956127097998</v>
      </c>
      <c r="K22">
        <v>0.60545300074342101</v>
      </c>
    </row>
    <row r="23" spans="1:11" x14ac:dyDescent="0.2">
      <c r="A23" t="s">
        <v>111</v>
      </c>
      <c r="B23" t="s">
        <v>101</v>
      </c>
      <c r="C23">
        <v>69</v>
      </c>
      <c r="D23">
        <v>35</v>
      </c>
      <c r="E23">
        <v>34</v>
      </c>
      <c r="F23">
        <v>39</v>
      </c>
      <c r="G23">
        <v>2.4363551943036299E-2</v>
      </c>
      <c r="H23">
        <v>1.0246627683243601</v>
      </c>
      <c r="I23">
        <v>0.568834232812921</v>
      </c>
      <c r="J23">
        <v>1.84576407013719</v>
      </c>
      <c r="K23">
        <v>0.93533280581107403</v>
      </c>
    </row>
    <row r="24" spans="1:11" x14ac:dyDescent="0.2">
      <c r="A24" t="s">
        <v>111</v>
      </c>
      <c r="B24" t="s">
        <v>102</v>
      </c>
      <c r="C24">
        <v>70</v>
      </c>
      <c r="D24">
        <v>35</v>
      </c>
      <c r="E24">
        <v>35</v>
      </c>
      <c r="F24">
        <v>39</v>
      </c>
      <c r="G24">
        <v>0.35487562837051201</v>
      </c>
      <c r="H24">
        <v>1.4260032888994001</v>
      </c>
      <c r="I24">
        <v>0.78203242181266297</v>
      </c>
      <c r="J24">
        <v>2.6002571290312</v>
      </c>
      <c r="K24">
        <v>0.24693696205158999</v>
      </c>
    </row>
    <row r="25" spans="1:11" x14ac:dyDescent="0.2">
      <c r="A25" t="s">
        <v>111</v>
      </c>
      <c r="B25" t="s">
        <v>49</v>
      </c>
      <c r="C25">
        <v>71</v>
      </c>
      <c r="D25">
        <v>36</v>
      </c>
      <c r="E25">
        <v>35</v>
      </c>
      <c r="F25">
        <v>39</v>
      </c>
      <c r="G25">
        <v>0.19785996238367901</v>
      </c>
      <c r="H25">
        <v>1.2187917051853201</v>
      </c>
      <c r="I25">
        <v>0.66956650413170604</v>
      </c>
      <c r="J25">
        <v>2.2185297673378601</v>
      </c>
      <c r="K25">
        <v>0.51735616367543003</v>
      </c>
    </row>
    <row r="26" spans="1:11" x14ac:dyDescent="0.2">
      <c r="A26" t="s">
        <v>111</v>
      </c>
      <c r="B26" t="s">
        <v>103</v>
      </c>
      <c r="C26">
        <v>71</v>
      </c>
      <c r="D26">
        <v>36</v>
      </c>
      <c r="E26">
        <v>35</v>
      </c>
      <c r="F26">
        <v>39</v>
      </c>
      <c r="G26">
        <v>9.9968373775426601E-3</v>
      </c>
      <c r="H26">
        <v>1.0100469726818699</v>
      </c>
      <c r="I26">
        <v>0.55463522489180905</v>
      </c>
      <c r="J26">
        <v>1.83939793442227</v>
      </c>
      <c r="K26">
        <v>0.97392485887533398</v>
      </c>
    </row>
    <row r="27" spans="1:11" x14ac:dyDescent="0.2">
      <c r="A27" t="s">
        <v>111</v>
      </c>
      <c r="B27" t="s">
        <v>75</v>
      </c>
      <c r="C27">
        <v>69</v>
      </c>
      <c r="D27">
        <v>35</v>
      </c>
      <c r="E27">
        <v>34</v>
      </c>
      <c r="F27">
        <v>38</v>
      </c>
      <c r="G27">
        <v>0.278783322196482</v>
      </c>
      <c r="H27">
        <v>1.3215209685842999</v>
      </c>
      <c r="I27">
        <v>0.72739056429881499</v>
      </c>
      <c r="J27">
        <v>2.4009352830847899</v>
      </c>
      <c r="K27">
        <v>0.36011988036355302</v>
      </c>
    </row>
    <row r="28" spans="1:11" x14ac:dyDescent="0.2">
      <c r="A28" t="s">
        <v>111</v>
      </c>
      <c r="B28" t="s">
        <v>104</v>
      </c>
      <c r="C28">
        <v>68</v>
      </c>
      <c r="D28">
        <v>59</v>
      </c>
      <c r="E28">
        <v>9</v>
      </c>
      <c r="F28">
        <v>36</v>
      </c>
      <c r="G28">
        <v>-0.86384533091985005</v>
      </c>
      <c r="H28">
        <v>0.421538008630093</v>
      </c>
      <c r="I28">
        <v>0.175927121051552</v>
      </c>
      <c r="J28">
        <v>1.0100449075600699</v>
      </c>
      <c r="K28">
        <v>5.2678594083594599E-2</v>
      </c>
    </row>
    <row r="29" spans="1:11" x14ac:dyDescent="0.2">
      <c r="A29" t="s">
        <v>111</v>
      </c>
      <c r="B29" t="s">
        <v>373</v>
      </c>
      <c r="C29">
        <v>71</v>
      </c>
      <c r="D29">
        <v>36</v>
      </c>
      <c r="E29">
        <v>35</v>
      </c>
      <c r="F29">
        <v>39</v>
      </c>
      <c r="G29">
        <v>0.219181908884749</v>
      </c>
      <c r="H29">
        <v>1.24505774315428</v>
      </c>
      <c r="I29">
        <v>0.67664898685807895</v>
      </c>
      <c r="J29">
        <v>2.2909496857246698</v>
      </c>
      <c r="K29">
        <v>0.481126101120044</v>
      </c>
    </row>
    <row r="30" spans="1:11" x14ac:dyDescent="0.2">
      <c r="A30" t="s">
        <v>111</v>
      </c>
      <c r="B30" t="s">
        <v>9</v>
      </c>
      <c r="C30">
        <v>71</v>
      </c>
      <c r="D30">
        <v>36</v>
      </c>
      <c r="E30">
        <v>35</v>
      </c>
      <c r="F30">
        <v>39</v>
      </c>
      <c r="G30">
        <v>0.50447630646307795</v>
      </c>
      <c r="H30">
        <v>1.6561179950315601</v>
      </c>
      <c r="I30">
        <v>0.90598000238088505</v>
      </c>
      <c r="J30">
        <v>3.0273591097591401</v>
      </c>
      <c r="K30">
        <v>0.101183202269563</v>
      </c>
    </row>
    <row r="31" spans="1:11" x14ac:dyDescent="0.2">
      <c r="A31" t="s">
        <v>111</v>
      </c>
      <c r="B31" t="s">
        <v>105</v>
      </c>
      <c r="C31">
        <v>70</v>
      </c>
      <c r="D31">
        <v>35</v>
      </c>
      <c r="E31">
        <v>35</v>
      </c>
      <c r="F31">
        <v>38</v>
      </c>
      <c r="G31">
        <v>8.4155621623860394E-2</v>
      </c>
      <c r="H31">
        <v>1.0877981655542599</v>
      </c>
      <c r="I31">
        <v>0.59824786651100503</v>
      </c>
      <c r="J31">
        <v>1.97795080471292</v>
      </c>
      <c r="K31">
        <v>0.78265083151306702</v>
      </c>
    </row>
    <row r="32" spans="1:11" x14ac:dyDescent="0.2">
      <c r="A32" t="s">
        <v>111</v>
      </c>
      <c r="B32" t="s">
        <v>106</v>
      </c>
      <c r="C32">
        <v>68</v>
      </c>
      <c r="D32">
        <v>34</v>
      </c>
      <c r="E32">
        <v>34</v>
      </c>
      <c r="F32">
        <v>37</v>
      </c>
      <c r="G32">
        <v>-0.404902045170284</v>
      </c>
      <c r="H32">
        <v>0.66704214765838099</v>
      </c>
      <c r="I32">
        <v>0.359358336003618</v>
      </c>
      <c r="J32">
        <v>1.2381658700362601</v>
      </c>
      <c r="K32">
        <v>0.19948338769451299</v>
      </c>
    </row>
    <row r="33" spans="1:11" x14ac:dyDescent="0.2">
      <c r="A33" t="s">
        <v>111</v>
      </c>
      <c r="B33" t="s">
        <v>107</v>
      </c>
      <c r="C33">
        <v>70</v>
      </c>
      <c r="D33">
        <v>35</v>
      </c>
      <c r="E33">
        <v>35</v>
      </c>
      <c r="F33">
        <v>39</v>
      </c>
      <c r="G33">
        <v>9.25625362376538E-2</v>
      </c>
      <c r="H33">
        <v>1.0969817405261399</v>
      </c>
      <c r="I33">
        <v>0.60585517251745702</v>
      </c>
      <c r="J33">
        <v>1.98623201325082</v>
      </c>
      <c r="K33">
        <v>0.75992000390041703</v>
      </c>
    </row>
    <row r="34" spans="1:11" x14ac:dyDescent="0.2">
      <c r="A34" t="s">
        <v>111</v>
      </c>
      <c r="B34" t="s">
        <v>108</v>
      </c>
      <c r="C34">
        <v>71</v>
      </c>
      <c r="D34">
        <v>36</v>
      </c>
      <c r="E34">
        <v>35</v>
      </c>
      <c r="F34">
        <v>39</v>
      </c>
      <c r="G34">
        <v>-0.14945598520095399</v>
      </c>
      <c r="H34">
        <v>0.86117634168915502</v>
      </c>
      <c r="I34">
        <v>0.47563024558633898</v>
      </c>
      <c r="J34">
        <v>1.5592462808391601</v>
      </c>
      <c r="K34">
        <v>0.62170948340420995</v>
      </c>
    </row>
    <row r="35" spans="1:11" x14ac:dyDescent="0.2">
      <c r="A35" t="s">
        <v>111</v>
      </c>
      <c r="B35" t="s">
        <v>109</v>
      </c>
      <c r="C35">
        <v>48</v>
      </c>
      <c r="D35">
        <v>24</v>
      </c>
      <c r="E35">
        <v>24</v>
      </c>
      <c r="F35">
        <v>28</v>
      </c>
      <c r="G35">
        <v>-0.10643848273847099</v>
      </c>
      <c r="H35">
        <v>0.89903035234544004</v>
      </c>
      <c r="I35">
        <v>0.44414597458712202</v>
      </c>
      <c r="J35">
        <v>1.81979714032018</v>
      </c>
      <c r="K35">
        <v>0.76735225436293997</v>
      </c>
    </row>
    <row r="36" spans="1:11" x14ac:dyDescent="0.2">
      <c r="A36" t="s">
        <v>111</v>
      </c>
      <c r="B36" t="s">
        <v>110</v>
      </c>
      <c r="C36">
        <v>52</v>
      </c>
      <c r="D36">
        <v>26</v>
      </c>
      <c r="E36">
        <v>26</v>
      </c>
      <c r="F36">
        <v>28</v>
      </c>
      <c r="G36">
        <v>0.25803502022369301</v>
      </c>
      <c r="H36">
        <v>1.2943841474529001</v>
      </c>
      <c r="I36">
        <v>0.645606815763341</v>
      </c>
      <c r="J36">
        <v>2.5951248968715199</v>
      </c>
      <c r="K36">
        <v>0.46719212207044902</v>
      </c>
    </row>
    <row r="37" spans="1:11" x14ac:dyDescent="0.2">
      <c r="A37" t="s">
        <v>112</v>
      </c>
      <c r="B37" t="s">
        <v>99</v>
      </c>
      <c r="C37">
        <v>13</v>
      </c>
      <c r="D37">
        <v>7</v>
      </c>
      <c r="E37">
        <v>6</v>
      </c>
      <c r="F37">
        <v>1</v>
      </c>
      <c r="G37">
        <v>0.79646087593352199</v>
      </c>
      <c r="H37">
        <v>2.21767838449763</v>
      </c>
      <c r="I37">
        <v>0.15821093213784501</v>
      </c>
      <c r="J37">
        <v>31.085699013409599</v>
      </c>
      <c r="K37">
        <v>0.55436182063659101</v>
      </c>
    </row>
    <row r="38" spans="1:11" x14ac:dyDescent="0.2">
      <c r="A38" t="s">
        <v>112</v>
      </c>
      <c r="B38" t="s">
        <v>100</v>
      </c>
      <c r="C38">
        <v>13</v>
      </c>
      <c r="D38">
        <v>7</v>
      </c>
      <c r="E38">
        <v>6</v>
      </c>
      <c r="F38">
        <v>1</v>
      </c>
      <c r="G38">
        <v>0.79646087593352199</v>
      </c>
      <c r="H38">
        <v>2.21767838449763</v>
      </c>
      <c r="I38">
        <v>0.15821093213784501</v>
      </c>
      <c r="J38">
        <v>31.085699013409599</v>
      </c>
      <c r="K38">
        <v>0.55436182063659101</v>
      </c>
    </row>
    <row r="39" spans="1:11" x14ac:dyDescent="0.2">
      <c r="A39" t="s">
        <v>112</v>
      </c>
      <c r="B39" t="s">
        <v>374</v>
      </c>
      <c r="C39">
        <v>13</v>
      </c>
      <c r="D39">
        <v>7</v>
      </c>
      <c r="E39">
        <v>6</v>
      </c>
      <c r="F39">
        <v>1</v>
      </c>
      <c r="G39">
        <v>0.79646087593352199</v>
      </c>
      <c r="H39">
        <v>2.21767838449763</v>
      </c>
      <c r="I39">
        <v>0.15821093213784501</v>
      </c>
      <c r="J39">
        <v>31.085699013409599</v>
      </c>
      <c r="K39">
        <v>0.55436182063659101</v>
      </c>
    </row>
    <row r="40" spans="1:11" x14ac:dyDescent="0.2">
      <c r="A40" t="s">
        <v>112</v>
      </c>
      <c r="B40" t="s">
        <v>101</v>
      </c>
      <c r="C40">
        <v>13</v>
      </c>
      <c r="D40">
        <v>7</v>
      </c>
      <c r="E40">
        <v>6</v>
      </c>
      <c r="F40">
        <v>1</v>
      </c>
      <c r="G40">
        <v>0.79646087593352199</v>
      </c>
      <c r="H40">
        <v>2.21767838449763</v>
      </c>
      <c r="I40">
        <v>0.15821093213784501</v>
      </c>
      <c r="J40">
        <v>31.085699013409599</v>
      </c>
      <c r="K40">
        <v>0.55436182063659101</v>
      </c>
    </row>
    <row r="41" spans="1:11" x14ac:dyDescent="0.2">
      <c r="A41" t="s">
        <v>112</v>
      </c>
      <c r="B41" t="s">
        <v>102</v>
      </c>
      <c r="C41">
        <v>13</v>
      </c>
      <c r="D41">
        <v>7</v>
      </c>
      <c r="E41">
        <v>6</v>
      </c>
      <c r="F41">
        <v>1</v>
      </c>
      <c r="G41">
        <v>0.79646087593352199</v>
      </c>
      <c r="H41">
        <v>2.21767838449763</v>
      </c>
      <c r="I41">
        <v>0.15821093213784501</v>
      </c>
      <c r="J41">
        <v>31.085699013409599</v>
      </c>
      <c r="K41">
        <v>0.55436182063659101</v>
      </c>
    </row>
    <row r="42" spans="1:11" x14ac:dyDescent="0.2">
      <c r="A42" t="s">
        <v>112</v>
      </c>
      <c r="B42" t="s">
        <v>49</v>
      </c>
      <c r="C42">
        <v>13</v>
      </c>
      <c r="D42">
        <v>7</v>
      </c>
      <c r="E42">
        <v>6</v>
      </c>
      <c r="F42">
        <v>1</v>
      </c>
      <c r="G42">
        <v>0.79646087593352199</v>
      </c>
      <c r="H42">
        <v>2.21767838449763</v>
      </c>
      <c r="I42">
        <v>0.15821093213784501</v>
      </c>
      <c r="J42">
        <v>31.085699013409599</v>
      </c>
      <c r="K42">
        <v>0.55436182063659101</v>
      </c>
    </row>
    <row r="43" spans="1:11" x14ac:dyDescent="0.2">
      <c r="A43" t="s">
        <v>112</v>
      </c>
      <c r="B43" t="s">
        <v>103</v>
      </c>
      <c r="C43">
        <v>13</v>
      </c>
      <c r="D43">
        <v>7</v>
      </c>
      <c r="E43">
        <v>6</v>
      </c>
      <c r="F43">
        <v>1</v>
      </c>
      <c r="G43">
        <v>0.79646087593352199</v>
      </c>
      <c r="H43">
        <v>2.21767838449763</v>
      </c>
      <c r="I43">
        <v>0.15821093213784501</v>
      </c>
      <c r="J43">
        <v>31.085699013409599</v>
      </c>
      <c r="K43">
        <v>0.55436182063659101</v>
      </c>
    </row>
    <row r="44" spans="1:11" x14ac:dyDescent="0.2">
      <c r="A44" t="s">
        <v>112</v>
      </c>
      <c r="B44" t="s">
        <v>75</v>
      </c>
      <c r="C44">
        <v>13</v>
      </c>
      <c r="D44">
        <v>7</v>
      </c>
      <c r="E44">
        <v>6</v>
      </c>
      <c r="F44">
        <v>1</v>
      </c>
      <c r="G44">
        <v>0.79646087593352199</v>
      </c>
      <c r="H44">
        <v>2.21767838449763</v>
      </c>
      <c r="I44">
        <v>0.15821093213784501</v>
      </c>
      <c r="J44">
        <v>31.085699013409599</v>
      </c>
      <c r="K44">
        <v>0.55436182063659101</v>
      </c>
    </row>
    <row r="45" spans="1:11" x14ac:dyDescent="0.2">
      <c r="A45" t="s">
        <v>112</v>
      </c>
      <c r="B45" t="s">
        <v>104</v>
      </c>
      <c r="C45">
        <v>13</v>
      </c>
      <c r="D45">
        <v>7</v>
      </c>
      <c r="E45">
        <v>6</v>
      </c>
      <c r="F45">
        <v>1</v>
      </c>
      <c r="G45">
        <v>0.79646087593352199</v>
      </c>
      <c r="H45">
        <v>2.21767838449763</v>
      </c>
      <c r="I45">
        <v>0.15821093213784501</v>
      </c>
      <c r="J45">
        <v>31.085699013409599</v>
      </c>
      <c r="K45">
        <v>0.55436182063659101</v>
      </c>
    </row>
    <row r="46" spans="1:11" x14ac:dyDescent="0.2">
      <c r="A46" t="s">
        <v>112</v>
      </c>
      <c r="B46" t="s">
        <v>373</v>
      </c>
      <c r="C46">
        <v>13</v>
      </c>
      <c r="D46">
        <v>7</v>
      </c>
      <c r="E46">
        <v>6</v>
      </c>
      <c r="F46">
        <v>1</v>
      </c>
      <c r="G46">
        <v>-0.91184666583295804</v>
      </c>
      <c r="H46">
        <v>0.40178158221885202</v>
      </c>
      <c r="I46">
        <v>2.97754523302683E-2</v>
      </c>
      <c r="J46">
        <v>5.4215277074459101</v>
      </c>
      <c r="K46">
        <v>0.49221386301180098</v>
      </c>
    </row>
    <row r="47" spans="1:11" x14ac:dyDescent="0.2">
      <c r="A47" t="s">
        <v>112</v>
      </c>
      <c r="B47" t="s">
        <v>9</v>
      </c>
      <c r="C47">
        <v>13</v>
      </c>
      <c r="D47">
        <v>7</v>
      </c>
      <c r="E47">
        <v>6</v>
      </c>
      <c r="F47">
        <v>1</v>
      </c>
      <c r="G47">
        <v>-0.91184666583295804</v>
      </c>
      <c r="H47">
        <v>0.40178158221885202</v>
      </c>
      <c r="I47">
        <v>2.97754523302683E-2</v>
      </c>
      <c r="J47">
        <v>5.4215277074459101</v>
      </c>
      <c r="K47">
        <v>0.49221386301180098</v>
      </c>
    </row>
    <row r="48" spans="1:11" x14ac:dyDescent="0.2">
      <c r="A48" t="s">
        <v>112</v>
      </c>
      <c r="B48" t="s">
        <v>105</v>
      </c>
      <c r="C48">
        <v>13</v>
      </c>
      <c r="D48">
        <v>7</v>
      </c>
      <c r="E48">
        <v>6</v>
      </c>
      <c r="F48">
        <v>1</v>
      </c>
      <c r="G48">
        <v>-0.91184666583295804</v>
      </c>
      <c r="H48">
        <v>0.40178158221885202</v>
      </c>
      <c r="I48">
        <v>2.97754523302683E-2</v>
      </c>
      <c r="J48">
        <v>5.4215277074459101</v>
      </c>
      <c r="K48">
        <v>0.49221386301180098</v>
      </c>
    </row>
    <row r="49" spans="1:11" x14ac:dyDescent="0.2">
      <c r="A49" t="s">
        <v>112</v>
      </c>
      <c r="B49" t="s">
        <v>106</v>
      </c>
      <c r="C49">
        <v>13</v>
      </c>
      <c r="D49">
        <v>7</v>
      </c>
      <c r="E49">
        <v>6</v>
      </c>
      <c r="F49">
        <v>1</v>
      </c>
      <c r="G49">
        <v>0.79646087593352199</v>
      </c>
      <c r="H49">
        <v>2.21767838449763</v>
      </c>
      <c r="I49">
        <v>0.15821093213784501</v>
      </c>
      <c r="J49">
        <v>31.085699013409599</v>
      </c>
      <c r="K49">
        <v>0.55436182063659101</v>
      </c>
    </row>
    <row r="50" spans="1:11" x14ac:dyDescent="0.2">
      <c r="A50" t="s">
        <v>112</v>
      </c>
      <c r="B50" t="s">
        <v>107</v>
      </c>
      <c r="C50">
        <v>13</v>
      </c>
      <c r="D50">
        <v>7</v>
      </c>
      <c r="E50">
        <v>6</v>
      </c>
      <c r="F50">
        <v>1</v>
      </c>
      <c r="G50">
        <v>0.79646087593352199</v>
      </c>
      <c r="H50">
        <v>2.21767838449763</v>
      </c>
      <c r="I50">
        <v>0.15821093213784501</v>
      </c>
      <c r="J50">
        <v>31.085699013409599</v>
      </c>
      <c r="K50">
        <v>0.55436182063659101</v>
      </c>
    </row>
    <row r="51" spans="1:11" x14ac:dyDescent="0.2">
      <c r="A51" t="s">
        <v>112</v>
      </c>
      <c r="B51" t="s">
        <v>108</v>
      </c>
      <c r="C51">
        <v>13</v>
      </c>
      <c r="D51">
        <v>7</v>
      </c>
      <c r="E51">
        <v>6</v>
      </c>
      <c r="F51">
        <v>1</v>
      </c>
      <c r="G51">
        <v>-0.91184666583295804</v>
      </c>
      <c r="H51">
        <v>0.40178158221885202</v>
      </c>
      <c r="I51">
        <v>2.97754523302683E-2</v>
      </c>
      <c r="J51">
        <v>5.4215277074459101</v>
      </c>
      <c r="K51">
        <v>0.49221386301180098</v>
      </c>
    </row>
    <row r="52" spans="1:11" x14ac:dyDescent="0.2">
      <c r="A52" t="s">
        <v>112</v>
      </c>
      <c r="B52" t="s">
        <v>109</v>
      </c>
      <c r="C52">
        <v>13</v>
      </c>
      <c r="D52">
        <v>9</v>
      </c>
      <c r="E52">
        <v>4</v>
      </c>
      <c r="F52">
        <v>1</v>
      </c>
      <c r="G52">
        <v>0.63528187080154297</v>
      </c>
      <c r="H52">
        <v>1.8875541128723601</v>
      </c>
      <c r="I52">
        <v>0.103031572968504</v>
      </c>
      <c r="J52">
        <v>34.580278902569901</v>
      </c>
      <c r="K52">
        <v>0.66852472509381999</v>
      </c>
    </row>
    <row r="53" spans="1:11" x14ac:dyDescent="0.2">
      <c r="A53" t="s">
        <v>112</v>
      </c>
      <c r="B53" t="s">
        <v>110</v>
      </c>
      <c r="C53">
        <v>13</v>
      </c>
      <c r="D53">
        <v>7</v>
      </c>
      <c r="E53">
        <v>6</v>
      </c>
      <c r="F53">
        <v>1</v>
      </c>
      <c r="G53">
        <v>0.79646087593352199</v>
      </c>
      <c r="H53">
        <v>2.21767838449763</v>
      </c>
      <c r="I53">
        <v>0.15821093213784501</v>
      </c>
      <c r="J53">
        <v>31.085699013409599</v>
      </c>
      <c r="K53">
        <v>0.55436182063659101</v>
      </c>
    </row>
    <row r="54" spans="1:11" x14ac:dyDescent="0.2">
      <c r="A54" t="s">
        <v>113</v>
      </c>
      <c r="B54" t="s">
        <v>99</v>
      </c>
      <c r="C54">
        <v>84</v>
      </c>
      <c r="D54">
        <v>42</v>
      </c>
      <c r="E54">
        <v>42</v>
      </c>
      <c r="F54">
        <v>35</v>
      </c>
      <c r="G54">
        <v>1.2172069342801899</v>
      </c>
      <c r="H54">
        <v>3.3777402954756002</v>
      </c>
      <c r="I54">
        <v>1.5827714854736901</v>
      </c>
      <c r="J54">
        <v>7.2083238852796701</v>
      </c>
      <c r="K54">
        <v>1.6483379885176E-3</v>
      </c>
    </row>
    <row r="55" spans="1:11" x14ac:dyDescent="0.2">
      <c r="A55" t="s">
        <v>113</v>
      </c>
      <c r="B55" t="s">
        <v>100</v>
      </c>
      <c r="C55">
        <v>84</v>
      </c>
      <c r="D55">
        <v>42</v>
      </c>
      <c r="E55">
        <v>42</v>
      </c>
      <c r="F55">
        <v>33</v>
      </c>
      <c r="G55">
        <v>0.75042886356819805</v>
      </c>
      <c r="H55">
        <v>2.1179081155050201</v>
      </c>
      <c r="I55">
        <v>0.96037974034324103</v>
      </c>
      <c r="J55">
        <v>4.67058455868602</v>
      </c>
      <c r="K55">
        <v>6.2917277495499094E-2</v>
      </c>
    </row>
    <row r="56" spans="1:11" x14ac:dyDescent="0.2">
      <c r="A56" t="s">
        <v>113</v>
      </c>
      <c r="B56" t="s">
        <v>374</v>
      </c>
      <c r="C56">
        <v>84</v>
      </c>
      <c r="D56">
        <v>42</v>
      </c>
      <c r="E56">
        <v>42</v>
      </c>
      <c r="F56">
        <v>34</v>
      </c>
      <c r="G56">
        <v>1.4288167416977899</v>
      </c>
      <c r="H56">
        <v>4.1737576355573403</v>
      </c>
      <c r="I56">
        <v>1.8473523053662599</v>
      </c>
      <c r="J56">
        <v>9.4298487352792009</v>
      </c>
      <c r="K56">
        <v>5.9071379411831503E-4</v>
      </c>
    </row>
    <row r="57" spans="1:11" x14ac:dyDescent="0.2">
      <c r="A57" t="s">
        <v>113</v>
      </c>
      <c r="B57" t="s">
        <v>101</v>
      </c>
      <c r="C57">
        <v>84</v>
      </c>
      <c r="D57">
        <v>42</v>
      </c>
      <c r="E57">
        <v>42</v>
      </c>
      <c r="F57">
        <v>35</v>
      </c>
      <c r="G57">
        <v>1.47617246673527</v>
      </c>
      <c r="H57">
        <v>4.3761636725306197</v>
      </c>
      <c r="I57">
        <v>1.8467250639806001</v>
      </c>
      <c r="J57">
        <v>10.370145974786899</v>
      </c>
      <c r="K57">
        <v>7.9801829146339905E-4</v>
      </c>
    </row>
    <row r="58" spans="1:11" x14ac:dyDescent="0.2">
      <c r="A58" t="s">
        <v>113</v>
      </c>
      <c r="B58" t="s">
        <v>102</v>
      </c>
      <c r="C58">
        <v>84</v>
      </c>
      <c r="D58">
        <v>42</v>
      </c>
      <c r="E58">
        <v>42</v>
      </c>
      <c r="F58">
        <v>35</v>
      </c>
      <c r="G58">
        <v>1.3077735400527599</v>
      </c>
      <c r="H58">
        <v>3.6979312440499901</v>
      </c>
      <c r="I58">
        <v>1.7240416307425399</v>
      </c>
      <c r="J58">
        <v>7.9317664039420501</v>
      </c>
      <c r="K58">
        <v>7.8251527329861498E-4</v>
      </c>
    </row>
    <row r="59" spans="1:11" x14ac:dyDescent="0.2">
      <c r="A59" t="s">
        <v>113</v>
      </c>
      <c r="B59" t="s">
        <v>49</v>
      </c>
      <c r="C59">
        <v>84</v>
      </c>
      <c r="D59">
        <v>42</v>
      </c>
      <c r="E59">
        <v>42</v>
      </c>
      <c r="F59">
        <v>35</v>
      </c>
      <c r="G59">
        <v>1.31868638747786</v>
      </c>
      <c r="H59">
        <v>3.7385072004328199</v>
      </c>
      <c r="I59">
        <v>1.67637636933999</v>
      </c>
      <c r="J59">
        <v>8.3372900878999694</v>
      </c>
      <c r="K59">
        <v>1.2709610887716701E-3</v>
      </c>
    </row>
    <row r="60" spans="1:11" x14ac:dyDescent="0.2">
      <c r="A60" t="s">
        <v>113</v>
      </c>
      <c r="B60" t="s">
        <v>103</v>
      </c>
      <c r="C60">
        <v>84</v>
      </c>
      <c r="D60">
        <v>42</v>
      </c>
      <c r="E60">
        <v>42</v>
      </c>
      <c r="F60">
        <v>35</v>
      </c>
      <c r="G60">
        <v>3.1286474816766698E-2</v>
      </c>
      <c r="H60">
        <v>1.0317810408371699</v>
      </c>
      <c r="I60">
        <v>0.493716432555517</v>
      </c>
      <c r="J60">
        <v>2.1562420167396898</v>
      </c>
      <c r="K60">
        <v>0.93369761252810102</v>
      </c>
    </row>
    <row r="61" spans="1:11" x14ac:dyDescent="0.2">
      <c r="A61" t="s">
        <v>113</v>
      </c>
      <c r="B61" t="s">
        <v>75</v>
      </c>
      <c r="C61">
        <v>84</v>
      </c>
      <c r="D61">
        <v>42</v>
      </c>
      <c r="E61">
        <v>42</v>
      </c>
      <c r="F61">
        <v>34</v>
      </c>
      <c r="G61">
        <v>0.92774380650619603</v>
      </c>
      <c r="H61">
        <v>2.5287972804968799</v>
      </c>
      <c r="I61">
        <v>1.19371074230018</v>
      </c>
      <c r="J61">
        <v>5.3570898369617597</v>
      </c>
      <c r="K61">
        <v>1.5423779867920999E-2</v>
      </c>
    </row>
    <row r="62" spans="1:11" x14ac:dyDescent="0.2">
      <c r="A62" t="s">
        <v>113</v>
      </c>
      <c r="B62" t="s">
        <v>104</v>
      </c>
      <c r="C62">
        <v>167</v>
      </c>
      <c r="D62">
        <v>78</v>
      </c>
      <c r="E62">
        <v>89</v>
      </c>
      <c r="F62">
        <v>35</v>
      </c>
      <c r="G62">
        <v>0.45919738602014898</v>
      </c>
      <c r="H62">
        <v>1.5828030951542</v>
      </c>
      <c r="I62">
        <v>0.91226946320289304</v>
      </c>
      <c r="J62">
        <v>2.74619039558113</v>
      </c>
      <c r="K62">
        <v>0.102393001067017</v>
      </c>
    </row>
    <row r="63" spans="1:11" x14ac:dyDescent="0.2">
      <c r="A63" t="s">
        <v>113</v>
      </c>
      <c r="B63" t="s">
        <v>373</v>
      </c>
      <c r="C63">
        <v>80</v>
      </c>
      <c r="D63">
        <v>40</v>
      </c>
      <c r="E63">
        <v>40</v>
      </c>
      <c r="F63">
        <v>33</v>
      </c>
      <c r="G63">
        <v>0.183398336328529</v>
      </c>
      <c r="H63">
        <v>1.2012928313637501</v>
      </c>
      <c r="I63">
        <v>0.53869640701467403</v>
      </c>
      <c r="J63">
        <v>2.6788826654391</v>
      </c>
      <c r="K63">
        <v>0.65401148857954206</v>
      </c>
    </row>
    <row r="64" spans="1:11" x14ac:dyDescent="0.2">
      <c r="A64" t="s">
        <v>113</v>
      </c>
      <c r="B64" t="s">
        <v>9</v>
      </c>
      <c r="C64">
        <v>84</v>
      </c>
      <c r="D64">
        <v>42</v>
      </c>
      <c r="E64">
        <v>42</v>
      </c>
      <c r="F64">
        <v>35</v>
      </c>
      <c r="G64">
        <v>1.5193557919379901</v>
      </c>
      <c r="H64">
        <v>4.5692806793523797</v>
      </c>
      <c r="I64">
        <v>1.97650746475168</v>
      </c>
      <c r="J64">
        <v>10.5632416264746</v>
      </c>
      <c r="K64">
        <v>3.8020520909142402E-4</v>
      </c>
    </row>
    <row r="65" spans="1:11" x14ac:dyDescent="0.2">
      <c r="A65" t="s">
        <v>113</v>
      </c>
      <c r="B65" t="s">
        <v>105</v>
      </c>
      <c r="C65">
        <v>80</v>
      </c>
      <c r="D65">
        <v>40</v>
      </c>
      <c r="E65">
        <v>40</v>
      </c>
      <c r="F65">
        <v>30</v>
      </c>
      <c r="G65">
        <v>-1.04546189703245E-2</v>
      </c>
      <c r="H65">
        <v>0.98959984060863804</v>
      </c>
      <c r="I65">
        <v>0.39376183389371</v>
      </c>
      <c r="J65">
        <v>2.4870562869152701</v>
      </c>
      <c r="K65">
        <v>0.982260572778483</v>
      </c>
    </row>
    <row r="66" spans="1:11" x14ac:dyDescent="0.2">
      <c r="A66" t="s">
        <v>113</v>
      </c>
      <c r="B66" t="s">
        <v>106</v>
      </c>
      <c r="C66">
        <v>84</v>
      </c>
      <c r="D66">
        <v>42</v>
      </c>
      <c r="E66">
        <v>42</v>
      </c>
      <c r="F66">
        <v>35</v>
      </c>
      <c r="G66">
        <v>-9.6285422221683098E-2</v>
      </c>
      <c r="H66">
        <v>0.90820475725179395</v>
      </c>
      <c r="I66">
        <v>0.43026855026935801</v>
      </c>
      <c r="J66">
        <v>1.9170257286488199</v>
      </c>
      <c r="K66">
        <v>0.80056850979670002</v>
      </c>
    </row>
    <row r="67" spans="1:11" x14ac:dyDescent="0.2">
      <c r="A67" t="s">
        <v>113</v>
      </c>
      <c r="B67" t="s">
        <v>107</v>
      </c>
      <c r="C67">
        <v>84</v>
      </c>
      <c r="D67">
        <v>42</v>
      </c>
      <c r="E67">
        <v>42</v>
      </c>
      <c r="F67">
        <v>34</v>
      </c>
      <c r="G67">
        <v>1.2410777841515901</v>
      </c>
      <c r="H67">
        <v>3.4593398779628499</v>
      </c>
      <c r="I67">
        <v>1.5582851784030001</v>
      </c>
      <c r="J67">
        <v>7.6796163867312099</v>
      </c>
      <c r="K67">
        <v>2.2872890613327302E-3</v>
      </c>
    </row>
    <row r="68" spans="1:11" x14ac:dyDescent="0.2">
      <c r="A68" t="s">
        <v>113</v>
      </c>
      <c r="B68" t="s">
        <v>108</v>
      </c>
      <c r="C68">
        <v>82</v>
      </c>
      <c r="D68">
        <v>41</v>
      </c>
      <c r="E68">
        <v>41</v>
      </c>
      <c r="F68">
        <v>34</v>
      </c>
      <c r="G68">
        <v>-1.12430585776169</v>
      </c>
      <c r="H68">
        <v>0.32487790058102101</v>
      </c>
      <c r="I68">
        <v>0.14955201030437901</v>
      </c>
      <c r="J68">
        <v>0.70574544649127702</v>
      </c>
      <c r="K68">
        <v>4.5056648217709798E-3</v>
      </c>
    </row>
    <row r="69" spans="1:11" x14ac:dyDescent="0.2">
      <c r="A69" t="s">
        <v>113</v>
      </c>
      <c r="B69" t="s">
        <v>109</v>
      </c>
      <c r="C69">
        <v>91</v>
      </c>
      <c r="D69">
        <v>59</v>
      </c>
      <c r="E69">
        <v>32</v>
      </c>
      <c r="F69">
        <v>32</v>
      </c>
      <c r="G69">
        <v>0.71344775027873897</v>
      </c>
      <c r="H69">
        <v>2.0410160554896999</v>
      </c>
      <c r="I69">
        <v>0.95718079967465297</v>
      </c>
      <c r="J69">
        <v>4.3520999796304798</v>
      </c>
      <c r="K69">
        <v>6.4792386682019004E-2</v>
      </c>
    </row>
    <row r="70" spans="1:11" x14ac:dyDescent="0.2">
      <c r="A70" t="s">
        <v>113</v>
      </c>
      <c r="B70" t="s">
        <v>110</v>
      </c>
      <c r="C70">
        <v>64</v>
      </c>
      <c r="D70">
        <v>32</v>
      </c>
      <c r="E70">
        <v>32</v>
      </c>
      <c r="F70">
        <v>30</v>
      </c>
      <c r="G70">
        <v>0.49439483068026002</v>
      </c>
      <c r="H70">
        <v>1.63950576019284</v>
      </c>
      <c r="I70">
        <v>0.69185847581890303</v>
      </c>
      <c r="J70">
        <v>3.88515748762629</v>
      </c>
      <c r="K70">
        <v>0.261384912981319</v>
      </c>
    </row>
    <row r="71" spans="1:11" x14ac:dyDescent="0.2">
      <c r="A71" t="s">
        <v>114</v>
      </c>
      <c r="B71" t="s">
        <v>99</v>
      </c>
      <c r="C71">
        <v>57</v>
      </c>
      <c r="D71">
        <v>29</v>
      </c>
      <c r="E71">
        <v>28</v>
      </c>
      <c r="F71">
        <v>20</v>
      </c>
      <c r="G71">
        <v>-2.7058150582166599E-2</v>
      </c>
      <c r="H71">
        <v>0.97330464164715702</v>
      </c>
      <c r="I71">
        <v>0.439194024031339</v>
      </c>
      <c r="J71">
        <v>2.1569554083556999</v>
      </c>
      <c r="K71">
        <v>0.94686446824936898</v>
      </c>
    </row>
    <row r="72" spans="1:11" x14ac:dyDescent="0.2">
      <c r="A72" t="s">
        <v>114</v>
      </c>
      <c r="B72" t="s">
        <v>100</v>
      </c>
      <c r="C72">
        <v>56</v>
      </c>
      <c r="D72">
        <v>28</v>
      </c>
      <c r="E72">
        <v>28</v>
      </c>
      <c r="F72">
        <v>20</v>
      </c>
      <c r="G72">
        <v>-0.33292344347403102</v>
      </c>
      <c r="H72">
        <v>0.71682506969219395</v>
      </c>
      <c r="I72">
        <v>0.321409132775613</v>
      </c>
      <c r="J72">
        <v>1.5987043557282701</v>
      </c>
      <c r="K72">
        <v>0.41593444276377001</v>
      </c>
    </row>
    <row r="73" spans="1:11" x14ac:dyDescent="0.2">
      <c r="A73" t="s">
        <v>114</v>
      </c>
      <c r="B73" t="s">
        <v>374</v>
      </c>
      <c r="C73">
        <v>57</v>
      </c>
      <c r="D73">
        <v>29</v>
      </c>
      <c r="E73">
        <v>28</v>
      </c>
      <c r="F73">
        <v>20</v>
      </c>
      <c r="G73">
        <v>-7.4490147238155793E-2</v>
      </c>
      <c r="H73">
        <v>0.92821661951122103</v>
      </c>
      <c r="I73">
        <v>0.41853792611060298</v>
      </c>
      <c r="J73">
        <v>2.0585615758729499</v>
      </c>
      <c r="K73">
        <v>0.85456264259591697</v>
      </c>
    </row>
    <row r="74" spans="1:11" x14ac:dyDescent="0.2">
      <c r="A74" t="s">
        <v>114</v>
      </c>
      <c r="B74" t="s">
        <v>101</v>
      </c>
      <c r="C74">
        <v>55</v>
      </c>
      <c r="D74">
        <v>28</v>
      </c>
      <c r="E74">
        <v>27</v>
      </c>
      <c r="F74">
        <v>19</v>
      </c>
      <c r="G74">
        <v>-2.6918832206465501E-2</v>
      </c>
      <c r="H74">
        <v>0.97344025031506398</v>
      </c>
      <c r="I74">
        <v>0.43477712487162501</v>
      </c>
      <c r="J74">
        <v>2.1794751074202501</v>
      </c>
      <c r="K74">
        <v>0.94780874951804195</v>
      </c>
    </row>
    <row r="75" spans="1:11" x14ac:dyDescent="0.2">
      <c r="A75" t="s">
        <v>114</v>
      </c>
      <c r="B75" t="s">
        <v>102</v>
      </c>
      <c r="C75">
        <v>56</v>
      </c>
      <c r="D75">
        <v>28</v>
      </c>
      <c r="E75">
        <v>28</v>
      </c>
      <c r="F75">
        <v>20</v>
      </c>
      <c r="G75">
        <v>0.13368518484432501</v>
      </c>
      <c r="H75">
        <v>1.1430329189102</v>
      </c>
      <c r="I75">
        <v>0.48615242574380702</v>
      </c>
      <c r="J75">
        <v>2.6874786271269202</v>
      </c>
      <c r="K75">
        <v>0.75923671159452699</v>
      </c>
    </row>
    <row r="76" spans="1:11" x14ac:dyDescent="0.2">
      <c r="A76" t="s">
        <v>114</v>
      </c>
      <c r="B76" t="s">
        <v>49</v>
      </c>
      <c r="C76">
        <v>57</v>
      </c>
      <c r="D76">
        <v>29</v>
      </c>
      <c r="E76">
        <v>28</v>
      </c>
      <c r="F76">
        <v>20</v>
      </c>
      <c r="G76">
        <v>6.59967477252386E-2</v>
      </c>
      <c r="H76">
        <v>1.0682232430048499</v>
      </c>
      <c r="I76">
        <v>0.45494221685972303</v>
      </c>
      <c r="J76">
        <v>2.5082325943992201</v>
      </c>
      <c r="K76">
        <v>0.87955022989596898</v>
      </c>
    </row>
    <row r="77" spans="1:11" x14ac:dyDescent="0.2">
      <c r="A77" t="s">
        <v>114</v>
      </c>
      <c r="B77" t="s">
        <v>103</v>
      </c>
      <c r="C77">
        <v>56</v>
      </c>
      <c r="D77">
        <v>28</v>
      </c>
      <c r="E77">
        <v>28</v>
      </c>
      <c r="F77">
        <v>19</v>
      </c>
      <c r="G77">
        <v>-0.68608803458981205</v>
      </c>
      <c r="H77">
        <v>0.50354206023633996</v>
      </c>
      <c r="I77">
        <v>0.21576567402674701</v>
      </c>
      <c r="J77">
        <v>1.17513875907631</v>
      </c>
      <c r="K77">
        <v>0.112575147491461</v>
      </c>
    </row>
    <row r="78" spans="1:11" x14ac:dyDescent="0.2">
      <c r="A78" t="s">
        <v>114</v>
      </c>
      <c r="B78" t="s">
        <v>75</v>
      </c>
      <c r="C78">
        <v>55</v>
      </c>
      <c r="D78">
        <v>28</v>
      </c>
      <c r="E78">
        <v>27</v>
      </c>
      <c r="F78">
        <v>19</v>
      </c>
      <c r="G78">
        <v>2.8585830402461401E-2</v>
      </c>
      <c r="H78">
        <v>1.0289983263848701</v>
      </c>
      <c r="I78">
        <v>0.46596764785133998</v>
      </c>
      <c r="J78">
        <v>2.27234135370849</v>
      </c>
      <c r="K78">
        <v>0.94361954519264601</v>
      </c>
    </row>
    <row r="79" spans="1:11" x14ac:dyDescent="0.2">
      <c r="A79" t="s">
        <v>114</v>
      </c>
      <c r="B79" t="s">
        <v>104</v>
      </c>
      <c r="C79">
        <v>52</v>
      </c>
      <c r="D79">
        <v>28</v>
      </c>
      <c r="E79">
        <v>24</v>
      </c>
      <c r="F79">
        <v>18</v>
      </c>
      <c r="G79">
        <v>-0.341733548825085</v>
      </c>
      <c r="H79">
        <v>0.71053750304118202</v>
      </c>
      <c r="I79">
        <v>0.30757905885081699</v>
      </c>
      <c r="J79">
        <v>1.64141065101856</v>
      </c>
      <c r="K79">
        <v>0.42374277484527301</v>
      </c>
    </row>
    <row r="80" spans="1:11" x14ac:dyDescent="0.2">
      <c r="A80" t="s">
        <v>114</v>
      </c>
      <c r="B80" t="s">
        <v>373</v>
      </c>
      <c r="C80">
        <v>56</v>
      </c>
      <c r="D80">
        <v>28</v>
      </c>
      <c r="E80">
        <v>28</v>
      </c>
      <c r="F80">
        <v>20</v>
      </c>
      <c r="G80">
        <v>-0.62308568087720495</v>
      </c>
      <c r="H80">
        <v>0.53628707109768303</v>
      </c>
      <c r="I80">
        <v>0.23128989513763001</v>
      </c>
      <c r="J80">
        <v>1.24347768178713</v>
      </c>
      <c r="K80">
        <v>0.14646960077995699</v>
      </c>
    </row>
    <row r="81" spans="1:11" x14ac:dyDescent="0.2">
      <c r="A81" t="s">
        <v>114</v>
      </c>
      <c r="B81" t="s">
        <v>9</v>
      </c>
      <c r="C81">
        <v>57</v>
      </c>
      <c r="D81">
        <v>29</v>
      </c>
      <c r="E81">
        <v>28</v>
      </c>
      <c r="F81">
        <v>20</v>
      </c>
      <c r="G81">
        <v>0.285477514851815</v>
      </c>
      <c r="H81">
        <v>1.3303971608698699</v>
      </c>
      <c r="I81">
        <v>0.57432639709627298</v>
      </c>
      <c r="J81">
        <v>3.0817956733302001</v>
      </c>
      <c r="K81">
        <v>0.50536363018244901</v>
      </c>
    </row>
    <row r="82" spans="1:11" x14ac:dyDescent="0.2">
      <c r="A82" t="s">
        <v>114</v>
      </c>
      <c r="B82" t="s">
        <v>105</v>
      </c>
      <c r="C82">
        <v>57</v>
      </c>
      <c r="D82">
        <v>29</v>
      </c>
      <c r="E82">
        <v>28</v>
      </c>
      <c r="F82">
        <v>20</v>
      </c>
      <c r="G82">
        <v>0.33020154982093097</v>
      </c>
      <c r="H82">
        <v>1.3912485060950699</v>
      </c>
      <c r="I82">
        <v>0.61854326596541398</v>
      </c>
      <c r="J82">
        <v>3.1292433564703899</v>
      </c>
      <c r="K82">
        <v>0.42463243473403101</v>
      </c>
    </row>
    <row r="83" spans="1:11" x14ac:dyDescent="0.2">
      <c r="A83" t="s">
        <v>114</v>
      </c>
      <c r="B83" t="s">
        <v>106</v>
      </c>
      <c r="C83">
        <v>56</v>
      </c>
      <c r="D83">
        <v>28</v>
      </c>
      <c r="E83">
        <v>28</v>
      </c>
      <c r="F83">
        <v>19</v>
      </c>
      <c r="G83">
        <v>0.41312701188748602</v>
      </c>
      <c r="H83">
        <v>1.5115369969094199</v>
      </c>
      <c r="I83">
        <v>0.65400940136442598</v>
      </c>
      <c r="J83">
        <v>3.4934422781376</v>
      </c>
      <c r="K83">
        <v>0.33378301504152902</v>
      </c>
    </row>
    <row r="84" spans="1:11" x14ac:dyDescent="0.2">
      <c r="A84" t="s">
        <v>114</v>
      </c>
      <c r="B84" t="s">
        <v>107</v>
      </c>
      <c r="C84">
        <v>55</v>
      </c>
      <c r="D84">
        <v>28</v>
      </c>
      <c r="E84">
        <v>27</v>
      </c>
      <c r="F84">
        <v>19</v>
      </c>
      <c r="G84">
        <v>2.9946214463170001E-2</v>
      </c>
      <c r="H84">
        <v>1.0303991118936899</v>
      </c>
      <c r="I84">
        <v>0.44760134346417502</v>
      </c>
      <c r="J84">
        <v>2.3720266824362</v>
      </c>
      <c r="K84">
        <v>0.94388093619975</v>
      </c>
    </row>
    <row r="85" spans="1:11" x14ac:dyDescent="0.2">
      <c r="A85" t="s">
        <v>114</v>
      </c>
      <c r="B85" t="s">
        <v>108</v>
      </c>
      <c r="C85">
        <v>57</v>
      </c>
      <c r="D85">
        <v>29</v>
      </c>
      <c r="E85">
        <v>28</v>
      </c>
      <c r="F85">
        <v>20</v>
      </c>
      <c r="G85">
        <v>-6.0080644605140399E-2</v>
      </c>
      <c r="H85">
        <v>0.94168858841762704</v>
      </c>
      <c r="I85">
        <v>0.42136063878971503</v>
      </c>
      <c r="J85">
        <v>2.10455679985462</v>
      </c>
      <c r="K85">
        <v>0.883582917244223</v>
      </c>
    </row>
    <row r="86" spans="1:11" x14ac:dyDescent="0.2">
      <c r="A86" t="s">
        <v>114</v>
      </c>
      <c r="B86" t="s">
        <v>109</v>
      </c>
      <c r="C86">
        <v>52</v>
      </c>
      <c r="D86">
        <v>42</v>
      </c>
      <c r="E86">
        <v>10</v>
      </c>
      <c r="F86">
        <v>17</v>
      </c>
      <c r="G86">
        <v>0.55735438669179904</v>
      </c>
      <c r="H86">
        <v>1.7460470191461701</v>
      </c>
      <c r="I86">
        <v>0.52374068272943297</v>
      </c>
      <c r="J86">
        <v>5.8209726561268598</v>
      </c>
      <c r="K86">
        <v>0.36429084571164</v>
      </c>
    </row>
    <row r="87" spans="1:11" x14ac:dyDescent="0.2">
      <c r="A87" t="s">
        <v>114</v>
      </c>
      <c r="B87" t="s">
        <v>110</v>
      </c>
      <c r="C87">
        <v>56</v>
      </c>
      <c r="D87">
        <v>28</v>
      </c>
      <c r="E87">
        <v>28</v>
      </c>
      <c r="F87">
        <v>20</v>
      </c>
      <c r="G87">
        <v>7.0561591079995198E-2</v>
      </c>
      <c r="H87">
        <v>1.0731106614399399</v>
      </c>
      <c r="I87">
        <v>0.49152188528567797</v>
      </c>
      <c r="J87">
        <v>2.3428590387725499</v>
      </c>
      <c r="K87">
        <v>0.85941308790389404</v>
      </c>
    </row>
    <row r="88" spans="1:11" x14ac:dyDescent="0.2">
      <c r="A88" t="s">
        <v>115</v>
      </c>
      <c r="B88" t="s">
        <v>99</v>
      </c>
      <c r="C88">
        <v>22</v>
      </c>
      <c r="D88">
        <v>11</v>
      </c>
      <c r="E88">
        <v>11</v>
      </c>
      <c r="F88">
        <v>4</v>
      </c>
      <c r="G88">
        <v>-0.59775703287749304</v>
      </c>
      <c r="H88">
        <v>0.55004398409160304</v>
      </c>
      <c r="I88">
        <v>0.109068006397374</v>
      </c>
      <c r="J88">
        <v>2.77394255592304</v>
      </c>
      <c r="K88">
        <v>0.46901604498449101</v>
      </c>
    </row>
    <row r="89" spans="1:11" x14ac:dyDescent="0.2">
      <c r="A89" t="s">
        <v>115</v>
      </c>
      <c r="B89" t="s">
        <v>100</v>
      </c>
      <c r="C89">
        <v>22</v>
      </c>
      <c r="D89">
        <v>11</v>
      </c>
      <c r="E89">
        <v>11</v>
      </c>
      <c r="F89">
        <v>4</v>
      </c>
      <c r="G89">
        <v>-0.55977358801224497</v>
      </c>
      <c r="H89">
        <v>0.57133840707025896</v>
      </c>
      <c r="I89">
        <v>0.11281789347618</v>
      </c>
      <c r="J89">
        <v>2.89340250323413</v>
      </c>
      <c r="K89">
        <v>0.498835457324383</v>
      </c>
    </row>
    <row r="90" spans="1:11" x14ac:dyDescent="0.2">
      <c r="A90" t="s">
        <v>115</v>
      </c>
      <c r="B90" t="s">
        <v>374</v>
      </c>
      <c r="C90">
        <v>22</v>
      </c>
      <c r="D90">
        <v>11</v>
      </c>
      <c r="E90">
        <v>11</v>
      </c>
      <c r="F90">
        <v>4</v>
      </c>
      <c r="G90">
        <v>-0.71842165334513497</v>
      </c>
      <c r="H90">
        <v>0.48752112636731498</v>
      </c>
      <c r="I90">
        <v>9.7408724550664197E-2</v>
      </c>
      <c r="J90">
        <v>2.4399954906588999</v>
      </c>
      <c r="K90">
        <v>0.38192371439834399</v>
      </c>
    </row>
    <row r="91" spans="1:11" x14ac:dyDescent="0.2">
      <c r="A91" t="s">
        <v>115</v>
      </c>
      <c r="B91" t="s">
        <v>101</v>
      </c>
      <c r="C91">
        <v>22</v>
      </c>
      <c r="D91">
        <v>11</v>
      </c>
      <c r="E91">
        <v>11</v>
      </c>
      <c r="F91">
        <v>4</v>
      </c>
      <c r="G91">
        <v>-0.11710427861695399</v>
      </c>
      <c r="H91">
        <v>0.88949243328632399</v>
      </c>
      <c r="I91">
        <v>0.18611388496269299</v>
      </c>
      <c r="J91">
        <v>4.2511432665661797</v>
      </c>
      <c r="K91">
        <v>0.88334939222446596</v>
      </c>
    </row>
    <row r="92" spans="1:11" x14ac:dyDescent="0.2">
      <c r="A92" t="s">
        <v>115</v>
      </c>
      <c r="B92" t="s">
        <v>102</v>
      </c>
      <c r="C92">
        <v>22</v>
      </c>
      <c r="D92">
        <v>11</v>
      </c>
      <c r="E92">
        <v>11</v>
      </c>
      <c r="F92">
        <v>4</v>
      </c>
      <c r="G92">
        <v>-1.4514833518722401</v>
      </c>
      <c r="H92">
        <v>0.234222595756573</v>
      </c>
      <c r="I92">
        <v>4.0087968834496002E-2</v>
      </c>
      <c r="J92">
        <v>1.36849598415521</v>
      </c>
      <c r="K92">
        <v>0.107040899407801</v>
      </c>
    </row>
    <row r="93" spans="1:11" x14ac:dyDescent="0.2">
      <c r="A93" t="s">
        <v>115</v>
      </c>
      <c r="B93" t="s">
        <v>49</v>
      </c>
      <c r="C93">
        <v>22</v>
      </c>
      <c r="D93">
        <v>11</v>
      </c>
      <c r="E93">
        <v>11</v>
      </c>
      <c r="F93">
        <v>4</v>
      </c>
      <c r="G93">
        <v>-0.89648277348653604</v>
      </c>
      <c r="H93">
        <v>0.40800217509110398</v>
      </c>
      <c r="I93">
        <v>8.2057743334826405E-2</v>
      </c>
      <c r="J93">
        <v>2.0286418820930701</v>
      </c>
      <c r="K93">
        <v>0.27328207902517698</v>
      </c>
    </row>
    <row r="94" spans="1:11" x14ac:dyDescent="0.2">
      <c r="A94" t="s">
        <v>115</v>
      </c>
      <c r="B94" t="s">
        <v>103</v>
      </c>
      <c r="C94">
        <v>21</v>
      </c>
      <c r="D94">
        <v>11</v>
      </c>
      <c r="E94">
        <v>10</v>
      </c>
      <c r="F94">
        <v>4</v>
      </c>
      <c r="G94">
        <v>-0.90829411279709005</v>
      </c>
      <c r="H94">
        <v>0.40321147097249399</v>
      </c>
      <c r="I94">
        <v>8.0445892160030896E-2</v>
      </c>
      <c r="J94">
        <v>2.0209793932098301</v>
      </c>
      <c r="K94">
        <v>0.26940150306606597</v>
      </c>
    </row>
    <row r="95" spans="1:11" x14ac:dyDescent="0.2">
      <c r="A95" t="s">
        <v>115</v>
      </c>
      <c r="B95" t="s">
        <v>75</v>
      </c>
      <c r="C95">
        <v>21</v>
      </c>
      <c r="D95">
        <v>11</v>
      </c>
      <c r="E95">
        <v>10</v>
      </c>
      <c r="F95">
        <v>3</v>
      </c>
      <c r="G95">
        <v>-0.44120631440319402</v>
      </c>
      <c r="H95">
        <v>0.64325997908294696</v>
      </c>
      <c r="I95">
        <v>0.11288705925470401</v>
      </c>
      <c r="J95">
        <v>3.66546354756378</v>
      </c>
      <c r="K95">
        <v>0.61923427340809101</v>
      </c>
    </row>
    <row r="96" spans="1:11" x14ac:dyDescent="0.2">
      <c r="A96" t="s">
        <v>115</v>
      </c>
      <c r="B96" t="s">
        <v>104</v>
      </c>
      <c r="C96">
        <v>21</v>
      </c>
      <c r="D96">
        <v>18</v>
      </c>
      <c r="E96">
        <v>3</v>
      </c>
      <c r="F96">
        <v>4</v>
      </c>
      <c r="G96">
        <v>-2.75654503072385E-2</v>
      </c>
      <c r="H96">
        <v>0.97281100969030299</v>
      </c>
      <c r="I96">
        <v>0.13843993345977701</v>
      </c>
      <c r="J96">
        <v>6.8358979733952303</v>
      </c>
      <c r="K96">
        <v>0.97789360085468002</v>
      </c>
    </row>
    <row r="97" spans="1:11" x14ac:dyDescent="0.2">
      <c r="A97" t="s">
        <v>115</v>
      </c>
      <c r="B97" t="s">
        <v>373</v>
      </c>
      <c r="C97">
        <v>22</v>
      </c>
      <c r="D97">
        <v>11</v>
      </c>
      <c r="E97">
        <v>11</v>
      </c>
      <c r="F97">
        <v>4</v>
      </c>
      <c r="G97">
        <v>0.30825541129642098</v>
      </c>
      <c r="H97">
        <v>1.3610485717271701</v>
      </c>
      <c r="I97">
        <v>0.28444820083665201</v>
      </c>
      <c r="J97">
        <v>6.5124448288016001</v>
      </c>
      <c r="K97">
        <v>0.6995429717378</v>
      </c>
    </row>
    <row r="98" spans="1:11" x14ac:dyDescent="0.2">
      <c r="A98" t="s">
        <v>115</v>
      </c>
      <c r="B98" t="s">
        <v>9</v>
      </c>
      <c r="C98">
        <v>22</v>
      </c>
      <c r="D98">
        <v>11</v>
      </c>
      <c r="E98">
        <v>11</v>
      </c>
      <c r="F98">
        <v>4</v>
      </c>
      <c r="G98">
        <v>-0.34828551472777503</v>
      </c>
      <c r="H98">
        <v>0.705897303363337</v>
      </c>
      <c r="I98">
        <v>0.135424166579073</v>
      </c>
      <c r="J98">
        <v>3.6794836215933602</v>
      </c>
      <c r="K98">
        <v>0.67927820762817404</v>
      </c>
    </row>
    <row r="99" spans="1:11" x14ac:dyDescent="0.2">
      <c r="A99" t="s">
        <v>115</v>
      </c>
      <c r="B99" t="s">
        <v>105</v>
      </c>
      <c r="C99">
        <v>22</v>
      </c>
      <c r="D99">
        <v>11</v>
      </c>
      <c r="E99">
        <v>11</v>
      </c>
      <c r="F99">
        <v>4</v>
      </c>
      <c r="G99">
        <v>-0.24837077965204099</v>
      </c>
      <c r="H99">
        <v>0.78007065532415598</v>
      </c>
      <c r="I99">
        <v>0.16299289199219999</v>
      </c>
      <c r="J99">
        <v>3.73335438042891</v>
      </c>
      <c r="K99">
        <v>0.75586279535135603</v>
      </c>
    </row>
    <row r="100" spans="1:11" x14ac:dyDescent="0.2">
      <c r="A100" t="s">
        <v>115</v>
      </c>
      <c r="B100" t="s">
        <v>106</v>
      </c>
      <c r="C100">
        <v>22</v>
      </c>
      <c r="D100">
        <v>11</v>
      </c>
      <c r="E100">
        <v>11</v>
      </c>
      <c r="F100">
        <v>4</v>
      </c>
      <c r="G100">
        <v>0.70034560206643903</v>
      </c>
      <c r="H100">
        <v>2.01444878484343</v>
      </c>
      <c r="I100">
        <v>0.40348767880775399</v>
      </c>
      <c r="J100">
        <v>10.057318029507099</v>
      </c>
      <c r="K100">
        <v>0.39329155872863403</v>
      </c>
    </row>
    <row r="101" spans="1:11" x14ac:dyDescent="0.2">
      <c r="A101" t="s">
        <v>115</v>
      </c>
      <c r="B101" t="s">
        <v>107</v>
      </c>
      <c r="C101">
        <v>20</v>
      </c>
      <c r="D101">
        <v>10</v>
      </c>
      <c r="E101">
        <v>10</v>
      </c>
      <c r="F101">
        <v>3</v>
      </c>
      <c r="G101">
        <v>0.63129560275260499</v>
      </c>
      <c r="H101">
        <v>1.88004479324582</v>
      </c>
      <c r="I101">
        <v>0.32864802314318298</v>
      </c>
      <c r="J101">
        <v>10.754875050840599</v>
      </c>
      <c r="K101">
        <v>0.478048553958208</v>
      </c>
    </row>
    <row r="102" spans="1:11" x14ac:dyDescent="0.2">
      <c r="A102" t="s">
        <v>115</v>
      </c>
      <c r="B102" t="s">
        <v>108</v>
      </c>
      <c r="C102">
        <v>22</v>
      </c>
      <c r="D102">
        <v>11</v>
      </c>
      <c r="E102">
        <v>11</v>
      </c>
      <c r="F102">
        <v>4</v>
      </c>
      <c r="G102">
        <v>0.89648277348653604</v>
      </c>
      <c r="H102">
        <v>2.4509673257911002</v>
      </c>
      <c r="I102">
        <v>0.49294062635059099</v>
      </c>
      <c r="J102">
        <v>12.1865403478087</v>
      </c>
      <c r="K102">
        <v>0.27328207902517698</v>
      </c>
    </row>
    <row r="103" spans="1:11" x14ac:dyDescent="0.2">
      <c r="A103" t="s">
        <v>115</v>
      </c>
      <c r="B103" t="s">
        <v>109</v>
      </c>
      <c r="C103">
        <v>22</v>
      </c>
      <c r="D103">
        <v>15</v>
      </c>
      <c r="E103">
        <v>7</v>
      </c>
      <c r="F103">
        <v>4</v>
      </c>
      <c r="G103">
        <v>-0.97648274097760901</v>
      </c>
      <c r="H103">
        <v>0.37663348943185099</v>
      </c>
      <c r="I103">
        <v>7.2084615354641002E-2</v>
      </c>
      <c r="J103">
        <v>1.9678649135287301</v>
      </c>
      <c r="K103">
        <v>0.24706231502842901</v>
      </c>
    </row>
    <row r="104" spans="1:11" x14ac:dyDescent="0.2">
      <c r="A104" t="s">
        <v>115</v>
      </c>
      <c r="B104" t="s">
        <v>110</v>
      </c>
      <c r="C104">
        <v>17</v>
      </c>
      <c r="D104">
        <v>9</v>
      </c>
      <c r="E104">
        <v>8</v>
      </c>
      <c r="F104">
        <v>2</v>
      </c>
      <c r="G104">
        <v>0.84693901955499296</v>
      </c>
      <c r="H104">
        <v>2.3324961882680699</v>
      </c>
      <c r="I104">
        <v>0.24558697441327201</v>
      </c>
      <c r="J104">
        <v>22.153204506399302</v>
      </c>
      <c r="K104">
        <v>0.46086542551353599</v>
      </c>
    </row>
    <row r="105" spans="1:11" x14ac:dyDescent="0.2">
      <c r="A105" t="s">
        <v>116</v>
      </c>
      <c r="B105" t="s">
        <v>99</v>
      </c>
      <c r="C105">
        <v>158</v>
      </c>
      <c r="D105">
        <v>79</v>
      </c>
      <c r="E105">
        <v>79</v>
      </c>
      <c r="F105">
        <v>34</v>
      </c>
      <c r="G105">
        <v>0.103519889032041</v>
      </c>
      <c r="H105">
        <v>1.10906785143174</v>
      </c>
      <c r="I105">
        <v>0.55668896289756498</v>
      </c>
      <c r="J105">
        <v>2.2095489241911799</v>
      </c>
      <c r="K105">
        <v>0.76848041369889297</v>
      </c>
    </row>
    <row r="106" spans="1:11" x14ac:dyDescent="0.2">
      <c r="A106" t="s">
        <v>116</v>
      </c>
      <c r="B106" t="s">
        <v>100</v>
      </c>
      <c r="C106">
        <v>160</v>
      </c>
      <c r="D106">
        <v>80</v>
      </c>
      <c r="E106">
        <v>80</v>
      </c>
      <c r="F106">
        <v>34</v>
      </c>
      <c r="G106">
        <v>5.1537376863218298E-2</v>
      </c>
      <c r="H106">
        <v>1.05288853922759</v>
      </c>
      <c r="I106">
        <v>0.54777844808756904</v>
      </c>
      <c r="J106">
        <v>2.0237639503838301</v>
      </c>
      <c r="K106">
        <v>0.87714583866087503</v>
      </c>
    </row>
    <row r="107" spans="1:11" x14ac:dyDescent="0.2">
      <c r="A107" t="s">
        <v>116</v>
      </c>
      <c r="B107" t="s">
        <v>374</v>
      </c>
      <c r="C107">
        <v>158</v>
      </c>
      <c r="D107">
        <v>79</v>
      </c>
      <c r="E107">
        <v>79</v>
      </c>
      <c r="F107">
        <v>35</v>
      </c>
      <c r="G107">
        <v>0.196792552005601</v>
      </c>
      <c r="H107">
        <v>1.2174914483477599</v>
      </c>
      <c r="I107">
        <v>0.63148513023802999</v>
      </c>
      <c r="J107">
        <v>2.3473006026938701</v>
      </c>
      <c r="K107">
        <v>0.55683913911608696</v>
      </c>
    </row>
    <row r="108" spans="1:11" x14ac:dyDescent="0.2">
      <c r="A108" t="s">
        <v>116</v>
      </c>
      <c r="B108" t="s">
        <v>101</v>
      </c>
      <c r="C108">
        <v>158</v>
      </c>
      <c r="D108">
        <v>79</v>
      </c>
      <c r="E108">
        <v>79</v>
      </c>
      <c r="F108">
        <v>35</v>
      </c>
      <c r="G108">
        <v>0.19917197669001499</v>
      </c>
      <c r="H108">
        <v>1.2203918268006499</v>
      </c>
      <c r="I108">
        <v>0.64334524951460803</v>
      </c>
      <c r="J108">
        <v>2.3150185876798401</v>
      </c>
      <c r="K108">
        <v>0.54204806068522904</v>
      </c>
    </row>
    <row r="109" spans="1:11" x14ac:dyDescent="0.2">
      <c r="A109" t="s">
        <v>116</v>
      </c>
      <c r="B109" t="s">
        <v>102</v>
      </c>
      <c r="C109">
        <v>160</v>
      </c>
      <c r="D109">
        <v>80</v>
      </c>
      <c r="E109">
        <v>80</v>
      </c>
      <c r="F109">
        <v>34</v>
      </c>
      <c r="G109">
        <v>-6.4448163472898903E-3</v>
      </c>
      <c r="H109">
        <v>0.99357590693842801</v>
      </c>
      <c r="I109">
        <v>0.50485850136362698</v>
      </c>
      <c r="J109">
        <v>1.95538567773367</v>
      </c>
      <c r="K109">
        <v>0.985114475728879</v>
      </c>
    </row>
    <row r="110" spans="1:11" x14ac:dyDescent="0.2">
      <c r="A110" t="s">
        <v>116</v>
      </c>
      <c r="B110" t="s">
        <v>49</v>
      </c>
      <c r="C110">
        <v>160</v>
      </c>
      <c r="D110">
        <v>80</v>
      </c>
      <c r="E110">
        <v>80</v>
      </c>
      <c r="F110">
        <v>35</v>
      </c>
      <c r="G110">
        <v>5.2419429021901401E-2</v>
      </c>
      <c r="H110">
        <v>1.0538176515389901</v>
      </c>
      <c r="I110">
        <v>0.54028821300005103</v>
      </c>
      <c r="J110">
        <v>2.0554430320231001</v>
      </c>
      <c r="K110">
        <v>0.877778384390271</v>
      </c>
    </row>
    <row r="111" spans="1:11" x14ac:dyDescent="0.2">
      <c r="A111" t="s">
        <v>116</v>
      </c>
      <c r="B111" t="s">
        <v>103</v>
      </c>
      <c r="C111">
        <v>160</v>
      </c>
      <c r="D111">
        <v>80</v>
      </c>
      <c r="E111">
        <v>80</v>
      </c>
      <c r="F111">
        <v>34</v>
      </c>
      <c r="G111">
        <v>0.30472693460960298</v>
      </c>
      <c r="H111">
        <v>1.35625460624372</v>
      </c>
      <c r="I111">
        <v>0.67758488272441597</v>
      </c>
      <c r="J111">
        <v>2.7146806309512099</v>
      </c>
      <c r="K111">
        <v>0.38942448463012802</v>
      </c>
    </row>
    <row r="112" spans="1:11" x14ac:dyDescent="0.2">
      <c r="A112" t="s">
        <v>116</v>
      </c>
      <c r="B112" t="s">
        <v>75</v>
      </c>
      <c r="C112">
        <v>154</v>
      </c>
      <c r="D112">
        <v>77</v>
      </c>
      <c r="E112">
        <v>77</v>
      </c>
      <c r="F112">
        <v>32</v>
      </c>
      <c r="G112">
        <v>0.158127653860446</v>
      </c>
      <c r="H112">
        <v>1.1713157081364201</v>
      </c>
      <c r="I112">
        <v>0.61115763945584101</v>
      </c>
      <c r="J112">
        <v>2.2448880608752901</v>
      </c>
      <c r="K112">
        <v>0.63377523865525698</v>
      </c>
    </row>
    <row r="113" spans="1:11" x14ac:dyDescent="0.2">
      <c r="A113" t="s">
        <v>116</v>
      </c>
      <c r="B113" t="s">
        <v>104</v>
      </c>
      <c r="C113">
        <v>317</v>
      </c>
      <c r="D113">
        <v>161</v>
      </c>
      <c r="E113">
        <v>156</v>
      </c>
      <c r="F113">
        <v>34</v>
      </c>
      <c r="G113">
        <v>-0.14952958264121799</v>
      </c>
      <c r="H113">
        <v>0.86111296364705103</v>
      </c>
      <c r="I113">
        <v>0.52995189541127796</v>
      </c>
      <c r="J113">
        <v>1.3992129145713099</v>
      </c>
      <c r="K113">
        <v>0.54602558568401005</v>
      </c>
    </row>
    <row r="114" spans="1:11" x14ac:dyDescent="0.2">
      <c r="A114" t="s">
        <v>116</v>
      </c>
      <c r="B114" t="s">
        <v>373</v>
      </c>
      <c r="C114">
        <v>158</v>
      </c>
      <c r="D114">
        <v>79</v>
      </c>
      <c r="E114">
        <v>79</v>
      </c>
      <c r="F114">
        <v>34</v>
      </c>
      <c r="G114">
        <v>-0.124311214684548</v>
      </c>
      <c r="H114">
        <v>0.88310496287948803</v>
      </c>
      <c r="I114">
        <v>0.44408071862133502</v>
      </c>
      <c r="J114">
        <v>1.7561545520002</v>
      </c>
      <c r="K114">
        <v>0.72301997673663798</v>
      </c>
    </row>
    <row r="115" spans="1:11" x14ac:dyDescent="0.2">
      <c r="A115" t="s">
        <v>116</v>
      </c>
      <c r="B115" t="s">
        <v>9</v>
      </c>
      <c r="C115">
        <v>160</v>
      </c>
      <c r="D115">
        <v>80</v>
      </c>
      <c r="E115">
        <v>80</v>
      </c>
      <c r="F115">
        <v>35</v>
      </c>
      <c r="G115">
        <v>0.17937795100307899</v>
      </c>
      <c r="H115">
        <v>1.1964728668425699</v>
      </c>
      <c r="I115">
        <v>0.59581271878595199</v>
      </c>
      <c r="J115">
        <v>2.4026800300729598</v>
      </c>
      <c r="K115">
        <v>0.61407787482757503</v>
      </c>
    </row>
    <row r="116" spans="1:11" x14ac:dyDescent="0.2">
      <c r="A116" t="s">
        <v>116</v>
      </c>
      <c r="B116" t="s">
        <v>105</v>
      </c>
      <c r="C116">
        <v>160</v>
      </c>
      <c r="D116">
        <v>80</v>
      </c>
      <c r="E116">
        <v>80</v>
      </c>
      <c r="F116">
        <v>35</v>
      </c>
      <c r="G116">
        <v>-0.33330261449489401</v>
      </c>
      <c r="H116">
        <v>0.71655332192143495</v>
      </c>
      <c r="I116">
        <v>0.34707358817460698</v>
      </c>
      <c r="J116">
        <v>1.4793654160118199</v>
      </c>
      <c r="K116">
        <v>0.36750621470378197</v>
      </c>
    </row>
    <row r="117" spans="1:11" x14ac:dyDescent="0.2">
      <c r="A117" t="s">
        <v>116</v>
      </c>
      <c r="B117" t="s">
        <v>106</v>
      </c>
      <c r="C117">
        <v>158</v>
      </c>
      <c r="D117">
        <v>79</v>
      </c>
      <c r="E117">
        <v>79</v>
      </c>
      <c r="F117">
        <v>35</v>
      </c>
      <c r="G117">
        <v>3.56335581866567E-2</v>
      </c>
      <c r="H117">
        <v>1.0362760420350801</v>
      </c>
      <c r="I117">
        <v>0.53270225209570599</v>
      </c>
      <c r="J117">
        <v>2.0158879206370899</v>
      </c>
      <c r="K117">
        <v>0.91641070018232895</v>
      </c>
    </row>
    <row r="118" spans="1:11" x14ac:dyDescent="0.2">
      <c r="A118" t="s">
        <v>116</v>
      </c>
      <c r="B118" t="s">
        <v>107</v>
      </c>
      <c r="C118">
        <v>158</v>
      </c>
      <c r="D118">
        <v>79</v>
      </c>
      <c r="E118">
        <v>79</v>
      </c>
      <c r="F118">
        <v>34</v>
      </c>
      <c r="G118">
        <v>0.19665723177323799</v>
      </c>
      <c r="H118">
        <v>1.2173267082686601</v>
      </c>
      <c r="I118">
        <v>0.60433467607676505</v>
      </c>
      <c r="J118">
        <v>2.4520921491454799</v>
      </c>
      <c r="K118">
        <v>0.58204056766615697</v>
      </c>
    </row>
    <row r="119" spans="1:11" x14ac:dyDescent="0.2">
      <c r="A119" t="s">
        <v>116</v>
      </c>
      <c r="B119" t="s">
        <v>108</v>
      </c>
      <c r="C119">
        <v>160</v>
      </c>
      <c r="D119">
        <v>80</v>
      </c>
      <c r="E119">
        <v>80</v>
      </c>
      <c r="F119">
        <v>35</v>
      </c>
      <c r="G119">
        <v>0.19931228454167499</v>
      </c>
      <c r="H119">
        <v>1.2205630693691101</v>
      </c>
      <c r="I119">
        <v>0.61500370653737502</v>
      </c>
      <c r="J119">
        <v>2.4223824839943799</v>
      </c>
      <c r="K119">
        <v>0.56873260116612401</v>
      </c>
    </row>
    <row r="120" spans="1:11" x14ac:dyDescent="0.2">
      <c r="A120" t="s">
        <v>116</v>
      </c>
      <c r="B120" t="s">
        <v>109</v>
      </c>
      <c r="C120">
        <v>239</v>
      </c>
      <c r="D120">
        <v>170</v>
      </c>
      <c r="E120">
        <v>69</v>
      </c>
      <c r="F120">
        <v>27</v>
      </c>
      <c r="G120">
        <v>4.73230039521588E-3</v>
      </c>
      <c r="H120">
        <v>1.00474351541269</v>
      </c>
      <c r="I120">
        <v>0.55093351302055904</v>
      </c>
      <c r="J120">
        <v>1.83236181482063</v>
      </c>
      <c r="K120">
        <v>0.98768426882487204</v>
      </c>
    </row>
    <row r="121" spans="1:11" x14ac:dyDescent="0.2">
      <c r="A121" t="s">
        <v>116</v>
      </c>
      <c r="B121" t="s">
        <v>110</v>
      </c>
      <c r="C121">
        <v>148</v>
      </c>
      <c r="D121">
        <v>74</v>
      </c>
      <c r="E121">
        <v>74</v>
      </c>
      <c r="F121">
        <v>31</v>
      </c>
      <c r="G121">
        <v>-9.0025105554866702E-2</v>
      </c>
      <c r="H121">
        <v>0.91390824080972899</v>
      </c>
      <c r="I121">
        <v>0.44604354105745098</v>
      </c>
      <c r="J121">
        <v>1.87252632476154</v>
      </c>
      <c r="K121">
        <v>0.80569645721863403</v>
      </c>
    </row>
    <row r="122" spans="1:11" x14ac:dyDescent="0.2">
      <c r="A122" t="s">
        <v>117</v>
      </c>
      <c r="B122" t="s">
        <v>99</v>
      </c>
      <c r="C122">
        <v>80</v>
      </c>
      <c r="D122">
        <v>40</v>
      </c>
      <c r="E122">
        <v>40</v>
      </c>
      <c r="F122">
        <v>19</v>
      </c>
      <c r="G122">
        <v>0.53253818366988304</v>
      </c>
      <c r="H122">
        <v>1.70324998807425</v>
      </c>
      <c r="I122">
        <v>0.79623356743705398</v>
      </c>
      <c r="J122">
        <v>3.6434793011967499</v>
      </c>
      <c r="K122">
        <v>0.169864708333264</v>
      </c>
    </row>
    <row r="123" spans="1:11" x14ac:dyDescent="0.2">
      <c r="A123" t="s">
        <v>117</v>
      </c>
      <c r="B123" t="s">
        <v>100</v>
      </c>
      <c r="C123">
        <v>79</v>
      </c>
      <c r="D123">
        <v>40</v>
      </c>
      <c r="E123">
        <v>39</v>
      </c>
      <c r="F123">
        <v>19</v>
      </c>
      <c r="G123">
        <v>0.56976046254512602</v>
      </c>
      <c r="H123">
        <v>1.7678435359706299</v>
      </c>
      <c r="I123">
        <v>0.81679160207338297</v>
      </c>
      <c r="J123">
        <v>3.8262768125183899</v>
      </c>
      <c r="K123">
        <v>0.14810185299595699</v>
      </c>
    </row>
    <row r="124" spans="1:11" x14ac:dyDescent="0.2">
      <c r="A124" t="s">
        <v>117</v>
      </c>
      <c r="B124" t="s">
        <v>374</v>
      </c>
      <c r="C124">
        <v>80</v>
      </c>
      <c r="D124">
        <v>40</v>
      </c>
      <c r="E124">
        <v>40</v>
      </c>
      <c r="F124">
        <v>19</v>
      </c>
      <c r="G124">
        <v>0.28053779431646297</v>
      </c>
      <c r="H124">
        <v>1.32384157540436</v>
      </c>
      <c r="I124">
        <v>0.62128939108376202</v>
      </c>
      <c r="J124">
        <v>2.82083766747086</v>
      </c>
      <c r="K124">
        <v>0.46733016860253701</v>
      </c>
    </row>
    <row r="125" spans="1:11" x14ac:dyDescent="0.2">
      <c r="A125" t="s">
        <v>117</v>
      </c>
      <c r="B125" t="s">
        <v>101</v>
      </c>
      <c r="C125">
        <v>80</v>
      </c>
      <c r="D125">
        <v>40</v>
      </c>
      <c r="E125">
        <v>40</v>
      </c>
      <c r="F125">
        <v>19</v>
      </c>
      <c r="G125">
        <v>-0.166840239805496</v>
      </c>
      <c r="H125">
        <v>0.84633481115117004</v>
      </c>
      <c r="I125">
        <v>0.39754308710147901</v>
      </c>
      <c r="J125">
        <v>1.8017735329993101</v>
      </c>
      <c r="K125">
        <v>0.66518689024658995</v>
      </c>
    </row>
    <row r="126" spans="1:11" x14ac:dyDescent="0.2">
      <c r="A126" t="s">
        <v>117</v>
      </c>
      <c r="B126" t="s">
        <v>102</v>
      </c>
      <c r="C126">
        <v>80</v>
      </c>
      <c r="D126">
        <v>40</v>
      </c>
      <c r="E126">
        <v>40</v>
      </c>
      <c r="F126">
        <v>19</v>
      </c>
      <c r="G126">
        <v>0.214550753590879</v>
      </c>
      <c r="H126">
        <v>1.23930501855822</v>
      </c>
      <c r="I126">
        <v>0.58311162588056598</v>
      </c>
      <c r="J126">
        <v>2.6339329570118601</v>
      </c>
      <c r="K126">
        <v>0.57700718848477395</v>
      </c>
    </row>
    <row r="127" spans="1:11" x14ac:dyDescent="0.2">
      <c r="A127" t="s">
        <v>117</v>
      </c>
      <c r="B127" t="s">
        <v>49</v>
      </c>
      <c r="C127">
        <v>80</v>
      </c>
      <c r="D127">
        <v>40</v>
      </c>
      <c r="E127">
        <v>40</v>
      </c>
      <c r="F127">
        <v>19</v>
      </c>
      <c r="G127">
        <v>0.116171123073677</v>
      </c>
      <c r="H127">
        <v>1.1231880590819601</v>
      </c>
      <c r="I127">
        <v>0.52822795055244898</v>
      </c>
      <c r="J127">
        <v>2.3882708492515499</v>
      </c>
      <c r="K127">
        <v>0.76279063181329099</v>
      </c>
    </row>
    <row r="128" spans="1:11" x14ac:dyDescent="0.2">
      <c r="A128" t="s">
        <v>117</v>
      </c>
      <c r="B128" t="s">
        <v>103</v>
      </c>
      <c r="C128">
        <v>79</v>
      </c>
      <c r="D128">
        <v>40</v>
      </c>
      <c r="E128">
        <v>39</v>
      </c>
      <c r="F128">
        <v>19</v>
      </c>
      <c r="G128">
        <v>0.12530083387537799</v>
      </c>
      <c r="H128">
        <v>1.1334893937880299</v>
      </c>
      <c r="I128">
        <v>0.53281345765363097</v>
      </c>
      <c r="J128">
        <v>2.4113471373036699</v>
      </c>
      <c r="K128">
        <v>0.74493286119968105</v>
      </c>
    </row>
    <row r="129" spans="1:11" x14ac:dyDescent="0.2">
      <c r="A129" t="s">
        <v>117</v>
      </c>
      <c r="B129" t="s">
        <v>75</v>
      </c>
      <c r="C129">
        <v>80</v>
      </c>
      <c r="D129">
        <v>40</v>
      </c>
      <c r="E129">
        <v>40</v>
      </c>
      <c r="F129">
        <v>19</v>
      </c>
      <c r="G129">
        <v>0.123355001672681</v>
      </c>
      <c r="H129">
        <v>1.1312859580774901</v>
      </c>
      <c r="I129">
        <v>0.53194193800649003</v>
      </c>
      <c r="J129">
        <v>2.4059165625096801</v>
      </c>
      <c r="K129">
        <v>0.74865987148343804</v>
      </c>
    </row>
    <row r="130" spans="1:11" x14ac:dyDescent="0.2">
      <c r="A130" t="s">
        <v>117</v>
      </c>
      <c r="B130" t="s">
        <v>104</v>
      </c>
      <c r="C130">
        <v>78</v>
      </c>
      <c r="D130">
        <v>66</v>
      </c>
      <c r="E130">
        <v>12</v>
      </c>
      <c r="F130">
        <v>19</v>
      </c>
      <c r="G130">
        <v>-0.15655038334383001</v>
      </c>
      <c r="H130">
        <v>0.85508843440298199</v>
      </c>
      <c r="I130">
        <v>0.34336454582306403</v>
      </c>
      <c r="J130">
        <v>2.1294459184685799</v>
      </c>
      <c r="K130">
        <v>0.73665383021151298</v>
      </c>
    </row>
    <row r="131" spans="1:11" x14ac:dyDescent="0.2">
      <c r="A131" t="s">
        <v>117</v>
      </c>
      <c r="B131" t="s">
        <v>373</v>
      </c>
      <c r="C131">
        <v>80</v>
      </c>
      <c r="D131">
        <v>40</v>
      </c>
      <c r="E131">
        <v>40</v>
      </c>
      <c r="F131">
        <v>19</v>
      </c>
      <c r="G131">
        <v>0.16342426511352401</v>
      </c>
      <c r="H131">
        <v>1.17753617124204</v>
      </c>
      <c r="I131">
        <v>0.55086632752919695</v>
      </c>
      <c r="J131">
        <v>2.5171105317013298</v>
      </c>
      <c r="K131">
        <v>0.67329636380234104</v>
      </c>
    </row>
    <row r="132" spans="1:11" x14ac:dyDescent="0.2">
      <c r="A132" t="s">
        <v>117</v>
      </c>
      <c r="B132" t="s">
        <v>9</v>
      </c>
      <c r="C132">
        <v>78</v>
      </c>
      <c r="D132">
        <v>39</v>
      </c>
      <c r="E132">
        <v>39</v>
      </c>
      <c r="F132">
        <v>19</v>
      </c>
      <c r="G132">
        <v>-0.18776026983840299</v>
      </c>
      <c r="H132">
        <v>0.82881337498272101</v>
      </c>
      <c r="I132">
        <v>0.38813464266130399</v>
      </c>
      <c r="J132">
        <v>1.76982813448497</v>
      </c>
      <c r="K132">
        <v>0.62761870125604402</v>
      </c>
    </row>
    <row r="133" spans="1:11" x14ac:dyDescent="0.2">
      <c r="A133" t="s">
        <v>117</v>
      </c>
      <c r="B133" t="s">
        <v>105</v>
      </c>
      <c r="C133">
        <v>80</v>
      </c>
      <c r="D133">
        <v>40</v>
      </c>
      <c r="E133">
        <v>40</v>
      </c>
      <c r="F133">
        <v>19</v>
      </c>
      <c r="G133">
        <v>2.5782687758699501E-2</v>
      </c>
      <c r="H133">
        <v>1.02611793625411</v>
      </c>
      <c r="I133">
        <v>0.48230323994868102</v>
      </c>
      <c r="J133">
        <v>2.1831037652047001</v>
      </c>
      <c r="K133">
        <v>0.94663391100125005</v>
      </c>
    </row>
    <row r="134" spans="1:11" x14ac:dyDescent="0.2">
      <c r="A134" t="s">
        <v>117</v>
      </c>
      <c r="B134" t="s">
        <v>106</v>
      </c>
      <c r="C134">
        <v>79</v>
      </c>
      <c r="D134">
        <v>40</v>
      </c>
      <c r="E134">
        <v>39</v>
      </c>
      <c r="F134">
        <v>18</v>
      </c>
      <c r="G134">
        <v>-0.58502608523248301</v>
      </c>
      <c r="H134">
        <v>0.55709132976578701</v>
      </c>
      <c r="I134">
        <v>0.25584890754329098</v>
      </c>
      <c r="J134">
        <v>1.21302354846951</v>
      </c>
      <c r="K134">
        <v>0.14060323400438501</v>
      </c>
    </row>
    <row r="135" spans="1:11" x14ac:dyDescent="0.2">
      <c r="A135" t="s">
        <v>117</v>
      </c>
      <c r="B135" t="s">
        <v>107</v>
      </c>
      <c r="C135">
        <v>79</v>
      </c>
      <c r="D135">
        <v>40</v>
      </c>
      <c r="E135">
        <v>39</v>
      </c>
      <c r="F135">
        <v>19</v>
      </c>
      <c r="G135">
        <v>0.30253079642950498</v>
      </c>
      <c r="H135">
        <v>1.3532793519516</v>
      </c>
      <c r="I135">
        <v>0.63442355904460102</v>
      </c>
      <c r="J135">
        <v>2.8866598320788399</v>
      </c>
      <c r="K135">
        <v>0.43380330401157902</v>
      </c>
    </row>
    <row r="136" spans="1:11" x14ac:dyDescent="0.2">
      <c r="A136" t="s">
        <v>117</v>
      </c>
      <c r="B136" t="s">
        <v>108</v>
      </c>
      <c r="C136">
        <v>80</v>
      </c>
      <c r="D136">
        <v>40</v>
      </c>
      <c r="E136">
        <v>40</v>
      </c>
      <c r="F136">
        <v>19</v>
      </c>
      <c r="G136">
        <v>-0.68063426751158596</v>
      </c>
      <c r="H136">
        <v>0.50629576354978401</v>
      </c>
      <c r="I136">
        <v>0.23117713396023201</v>
      </c>
      <c r="J136">
        <v>1.10882679353812</v>
      </c>
      <c r="K136">
        <v>8.8813192166438196E-2</v>
      </c>
    </row>
    <row r="137" spans="1:11" x14ac:dyDescent="0.2">
      <c r="A137" t="s">
        <v>117</v>
      </c>
      <c r="B137" t="s">
        <v>109</v>
      </c>
      <c r="C137">
        <v>72</v>
      </c>
      <c r="D137">
        <v>36</v>
      </c>
      <c r="E137">
        <v>36</v>
      </c>
      <c r="F137">
        <v>18</v>
      </c>
      <c r="G137">
        <v>0.85074717091691199</v>
      </c>
      <c r="H137">
        <v>2.34139562124302</v>
      </c>
      <c r="I137">
        <v>1.04712742747808</v>
      </c>
      <c r="J137">
        <v>5.2354024078800396</v>
      </c>
      <c r="K137">
        <v>3.8253553861247097E-2</v>
      </c>
    </row>
    <row r="138" spans="1:11" x14ac:dyDescent="0.2">
      <c r="A138" t="s">
        <v>117</v>
      </c>
      <c r="B138" t="s">
        <v>110</v>
      </c>
      <c r="C138">
        <v>72</v>
      </c>
      <c r="D138">
        <v>36</v>
      </c>
      <c r="E138">
        <v>36</v>
      </c>
      <c r="F138">
        <v>17</v>
      </c>
      <c r="G138">
        <v>-0.10063987112013199</v>
      </c>
      <c r="H138">
        <v>0.90425862390031697</v>
      </c>
      <c r="I138">
        <v>0.40503277541690202</v>
      </c>
      <c r="J138">
        <v>2.0188086212441601</v>
      </c>
      <c r="K138">
        <v>0.80599428251445604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03C3-F6E3-0F43-9C9E-E8CD05D56C3B}">
  <dimension ref="A1:G801"/>
  <sheetViews>
    <sheetView workbookViewId="0">
      <selection activeCell="E11" sqref="E11"/>
    </sheetView>
  </sheetViews>
  <sheetFormatPr baseColWidth="10" defaultRowHeight="16" x14ac:dyDescent="0.2"/>
  <sheetData>
    <row r="1" spans="1:7" x14ac:dyDescent="0.2">
      <c r="A1" s="1" t="s">
        <v>2888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155</v>
      </c>
      <c r="B3" t="str">
        <f>"2/231"</f>
        <v>2/231</v>
      </c>
      <c r="C3">
        <v>1.3282659472581201E-4</v>
      </c>
      <c r="D3">
        <v>2.4453380544983E-3</v>
      </c>
      <c r="E3">
        <v>39538</v>
      </c>
      <c r="F3" t="s">
        <v>156</v>
      </c>
      <c r="G3" t="s">
        <v>99</v>
      </c>
    </row>
    <row r="4" spans="1:7" x14ac:dyDescent="0.2">
      <c r="A4" t="s">
        <v>157</v>
      </c>
      <c r="B4" t="str">
        <f>"2/286"</f>
        <v>2/286</v>
      </c>
      <c r="C4">
        <v>2.03778171208194E-4</v>
      </c>
      <c r="D4">
        <v>2.4453380544983E-3</v>
      </c>
      <c r="E4">
        <v>39428</v>
      </c>
      <c r="F4" t="s">
        <v>156</v>
      </c>
      <c r="G4" t="s">
        <v>99</v>
      </c>
    </row>
    <row r="5" spans="1:7" x14ac:dyDescent="0.2">
      <c r="A5" t="s">
        <v>158</v>
      </c>
      <c r="B5" t="str">
        <f>"1/6"</f>
        <v>1/6</v>
      </c>
      <c r="C5">
        <v>5.9990924387497504E-4</v>
      </c>
      <c r="D5">
        <v>3.8392348022792001E-3</v>
      </c>
      <c r="E5">
        <v>3998.6</v>
      </c>
      <c r="F5" t="s">
        <v>159</v>
      </c>
      <c r="G5" t="s">
        <v>99</v>
      </c>
    </row>
    <row r="6" spans="1:7" x14ac:dyDescent="0.2">
      <c r="A6" t="s">
        <v>160</v>
      </c>
      <c r="B6" t="str">
        <f>"1/8"</f>
        <v>1/8</v>
      </c>
      <c r="C6">
        <v>7.9984058380817001E-4</v>
      </c>
      <c r="D6">
        <v>3.8392348022792001E-3</v>
      </c>
      <c r="E6">
        <v>2855.8571428571399</v>
      </c>
      <c r="F6" t="s">
        <v>159</v>
      </c>
      <c r="G6" t="s">
        <v>99</v>
      </c>
    </row>
    <row r="7" spans="1:7" x14ac:dyDescent="0.2">
      <c r="A7" t="s">
        <v>161</v>
      </c>
      <c r="B7" t="str">
        <f>"1/8"</f>
        <v>1/8</v>
      </c>
      <c r="C7">
        <v>7.9984058380817001E-4</v>
      </c>
      <c r="D7">
        <v>3.8392348022792001E-3</v>
      </c>
      <c r="E7">
        <v>2855.8571428571399</v>
      </c>
      <c r="F7" t="s">
        <v>162</v>
      </c>
      <c r="G7" t="s">
        <v>99</v>
      </c>
    </row>
    <row r="8" spans="1:7" x14ac:dyDescent="0.2">
      <c r="A8" t="s">
        <v>163</v>
      </c>
      <c r="B8" t="str">
        <f>"1/10"</f>
        <v>1/10</v>
      </c>
      <c r="C8">
        <v>9.9975221774784907E-4</v>
      </c>
      <c r="D8">
        <v>3.8987477300230998E-3</v>
      </c>
      <c r="E8">
        <v>2221</v>
      </c>
      <c r="F8" t="s">
        <v>159</v>
      </c>
      <c r="G8" t="s">
        <v>99</v>
      </c>
    </row>
    <row r="9" spans="1:7" x14ac:dyDescent="0.2">
      <c r="A9" t="s">
        <v>164</v>
      </c>
      <c r="B9" t="str">
        <f>"1/12"</f>
        <v>1/12</v>
      </c>
      <c r="C9">
        <v>1.1996440770549999E-3</v>
      </c>
      <c r="D9">
        <v>3.8987477300230998E-3</v>
      </c>
      <c r="E9">
        <v>1817</v>
      </c>
      <c r="F9" t="s">
        <v>162</v>
      </c>
      <c r="G9" t="s">
        <v>99</v>
      </c>
    </row>
    <row r="10" spans="1:7" x14ac:dyDescent="0.2">
      <c r="A10" t="s">
        <v>165</v>
      </c>
      <c r="B10" t="str">
        <f>"1/13"</f>
        <v>1/13</v>
      </c>
      <c r="C10">
        <v>1.2995825766743E-3</v>
      </c>
      <c r="D10">
        <v>3.8987477300230998E-3</v>
      </c>
      <c r="E10">
        <v>1665.5</v>
      </c>
      <c r="F10" t="s">
        <v>162</v>
      </c>
      <c r="G10" t="s">
        <v>99</v>
      </c>
    </row>
    <row r="11" spans="1:7" x14ac:dyDescent="0.2">
      <c r="A11" t="s">
        <v>166</v>
      </c>
      <c r="B11" t="str">
        <f>"1/15"</f>
        <v>1/15</v>
      </c>
      <c r="C11">
        <v>1.4994446955652E-3</v>
      </c>
      <c r="D11">
        <v>3.9985191881738999E-3</v>
      </c>
      <c r="E11">
        <v>1427.42857142857</v>
      </c>
      <c r="F11" t="s">
        <v>159</v>
      </c>
      <c r="G11" t="s">
        <v>99</v>
      </c>
    </row>
    <row r="12" spans="1:7" x14ac:dyDescent="0.2">
      <c r="A12" t="s">
        <v>167</v>
      </c>
      <c r="B12" t="str">
        <f>"1/19"</f>
        <v>1/19</v>
      </c>
      <c r="C12">
        <v>1.8991093291701999E-3</v>
      </c>
      <c r="D12">
        <v>4.5578623900084997E-3</v>
      </c>
      <c r="E12">
        <v>1110</v>
      </c>
      <c r="F12" t="s">
        <v>162</v>
      </c>
      <c r="G12" t="s">
        <v>99</v>
      </c>
    </row>
    <row r="13" spans="1:7" x14ac:dyDescent="0.2">
      <c r="A13" t="s">
        <v>168</v>
      </c>
      <c r="B13" t="str">
        <f>"1/27"</f>
        <v>1/27</v>
      </c>
      <c r="C13">
        <v>2.6981997671819999E-3</v>
      </c>
      <c r="D13">
        <v>5.8869813102153E-3</v>
      </c>
      <c r="E13">
        <v>768.15384615384596</v>
      </c>
      <c r="F13" t="s">
        <v>162</v>
      </c>
      <c r="G13" t="s">
        <v>99</v>
      </c>
    </row>
    <row r="14" spans="1:7" x14ac:dyDescent="0.2">
      <c r="A14" t="s">
        <v>169</v>
      </c>
      <c r="B14" t="str">
        <f>"1/31"</f>
        <v>1/31</v>
      </c>
      <c r="C14">
        <v>3.0976254237070002E-3</v>
      </c>
      <c r="D14">
        <v>6.1952508474140003E-3</v>
      </c>
      <c r="E14">
        <v>665.6</v>
      </c>
      <c r="F14" t="s">
        <v>162</v>
      </c>
      <c r="G14" t="s">
        <v>99</v>
      </c>
    </row>
    <row r="15" spans="1:7" x14ac:dyDescent="0.2">
      <c r="A15" t="s">
        <v>170</v>
      </c>
      <c r="B15" t="str">
        <f>"1/47"</f>
        <v>1/47</v>
      </c>
      <c r="C15">
        <v>4.6945300523320004E-3</v>
      </c>
      <c r="D15">
        <v>8.3898056684470999E-3</v>
      </c>
      <c r="E15">
        <v>433.739130434782</v>
      </c>
      <c r="F15" t="s">
        <v>162</v>
      </c>
      <c r="G15" t="s">
        <v>99</v>
      </c>
    </row>
    <row r="16" spans="1:7" x14ac:dyDescent="0.2">
      <c r="A16" t="s">
        <v>87</v>
      </c>
      <c r="B16" t="str">
        <f>"1/49"</f>
        <v>1/49</v>
      </c>
      <c r="C16">
        <v>4.8940533065940997E-3</v>
      </c>
      <c r="D16">
        <v>8.3898056684470999E-3</v>
      </c>
      <c r="E16">
        <v>415.625</v>
      </c>
      <c r="F16" t="s">
        <v>159</v>
      </c>
      <c r="G16" t="s">
        <v>99</v>
      </c>
    </row>
    <row r="17" spans="1:7" x14ac:dyDescent="0.2">
      <c r="A17" t="s">
        <v>171</v>
      </c>
      <c r="B17" t="str">
        <f>"1/60"</f>
        <v>1/60</v>
      </c>
      <c r="C17">
        <v>5.9910742376778001E-3</v>
      </c>
      <c r="D17">
        <v>9.5857187802845002E-3</v>
      </c>
      <c r="E17">
        <v>337.94915254237202</v>
      </c>
      <c r="F17" t="s">
        <v>162</v>
      </c>
      <c r="G17" t="s">
        <v>99</v>
      </c>
    </row>
    <row r="18" spans="1:7" x14ac:dyDescent="0.2">
      <c r="A18" t="s">
        <v>177</v>
      </c>
      <c r="B18" t="str">
        <f>"4/8"</f>
        <v>4/8</v>
      </c>
      <c r="C18" s="2">
        <v>5.2483942955708203E-14</v>
      </c>
      <c r="D18" s="2">
        <v>8.5548827017804303E-12</v>
      </c>
      <c r="E18">
        <v>19991</v>
      </c>
      <c r="F18" t="s">
        <v>178</v>
      </c>
      <c r="G18" t="s">
        <v>100</v>
      </c>
    </row>
    <row r="19" spans="1:7" x14ac:dyDescent="0.2">
      <c r="A19" t="s">
        <v>179</v>
      </c>
      <c r="B19" t="str">
        <f>"4/33"</f>
        <v>4/33</v>
      </c>
      <c r="C19" s="2">
        <v>3.06550210354516E-11</v>
      </c>
      <c r="D19" s="2">
        <v>2.4983842143893001E-9</v>
      </c>
      <c r="E19">
        <v>2753.93103448275</v>
      </c>
      <c r="F19" t="s">
        <v>178</v>
      </c>
      <c r="G19" t="s">
        <v>100</v>
      </c>
    </row>
    <row r="20" spans="1:7" x14ac:dyDescent="0.2">
      <c r="A20" t="s">
        <v>7</v>
      </c>
      <c r="B20" t="str">
        <f>"5/179"</f>
        <v>5/179</v>
      </c>
      <c r="C20" s="2">
        <v>5.4293583178628698E-11</v>
      </c>
      <c r="D20" s="2">
        <v>2.94995135270549E-9</v>
      </c>
      <c r="E20">
        <v>99105</v>
      </c>
      <c r="F20" t="s">
        <v>180</v>
      </c>
      <c r="G20" t="s">
        <v>100</v>
      </c>
    </row>
    <row r="21" spans="1:7" x14ac:dyDescent="0.2">
      <c r="A21" t="s">
        <v>181</v>
      </c>
      <c r="B21" t="str">
        <f>"3/7"</f>
        <v>3/7</v>
      </c>
      <c r="C21" s="2">
        <v>2.6239970118696701E-10</v>
      </c>
      <c r="D21" s="2">
        <v>8.5542302586951504E-9</v>
      </c>
      <c r="E21">
        <v>7496.625</v>
      </c>
      <c r="F21" t="s">
        <v>182</v>
      </c>
      <c r="G21" t="s">
        <v>100</v>
      </c>
    </row>
    <row r="22" spans="1:7" x14ac:dyDescent="0.2">
      <c r="A22" t="s">
        <v>183</v>
      </c>
      <c r="B22" t="str">
        <f>"3/7"</f>
        <v>3/7</v>
      </c>
      <c r="C22" s="2">
        <v>2.6239970118696701E-10</v>
      </c>
      <c r="D22" s="2">
        <v>8.5542302586951504E-9</v>
      </c>
      <c r="E22">
        <v>7496.625</v>
      </c>
      <c r="F22" t="s">
        <v>182</v>
      </c>
      <c r="G22" t="s">
        <v>100</v>
      </c>
    </row>
    <row r="23" spans="1:7" x14ac:dyDescent="0.2">
      <c r="A23" t="s">
        <v>14</v>
      </c>
      <c r="B23" t="str">
        <f>"4/68"</f>
        <v>4/68</v>
      </c>
      <c r="C23" s="2">
        <v>6.0927672924307597E-10</v>
      </c>
      <c r="D23" s="2">
        <v>1.6552017811103501E-8</v>
      </c>
      <c r="E23">
        <v>1245.6875</v>
      </c>
      <c r="F23" t="s">
        <v>178</v>
      </c>
      <c r="G23" t="s">
        <v>100</v>
      </c>
    </row>
    <row r="24" spans="1:7" x14ac:dyDescent="0.2">
      <c r="A24" t="s">
        <v>184</v>
      </c>
      <c r="B24" t="str">
        <f>"4/73"</f>
        <v>4/73</v>
      </c>
      <c r="C24" s="2">
        <v>8.1414310220778796E-10</v>
      </c>
      <c r="D24" s="2">
        <v>1.89579036656956E-8</v>
      </c>
      <c r="E24">
        <v>1155.1304347826001</v>
      </c>
      <c r="F24" t="s">
        <v>178</v>
      </c>
      <c r="G24" t="s">
        <v>100</v>
      </c>
    </row>
    <row r="25" spans="1:7" x14ac:dyDescent="0.2">
      <c r="A25" t="s">
        <v>185</v>
      </c>
      <c r="B25" t="str">
        <f>"4/78"</f>
        <v>4/78</v>
      </c>
      <c r="C25" s="2">
        <v>1.0667542577074001E-9</v>
      </c>
      <c r="D25" s="2">
        <v>2.1735118000788399E-8</v>
      </c>
      <c r="E25">
        <v>1076.8108108108099</v>
      </c>
      <c r="F25" t="s">
        <v>178</v>
      </c>
      <c r="G25" t="s">
        <v>100</v>
      </c>
    </row>
    <row r="26" spans="1:7" x14ac:dyDescent="0.2">
      <c r="A26" t="s">
        <v>10</v>
      </c>
      <c r="B26" t="str">
        <f>"4/121"</f>
        <v>4/121</v>
      </c>
      <c r="C26" s="2">
        <v>6.3425566858125896E-9</v>
      </c>
      <c r="D26" s="2">
        <v>1.14870748865272E-7</v>
      </c>
      <c r="E26">
        <v>679.58974358974297</v>
      </c>
      <c r="F26" t="s">
        <v>178</v>
      </c>
      <c r="G26" t="s">
        <v>100</v>
      </c>
    </row>
    <row r="27" spans="1:7" x14ac:dyDescent="0.2">
      <c r="A27" t="s">
        <v>22</v>
      </c>
      <c r="B27" t="str">
        <f>"3/36"</f>
        <v>3/36</v>
      </c>
      <c r="C27" s="2">
        <v>5.3418392788061E-8</v>
      </c>
      <c r="D27" s="2">
        <v>8.7071980244539504E-7</v>
      </c>
      <c r="E27">
        <v>907.36363636363603</v>
      </c>
      <c r="F27" t="s">
        <v>186</v>
      </c>
      <c r="G27" t="s">
        <v>100</v>
      </c>
    </row>
    <row r="28" spans="1:7" x14ac:dyDescent="0.2">
      <c r="A28" t="s">
        <v>187</v>
      </c>
      <c r="B28" t="str">
        <f>"3/65"</f>
        <v>3/65</v>
      </c>
      <c r="C28" s="2">
        <v>3.2609245392108298E-7</v>
      </c>
      <c r="D28" s="2">
        <v>4.42942249909471E-6</v>
      </c>
      <c r="E28">
        <v>482.25</v>
      </c>
      <c r="F28" t="s">
        <v>182</v>
      </c>
      <c r="G28" t="s">
        <v>100</v>
      </c>
    </row>
    <row r="29" spans="1:7" x14ac:dyDescent="0.2">
      <c r="A29" t="s">
        <v>188</v>
      </c>
      <c r="B29" t="str">
        <f>"3/65"</f>
        <v>3/65</v>
      </c>
      <c r="C29" s="2">
        <v>3.2609245392108298E-7</v>
      </c>
      <c r="D29" s="2">
        <v>4.42942249909471E-6</v>
      </c>
      <c r="E29">
        <v>482.25</v>
      </c>
      <c r="F29" t="s">
        <v>182</v>
      </c>
      <c r="G29" t="s">
        <v>100</v>
      </c>
    </row>
    <row r="30" spans="1:7" x14ac:dyDescent="0.2">
      <c r="A30" t="s">
        <v>189</v>
      </c>
      <c r="B30" t="str">
        <f>"2/6"</f>
        <v>2/6</v>
      </c>
      <c r="C30" s="2">
        <v>7.4966635810394496E-7</v>
      </c>
      <c r="D30" s="2">
        <v>9.3996627977648492E-6</v>
      </c>
      <c r="E30">
        <v>3331.8333333333298</v>
      </c>
      <c r="F30" t="s">
        <v>190</v>
      </c>
      <c r="G30" t="s">
        <v>100</v>
      </c>
    </row>
    <row r="31" spans="1:7" x14ac:dyDescent="0.2">
      <c r="A31" t="s">
        <v>191</v>
      </c>
      <c r="B31" t="str">
        <f>"2/8"</f>
        <v>2/8</v>
      </c>
      <c r="C31" s="2">
        <v>1.3991087462114599E-6</v>
      </c>
      <c r="D31" s="2">
        <v>1.6289623259462001E-5</v>
      </c>
      <c r="E31">
        <v>2221</v>
      </c>
      <c r="F31" t="s">
        <v>192</v>
      </c>
      <c r="G31" t="s">
        <v>100</v>
      </c>
    </row>
    <row r="32" spans="1:7" x14ac:dyDescent="0.2">
      <c r="A32" t="s">
        <v>16</v>
      </c>
      <c r="B32" t="str">
        <f>"4/621"</f>
        <v>4/621</v>
      </c>
      <c r="C32" s="2">
        <v>4.4901002156817201E-6</v>
      </c>
      <c r="D32" s="2">
        <v>4.3573166413495598E-5</v>
      </c>
      <c r="E32">
        <v>125.627228525121</v>
      </c>
      <c r="F32" t="s">
        <v>178</v>
      </c>
      <c r="G32" t="s">
        <v>100</v>
      </c>
    </row>
    <row r="33" spans="1:7" x14ac:dyDescent="0.2">
      <c r="A33" t="s">
        <v>193</v>
      </c>
      <c r="B33" t="str">
        <f>"2/14"</f>
        <v>2/14</v>
      </c>
      <c r="C33" s="2">
        <v>4.5444406688921796E-6</v>
      </c>
      <c r="D33" s="2">
        <v>4.3573166413495598E-5</v>
      </c>
      <c r="E33">
        <v>1110.1666666666599</v>
      </c>
      <c r="F33" t="s">
        <v>190</v>
      </c>
      <c r="G33" t="s">
        <v>100</v>
      </c>
    </row>
    <row r="34" spans="1:7" x14ac:dyDescent="0.2">
      <c r="A34" t="s">
        <v>194</v>
      </c>
      <c r="B34" t="str">
        <f>"2/14"</f>
        <v>2/14</v>
      </c>
      <c r="C34" s="2">
        <v>4.5444406688921796E-6</v>
      </c>
      <c r="D34" s="2">
        <v>4.3573166413495598E-5</v>
      </c>
      <c r="E34">
        <v>1110.1666666666599</v>
      </c>
      <c r="F34" t="s">
        <v>192</v>
      </c>
      <c r="G34" t="s">
        <v>100</v>
      </c>
    </row>
    <row r="35" spans="1:7" x14ac:dyDescent="0.2">
      <c r="A35" t="s">
        <v>195</v>
      </c>
      <c r="B35" t="str">
        <f>"2/16"</f>
        <v>2/16</v>
      </c>
      <c r="C35" s="2">
        <v>5.9914892032562699E-6</v>
      </c>
      <c r="D35" s="2">
        <v>5.4256263340598402E-5</v>
      </c>
      <c r="E35">
        <v>951.47619047619003</v>
      </c>
      <c r="F35" t="s">
        <v>190</v>
      </c>
      <c r="G35" t="s">
        <v>100</v>
      </c>
    </row>
    <row r="36" spans="1:7" x14ac:dyDescent="0.2">
      <c r="A36" t="s">
        <v>196</v>
      </c>
      <c r="B36" t="str">
        <f>"2/19"</f>
        <v>2/19</v>
      </c>
      <c r="C36" s="2">
        <v>8.5353438133472706E-6</v>
      </c>
      <c r="D36" s="2">
        <v>7.3224265346084395E-5</v>
      </c>
      <c r="E36">
        <v>783.450980392156</v>
      </c>
      <c r="F36" t="s">
        <v>192</v>
      </c>
      <c r="G36" t="s">
        <v>100</v>
      </c>
    </row>
    <row r="37" spans="1:7" x14ac:dyDescent="0.2">
      <c r="A37" t="s">
        <v>197</v>
      </c>
      <c r="B37" t="str">
        <f>"2/21"</f>
        <v>2/21</v>
      </c>
      <c r="C37" s="2">
        <v>1.04799273988423E-5</v>
      </c>
      <c r="D37" s="2">
        <v>8.5411408300565205E-5</v>
      </c>
      <c r="E37">
        <v>700.91228070175396</v>
      </c>
      <c r="F37" t="s">
        <v>192</v>
      </c>
      <c r="G37" t="s">
        <v>100</v>
      </c>
    </row>
    <row r="38" spans="1:7" x14ac:dyDescent="0.2">
      <c r="A38" t="s">
        <v>26</v>
      </c>
      <c r="B38" t="str">
        <f>"2/26"</f>
        <v>2/26</v>
      </c>
      <c r="C38" s="2">
        <v>1.6210897896220299E-5</v>
      </c>
      <c r="D38">
        <v>1.2582744557542401E-4</v>
      </c>
      <c r="E38">
        <v>554.75</v>
      </c>
      <c r="F38" t="s">
        <v>190</v>
      </c>
      <c r="G38" t="s">
        <v>100</v>
      </c>
    </row>
    <row r="39" spans="1:7" x14ac:dyDescent="0.2">
      <c r="A39" t="s">
        <v>20</v>
      </c>
      <c r="B39" t="str">
        <f>"2/29"</f>
        <v>2/29</v>
      </c>
      <c r="C39" s="2">
        <v>2.0245119936613701E-5</v>
      </c>
      <c r="D39">
        <v>1.4999793407581999E-4</v>
      </c>
      <c r="E39">
        <v>493.03703703703701</v>
      </c>
      <c r="F39" t="s">
        <v>190</v>
      </c>
      <c r="G39" t="s">
        <v>100</v>
      </c>
    </row>
    <row r="40" spans="1:7" x14ac:dyDescent="0.2">
      <c r="A40" t="s">
        <v>1257</v>
      </c>
      <c r="B40" t="str">
        <f>"2/33"</f>
        <v>2/33</v>
      </c>
      <c r="C40" s="2">
        <v>2.6318160402538699E-5</v>
      </c>
      <c r="D40">
        <v>1.86515658504948E-4</v>
      </c>
      <c r="E40">
        <v>429.33333333333297</v>
      </c>
      <c r="F40" t="s">
        <v>192</v>
      </c>
      <c r="G40" t="s">
        <v>100</v>
      </c>
    </row>
    <row r="41" spans="1:7" x14ac:dyDescent="0.2">
      <c r="A41" t="s">
        <v>40</v>
      </c>
      <c r="B41" t="str">
        <f>"2/43"</f>
        <v>2/43</v>
      </c>
      <c r="C41" s="2">
        <v>4.4965236138571703E-5</v>
      </c>
      <c r="D41">
        <v>3.05388895441133E-4</v>
      </c>
      <c r="E41">
        <v>324.455284552845</v>
      </c>
      <c r="F41" t="s">
        <v>190</v>
      </c>
      <c r="G41" t="s">
        <v>100</v>
      </c>
    </row>
    <row r="42" spans="1:7" x14ac:dyDescent="0.2">
      <c r="A42" t="s">
        <v>341</v>
      </c>
      <c r="B42" t="str">
        <f>"3/481"</f>
        <v>3/481</v>
      </c>
      <c r="C42">
        <v>1.3334491907596299E-4</v>
      </c>
      <c r="D42">
        <v>8.4029493591626799E-4</v>
      </c>
      <c r="E42">
        <v>61.245815899581501</v>
      </c>
      <c r="F42" t="s">
        <v>1258</v>
      </c>
      <c r="G42" t="s">
        <v>100</v>
      </c>
    </row>
    <row r="43" spans="1:7" x14ac:dyDescent="0.2">
      <c r="A43" t="s">
        <v>343</v>
      </c>
      <c r="B43" t="str">
        <f>"3/485"</f>
        <v>3/485</v>
      </c>
      <c r="C43">
        <v>1.3666472481087001E-4</v>
      </c>
      <c r="D43">
        <v>8.4029493591626799E-4</v>
      </c>
      <c r="E43">
        <v>60.725103734439799</v>
      </c>
      <c r="F43" t="s">
        <v>1258</v>
      </c>
      <c r="G43" t="s">
        <v>100</v>
      </c>
    </row>
    <row r="44" spans="1:7" x14ac:dyDescent="0.2">
      <c r="A44" t="s">
        <v>346</v>
      </c>
      <c r="B44" t="str">
        <f>"3/488"</f>
        <v>3/488</v>
      </c>
      <c r="C44">
        <v>1.3918995871005599E-4</v>
      </c>
      <c r="D44">
        <v>8.4029493591626799E-4</v>
      </c>
      <c r="E44">
        <v>60.340206185566998</v>
      </c>
      <c r="F44" t="s">
        <v>1258</v>
      </c>
      <c r="G44" t="s">
        <v>100</v>
      </c>
    </row>
    <row r="45" spans="1:7" x14ac:dyDescent="0.2">
      <c r="A45" t="s">
        <v>590</v>
      </c>
      <c r="B45" t="str">
        <f>"2/150"</f>
        <v>2/150</v>
      </c>
      <c r="C45">
        <v>5.5053770300055895E-4</v>
      </c>
      <c r="D45">
        <v>3.2049159138960999E-3</v>
      </c>
      <c r="E45">
        <v>89.400900900900893</v>
      </c>
      <c r="F45" t="s">
        <v>1259</v>
      </c>
      <c r="G45" t="s">
        <v>100</v>
      </c>
    </row>
    <row r="46" spans="1:7" x14ac:dyDescent="0.2">
      <c r="A46" t="s">
        <v>1260</v>
      </c>
      <c r="B46" t="str">
        <f>"1/5"</f>
        <v>1/5</v>
      </c>
      <c r="C46">
        <v>1.2494733811348E-3</v>
      </c>
      <c r="D46">
        <v>7.0229021077582001E-3</v>
      </c>
      <c r="E46">
        <v>1249.4375</v>
      </c>
      <c r="F46" t="s">
        <v>1261</v>
      </c>
      <c r="G46" t="s">
        <v>100</v>
      </c>
    </row>
    <row r="47" spans="1:7" x14ac:dyDescent="0.2">
      <c r="A47" t="s">
        <v>1262</v>
      </c>
      <c r="B47" t="str">
        <f>"1/6"</f>
        <v>1/6</v>
      </c>
      <c r="C47">
        <v>1.4992198216206001E-3</v>
      </c>
      <c r="D47">
        <v>7.8829945459409998E-3</v>
      </c>
      <c r="E47">
        <v>999.5</v>
      </c>
      <c r="F47" t="s">
        <v>1261</v>
      </c>
      <c r="G47" t="s">
        <v>100</v>
      </c>
    </row>
    <row r="48" spans="1:7" x14ac:dyDescent="0.2">
      <c r="A48" t="s">
        <v>1263</v>
      </c>
      <c r="B48" t="str">
        <f>"1/6"</f>
        <v>1/6</v>
      </c>
      <c r="C48">
        <v>1.4992198216206001E-3</v>
      </c>
      <c r="D48">
        <v>7.8829945459409998E-3</v>
      </c>
      <c r="E48">
        <v>999.5</v>
      </c>
      <c r="F48" t="s">
        <v>1261</v>
      </c>
      <c r="G48" t="s">
        <v>100</v>
      </c>
    </row>
    <row r="49" spans="1:7" x14ac:dyDescent="0.2">
      <c r="A49" t="s">
        <v>1264</v>
      </c>
      <c r="B49" t="str">
        <f>"1/7"</f>
        <v>1/7</v>
      </c>
      <c r="C49">
        <v>1.7489165149325999E-3</v>
      </c>
      <c r="D49">
        <v>7.9187053315003999E-3</v>
      </c>
      <c r="E49">
        <v>832.875</v>
      </c>
      <c r="F49" t="s">
        <v>1265</v>
      </c>
      <c r="G49" t="s">
        <v>100</v>
      </c>
    </row>
    <row r="50" spans="1:7" x14ac:dyDescent="0.2">
      <c r="A50" t="s">
        <v>1266</v>
      </c>
      <c r="B50" t="str">
        <f>"1/7"</f>
        <v>1/7</v>
      </c>
      <c r="C50">
        <v>1.7489165149325999E-3</v>
      </c>
      <c r="D50">
        <v>7.9187053315003999E-3</v>
      </c>
      <c r="E50">
        <v>832.875</v>
      </c>
      <c r="F50" t="s">
        <v>1261</v>
      </c>
      <c r="G50" t="s">
        <v>100</v>
      </c>
    </row>
    <row r="51" spans="1:7" x14ac:dyDescent="0.2">
      <c r="A51" t="s">
        <v>1267</v>
      </c>
      <c r="B51" t="str">
        <f>"1/7"</f>
        <v>1/7</v>
      </c>
      <c r="C51">
        <v>1.7489165149325999E-3</v>
      </c>
      <c r="D51">
        <v>7.9187053315003999E-3</v>
      </c>
      <c r="E51">
        <v>832.875</v>
      </c>
      <c r="F51" t="s">
        <v>1261</v>
      </c>
      <c r="G51" t="s">
        <v>100</v>
      </c>
    </row>
    <row r="52" spans="1:7" x14ac:dyDescent="0.2">
      <c r="A52" t="s">
        <v>1268</v>
      </c>
      <c r="B52" t="str">
        <f>"1/7"</f>
        <v>1/7</v>
      </c>
      <c r="C52">
        <v>1.7489165149325999E-3</v>
      </c>
      <c r="D52">
        <v>7.9187053315003999E-3</v>
      </c>
      <c r="E52">
        <v>832.875</v>
      </c>
      <c r="F52" t="s">
        <v>1269</v>
      </c>
      <c r="G52" t="s">
        <v>100</v>
      </c>
    </row>
    <row r="53" spans="1:7" x14ac:dyDescent="0.2">
      <c r="A53" t="s">
        <v>1270</v>
      </c>
      <c r="B53" t="str">
        <f>"1/7"</f>
        <v>1/7</v>
      </c>
      <c r="C53">
        <v>1.7489165149325999E-3</v>
      </c>
      <c r="D53">
        <v>7.9187053315003999E-3</v>
      </c>
      <c r="E53">
        <v>832.875</v>
      </c>
      <c r="F53" t="s">
        <v>1265</v>
      </c>
      <c r="G53" t="s">
        <v>100</v>
      </c>
    </row>
    <row r="54" spans="1:7" x14ac:dyDescent="0.2">
      <c r="A54" t="s">
        <v>1271</v>
      </c>
      <c r="B54" t="str">
        <f>"1/8"</f>
        <v>1/8</v>
      </c>
      <c r="C54">
        <v>1.9985634316589001E-3</v>
      </c>
      <c r="D54">
        <v>7.9455082770832994E-3</v>
      </c>
      <c r="E54">
        <v>713.85714285714198</v>
      </c>
      <c r="F54" t="s">
        <v>1272</v>
      </c>
      <c r="G54" t="s">
        <v>100</v>
      </c>
    </row>
    <row r="55" spans="1:7" x14ac:dyDescent="0.2">
      <c r="A55" t="s">
        <v>1273</v>
      </c>
      <c r="B55" t="str">
        <f>"1/8"</f>
        <v>1/8</v>
      </c>
      <c r="C55">
        <v>1.9985634316589001E-3</v>
      </c>
      <c r="D55">
        <v>7.9455082770832994E-3</v>
      </c>
      <c r="E55">
        <v>713.85714285714198</v>
      </c>
      <c r="F55" t="s">
        <v>1272</v>
      </c>
      <c r="G55" t="s">
        <v>100</v>
      </c>
    </row>
    <row r="56" spans="1:7" x14ac:dyDescent="0.2">
      <c r="A56" t="s">
        <v>1274</v>
      </c>
      <c r="B56" t="str">
        <f>"1/8"</f>
        <v>1/8</v>
      </c>
      <c r="C56">
        <v>1.9985634316589001E-3</v>
      </c>
      <c r="D56">
        <v>7.9455082770832994E-3</v>
      </c>
      <c r="E56">
        <v>713.85714285714198</v>
      </c>
      <c r="F56" t="s">
        <v>1272</v>
      </c>
      <c r="G56" t="s">
        <v>100</v>
      </c>
    </row>
    <row r="57" spans="1:7" x14ac:dyDescent="0.2">
      <c r="A57" t="s">
        <v>1275</v>
      </c>
      <c r="B57" t="str">
        <f>"1/8"</f>
        <v>1/8</v>
      </c>
      <c r="C57">
        <v>1.9985634316589001E-3</v>
      </c>
      <c r="D57">
        <v>7.9455082770832994E-3</v>
      </c>
      <c r="E57">
        <v>713.85714285714198</v>
      </c>
      <c r="F57" t="s">
        <v>1265</v>
      </c>
      <c r="G57" t="s">
        <v>100</v>
      </c>
    </row>
    <row r="58" spans="1:7" x14ac:dyDescent="0.2">
      <c r="A58" t="s">
        <v>1276</v>
      </c>
      <c r="B58" t="str">
        <f>"1/8"</f>
        <v>1/8</v>
      </c>
      <c r="C58">
        <v>1.9985634316589001E-3</v>
      </c>
      <c r="D58">
        <v>7.9455082770832994E-3</v>
      </c>
      <c r="E58">
        <v>713.85714285714198</v>
      </c>
      <c r="F58" t="s">
        <v>1265</v>
      </c>
      <c r="G58" t="s">
        <v>100</v>
      </c>
    </row>
    <row r="59" spans="1:7" x14ac:dyDescent="0.2">
      <c r="A59" t="s">
        <v>1277</v>
      </c>
      <c r="B59" t="str">
        <f>"1/9"</f>
        <v>1/9</v>
      </c>
      <c r="C59">
        <v>2.2481605524021001E-3</v>
      </c>
      <c r="D59">
        <v>8.3284129554898004E-3</v>
      </c>
      <c r="E59">
        <v>624.59375</v>
      </c>
      <c r="F59" t="s">
        <v>1272</v>
      </c>
      <c r="G59" t="s">
        <v>100</v>
      </c>
    </row>
    <row r="60" spans="1:7" x14ac:dyDescent="0.2">
      <c r="A60" t="s">
        <v>1278</v>
      </c>
      <c r="B60" t="str">
        <f>"1/9"</f>
        <v>1/9</v>
      </c>
      <c r="C60">
        <v>2.2481605524021001E-3</v>
      </c>
      <c r="D60">
        <v>8.3284129554898004E-3</v>
      </c>
      <c r="E60">
        <v>624.59375</v>
      </c>
      <c r="F60" t="s">
        <v>1272</v>
      </c>
      <c r="G60" t="s">
        <v>100</v>
      </c>
    </row>
    <row r="61" spans="1:7" x14ac:dyDescent="0.2">
      <c r="A61" t="s">
        <v>1279</v>
      </c>
      <c r="B61" t="str">
        <f>"1/9"</f>
        <v>1/9</v>
      </c>
      <c r="C61">
        <v>2.2481605524021001E-3</v>
      </c>
      <c r="D61">
        <v>8.3284129554898004E-3</v>
      </c>
      <c r="E61">
        <v>624.59375</v>
      </c>
      <c r="F61" t="s">
        <v>1265</v>
      </c>
      <c r="G61" t="s">
        <v>100</v>
      </c>
    </row>
    <row r="62" spans="1:7" x14ac:dyDescent="0.2">
      <c r="A62" t="s">
        <v>1280</v>
      </c>
      <c r="B62" t="str">
        <f>"1/10"</f>
        <v>1/10</v>
      </c>
      <c r="C62">
        <v>2.4977078641966999E-3</v>
      </c>
      <c r="D62">
        <v>8.6622634439162995E-3</v>
      </c>
      <c r="E62">
        <v>555.16666666666595</v>
      </c>
      <c r="F62" t="s">
        <v>1261</v>
      </c>
      <c r="G62" t="s">
        <v>100</v>
      </c>
    </row>
    <row r="63" spans="1:7" x14ac:dyDescent="0.2">
      <c r="A63" t="s">
        <v>1281</v>
      </c>
      <c r="B63" t="str">
        <f>"1/10"</f>
        <v>1/10</v>
      </c>
      <c r="C63">
        <v>2.4977078641966999E-3</v>
      </c>
      <c r="D63">
        <v>8.6622634439162995E-3</v>
      </c>
      <c r="E63">
        <v>555.16666666666595</v>
      </c>
      <c r="F63" t="s">
        <v>1261</v>
      </c>
      <c r="G63" t="s">
        <v>100</v>
      </c>
    </row>
    <row r="64" spans="1:7" x14ac:dyDescent="0.2">
      <c r="A64" t="s">
        <v>1282</v>
      </c>
      <c r="B64" t="str">
        <f>"1/10"</f>
        <v>1/10</v>
      </c>
      <c r="C64">
        <v>2.4977078641966999E-3</v>
      </c>
      <c r="D64">
        <v>8.6622634439162995E-3</v>
      </c>
      <c r="E64">
        <v>555.16666666666595</v>
      </c>
      <c r="F64" t="s">
        <v>1261</v>
      </c>
      <c r="G64" t="s">
        <v>100</v>
      </c>
    </row>
    <row r="65" spans="1:7" x14ac:dyDescent="0.2">
      <c r="A65" t="s">
        <v>1283</v>
      </c>
      <c r="B65" t="str">
        <f>"1/11"</f>
        <v>1/11</v>
      </c>
      <c r="C65">
        <v>2.7472053583369E-3</v>
      </c>
      <c r="D65">
        <v>9.1386627226309001E-3</v>
      </c>
      <c r="E65">
        <v>499.625</v>
      </c>
      <c r="F65" t="s">
        <v>1265</v>
      </c>
      <c r="G65" t="s">
        <v>100</v>
      </c>
    </row>
    <row r="66" spans="1:7" x14ac:dyDescent="0.2">
      <c r="A66" t="s">
        <v>1284</v>
      </c>
      <c r="B66" t="str">
        <f>"1/11"</f>
        <v>1/11</v>
      </c>
      <c r="C66">
        <v>2.7472053583369E-3</v>
      </c>
      <c r="D66">
        <v>9.1386627226309001E-3</v>
      </c>
      <c r="E66">
        <v>499.625</v>
      </c>
      <c r="F66" t="s">
        <v>1265</v>
      </c>
      <c r="G66" t="s">
        <v>100</v>
      </c>
    </row>
    <row r="67" spans="1:7" x14ac:dyDescent="0.2">
      <c r="A67" t="s">
        <v>1285</v>
      </c>
      <c r="B67" t="str">
        <f>"1/12"</f>
        <v>1/12</v>
      </c>
      <c r="C67">
        <v>2.9966530298935999E-3</v>
      </c>
      <c r="D67">
        <v>9.3933546898589005E-3</v>
      </c>
      <c r="E67">
        <v>454.18181818181802</v>
      </c>
      <c r="F67" t="s">
        <v>1261</v>
      </c>
      <c r="G67" t="s">
        <v>100</v>
      </c>
    </row>
    <row r="68" spans="1:7" x14ac:dyDescent="0.2">
      <c r="A68" t="s">
        <v>1286</v>
      </c>
      <c r="B68" t="str">
        <f>"1/12"</f>
        <v>1/12</v>
      </c>
      <c r="C68">
        <v>2.9966530298935999E-3</v>
      </c>
      <c r="D68">
        <v>9.3933546898589005E-3</v>
      </c>
      <c r="E68">
        <v>454.18181818181802</v>
      </c>
      <c r="F68" t="s">
        <v>1269</v>
      </c>
      <c r="G68" t="s">
        <v>100</v>
      </c>
    </row>
    <row r="69" spans="1:7" x14ac:dyDescent="0.2">
      <c r="A69" t="s">
        <v>1287</v>
      </c>
      <c r="B69" t="str">
        <f>"1/12"</f>
        <v>1/12</v>
      </c>
      <c r="C69">
        <v>2.9966530298935999E-3</v>
      </c>
      <c r="D69">
        <v>9.3933546898589005E-3</v>
      </c>
      <c r="E69">
        <v>454.18181818181802</v>
      </c>
      <c r="F69" t="s">
        <v>1265</v>
      </c>
      <c r="G69" t="s">
        <v>100</v>
      </c>
    </row>
    <row r="70" spans="1:7" x14ac:dyDescent="0.2">
      <c r="A70" t="s">
        <v>1288</v>
      </c>
      <c r="B70" t="str">
        <f>"1/13"</f>
        <v>1/13</v>
      </c>
      <c r="C70">
        <v>3.2460508750896998E-3</v>
      </c>
      <c r="D70">
        <v>9.7982646785116992E-3</v>
      </c>
      <c r="E70">
        <v>416.3125</v>
      </c>
      <c r="F70" t="s">
        <v>1261</v>
      </c>
      <c r="G70" t="s">
        <v>100</v>
      </c>
    </row>
    <row r="71" spans="1:7" x14ac:dyDescent="0.2">
      <c r="A71" t="s">
        <v>1289</v>
      </c>
      <c r="B71" t="str">
        <f>"1/13"</f>
        <v>1/13</v>
      </c>
      <c r="C71">
        <v>3.2460508750896998E-3</v>
      </c>
      <c r="D71">
        <v>9.7982646785116992E-3</v>
      </c>
      <c r="E71">
        <v>416.3125</v>
      </c>
      <c r="F71" t="s">
        <v>1261</v>
      </c>
      <c r="G71" t="s">
        <v>100</v>
      </c>
    </row>
    <row r="72" spans="1:7" x14ac:dyDescent="0.2">
      <c r="A72" t="s">
        <v>16</v>
      </c>
      <c r="B72" t="str">
        <f>"8/621"</f>
        <v>8/621</v>
      </c>
      <c r="C72" s="2">
        <v>2.74531082896674E-8</v>
      </c>
      <c r="D72" s="2">
        <v>1.0459634258363299E-5</v>
      </c>
      <c r="E72">
        <v>25.2776508972267</v>
      </c>
      <c r="F72" t="s">
        <v>198</v>
      </c>
      <c r="G72" t="s">
        <v>1290</v>
      </c>
    </row>
    <row r="73" spans="1:7" x14ac:dyDescent="0.2">
      <c r="A73" t="s">
        <v>10</v>
      </c>
      <c r="B73" t="str">
        <f>"5/121"</f>
        <v>5/121</v>
      </c>
      <c r="C73" s="2">
        <v>5.9996374589731797E-8</v>
      </c>
      <c r="D73" s="2">
        <v>1.1429309359343899E-5</v>
      </c>
      <c r="E73">
        <v>65.868700265251903</v>
      </c>
      <c r="F73" t="s">
        <v>199</v>
      </c>
      <c r="G73" t="s">
        <v>1290</v>
      </c>
    </row>
    <row r="74" spans="1:7" x14ac:dyDescent="0.2">
      <c r="A74" t="s">
        <v>14</v>
      </c>
      <c r="B74" t="str">
        <f>"4/68"</f>
        <v>4/68</v>
      </c>
      <c r="C74" s="2">
        <v>3.6069928048293999E-7</v>
      </c>
      <c r="D74" s="2">
        <v>4.0319311039148998E-5</v>
      </c>
      <c r="E74">
        <v>88.919642857142804</v>
      </c>
      <c r="F74" t="s">
        <v>200</v>
      </c>
      <c r="G74" t="s">
        <v>1290</v>
      </c>
    </row>
    <row r="75" spans="1:7" x14ac:dyDescent="0.2">
      <c r="A75" t="s">
        <v>7</v>
      </c>
      <c r="B75" t="str">
        <f>"5/179"</f>
        <v>5/179</v>
      </c>
      <c r="C75" s="2">
        <v>4.2329985342938602E-7</v>
      </c>
      <c r="D75" s="2">
        <v>4.0319311039148998E-5</v>
      </c>
      <c r="E75">
        <v>43.784261715296097</v>
      </c>
      <c r="F75" t="s">
        <v>201</v>
      </c>
      <c r="G75" t="s">
        <v>1290</v>
      </c>
    </row>
    <row r="76" spans="1:7" x14ac:dyDescent="0.2">
      <c r="A76" t="s">
        <v>202</v>
      </c>
      <c r="B76" t="str">
        <f>"2/5"</f>
        <v>2/5</v>
      </c>
      <c r="C76" s="2">
        <v>7.6376412565148005E-6</v>
      </c>
      <c r="D76">
        <v>5.8198826374642701E-4</v>
      </c>
      <c r="E76">
        <v>832.45833333333303</v>
      </c>
      <c r="F76" t="s">
        <v>203</v>
      </c>
      <c r="G76" t="s">
        <v>1290</v>
      </c>
    </row>
    <row r="77" spans="1:7" x14ac:dyDescent="0.2">
      <c r="A77" t="s">
        <v>204</v>
      </c>
      <c r="B77" t="str">
        <f>"2/6"</f>
        <v>2/6</v>
      </c>
      <c r="C77" s="2">
        <v>1.14504026485111E-5</v>
      </c>
      <c r="D77">
        <v>7.27100568180455E-4</v>
      </c>
      <c r="E77">
        <v>624.3125</v>
      </c>
      <c r="F77" t="s">
        <v>205</v>
      </c>
      <c r="G77" t="s">
        <v>1290</v>
      </c>
    </row>
    <row r="78" spans="1:7" x14ac:dyDescent="0.2">
      <c r="A78" t="s">
        <v>70</v>
      </c>
      <c r="B78" t="str">
        <f>"2/7"</f>
        <v>2/7</v>
      </c>
      <c r="C78" s="2">
        <v>1.6022071431264698E-5</v>
      </c>
      <c r="D78">
        <v>7.3953597260755703E-4</v>
      </c>
      <c r="E78">
        <v>499.42500000000001</v>
      </c>
      <c r="F78" t="s">
        <v>206</v>
      </c>
      <c r="G78" t="s">
        <v>1290</v>
      </c>
    </row>
    <row r="79" spans="1:7" x14ac:dyDescent="0.2">
      <c r="A79" t="s">
        <v>52</v>
      </c>
      <c r="B79" t="str">
        <f>"3/56"</f>
        <v>3/56</v>
      </c>
      <c r="C79" s="2">
        <v>1.6467610976431499E-5</v>
      </c>
      <c r="D79">
        <v>7.3953597260755703E-4</v>
      </c>
      <c r="E79">
        <v>75.203773584905605</v>
      </c>
      <c r="F79" t="s">
        <v>207</v>
      </c>
      <c r="G79" t="s">
        <v>1290</v>
      </c>
    </row>
    <row r="80" spans="1:7" x14ac:dyDescent="0.2">
      <c r="A80" t="s">
        <v>55</v>
      </c>
      <c r="B80" t="str">
        <f>"3/60"</f>
        <v>3/60</v>
      </c>
      <c r="C80" s="2">
        <v>2.0283392926556399E-5</v>
      </c>
      <c r="D80">
        <v>7.3953597260755703E-4</v>
      </c>
      <c r="E80">
        <v>69.912280701754298</v>
      </c>
      <c r="F80" t="s">
        <v>207</v>
      </c>
      <c r="G80" t="s">
        <v>1290</v>
      </c>
    </row>
    <row r="81" spans="1:7" x14ac:dyDescent="0.2">
      <c r="A81" t="s">
        <v>208</v>
      </c>
      <c r="B81" t="str">
        <f>"2/8"</f>
        <v>2/8</v>
      </c>
      <c r="C81" s="2">
        <v>2.1351432280008199E-5</v>
      </c>
      <c r="D81">
        <v>7.3953597260755703E-4</v>
      </c>
      <c r="E81">
        <v>416.166666666666</v>
      </c>
      <c r="F81" t="s">
        <v>209</v>
      </c>
      <c r="G81" t="s">
        <v>1290</v>
      </c>
    </row>
    <row r="82" spans="1:7" x14ac:dyDescent="0.2">
      <c r="A82" t="s">
        <v>210</v>
      </c>
      <c r="B82" t="str">
        <f>"2/8"</f>
        <v>2/8</v>
      </c>
      <c r="C82" s="2">
        <v>2.1351432280008199E-5</v>
      </c>
      <c r="D82">
        <v>7.3953597260755703E-4</v>
      </c>
      <c r="E82">
        <v>416.166666666666</v>
      </c>
      <c r="F82" t="s">
        <v>209</v>
      </c>
      <c r="G82" t="s">
        <v>1290</v>
      </c>
    </row>
    <row r="83" spans="1:7" x14ac:dyDescent="0.2">
      <c r="A83" t="s">
        <v>211</v>
      </c>
      <c r="B83" t="str">
        <f>"2/9"</f>
        <v>2/9</v>
      </c>
      <c r="C83" s="2">
        <v>2.74372708877149E-5</v>
      </c>
      <c r="D83">
        <v>7.7916328230603199E-4</v>
      </c>
      <c r="E83">
        <v>356.69642857142799</v>
      </c>
      <c r="F83" t="s">
        <v>209</v>
      </c>
      <c r="G83" t="s">
        <v>1290</v>
      </c>
    </row>
    <row r="84" spans="1:7" x14ac:dyDescent="0.2">
      <c r="A84" t="s">
        <v>212</v>
      </c>
      <c r="B84" t="str">
        <f>"2/9"</f>
        <v>2/9</v>
      </c>
      <c r="C84" s="2">
        <v>2.74372708877149E-5</v>
      </c>
      <c r="D84">
        <v>7.7916328230603199E-4</v>
      </c>
      <c r="E84">
        <v>356.69642857142799</v>
      </c>
      <c r="F84" t="s">
        <v>209</v>
      </c>
      <c r="G84" t="s">
        <v>1290</v>
      </c>
    </row>
    <row r="85" spans="1:7" x14ac:dyDescent="0.2">
      <c r="A85" t="s">
        <v>43</v>
      </c>
      <c r="B85" t="str">
        <f>"3/70"</f>
        <v>3/70</v>
      </c>
      <c r="C85" s="2">
        <v>3.2264363580075797E-5</v>
      </c>
      <c r="D85">
        <v>7.7916328230603199E-4</v>
      </c>
      <c r="E85">
        <v>59.447761194029802</v>
      </c>
      <c r="F85" t="s">
        <v>207</v>
      </c>
      <c r="G85" t="s">
        <v>1290</v>
      </c>
    </row>
    <row r="86" spans="1:7" x14ac:dyDescent="0.2">
      <c r="A86" t="s">
        <v>50</v>
      </c>
      <c r="B86" t="str">
        <f>"2/10"</f>
        <v>2/10</v>
      </c>
      <c r="C86" s="2">
        <v>3.4278374069617803E-5</v>
      </c>
      <c r="D86">
        <v>7.7916328230603199E-4</v>
      </c>
      <c r="E86">
        <v>312.09375</v>
      </c>
      <c r="F86" t="s">
        <v>206</v>
      </c>
      <c r="G86" t="s">
        <v>1290</v>
      </c>
    </row>
    <row r="87" spans="1:7" x14ac:dyDescent="0.2">
      <c r="A87" t="s">
        <v>213</v>
      </c>
      <c r="B87" t="str">
        <f>"2/10"</f>
        <v>2/10</v>
      </c>
      <c r="C87" s="2">
        <v>3.4278374069617803E-5</v>
      </c>
      <c r="D87">
        <v>7.7916328230603199E-4</v>
      </c>
      <c r="E87">
        <v>312.09375</v>
      </c>
      <c r="F87" t="s">
        <v>205</v>
      </c>
      <c r="G87" t="s">
        <v>1290</v>
      </c>
    </row>
    <row r="88" spans="1:7" x14ac:dyDescent="0.2">
      <c r="A88" t="s">
        <v>56</v>
      </c>
      <c r="B88" t="str">
        <f>"3/73"</f>
        <v>3/73</v>
      </c>
      <c r="C88" s="2">
        <v>3.6597211534267203E-5</v>
      </c>
      <c r="D88">
        <v>7.7916328230603199E-4</v>
      </c>
      <c r="E88">
        <v>56.891428571428499</v>
      </c>
      <c r="F88" t="s">
        <v>207</v>
      </c>
      <c r="G88" t="s">
        <v>1290</v>
      </c>
    </row>
    <row r="89" spans="1:7" x14ac:dyDescent="0.2">
      <c r="A89" t="s">
        <v>30</v>
      </c>
      <c r="B89" t="str">
        <f>"3/75"</f>
        <v>3/75</v>
      </c>
      <c r="C89" s="2">
        <v>3.9688218390850702E-5</v>
      </c>
      <c r="D89">
        <v>7.7916328230603199E-4</v>
      </c>
      <c r="E89">
        <v>55.3055555555555</v>
      </c>
      <c r="F89" t="s">
        <v>214</v>
      </c>
      <c r="G89" t="s">
        <v>1290</v>
      </c>
    </row>
    <row r="90" spans="1:7" x14ac:dyDescent="0.2">
      <c r="A90" t="s">
        <v>18</v>
      </c>
      <c r="B90" t="str">
        <f>"3/76"</f>
        <v>3/76</v>
      </c>
      <c r="C90" s="2">
        <v>4.12960074597834E-5</v>
      </c>
      <c r="D90">
        <v>7.7916328230603199E-4</v>
      </c>
      <c r="E90">
        <v>54.545205479452001</v>
      </c>
      <c r="F90" t="s">
        <v>215</v>
      </c>
      <c r="G90" t="s">
        <v>1290</v>
      </c>
    </row>
    <row r="91" spans="1:7" x14ac:dyDescent="0.2">
      <c r="A91" t="s">
        <v>54</v>
      </c>
      <c r="B91" t="str">
        <f>"2/11"</f>
        <v>2/11</v>
      </c>
      <c r="C91" s="2">
        <v>4.1873529804695602E-5</v>
      </c>
      <c r="D91">
        <v>7.7916328230603199E-4</v>
      </c>
      <c r="E91">
        <v>277.40277777777698</v>
      </c>
      <c r="F91" t="s">
        <v>206</v>
      </c>
      <c r="G91" t="s">
        <v>1290</v>
      </c>
    </row>
    <row r="92" spans="1:7" x14ac:dyDescent="0.2">
      <c r="A92" t="s">
        <v>57</v>
      </c>
      <c r="B92" t="str">
        <f>"3/77"</f>
        <v>3/77</v>
      </c>
      <c r="C92" s="2">
        <v>4.2946007686159203E-5</v>
      </c>
      <c r="D92">
        <v>7.7916328230603199E-4</v>
      </c>
      <c r="E92">
        <v>53.805405405405402</v>
      </c>
      <c r="F92" t="s">
        <v>207</v>
      </c>
      <c r="G92" t="s">
        <v>1290</v>
      </c>
    </row>
    <row r="93" spans="1:7" x14ac:dyDescent="0.2">
      <c r="A93" t="s">
        <v>34</v>
      </c>
      <c r="B93" t="str">
        <f>"4/230"</f>
        <v>4/230</v>
      </c>
      <c r="C93" s="2">
        <v>4.5933797206351398E-5</v>
      </c>
      <c r="D93">
        <v>7.9548985161908604E-4</v>
      </c>
      <c r="E93">
        <v>24.975979772439899</v>
      </c>
      <c r="F93" t="s">
        <v>1291</v>
      </c>
      <c r="G93" t="s">
        <v>1290</v>
      </c>
    </row>
    <row r="94" spans="1:7" x14ac:dyDescent="0.2">
      <c r="A94" t="s">
        <v>543</v>
      </c>
      <c r="B94" t="str">
        <f>"3/80"</f>
        <v>3/80</v>
      </c>
      <c r="C94" s="2">
        <v>4.8154409077799501E-5</v>
      </c>
      <c r="D94">
        <v>7.9768825472354798E-4</v>
      </c>
      <c r="E94">
        <v>51.701298701298697</v>
      </c>
      <c r="F94" t="s">
        <v>1292</v>
      </c>
      <c r="G94" t="s">
        <v>1290</v>
      </c>
    </row>
    <row r="95" spans="1:7" x14ac:dyDescent="0.2">
      <c r="A95" t="s">
        <v>194</v>
      </c>
      <c r="B95" t="str">
        <f>"2/14"</f>
        <v>2/14</v>
      </c>
      <c r="C95" s="2">
        <v>6.9171210649439399E-5</v>
      </c>
      <c r="D95">
        <v>1.0541692502974E-3</v>
      </c>
      <c r="E95">
        <v>208.020833333333</v>
      </c>
      <c r="F95" t="s">
        <v>1293</v>
      </c>
      <c r="G95" t="s">
        <v>1290</v>
      </c>
    </row>
    <row r="96" spans="1:7" x14ac:dyDescent="0.2">
      <c r="A96" t="s">
        <v>264</v>
      </c>
      <c r="B96" t="str">
        <f>"2/14"</f>
        <v>2/14</v>
      </c>
      <c r="C96" s="2">
        <v>6.9171210649439399E-5</v>
      </c>
      <c r="D96">
        <v>1.0541692502974E-3</v>
      </c>
      <c r="E96">
        <v>208.020833333333</v>
      </c>
      <c r="F96" t="s">
        <v>1294</v>
      </c>
      <c r="G96" t="s">
        <v>1290</v>
      </c>
    </row>
    <row r="97" spans="1:7" x14ac:dyDescent="0.2">
      <c r="A97" t="s">
        <v>1295</v>
      </c>
      <c r="B97" t="str">
        <f>"2/15"</f>
        <v>2/15</v>
      </c>
      <c r="C97" s="2">
        <v>7.9770481221435696E-5</v>
      </c>
      <c r="D97">
        <v>1.1689443594371E-3</v>
      </c>
      <c r="E97">
        <v>192.00961538461499</v>
      </c>
      <c r="F97" t="s">
        <v>1294</v>
      </c>
      <c r="G97" t="s">
        <v>1290</v>
      </c>
    </row>
    <row r="98" spans="1:7" x14ac:dyDescent="0.2">
      <c r="A98" t="s">
        <v>45</v>
      </c>
      <c r="B98" t="str">
        <f>"3/103"</f>
        <v>3/103</v>
      </c>
      <c r="C98">
        <v>1.02320802830816E-4</v>
      </c>
      <c r="D98">
        <v>1.4438602177236999E-3</v>
      </c>
      <c r="E98">
        <v>39.764000000000003</v>
      </c>
      <c r="F98" t="s">
        <v>1296</v>
      </c>
      <c r="G98" t="s">
        <v>1290</v>
      </c>
    </row>
    <row r="99" spans="1:7" x14ac:dyDescent="0.2">
      <c r="A99" t="s">
        <v>1297</v>
      </c>
      <c r="B99" t="str">
        <f>"2/18"</f>
        <v>2/18</v>
      </c>
      <c r="C99">
        <v>1.16051543907485E-4</v>
      </c>
      <c r="D99">
        <v>1.5791299367410999E-3</v>
      </c>
      <c r="E99">
        <v>155.984375</v>
      </c>
      <c r="F99" t="s">
        <v>205</v>
      </c>
      <c r="G99" t="s">
        <v>1290</v>
      </c>
    </row>
    <row r="100" spans="1:7" x14ac:dyDescent="0.2">
      <c r="A100" t="s">
        <v>1075</v>
      </c>
      <c r="B100" t="str">
        <f>"2/19"</f>
        <v>2/19</v>
      </c>
      <c r="C100">
        <v>1.29635638145088E-4</v>
      </c>
      <c r="D100">
        <v>1.7031440735613E-3</v>
      </c>
      <c r="E100">
        <v>146.80147058823499</v>
      </c>
      <c r="F100" t="s">
        <v>1294</v>
      </c>
      <c r="G100" t="s">
        <v>1290</v>
      </c>
    </row>
    <row r="101" spans="1:7" x14ac:dyDescent="0.2">
      <c r="A101" t="s">
        <v>910</v>
      </c>
      <c r="B101" t="str">
        <f>"2/20"</f>
        <v>2/20</v>
      </c>
      <c r="C101">
        <v>1.4396293387323501E-4</v>
      </c>
      <c r="D101">
        <v>1.7693508969581001E-3</v>
      </c>
      <c r="E101">
        <v>138.638888888888</v>
      </c>
      <c r="F101" t="s">
        <v>1293</v>
      </c>
      <c r="G101" t="s">
        <v>1290</v>
      </c>
    </row>
    <row r="102" spans="1:7" x14ac:dyDescent="0.2">
      <c r="A102" t="s">
        <v>267</v>
      </c>
      <c r="B102" t="str">
        <f>"2/20"</f>
        <v>2/20</v>
      </c>
      <c r="C102">
        <v>1.4396293387323501E-4</v>
      </c>
      <c r="D102">
        <v>1.7693508969581001E-3</v>
      </c>
      <c r="E102">
        <v>138.638888888888</v>
      </c>
      <c r="F102" t="s">
        <v>1294</v>
      </c>
      <c r="G102" t="s">
        <v>1290</v>
      </c>
    </row>
    <row r="103" spans="1:7" x14ac:dyDescent="0.2">
      <c r="A103" t="s">
        <v>47</v>
      </c>
      <c r="B103" t="str">
        <f>"3/120"</f>
        <v>3/120</v>
      </c>
      <c r="C103">
        <v>1.6093903857423099E-4</v>
      </c>
      <c r="D103">
        <v>1.9161804280244E-3</v>
      </c>
      <c r="E103">
        <v>33.957264957264897</v>
      </c>
      <c r="F103" t="s">
        <v>207</v>
      </c>
      <c r="G103" t="s">
        <v>1290</v>
      </c>
    </row>
    <row r="104" spans="1:7" x14ac:dyDescent="0.2">
      <c r="A104" t="s">
        <v>269</v>
      </c>
      <c r="B104" t="str">
        <f>"2/25"</f>
        <v>2/25</v>
      </c>
      <c r="C104">
        <v>2.2670551085765501E-4</v>
      </c>
      <c r="D104">
        <v>2.6174181708110999E-3</v>
      </c>
      <c r="E104">
        <v>108.472826086956</v>
      </c>
      <c r="F104" t="s">
        <v>1294</v>
      </c>
      <c r="G104" t="s">
        <v>1290</v>
      </c>
    </row>
    <row r="105" spans="1:7" x14ac:dyDescent="0.2">
      <c r="A105" t="s">
        <v>26</v>
      </c>
      <c r="B105" t="str">
        <f>"2/26"</f>
        <v>2/26</v>
      </c>
      <c r="C105">
        <v>2.4546687981125099E-4</v>
      </c>
      <c r="D105">
        <v>2.6720823202309998E-3</v>
      </c>
      <c r="E105">
        <v>103.947916666666</v>
      </c>
      <c r="F105" t="s">
        <v>1293</v>
      </c>
      <c r="G105" t="s">
        <v>1290</v>
      </c>
    </row>
    <row r="106" spans="1:7" x14ac:dyDescent="0.2">
      <c r="A106" t="s">
        <v>1058</v>
      </c>
      <c r="B106" t="str">
        <f>"2/26"</f>
        <v>2/26</v>
      </c>
      <c r="C106">
        <v>2.4546687981125099E-4</v>
      </c>
      <c r="D106">
        <v>2.6720823202309998E-3</v>
      </c>
      <c r="E106">
        <v>103.947916666666</v>
      </c>
      <c r="F106" t="s">
        <v>1294</v>
      </c>
      <c r="G106" t="s">
        <v>1290</v>
      </c>
    </row>
    <row r="107" spans="1:7" x14ac:dyDescent="0.2">
      <c r="A107" t="s">
        <v>20</v>
      </c>
      <c r="B107" t="str">
        <f>"2/29"</f>
        <v>2/29</v>
      </c>
      <c r="C107">
        <v>3.0615524060429101E-4</v>
      </c>
      <c r="D107">
        <v>3.240142963062E-3</v>
      </c>
      <c r="E107">
        <v>92.384259259259196</v>
      </c>
      <c r="F107" t="s">
        <v>1293</v>
      </c>
      <c r="G107" t="s">
        <v>1290</v>
      </c>
    </row>
    <row r="108" spans="1:7" x14ac:dyDescent="0.2">
      <c r="A108" t="s">
        <v>1055</v>
      </c>
      <c r="B108" t="str">
        <f>"2/31"</f>
        <v>2/31</v>
      </c>
      <c r="C108">
        <v>3.5027247768592E-4</v>
      </c>
      <c r="D108">
        <v>3.6068598377928E-3</v>
      </c>
      <c r="E108">
        <v>86.004310344827502</v>
      </c>
      <c r="F108" t="s">
        <v>1294</v>
      </c>
      <c r="G108" t="s">
        <v>1290</v>
      </c>
    </row>
    <row r="109" spans="1:7" x14ac:dyDescent="0.2">
      <c r="A109" t="s">
        <v>24</v>
      </c>
      <c r="B109" t="str">
        <f>"3/158"</f>
        <v>3/158</v>
      </c>
      <c r="C109">
        <v>3.6178108553494798E-4</v>
      </c>
      <c r="D109">
        <v>3.6273314102318998E-3</v>
      </c>
      <c r="E109">
        <v>25.583225806451601</v>
      </c>
      <c r="F109" t="s">
        <v>1298</v>
      </c>
      <c r="G109" t="s">
        <v>1290</v>
      </c>
    </row>
    <row r="110" spans="1:7" x14ac:dyDescent="0.2">
      <c r="A110" t="s">
        <v>1299</v>
      </c>
      <c r="B110" t="str">
        <f>"2/35"</f>
        <v>2/35</v>
      </c>
      <c r="C110">
        <v>4.47244288573521E-4</v>
      </c>
      <c r="D110">
        <v>4.3692326652951001E-3</v>
      </c>
      <c r="E110">
        <v>75.564393939393895</v>
      </c>
      <c r="F110" t="s">
        <v>1294</v>
      </c>
      <c r="G110" t="s">
        <v>1290</v>
      </c>
    </row>
    <row r="111" spans="1:7" x14ac:dyDescent="0.2">
      <c r="A111" t="s">
        <v>22</v>
      </c>
      <c r="B111" t="str">
        <f>"2/36"</f>
        <v>2/36</v>
      </c>
      <c r="C111">
        <v>4.7330062752558403E-4</v>
      </c>
      <c r="D111">
        <v>4.3982326606644999E-3</v>
      </c>
      <c r="E111">
        <v>73.338235294117595</v>
      </c>
      <c r="F111" t="s">
        <v>1293</v>
      </c>
      <c r="G111" t="s">
        <v>1290</v>
      </c>
    </row>
    <row r="112" spans="1:7" x14ac:dyDescent="0.2">
      <c r="A112" t="s">
        <v>1032</v>
      </c>
      <c r="B112" t="str">
        <f>"2/36"</f>
        <v>2/36</v>
      </c>
      <c r="C112">
        <v>4.7330062752558403E-4</v>
      </c>
      <c r="D112">
        <v>4.3982326606644999E-3</v>
      </c>
      <c r="E112">
        <v>73.338235294117595</v>
      </c>
      <c r="F112" t="s">
        <v>1300</v>
      </c>
      <c r="G112" t="s">
        <v>1290</v>
      </c>
    </row>
    <row r="113" spans="1:7" x14ac:dyDescent="0.2">
      <c r="A113" t="s">
        <v>12</v>
      </c>
      <c r="B113" t="str">
        <f>"3/185"</f>
        <v>3/185</v>
      </c>
      <c r="C113">
        <v>5.7359583832761402E-4</v>
      </c>
      <c r="D113">
        <v>5.2033336762576004E-3</v>
      </c>
      <c r="E113">
        <v>21.758241758241699</v>
      </c>
      <c r="F113" t="s">
        <v>1298</v>
      </c>
      <c r="G113" t="s">
        <v>1290</v>
      </c>
    </row>
    <row r="114" spans="1:7" x14ac:dyDescent="0.2">
      <c r="A114" t="s">
        <v>1063</v>
      </c>
      <c r="B114" t="str">
        <f>"3/194"</f>
        <v>3/194</v>
      </c>
      <c r="C114">
        <v>6.5860617009265204E-4</v>
      </c>
      <c r="D114">
        <v>5.8355569954721001E-3</v>
      </c>
      <c r="E114">
        <v>20.723560209424001</v>
      </c>
      <c r="F114" t="s">
        <v>1301</v>
      </c>
      <c r="G114" t="s">
        <v>1290</v>
      </c>
    </row>
    <row r="115" spans="1:7" x14ac:dyDescent="0.2">
      <c r="A115" t="s">
        <v>40</v>
      </c>
      <c r="B115" t="str">
        <f>"2/43"</f>
        <v>2/43</v>
      </c>
      <c r="C115">
        <v>6.7587311478240603E-4</v>
      </c>
      <c r="D115">
        <v>5.8524467439111999E-3</v>
      </c>
      <c r="E115">
        <v>60.795731707317003</v>
      </c>
      <c r="F115" t="s">
        <v>1293</v>
      </c>
      <c r="G115" t="s">
        <v>1290</v>
      </c>
    </row>
    <row r="116" spans="1:7" x14ac:dyDescent="0.2">
      <c r="A116" t="s">
        <v>65</v>
      </c>
      <c r="B116" t="str">
        <f>"2/44"</f>
        <v>2/44</v>
      </c>
      <c r="C116">
        <v>7.0768055837787597E-4</v>
      </c>
      <c r="D116">
        <v>5.9916953942660001E-3</v>
      </c>
      <c r="E116">
        <v>59.345238095238003</v>
      </c>
      <c r="F116" t="s">
        <v>1294</v>
      </c>
      <c r="G116" t="s">
        <v>1290</v>
      </c>
    </row>
    <row r="117" spans="1:7" x14ac:dyDescent="0.2">
      <c r="A117" t="s">
        <v>1302</v>
      </c>
      <c r="B117" t="str">
        <f>"2/46"</f>
        <v>2/46</v>
      </c>
      <c r="C117">
        <v>7.7343514372915797E-4</v>
      </c>
      <c r="D117">
        <v>6.2777910784618E-3</v>
      </c>
      <c r="E117">
        <v>56.642045454545404</v>
      </c>
      <c r="F117" t="s">
        <v>1303</v>
      </c>
      <c r="G117" t="s">
        <v>1290</v>
      </c>
    </row>
    <row r="118" spans="1:7" x14ac:dyDescent="0.2">
      <c r="A118" t="s">
        <v>230</v>
      </c>
      <c r="B118" t="str">
        <f>"4/482"</f>
        <v>4/482</v>
      </c>
      <c r="C118">
        <v>7.7927839773065798E-4</v>
      </c>
      <c r="D118">
        <v>6.2777910784618E-3</v>
      </c>
      <c r="E118">
        <v>11.6580992229527</v>
      </c>
      <c r="F118" t="s">
        <v>1304</v>
      </c>
      <c r="G118" t="s">
        <v>1290</v>
      </c>
    </row>
    <row r="119" spans="1:7" x14ac:dyDescent="0.2">
      <c r="A119" t="s">
        <v>1305</v>
      </c>
      <c r="B119" t="str">
        <f>"2/47"</f>
        <v>2/47</v>
      </c>
      <c r="C119">
        <v>8.0737995497278401E-4</v>
      </c>
      <c r="D119">
        <v>6.2777910784618E-3</v>
      </c>
      <c r="E119">
        <v>55.380555555555503</v>
      </c>
      <c r="F119" t="s">
        <v>205</v>
      </c>
      <c r="G119" t="s">
        <v>1290</v>
      </c>
    </row>
    <row r="120" spans="1:7" x14ac:dyDescent="0.2">
      <c r="A120" t="s">
        <v>564</v>
      </c>
      <c r="B120" t="str">
        <f>"2/47"</f>
        <v>2/47</v>
      </c>
      <c r="C120">
        <v>8.0737995497278401E-4</v>
      </c>
      <c r="D120">
        <v>6.2777910784618E-3</v>
      </c>
      <c r="E120">
        <v>55.380555555555503</v>
      </c>
      <c r="F120" t="s">
        <v>1306</v>
      </c>
      <c r="G120" t="s">
        <v>1290</v>
      </c>
    </row>
    <row r="121" spans="1:7" x14ac:dyDescent="0.2">
      <c r="A121" t="s">
        <v>1307</v>
      </c>
      <c r="B121" t="str">
        <f>"2/49"</f>
        <v>2/49</v>
      </c>
      <c r="C121">
        <v>8.7739879749096502E-4</v>
      </c>
      <c r="D121">
        <v>6.6857788368810999E-3</v>
      </c>
      <c r="E121">
        <v>53.018617021276597</v>
      </c>
      <c r="F121" t="s">
        <v>1303</v>
      </c>
      <c r="G121" t="s">
        <v>1290</v>
      </c>
    </row>
    <row r="122" spans="1:7" x14ac:dyDescent="0.2">
      <c r="A122" t="s">
        <v>1204</v>
      </c>
      <c r="B122" t="str">
        <f>"2/51"</f>
        <v>2/51</v>
      </c>
      <c r="C122">
        <v>9.5024886028767302E-4</v>
      </c>
      <c r="D122">
        <v>7.0989179562667001E-3</v>
      </c>
      <c r="E122">
        <v>50.849489795918302</v>
      </c>
      <c r="F122" t="s">
        <v>1308</v>
      </c>
      <c r="G122" t="s">
        <v>1290</v>
      </c>
    </row>
    <row r="123" spans="1:7" x14ac:dyDescent="0.2">
      <c r="A123" t="s">
        <v>1309</v>
      </c>
      <c r="B123" t="str">
        <f>"2/54"</f>
        <v>2/54</v>
      </c>
      <c r="C123">
        <v>1.0648122203733E-3</v>
      </c>
      <c r="D123">
        <v>7.8017972300432996E-3</v>
      </c>
      <c r="E123">
        <v>47.908653846153797</v>
      </c>
      <c r="F123" t="s">
        <v>1294</v>
      </c>
      <c r="G123" t="s">
        <v>1290</v>
      </c>
    </row>
    <row r="124" spans="1:7" x14ac:dyDescent="0.2">
      <c r="A124" t="s">
        <v>216</v>
      </c>
      <c r="B124" t="str">
        <f>"4/16"</f>
        <v>4/16</v>
      </c>
      <c r="C124" s="2">
        <v>3.43162946529483E-11</v>
      </c>
      <c r="D124" s="2">
        <v>8.0455531935607906E-9</v>
      </c>
      <c r="E124">
        <v>1331.93333333333</v>
      </c>
      <c r="F124" t="s">
        <v>217</v>
      </c>
      <c r="G124" t="s">
        <v>101</v>
      </c>
    </row>
    <row r="125" spans="1:7" x14ac:dyDescent="0.2">
      <c r="A125" t="s">
        <v>218</v>
      </c>
      <c r="B125" t="str">
        <f>"4/18"</f>
        <v>4/18</v>
      </c>
      <c r="C125" s="2">
        <v>5.7674216441296001E-11</v>
      </c>
      <c r="D125" s="2">
        <v>8.0455531935607906E-9</v>
      </c>
      <c r="E125">
        <v>1141.5428571428499</v>
      </c>
      <c r="F125" t="s">
        <v>217</v>
      </c>
      <c r="G125" t="s">
        <v>101</v>
      </c>
    </row>
    <row r="126" spans="1:7" x14ac:dyDescent="0.2">
      <c r="A126" t="s">
        <v>219</v>
      </c>
      <c r="B126" t="str">
        <f>"3/5"</f>
        <v>3/5</v>
      </c>
      <c r="C126" s="2">
        <v>6.2967615337897196E-10</v>
      </c>
      <c r="D126" s="2">
        <v>4.3919911698183298E-8</v>
      </c>
      <c r="E126">
        <v>4997.25</v>
      </c>
      <c r="F126" t="s">
        <v>220</v>
      </c>
      <c r="G126" t="s">
        <v>101</v>
      </c>
    </row>
    <row r="127" spans="1:7" x14ac:dyDescent="0.2">
      <c r="A127" t="s">
        <v>221</v>
      </c>
      <c r="B127" t="str">
        <f>"3/5"</f>
        <v>3/5</v>
      </c>
      <c r="C127" s="2">
        <v>6.2967615337897196E-10</v>
      </c>
      <c r="D127" s="2">
        <v>4.3919911698183298E-8</v>
      </c>
      <c r="E127">
        <v>4997.25</v>
      </c>
      <c r="F127" t="s">
        <v>220</v>
      </c>
      <c r="G127" t="s">
        <v>101</v>
      </c>
    </row>
    <row r="128" spans="1:7" x14ac:dyDescent="0.2">
      <c r="A128" t="s">
        <v>222</v>
      </c>
      <c r="B128" t="str">
        <f>"3/6"</f>
        <v>3/6</v>
      </c>
      <c r="C128" s="2">
        <v>1.2590862178126201E-9</v>
      </c>
      <c r="D128" s="2">
        <v>5.01835792528175E-8</v>
      </c>
      <c r="E128">
        <v>3331.3333333333298</v>
      </c>
      <c r="F128" t="s">
        <v>220</v>
      </c>
      <c r="G128" t="s">
        <v>101</v>
      </c>
    </row>
    <row r="129" spans="1:7" x14ac:dyDescent="0.2">
      <c r="A129" t="s">
        <v>223</v>
      </c>
      <c r="B129" t="str">
        <f>"3/6"</f>
        <v>3/6</v>
      </c>
      <c r="C129" s="2">
        <v>1.2590862178126201E-9</v>
      </c>
      <c r="D129" s="2">
        <v>5.01835792528175E-8</v>
      </c>
      <c r="E129">
        <v>3331.3333333333298</v>
      </c>
      <c r="F129" t="s">
        <v>220</v>
      </c>
      <c r="G129" t="s">
        <v>101</v>
      </c>
    </row>
    <row r="130" spans="1:7" x14ac:dyDescent="0.2">
      <c r="A130" t="s">
        <v>224</v>
      </c>
      <c r="B130" t="str">
        <f>"3/6"</f>
        <v>3/6</v>
      </c>
      <c r="C130" s="2">
        <v>1.2590862178126201E-9</v>
      </c>
      <c r="D130" s="2">
        <v>5.01835792528175E-8</v>
      </c>
      <c r="E130">
        <v>3331.3333333333298</v>
      </c>
      <c r="F130" t="s">
        <v>220</v>
      </c>
      <c r="G130" t="s">
        <v>101</v>
      </c>
    </row>
    <row r="131" spans="1:7" x14ac:dyDescent="0.2">
      <c r="A131" t="s">
        <v>225</v>
      </c>
      <c r="B131" t="str">
        <f>"3/7"</f>
        <v>3/7</v>
      </c>
      <c r="C131" s="2">
        <v>2.2029287315685498E-9</v>
      </c>
      <c r="D131" s="2">
        <v>7.6827139513453405E-8</v>
      </c>
      <c r="E131">
        <v>2498.375</v>
      </c>
      <c r="F131" t="s">
        <v>220</v>
      </c>
      <c r="G131" t="s">
        <v>101</v>
      </c>
    </row>
    <row r="132" spans="1:7" x14ac:dyDescent="0.2">
      <c r="A132" t="s">
        <v>160</v>
      </c>
      <c r="B132" t="str">
        <f>"3/8"</f>
        <v>3/8</v>
      </c>
      <c r="C132" s="2">
        <v>3.5239237767425998E-9</v>
      </c>
      <c r="D132" s="2">
        <v>1.0924163707901999E-7</v>
      </c>
      <c r="E132">
        <v>1998.6</v>
      </c>
      <c r="F132" t="s">
        <v>220</v>
      </c>
      <c r="G132" t="s">
        <v>101</v>
      </c>
    </row>
    <row r="133" spans="1:7" x14ac:dyDescent="0.2">
      <c r="A133" t="s">
        <v>226</v>
      </c>
      <c r="B133" t="str">
        <f>"3/9"</f>
        <v>3/9</v>
      </c>
      <c r="C133" s="2">
        <v>5.28473529436924E-9</v>
      </c>
      <c r="D133" s="2">
        <v>1.4744411471290099E-7</v>
      </c>
      <c r="E133">
        <v>1665.4166666666599</v>
      </c>
      <c r="F133" t="s">
        <v>220</v>
      </c>
      <c r="G133" t="s">
        <v>101</v>
      </c>
    </row>
    <row r="134" spans="1:7" x14ac:dyDescent="0.2">
      <c r="A134" t="s">
        <v>227</v>
      </c>
      <c r="B134" t="str">
        <f>"3/11"</f>
        <v>3/11</v>
      </c>
      <c r="C134" s="2">
        <v>1.037618255594E-8</v>
      </c>
      <c r="D134" s="2">
        <v>2.41246244425606E-7</v>
      </c>
      <c r="E134">
        <v>1248.9375</v>
      </c>
      <c r="F134" t="s">
        <v>220</v>
      </c>
      <c r="G134" t="s">
        <v>101</v>
      </c>
    </row>
    <row r="135" spans="1:7" x14ac:dyDescent="0.2">
      <c r="A135" t="s">
        <v>228</v>
      </c>
      <c r="B135" t="str">
        <f>"3/11"</f>
        <v>3/11</v>
      </c>
      <c r="C135" s="2">
        <v>1.037618255594E-8</v>
      </c>
      <c r="D135" s="2">
        <v>2.41246244425606E-7</v>
      </c>
      <c r="E135">
        <v>1248.9375</v>
      </c>
      <c r="F135" t="s">
        <v>220</v>
      </c>
      <c r="G135" t="s">
        <v>101</v>
      </c>
    </row>
    <row r="136" spans="1:7" x14ac:dyDescent="0.2">
      <c r="A136" t="s">
        <v>229</v>
      </c>
      <c r="B136" t="str">
        <f>"3/12"</f>
        <v>3/12</v>
      </c>
      <c r="C136" s="2">
        <v>1.3831865161865699E-8</v>
      </c>
      <c r="D136" s="2">
        <v>2.9685310616619502E-7</v>
      </c>
      <c r="E136">
        <v>1110.1111111111099</v>
      </c>
      <c r="F136" t="s">
        <v>220</v>
      </c>
      <c r="G136" t="s">
        <v>101</v>
      </c>
    </row>
    <row r="137" spans="1:7" x14ac:dyDescent="0.2">
      <c r="A137" t="s">
        <v>230</v>
      </c>
      <c r="B137" t="str">
        <f>"6/482"</f>
        <v>6/482</v>
      </c>
      <c r="C137" s="2">
        <v>1.50044926082831E-8</v>
      </c>
      <c r="D137" s="2">
        <v>2.9901810269364199E-7</v>
      </c>
      <c r="E137">
        <v>81.995798319327704</v>
      </c>
      <c r="F137" t="s">
        <v>231</v>
      </c>
      <c r="G137" t="s">
        <v>101</v>
      </c>
    </row>
    <row r="138" spans="1:7" x14ac:dyDescent="0.2">
      <c r="A138" t="s">
        <v>232</v>
      </c>
      <c r="B138" t="str">
        <f>"3/14"</f>
        <v>3/14</v>
      </c>
      <c r="C138" s="2">
        <v>2.287534377884E-8</v>
      </c>
      <c r="D138" s="2">
        <v>4.0750107306068403E-7</v>
      </c>
      <c r="E138">
        <v>908.18181818181802</v>
      </c>
      <c r="F138" t="s">
        <v>220</v>
      </c>
      <c r="G138" t="s">
        <v>101</v>
      </c>
    </row>
    <row r="139" spans="1:7" x14ac:dyDescent="0.2">
      <c r="A139" t="s">
        <v>34</v>
      </c>
      <c r="B139" t="str">
        <f>"5/230"</f>
        <v>5/230</v>
      </c>
      <c r="C139" s="2">
        <v>2.3369237164770399E-8</v>
      </c>
      <c r="D139" s="2">
        <v>4.0750107306068403E-7</v>
      </c>
      <c r="E139">
        <v>109.811111111111</v>
      </c>
      <c r="F139" t="s">
        <v>233</v>
      </c>
      <c r="G139" t="s">
        <v>101</v>
      </c>
    </row>
    <row r="140" spans="1:7" x14ac:dyDescent="0.2">
      <c r="A140" t="s">
        <v>234</v>
      </c>
      <c r="B140" t="str">
        <f>"3/19"</f>
        <v>3/19</v>
      </c>
      <c r="C140" s="2">
        <v>6.0828634158480199E-8</v>
      </c>
      <c r="D140" s="2">
        <v>9.9830523118917492E-7</v>
      </c>
      <c r="E140">
        <v>624.21875</v>
      </c>
      <c r="F140" t="s">
        <v>220</v>
      </c>
      <c r="G140" t="s">
        <v>101</v>
      </c>
    </row>
    <row r="141" spans="1:7" x14ac:dyDescent="0.2">
      <c r="A141" t="s">
        <v>235</v>
      </c>
      <c r="B141" t="str">
        <f>"3/22"</f>
        <v>3/22</v>
      </c>
      <c r="C141" s="2">
        <v>9.6608377383513204E-8</v>
      </c>
      <c r="D141" s="2">
        <v>1.41861775210527E-6</v>
      </c>
      <c r="E141">
        <v>525.57894736842104</v>
      </c>
      <c r="F141" t="s">
        <v>220</v>
      </c>
      <c r="G141" t="s">
        <v>101</v>
      </c>
    </row>
    <row r="142" spans="1:7" x14ac:dyDescent="0.2">
      <c r="A142" t="s">
        <v>236</v>
      </c>
      <c r="B142" t="str">
        <f>"3/22"</f>
        <v>3/22</v>
      </c>
      <c r="C142" s="2">
        <v>9.6608377383513204E-8</v>
      </c>
      <c r="D142" s="2">
        <v>1.41861775210527E-6</v>
      </c>
      <c r="E142">
        <v>525.57894736842104</v>
      </c>
      <c r="F142" t="s">
        <v>220</v>
      </c>
      <c r="G142" t="s">
        <v>101</v>
      </c>
    </row>
    <row r="143" spans="1:7" x14ac:dyDescent="0.2">
      <c r="A143" t="s">
        <v>237</v>
      </c>
      <c r="B143" t="str">
        <f>"3/25"</f>
        <v>3/25</v>
      </c>
      <c r="C143" s="2">
        <v>1.4418868045851E-7</v>
      </c>
      <c r="D143" s="2">
        <v>1.9156496118059201E-6</v>
      </c>
      <c r="E143">
        <v>453.84090909090901</v>
      </c>
      <c r="F143" t="s">
        <v>220</v>
      </c>
      <c r="G143" t="s">
        <v>101</v>
      </c>
    </row>
    <row r="144" spans="1:7" x14ac:dyDescent="0.2">
      <c r="A144" t="s">
        <v>1310</v>
      </c>
      <c r="B144" t="str">
        <f>"3/25"</f>
        <v>3/25</v>
      </c>
      <c r="C144" s="2">
        <v>1.4418868045851E-7</v>
      </c>
      <c r="D144" s="2">
        <v>1.9156496118059201E-6</v>
      </c>
      <c r="E144">
        <v>453.84090909090901</v>
      </c>
      <c r="F144" t="s">
        <v>220</v>
      </c>
      <c r="G144" t="s">
        <v>101</v>
      </c>
    </row>
    <row r="145" spans="1:7" x14ac:dyDescent="0.2">
      <c r="A145" t="s">
        <v>1311</v>
      </c>
      <c r="B145" t="str">
        <f>"3/27"</f>
        <v>3/27</v>
      </c>
      <c r="C145" s="2">
        <v>1.83288474096094E-7</v>
      </c>
      <c r="D145" s="2">
        <v>2.2233688814265398E-6</v>
      </c>
      <c r="E145">
        <v>415.979166666666</v>
      </c>
      <c r="F145" t="s">
        <v>220</v>
      </c>
      <c r="G145" t="s">
        <v>101</v>
      </c>
    </row>
    <row r="146" spans="1:7" x14ac:dyDescent="0.2">
      <c r="A146" t="s">
        <v>1312</v>
      </c>
      <c r="B146" t="str">
        <f>"3/27"</f>
        <v>3/27</v>
      </c>
      <c r="C146" s="2">
        <v>1.83288474096094E-7</v>
      </c>
      <c r="D146" s="2">
        <v>2.2233688814265398E-6</v>
      </c>
      <c r="E146">
        <v>415.979166666666</v>
      </c>
      <c r="F146" t="s">
        <v>220</v>
      </c>
      <c r="G146" t="s">
        <v>101</v>
      </c>
    </row>
    <row r="147" spans="1:7" x14ac:dyDescent="0.2">
      <c r="A147" t="s">
        <v>1143</v>
      </c>
      <c r="B147" t="str">
        <f>"3/28"</f>
        <v>3/28</v>
      </c>
      <c r="C147" s="2">
        <v>2.05237208453785E-7</v>
      </c>
      <c r="D147" s="2">
        <v>2.2904472463442399E-6</v>
      </c>
      <c r="E147">
        <v>399.32</v>
      </c>
      <c r="F147" t="s">
        <v>220</v>
      </c>
      <c r="G147" t="s">
        <v>101</v>
      </c>
    </row>
    <row r="148" spans="1:7" x14ac:dyDescent="0.2">
      <c r="A148" t="s">
        <v>1313</v>
      </c>
      <c r="B148" t="str">
        <f>"3/28"</f>
        <v>3/28</v>
      </c>
      <c r="C148" s="2">
        <v>2.05237208453785E-7</v>
      </c>
      <c r="D148" s="2">
        <v>2.2904472463442399E-6</v>
      </c>
      <c r="E148">
        <v>399.32</v>
      </c>
      <c r="F148" t="s">
        <v>220</v>
      </c>
      <c r="G148" t="s">
        <v>101</v>
      </c>
    </row>
    <row r="149" spans="1:7" x14ac:dyDescent="0.2">
      <c r="A149" t="s">
        <v>1314</v>
      </c>
      <c r="B149" t="str">
        <f>"3/30"</f>
        <v>3/30</v>
      </c>
      <c r="C149" s="2">
        <v>2.54240059512487E-7</v>
      </c>
      <c r="D149" s="2">
        <v>2.6271472816290301E-6</v>
      </c>
      <c r="E149">
        <v>369.70370370370301</v>
      </c>
      <c r="F149" t="s">
        <v>220</v>
      </c>
      <c r="G149" t="s">
        <v>101</v>
      </c>
    </row>
    <row r="150" spans="1:7" x14ac:dyDescent="0.2">
      <c r="A150" t="s">
        <v>1137</v>
      </c>
      <c r="B150" t="str">
        <f>"3/30"</f>
        <v>3/30</v>
      </c>
      <c r="C150" s="2">
        <v>2.54240059512487E-7</v>
      </c>
      <c r="D150" s="2">
        <v>2.6271472816290301E-6</v>
      </c>
      <c r="E150">
        <v>369.70370370370301</v>
      </c>
      <c r="F150" t="s">
        <v>220</v>
      </c>
      <c r="G150" t="s">
        <v>101</v>
      </c>
    </row>
    <row r="151" spans="1:7" x14ac:dyDescent="0.2">
      <c r="A151" t="s">
        <v>1315</v>
      </c>
      <c r="B151" t="str">
        <f>"3/31"</f>
        <v>3/31</v>
      </c>
      <c r="C151" s="2">
        <v>2.8141709140228599E-7</v>
      </c>
      <c r="D151" s="2">
        <v>2.8041203036156299E-6</v>
      </c>
      <c r="E151">
        <v>356.48214285714198</v>
      </c>
      <c r="F151" t="s">
        <v>220</v>
      </c>
      <c r="G151" t="s">
        <v>101</v>
      </c>
    </row>
    <row r="152" spans="1:7" x14ac:dyDescent="0.2">
      <c r="A152" t="s">
        <v>1316</v>
      </c>
      <c r="B152" t="str">
        <f>"3/32"</f>
        <v>3/32</v>
      </c>
      <c r="C152" s="2">
        <v>3.10459711137433E-7</v>
      </c>
      <c r="D152" s="2">
        <v>2.9868365312877201E-6</v>
      </c>
      <c r="E152">
        <v>344.17241379310298</v>
      </c>
      <c r="F152" t="s">
        <v>1317</v>
      </c>
      <c r="G152" t="s">
        <v>101</v>
      </c>
    </row>
    <row r="153" spans="1:7" x14ac:dyDescent="0.2">
      <c r="A153" t="s">
        <v>1125</v>
      </c>
      <c r="B153" t="str">
        <f>"3/35"</f>
        <v>3/35</v>
      </c>
      <c r="C153" s="2">
        <v>4.0939399776210501E-7</v>
      </c>
      <c r="D153" s="2">
        <v>3.80736417918758E-6</v>
      </c>
      <c r="E153">
        <v>311.859375</v>
      </c>
      <c r="F153" t="s">
        <v>220</v>
      </c>
      <c r="G153" t="s">
        <v>101</v>
      </c>
    </row>
    <row r="154" spans="1:7" x14ac:dyDescent="0.2">
      <c r="A154" t="s">
        <v>1318</v>
      </c>
      <c r="B154" t="str">
        <f>"4/161"</f>
        <v>4/161</v>
      </c>
      <c r="C154" s="2">
        <v>4.93924367428089E-7</v>
      </c>
      <c r="D154" s="2">
        <v>4.4453193068528004E-6</v>
      </c>
      <c r="E154">
        <v>101.064968152866</v>
      </c>
      <c r="F154" t="s">
        <v>1319</v>
      </c>
      <c r="G154" t="s">
        <v>101</v>
      </c>
    </row>
    <row r="155" spans="1:7" x14ac:dyDescent="0.2">
      <c r="A155" t="s">
        <v>1320</v>
      </c>
      <c r="B155" t="str">
        <f>"3/42"</f>
        <v>3/42</v>
      </c>
      <c r="C155" s="2">
        <v>7.1695557771327202E-7</v>
      </c>
      <c r="D155" s="2">
        <v>6.2509564431875903E-6</v>
      </c>
      <c r="E155">
        <v>255.794871794871</v>
      </c>
      <c r="F155" t="s">
        <v>220</v>
      </c>
      <c r="G155" t="s">
        <v>101</v>
      </c>
    </row>
    <row r="156" spans="1:7" x14ac:dyDescent="0.2">
      <c r="A156" t="s">
        <v>65</v>
      </c>
      <c r="B156" t="str">
        <f>"3/44"</f>
        <v>3/44</v>
      </c>
      <c r="C156" s="2">
        <v>8.2675090914851503E-7</v>
      </c>
      <c r="D156" s="2">
        <v>6.9898031409828999E-6</v>
      </c>
      <c r="E156">
        <v>243.292682926829</v>
      </c>
      <c r="F156" t="s">
        <v>1321</v>
      </c>
      <c r="G156" t="s">
        <v>101</v>
      </c>
    </row>
    <row r="157" spans="1:7" x14ac:dyDescent="0.2">
      <c r="A157" t="s">
        <v>1322</v>
      </c>
      <c r="B157" t="str">
        <f>"4/207"</f>
        <v>4/207</v>
      </c>
      <c r="C157" s="2">
        <v>1.34854995658245E-6</v>
      </c>
      <c r="D157" s="2">
        <v>1.1066042290779499E-5</v>
      </c>
      <c r="E157">
        <v>77.982266009852196</v>
      </c>
      <c r="F157" t="s">
        <v>1319</v>
      </c>
      <c r="G157" t="s">
        <v>101</v>
      </c>
    </row>
    <row r="158" spans="1:7" x14ac:dyDescent="0.2">
      <c r="A158" t="s">
        <v>1244</v>
      </c>
      <c r="B158" t="str">
        <f>"4/214"</f>
        <v>4/214</v>
      </c>
      <c r="C158" s="2">
        <v>1.5397332185664999E-6</v>
      </c>
      <c r="D158" s="2">
        <v>1.2273873370858699E-5</v>
      </c>
      <c r="E158">
        <v>75.356190476190406</v>
      </c>
      <c r="F158" t="s">
        <v>1323</v>
      </c>
      <c r="G158" t="s">
        <v>101</v>
      </c>
    </row>
    <row r="159" spans="1:7" x14ac:dyDescent="0.2">
      <c r="A159" t="s">
        <v>52</v>
      </c>
      <c r="B159" t="str">
        <f>"3/56"</f>
        <v>3/56</v>
      </c>
      <c r="C159" s="2">
        <v>1.72575285259119E-6</v>
      </c>
      <c r="D159" s="2">
        <v>1.3206097280956701E-5</v>
      </c>
      <c r="E159">
        <v>188.094339622641</v>
      </c>
      <c r="F159" t="s">
        <v>1321</v>
      </c>
      <c r="G159" t="s">
        <v>101</v>
      </c>
    </row>
    <row r="160" spans="1:7" x14ac:dyDescent="0.2">
      <c r="A160" t="s">
        <v>1324</v>
      </c>
      <c r="B160" t="str">
        <f>"2/5"</f>
        <v>2/5</v>
      </c>
      <c r="C160" s="2">
        <v>1.79867991640271E-6</v>
      </c>
      <c r="D160" s="2">
        <v>1.3206097280956701E-5</v>
      </c>
      <c r="E160">
        <v>1903.61904761904</v>
      </c>
      <c r="F160" t="s">
        <v>1325</v>
      </c>
      <c r="G160" t="s">
        <v>101</v>
      </c>
    </row>
    <row r="161" spans="1:7" x14ac:dyDescent="0.2">
      <c r="A161" t="s">
        <v>1326</v>
      </c>
      <c r="B161" t="str">
        <f>"2/5"</f>
        <v>2/5</v>
      </c>
      <c r="C161" s="2">
        <v>1.79867991640271E-6</v>
      </c>
      <c r="D161" s="2">
        <v>1.3206097280956701E-5</v>
      </c>
      <c r="E161">
        <v>1903.61904761904</v>
      </c>
      <c r="F161" t="s">
        <v>1327</v>
      </c>
      <c r="G161" t="s">
        <v>101</v>
      </c>
    </row>
    <row r="162" spans="1:7" x14ac:dyDescent="0.2">
      <c r="A162" t="s">
        <v>55</v>
      </c>
      <c r="B162" t="str">
        <f>"3/60"</f>
        <v>3/60</v>
      </c>
      <c r="C162" s="2">
        <v>2.1285066667037301E-6</v>
      </c>
      <c r="D162" s="2">
        <v>1.5227009231034401E-5</v>
      </c>
      <c r="E162">
        <v>174.85964912280701</v>
      </c>
      <c r="F162" t="s">
        <v>1321</v>
      </c>
      <c r="G162" t="s">
        <v>101</v>
      </c>
    </row>
    <row r="163" spans="1:7" x14ac:dyDescent="0.2">
      <c r="A163" t="s">
        <v>16</v>
      </c>
      <c r="B163" t="str">
        <f>"5/621"</f>
        <v>5/621</v>
      </c>
      <c r="C163" s="2">
        <v>3.2264083912926899E-6</v>
      </c>
      <c r="D163" s="2">
        <v>2.2131871136168801E-5</v>
      </c>
      <c r="E163">
        <v>39.316152597402599</v>
      </c>
      <c r="F163" t="s">
        <v>1328</v>
      </c>
      <c r="G163" t="s">
        <v>101</v>
      </c>
    </row>
    <row r="164" spans="1:7" x14ac:dyDescent="0.2">
      <c r="A164" t="s">
        <v>1017</v>
      </c>
      <c r="B164" t="str">
        <f>"3/69"</f>
        <v>3/69</v>
      </c>
      <c r="C164" s="2">
        <v>3.2523538228778598E-6</v>
      </c>
      <c r="D164" s="2">
        <v>2.2131871136168801E-5</v>
      </c>
      <c r="E164">
        <v>150.94696969696901</v>
      </c>
      <c r="F164" t="s">
        <v>1329</v>
      </c>
      <c r="G164" t="s">
        <v>101</v>
      </c>
    </row>
    <row r="165" spans="1:7" x14ac:dyDescent="0.2">
      <c r="A165" t="s">
        <v>43</v>
      </c>
      <c r="B165" t="str">
        <f>"3/70"</f>
        <v>3/70</v>
      </c>
      <c r="C165" s="2">
        <v>3.3972174506851101E-6</v>
      </c>
      <c r="D165" s="2">
        <v>2.2567230208122499E-5</v>
      </c>
      <c r="E165">
        <v>148.686567164179</v>
      </c>
      <c r="F165" t="s">
        <v>1321</v>
      </c>
      <c r="G165" t="s">
        <v>101</v>
      </c>
    </row>
    <row r="166" spans="1:7" x14ac:dyDescent="0.2">
      <c r="A166" t="s">
        <v>56</v>
      </c>
      <c r="B166" t="str">
        <f>"3/73"</f>
        <v>3/73</v>
      </c>
      <c r="C166" s="2">
        <v>3.85734015179126E-6</v>
      </c>
      <c r="D166" s="2">
        <v>2.44590432352218E-5</v>
      </c>
      <c r="E166">
        <v>142.292857142857</v>
      </c>
      <c r="F166" t="s">
        <v>1321</v>
      </c>
      <c r="G166" t="s">
        <v>101</v>
      </c>
    </row>
    <row r="167" spans="1:7" x14ac:dyDescent="0.2">
      <c r="A167" t="s">
        <v>1330</v>
      </c>
      <c r="B167" t="str">
        <f>"3/73"</f>
        <v>3/73</v>
      </c>
      <c r="C167" s="2">
        <v>3.85734015179126E-6</v>
      </c>
      <c r="D167" s="2">
        <v>2.44590432352218E-5</v>
      </c>
      <c r="E167">
        <v>142.292857142857</v>
      </c>
      <c r="F167" t="s">
        <v>220</v>
      </c>
      <c r="G167" t="s">
        <v>101</v>
      </c>
    </row>
    <row r="168" spans="1:7" x14ac:dyDescent="0.2">
      <c r="A168" t="s">
        <v>32</v>
      </c>
      <c r="B168" t="str">
        <f>"3/75"</f>
        <v>3/75</v>
      </c>
      <c r="C168" s="2">
        <v>4.1859560568673E-6</v>
      </c>
      <c r="D168" s="2">
        <v>2.5952927552577201E-5</v>
      </c>
      <c r="E168">
        <v>138.326388888888</v>
      </c>
      <c r="F168" t="s">
        <v>1331</v>
      </c>
      <c r="G168" t="s">
        <v>101</v>
      </c>
    </row>
    <row r="169" spans="1:7" x14ac:dyDescent="0.2">
      <c r="A169" t="s">
        <v>57</v>
      </c>
      <c r="B169" t="str">
        <f>"3/77"</f>
        <v>3/77</v>
      </c>
      <c r="C169" s="2">
        <v>4.5326164220126497E-6</v>
      </c>
      <c r="D169" s="2">
        <v>2.7491303950902799E-5</v>
      </c>
      <c r="E169">
        <v>134.57432432432401</v>
      </c>
      <c r="F169" t="s">
        <v>1321</v>
      </c>
      <c r="G169" t="s">
        <v>101</v>
      </c>
    </row>
    <row r="170" spans="1:7" x14ac:dyDescent="0.2">
      <c r="A170" t="s">
        <v>1332</v>
      </c>
      <c r="B170" t="str">
        <f>"2/8"</f>
        <v>2/8</v>
      </c>
      <c r="C170" s="2">
        <v>5.0328413188770396E-6</v>
      </c>
      <c r="D170" s="2">
        <v>2.98758027226956E-5</v>
      </c>
      <c r="E170">
        <v>951.66666666666595</v>
      </c>
      <c r="F170" t="s">
        <v>1333</v>
      </c>
      <c r="G170" t="s">
        <v>101</v>
      </c>
    </row>
    <row r="171" spans="1:7" x14ac:dyDescent="0.2">
      <c r="A171" t="s">
        <v>1334</v>
      </c>
      <c r="B171" t="str">
        <f>"3/83"</f>
        <v>3/83</v>
      </c>
      <c r="C171" s="2">
        <v>5.6855687118211603E-6</v>
      </c>
      <c r="D171" s="2">
        <v>3.3047368137460502E-5</v>
      </c>
      <c r="E171">
        <v>124.44374999999999</v>
      </c>
      <c r="F171" t="s">
        <v>220</v>
      </c>
      <c r="G171" t="s">
        <v>101</v>
      </c>
    </row>
    <row r="172" spans="1:7" x14ac:dyDescent="0.2">
      <c r="A172" t="s">
        <v>541</v>
      </c>
      <c r="B172" t="str">
        <f>"3/92"</f>
        <v>3/92</v>
      </c>
      <c r="C172" s="2">
        <v>7.7551226894290299E-6</v>
      </c>
      <c r="D172" s="2">
        <v>4.4156718986748999E-5</v>
      </c>
      <c r="E172">
        <v>111.808988764044</v>
      </c>
      <c r="F172" t="s">
        <v>220</v>
      </c>
      <c r="G172" t="s">
        <v>101</v>
      </c>
    </row>
    <row r="173" spans="1:7" x14ac:dyDescent="0.2">
      <c r="A173" t="s">
        <v>1335</v>
      </c>
      <c r="B173" t="str">
        <f>"2/10"</f>
        <v>2/10</v>
      </c>
      <c r="C173" s="2">
        <v>8.0847637609619007E-6</v>
      </c>
      <c r="D173" s="2">
        <v>4.5112981786167397E-5</v>
      </c>
      <c r="E173">
        <v>713.67857142857099</v>
      </c>
      <c r="F173" t="s">
        <v>1327</v>
      </c>
      <c r="G173" t="s">
        <v>101</v>
      </c>
    </row>
    <row r="174" spans="1:7" x14ac:dyDescent="0.2">
      <c r="A174" t="s">
        <v>1336</v>
      </c>
      <c r="B174" t="str">
        <f>"3/99"</f>
        <v>3/99</v>
      </c>
      <c r="C174" s="2">
        <v>9.6708631478778695E-6</v>
      </c>
      <c r="D174" s="2">
        <v>5.2905310161920103E-5</v>
      </c>
      <c r="E174">
        <v>103.619791666666</v>
      </c>
      <c r="F174" t="s">
        <v>220</v>
      </c>
      <c r="G174" t="s">
        <v>101</v>
      </c>
    </row>
    <row r="175" spans="1:7" x14ac:dyDescent="0.2">
      <c r="A175" t="s">
        <v>1337</v>
      </c>
      <c r="B175" t="str">
        <f>"3/105"</f>
        <v>3/105</v>
      </c>
      <c r="C175" s="2">
        <v>1.15426368544093E-5</v>
      </c>
      <c r="D175" s="2">
        <v>6.0122822445665199E-5</v>
      </c>
      <c r="E175">
        <v>97.495098039215605</v>
      </c>
      <c r="F175" t="s">
        <v>1338</v>
      </c>
      <c r="G175" t="s">
        <v>101</v>
      </c>
    </row>
    <row r="176" spans="1:7" x14ac:dyDescent="0.2">
      <c r="A176" t="s">
        <v>1339</v>
      </c>
      <c r="B176" t="str">
        <f>"3/105"</f>
        <v>3/105</v>
      </c>
      <c r="C176" s="2">
        <v>1.15426368544093E-5</v>
      </c>
      <c r="D176" s="2">
        <v>6.0122822445665199E-5</v>
      </c>
      <c r="E176">
        <v>97.495098039215605</v>
      </c>
      <c r="F176" t="s">
        <v>220</v>
      </c>
      <c r="G176" t="s">
        <v>101</v>
      </c>
    </row>
    <row r="177" spans="1:7" x14ac:dyDescent="0.2">
      <c r="A177" t="s">
        <v>1340</v>
      </c>
      <c r="B177" t="str">
        <f>"2/12"</f>
        <v>2/12</v>
      </c>
      <c r="C177" s="2">
        <v>1.1852169299324599E-5</v>
      </c>
      <c r="D177" s="2">
        <v>6.0122822445665199E-5</v>
      </c>
      <c r="E177">
        <v>570.88571428571402</v>
      </c>
      <c r="F177" t="s">
        <v>1333</v>
      </c>
      <c r="G177" t="s">
        <v>101</v>
      </c>
    </row>
    <row r="178" spans="1:7" x14ac:dyDescent="0.2">
      <c r="A178" t="s">
        <v>1341</v>
      </c>
      <c r="B178" t="str">
        <f>"2/12"</f>
        <v>2/12</v>
      </c>
      <c r="C178" s="2">
        <v>1.1852169299324599E-5</v>
      </c>
      <c r="D178" s="2">
        <v>6.0122822445665199E-5</v>
      </c>
      <c r="E178">
        <v>570.88571428571402</v>
      </c>
      <c r="F178" t="s">
        <v>1333</v>
      </c>
      <c r="G178" t="s">
        <v>101</v>
      </c>
    </row>
    <row r="179" spans="1:7" x14ac:dyDescent="0.2">
      <c r="A179" t="s">
        <v>1045</v>
      </c>
      <c r="B179" t="str">
        <f>"3/110"</f>
        <v>3/110</v>
      </c>
      <c r="C179" s="2">
        <v>1.3273907157384801E-5</v>
      </c>
      <c r="D179" s="2">
        <v>6.61325017305422E-5</v>
      </c>
      <c r="E179">
        <v>92.9158878504672</v>
      </c>
      <c r="F179" t="s">
        <v>220</v>
      </c>
      <c r="G179" t="s">
        <v>101</v>
      </c>
    </row>
    <row r="180" spans="1:7" x14ac:dyDescent="0.2">
      <c r="A180" t="s">
        <v>1342</v>
      </c>
      <c r="B180" t="str">
        <f>"2/13"</f>
        <v>2/13</v>
      </c>
      <c r="C180" s="2">
        <v>1.40038652126686E-5</v>
      </c>
      <c r="D180" s="2">
        <v>6.8545234988325499E-5</v>
      </c>
      <c r="E180">
        <v>518.96103896103898</v>
      </c>
      <c r="F180" t="s">
        <v>1325</v>
      </c>
      <c r="G180" t="s">
        <v>101</v>
      </c>
    </row>
    <row r="181" spans="1:7" x14ac:dyDescent="0.2">
      <c r="A181" t="s">
        <v>1343</v>
      </c>
      <c r="B181" t="str">
        <f>"3/114"</f>
        <v>3/114</v>
      </c>
      <c r="C181" s="2">
        <v>1.47762972156945E-5</v>
      </c>
      <c r="D181" s="2">
        <v>7.1079084882392607E-5</v>
      </c>
      <c r="E181">
        <v>89.549549549549496</v>
      </c>
      <c r="F181" t="s">
        <v>220</v>
      </c>
      <c r="G181" t="s">
        <v>101</v>
      </c>
    </row>
    <row r="182" spans="1:7" x14ac:dyDescent="0.2">
      <c r="A182" t="s">
        <v>1344</v>
      </c>
      <c r="B182" t="str">
        <f>"2/14"</f>
        <v>2/14</v>
      </c>
      <c r="C182" s="2">
        <v>1.6334056328974E-5</v>
      </c>
      <c r="D182" s="2">
        <v>7.5953361929729198E-5</v>
      </c>
      <c r="E182">
        <v>475.69047619047598</v>
      </c>
      <c r="F182" t="s">
        <v>1345</v>
      </c>
      <c r="G182" t="s">
        <v>101</v>
      </c>
    </row>
    <row r="183" spans="1:7" x14ac:dyDescent="0.2">
      <c r="A183" t="s">
        <v>290</v>
      </c>
      <c r="B183" t="str">
        <f>"2/14"</f>
        <v>2/14</v>
      </c>
      <c r="C183" s="2">
        <v>1.6334056328974E-5</v>
      </c>
      <c r="D183" s="2">
        <v>7.5953361929729198E-5</v>
      </c>
      <c r="E183">
        <v>475.69047619047598</v>
      </c>
      <c r="F183" t="s">
        <v>1346</v>
      </c>
      <c r="G183" t="s">
        <v>101</v>
      </c>
    </row>
    <row r="184" spans="1:7" x14ac:dyDescent="0.2">
      <c r="A184" t="s">
        <v>1295</v>
      </c>
      <c r="B184" t="str">
        <f>"2/15"</f>
        <v>2/15</v>
      </c>
      <c r="C184" s="2">
        <v>1.88426175267926E-5</v>
      </c>
      <c r="D184" s="2">
        <v>8.6181808032379295E-5</v>
      </c>
      <c r="E184">
        <v>439.07692307692298</v>
      </c>
      <c r="F184" t="s">
        <v>1345</v>
      </c>
      <c r="G184" t="s">
        <v>101</v>
      </c>
    </row>
    <row r="185" spans="1:7" x14ac:dyDescent="0.2">
      <c r="A185" t="s">
        <v>1347</v>
      </c>
      <c r="B185" t="str">
        <f>"3/133"</f>
        <v>3/133</v>
      </c>
      <c r="C185" s="2">
        <v>2.3453116728008001E-5</v>
      </c>
      <c r="D185">
        <v>1.05539025276036E-4</v>
      </c>
      <c r="E185">
        <v>76.388461538461499</v>
      </c>
      <c r="F185" t="s">
        <v>220</v>
      </c>
      <c r="G185" t="s">
        <v>101</v>
      </c>
    </row>
    <row r="186" spans="1:7" x14ac:dyDescent="0.2">
      <c r="A186" t="s">
        <v>1348</v>
      </c>
      <c r="B186" t="str">
        <f>"2/17"</f>
        <v>2/17</v>
      </c>
      <c r="C186" s="2">
        <v>2.4394349832130299E-5</v>
      </c>
      <c r="D186">
        <v>1.08032120685148E-4</v>
      </c>
      <c r="E186">
        <v>380.49523809523799</v>
      </c>
      <c r="F186" t="s">
        <v>1333</v>
      </c>
      <c r="G186" t="s">
        <v>101</v>
      </c>
    </row>
    <row r="187" spans="1:7" x14ac:dyDescent="0.2">
      <c r="A187" t="s">
        <v>1297</v>
      </c>
      <c r="B187" t="str">
        <f>"2/18"</f>
        <v>2/18</v>
      </c>
      <c r="C187" s="2">
        <v>2.74372708877149E-5</v>
      </c>
      <c r="D187">
        <v>1.17769208887268E-4</v>
      </c>
      <c r="E187">
        <v>356.69642857142799</v>
      </c>
      <c r="F187" t="s">
        <v>1345</v>
      </c>
      <c r="G187" t="s">
        <v>101</v>
      </c>
    </row>
    <row r="188" spans="1:7" x14ac:dyDescent="0.2">
      <c r="A188" t="s">
        <v>1349</v>
      </c>
      <c r="B188" t="str">
        <f>"2/18"</f>
        <v>2/18</v>
      </c>
      <c r="C188" s="2">
        <v>2.74372708877149E-5</v>
      </c>
      <c r="D188">
        <v>1.17769208887268E-4</v>
      </c>
      <c r="E188">
        <v>356.69642857142799</v>
      </c>
      <c r="F188" t="s">
        <v>1345</v>
      </c>
      <c r="G188" t="s">
        <v>101</v>
      </c>
    </row>
    <row r="189" spans="1:7" x14ac:dyDescent="0.2">
      <c r="A189" t="s">
        <v>739</v>
      </c>
      <c r="B189" t="str">
        <f>"3/147"</f>
        <v>3/147</v>
      </c>
      <c r="C189" s="2">
        <v>3.1635166505397101E-5</v>
      </c>
      <c r="D189">
        <v>1.3373047659099601E-4</v>
      </c>
      <c r="E189">
        <v>68.9131944444444</v>
      </c>
      <c r="F189" t="s">
        <v>1350</v>
      </c>
      <c r="G189" t="s">
        <v>101</v>
      </c>
    </row>
    <row r="190" spans="1:7" x14ac:dyDescent="0.2">
      <c r="A190" t="s">
        <v>798</v>
      </c>
      <c r="B190" t="str">
        <f>"3/148"</f>
        <v>3/148</v>
      </c>
      <c r="C190" s="2">
        <v>3.2282401158303401E-5</v>
      </c>
      <c r="D190">
        <v>1.34429700345771E-4</v>
      </c>
      <c r="E190">
        <v>68.434482758620604</v>
      </c>
      <c r="F190" t="s">
        <v>1350</v>
      </c>
      <c r="G190" t="s">
        <v>101</v>
      </c>
    </row>
    <row r="191" spans="1:7" x14ac:dyDescent="0.2">
      <c r="A191" t="s">
        <v>673</v>
      </c>
      <c r="B191" t="str">
        <f>"3/150"</f>
        <v>3/150</v>
      </c>
      <c r="C191" s="2">
        <v>3.3602929589221498E-5</v>
      </c>
      <c r="D191">
        <v>1.37870843461659E-4</v>
      </c>
      <c r="E191">
        <v>67.496598639455698</v>
      </c>
      <c r="F191" t="s">
        <v>1351</v>
      </c>
      <c r="G191" t="s">
        <v>101</v>
      </c>
    </row>
    <row r="192" spans="1:7" x14ac:dyDescent="0.2">
      <c r="A192" t="s">
        <v>1352</v>
      </c>
      <c r="B192" t="str">
        <f>"3/154"</f>
        <v>3/154</v>
      </c>
      <c r="C192" s="2">
        <v>3.6349760240930803E-5</v>
      </c>
      <c r="D192">
        <v>1.4697946532202401E-4</v>
      </c>
      <c r="E192">
        <v>65.695364238410505</v>
      </c>
      <c r="F192" t="s">
        <v>220</v>
      </c>
      <c r="G192" t="s">
        <v>101</v>
      </c>
    </row>
    <row r="193" spans="1:7" x14ac:dyDescent="0.2">
      <c r="A193" t="s">
        <v>747</v>
      </c>
      <c r="B193" t="str">
        <f>"2/24"</f>
        <v>2/24</v>
      </c>
      <c r="C193" s="2">
        <v>4.9425696228830802E-5</v>
      </c>
      <c r="D193">
        <v>1.9518951109004501E-4</v>
      </c>
      <c r="E193">
        <v>259.33766233766198</v>
      </c>
      <c r="F193" t="s">
        <v>1325</v>
      </c>
      <c r="G193" t="s">
        <v>101</v>
      </c>
    </row>
    <row r="194" spans="1:7" x14ac:dyDescent="0.2">
      <c r="A194" t="s">
        <v>863</v>
      </c>
      <c r="B194" t="str">
        <f>"3/171"</f>
        <v>3/171</v>
      </c>
      <c r="C194" s="2">
        <v>4.9671882750513203E-5</v>
      </c>
      <c r="D194">
        <v>1.9518951109004501E-4</v>
      </c>
      <c r="E194">
        <v>58.997023809523803</v>
      </c>
      <c r="F194" t="s">
        <v>220</v>
      </c>
      <c r="G194" t="s">
        <v>101</v>
      </c>
    </row>
    <row r="195" spans="1:7" x14ac:dyDescent="0.2">
      <c r="A195" t="s">
        <v>1178</v>
      </c>
      <c r="B195" t="str">
        <f>"3/172"</f>
        <v>3/172</v>
      </c>
      <c r="C195" s="2">
        <v>5.0542216334233701E-5</v>
      </c>
      <c r="D195">
        <v>1.9585108829515499E-4</v>
      </c>
      <c r="E195">
        <v>58.644970414201097</v>
      </c>
      <c r="F195" t="s">
        <v>220</v>
      </c>
      <c r="G195" t="s">
        <v>101</v>
      </c>
    </row>
    <row r="196" spans="1:7" x14ac:dyDescent="0.2">
      <c r="A196" t="s">
        <v>269</v>
      </c>
      <c r="B196" t="str">
        <f>"2/25"</f>
        <v>2/25</v>
      </c>
      <c r="C196" s="2">
        <v>5.3711085527719402E-5</v>
      </c>
      <c r="D196">
        <v>2.05279354277174E-4</v>
      </c>
      <c r="E196">
        <v>248.04968944099301</v>
      </c>
      <c r="F196" t="s">
        <v>1345</v>
      </c>
      <c r="G196" t="s">
        <v>101</v>
      </c>
    </row>
    <row r="197" spans="1:7" x14ac:dyDescent="0.2">
      <c r="A197" t="s">
        <v>7</v>
      </c>
      <c r="B197" t="str">
        <f>"3/179"</f>
        <v>3/179</v>
      </c>
      <c r="C197" s="2">
        <v>5.69167965218402E-5</v>
      </c>
      <c r="D197">
        <v>2.14591705805316E-4</v>
      </c>
      <c r="E197">
        <v>56.292613636363598</v>
      </c>
      <c r="F197" t="s">
        <v>1353</v>
      </c>
      <c r="G197" t="s">
        <v>101</v>
      </c>
    </row>
    <row r="198" spans="1:7" x14ac:dyDescent="0.2">
      <c r="A198" t="s">
        <v>1354</v>
      </c>
      <c r="B198" t="str">
        <f>"2/26"</f>
        <v>2/26</v>
      </c>
      <c r="C198" s="2">
        <v>5.8173471398850802E-5</v>
      </c>
      <c r="D198">
        <v>2.1640531360372499E-4</v>
      </c>
      <c r="E198">
        <v>237.70238095238</v>
      </c>
      <c r="F198" t="s">
        <v>1333</v>
      </c>
      <c r="G198" t="s">
        <v>101</v>
      </c>
    </row>
    <row r="199" spans="1:7" x14ac:dyDescent="0.2">
      <c r="A199" t="s">
        <v>1355</v>
      </c>
      <c r="B199" t="str">
        <f>"4/546"</f>
        <v>4/546</v>
      </c>
      <c r="C199" s="2">
        <v>6.2062473882904098E-5</v>
      </c>
      <c r="D199">
        <v>2.2783460807013499E-4</v>
      </c>
      <c r="E199">
        <v>28.707011070110699</v>
      </c>
      <c r="F199" t="s">
        <v>1319</v>
      </c>
      <c r="G199" t="s">
        <v>101</v>
      </c>
    </row>
    <row r="200" spans="1:7" x14ac:dyDescent="0.2">
      <c r="A200" t="s">
        <v>693</v>
      </c>
      <c r="B200" t="str">
        <f>"2/34"</f>
        <v>2/34</v>
      </c>
      <c r="C200">
        <v>1.00229497489322E-4</v>
      </c>
      <c r="D200">
        <v>3.6316921817559699E-4</v>
      </c>
      <c r="E200">
        <v>178.205357142857</v>
      </c>
      <c r="F200" t="s">
        <v>1325</v>
      </c>
      <c r="G200" t="s">
        <v>101</v>
      </c>
    </row>
    <row r="201" spans="1:7" x14ac:dyDescent="0.2">
      <c r="A201" t="s">
        <v>526</v>
      </c>
      <c r="B201" t="str">
        <f>"3/221"</f>
        <v>3/221</v>
      </c>
      <c r="C201">
        <v>1.06446242987845E-4</v>
      </c>
      <c r="D201">
        <v>3.8075002299498402E-4</v>
      </c>
      <c r="E201">
        <v>45.350917431192599</v>
      </c>
      <c r="F201" t="s">
        <v>220</v>
      </c>
      <c r="G201" t="s">
        <v>101</v>
      </c>
    </row>
    <row r="202" spans="1:7" x14ac:dyDescent="0.2">
      <c r="A202" t="s">
        <v>957</v>
      </c>
      <c r="B202" t="str">
        <f>"3/224"</f>
        <v>3/224</v>
      </c>
      <c r="C202">
        <v>1.1078537815250701E-4</v>
      </c>
      <c r="D202">
        <v>3.9125468993100702E-4</v>
      </c>
      <c r="E202">
        <v>44.728506787330303</v>
      </c>
      <c r="F202" t="s">
        <v>220</v>
      </c>
      <c r="G202" t="s">
        <v>101</v>
      </c>
    </row>
    <row r="203" spans="1:7" x14ac:dyDescent="0.2">
      <c r="A203" t="s">
        <v>1356</v>
      </c>
      <c r="B203" t="str">
        <f>"2/39"</f>
        <v>2/39</v>
      </c>
      <c r="C203">
        <v>1.3223456777114101E-4</v>
      </c>
      <c r="D203">
        <v>4.56622789836705E-4</v>
      </c>
      <c r="E203">
        <v>154.08494208494201</v>
      </c>
      <c r="F203" t="s">
        <v>1327</v>
      </c>
      <c r="G203" t="s">
        <v>101</v>
      </c>
    </row>
    <row r="204" spans="1:7" x14ac:dyDescent="0.2">
      <c r="A204" t="s">
        <v>1165</v>
      </c>
      <c r="B204" t="str">
        <f>"3/238"</f>
        <v>3/238</v>
      </c>
      <c r="C204">
        <v>1.3256790672678501E-4</v>
      </c>
      <c r="D204">
        <v>4.56622789836705E-4</v>
      </c>
      <c r="E204">
        <v>42.034042553191398</v>
      </c>
      <c r="F204" t="s">
        <v>220</v>
      </c>
      <c r="G204" t="s">
        <v>101</v>
      </c>
    </row>
    <row r="205" spans="1:7" x14ac:dyDescent="0.2">
      <c r="A205" t="s">
        <v>270</v>
      </c>
      <c r="B205" t="str">
        <f>"2/40"</f>
        <v>2/40</v>
      </c>
      <c r="C205">
        <v>1.39161849647786E-4</v>
      </c>
      <c r="D205">
        <v>4.7348970794795602E-4</v>
      </c>
      <c r="E205">
        <v>150.022556390977</v>
      </c>
      <c r="F205" t="s">
        <v>1327</v>
      </c>
      <c r="G205" t="s">
        <v>101</v>
      </c>
    </row>
    <row r="206" spans="1:7" x14ac:dyDescent="0.2">
      <c r="A206" t="s">
        <v>1357</v>
      </c>
      <c r="B206" t="str">
        <f>"2/41"</f>
        <v>2/41</v>
      </c>
      <c r="C206">
        <v>1.4626426509152499E-4</v>
      </c>
      <c r="D206">
        <v>4.9165939711488598E-4</v>
      </c>
      <c r="E206">
        <v>146.16849816849799</v>
      </c>
      <c r="F206" t="s">
        <v>1333</v>
      </c>
      <c r="G206" t="s">
        <v>101</v>
      </c>
    </row>
    <row r="207" spans="1:7" x14ac:dyDescent="0.2">
      <c r="A207" t="s">
        <v>992</v>
      </c>
      <c r="B207" t="str">
        <f>"2/42"</f>
        <v>2/42</v>
      </c>
      <c r="C207">
        <v>1.5354169033610901E-4</v>
      </c>
      <c r="D207">
        <v>5.0997775718779304E-4</v>
      </c>
      <c r="E207">
        <v>142.50714285714199</v>
      </c>
      <c r="F207" t="s">
        <v>1327</v>
      </c>
      <c r="G207" t="s">
        <v>101</v>
      </c>
    </row>
    <row r="208" spans="1:7" x14ac:dyDescent="0.2">
      <c r="A208" t="s">
        <v>1358</v>
      </c>
      <c r="B208" t="str">
        <f>"2/44"</f>
        <v>2/44</v>
      </c>
      <c r="C208">
        <v>1.68621075335604E-4</v>
      </c>
      <c r="D208">
        <v>5.4703813975155399E-4</v>
      </c>
      <c r="E208">
        <v>135.707482993197</v>
      </c>
      <c r="F208" t="s">
        <v>1333</v>
      </c>
      <c r="G208" t="s">
        <v>101</v>
      </c>
    </row>
    <row r="209" spans="1:7" x14ac:dyDescent="0.2">
      <c r="A209" t="s">
        <v>1359</v>
      </c>
      <c r="B209" t="str">
        <f>"2/44"</f>
        <v>2/44</v>
      </c>
      <c r="C209">
        <v>1.68621075335604E-4</v>
      </c>
      <c r="D209">
        <v>5.4703813975155399E-4</v>
      </c>
      <c r="E209">
        <v>135.707482993197</v>
      </c>
      <c r="F209" t="s">
        <v>1327</v>
      </c>
      <c r="G209" t="s">
        <v>101</v>
      </c>
    </row>
    <row r="210" spans="1:7" x14ac:dyDescent="0.2">
      <c r="A210" t="s">
        <v>1179</v>
      </c>
      <c r="B210" t="str">
        <f>"2/45"</f>
        <v>2/45</v>
      </c>
      <c r="C210">
        <v>1.7642278783867001E-4</v>
      </c>
      <c r="D210">
        <v>5.6576962996539098E-4</v>
      </c>
      <c r="E210">
        <v>132.54485049833801</v>
      </c>
      <c r="F210" t="s">
        <v>1327</v>
      </c>
      <c r="G210" t="s">
        <v>101</v>
      </c>
    </row>
    <row r="211" spans="1:7" x14ac:dyDescent="0.2">
      <c r="A211" t="s">
        <v>1169</v>
      </c>
      <c r="B211" t="str">
        <f>"2/48"</f>
        <v>2/48</v>
      </c>
      <c r="C211">
        <v>2.00874522869348E-4</v>
      </c>
      <c r="D211">
        <v>6.3002532283008502E-4</v>
      </c>
      <c r="E211">
        <v>123.88198757763899</v>
      </c>
      <c r="F211" t="s">
        <v>1327</v>
      </c>
      <c r="G211" t="s">
        <v>101</v>
      </c>
    </row>
    <row r="212" spans="1:7" x14ac:dyDescent="0.2">
      <c r="A212" t="s">
        <v>824</v>
      </c>
      <c r="B212" t="str">
        <f>"3/274"</f>
        <v>3/274</v>
      </c>
      <c r="C212">
        <v>2.0097581982751801E-4</v>
      </c>
      <c r="D212">
        <v>6.3002532283008502E-4</v>
      </c>
      <c r="E212">
        <v>36.383763837638298</v>
      </c>
      <c r="F212" t="s">
        <v>220</v>
      </c>
      <c r="G212" t="s">
        <v>101</v>
      </c>
    </row>
    <row r="213" spans="1:7" x14ac:dyDescent="0.2">
      <c r="A213" t="s">
        <v>1360</v>
      </c>
      <c r="B213" t="str">
        <f>"2/49"</f>
        <v>2/49</v>
      </c>
      <c r="C213">
        <v>2.0937355557931799E-4</v>
      </c>
      <c r="D213">
        <v>6.49058022295888E-4</v>
      </c>
      <c r="E213">
        <v>121.240121580547</v>
      </c>
      <c r="F213" t="s">
        <v>1333</v>
      </c>
      <c r="G213" t="s">
        <v>101</v>
      </c>
    </row>
    <row r="214" spans="1:7" x14ac:dyDescent="0.2">
      <c r="A214" t="s">
        <v>601</v>
      </c>
      <c r="B214" t="str">
        <f>"2/51"</f>
        <v>2/51</v>
      </c>
      <c r="C214">
        <v>2.2689356243182901E-4</v>
      </c>
      <c r="D214">
        <v>6.9564070240088504E-4</v>
      </c>
      <c r="E214">
        <v>116.27988338192399</v>
      </c>
      <c r="F214" t="s">
        <v>1325</v>
      </c>
      <c r="G214" t="s">
        <v>101</v>
      </c>
    </row>
    <row r="215" spans="1:7" x14ac:dyDescent="0.2">
      <c r="A215" t="s">
        <v>1361</v>
      </c>
      <c r="B215" t="str">
        <f>"2/53"</f>
        <v>2/53</v>
      </c>
      <c r="C215">
        <v>2.4510866960449502E-4</v>
      </c>
      <c r="D215">
        <v>7.4331868282232795E-4</v>
      </c>
      <c r="E215">
        <v>111.708683473389</v>
      </c>
      <c r="F215" t="s">
        <v>1346</v>
      </c>
      <c r="G215" t="s">
        <v>101</v>
      </c>
    </row>
    <row r="216" spans="1:7" x14ac:dyDescent="0.2">
      <c r="A216" t="s">
        <v>366</v>
      </c>
      <c r="B216" t="str">
        <f>"2/54"</f>
        <v>2/54</v>
      </c>
      <c r="C216">
        <v>2.5447657793138001E-4</v>
      </c>
      <c r="D216">
        <v>7.6342973379413996E-4</v>
      </c>
      <c r="E216">
        <v>109.55494505494499</v>
      </c>
      <c r="F216" t="s">
        <v>1362</v>
      </c>
      <c r="G216" t="s">
        <v>101</v>
      </c>
    </row>
    <row r="217" spans="1:7" x14ac:dyDescent="0.2">
      <c r="A217" t="s">
        <v>41</v>
      </c>
      <c r="B217" t="str">
        <f>"3/335"</f>
        <v>3/335</v>
      </c>
      <c r="C217">
        <v>3.62987918263006E-4</v>
      </c>
      <c r="D217">
        <v>1.0773790339933E-3</v>
      </c>
      <c r="E217">
        <v>29.606927710843301</v>
      </c>
      <c r="F217" t="s">
        <v>1331</v>
      </c>
      <c r="G217" t="s">
        <v>101</v>
      </c>
    </row>
    <row r="218" spans="1:7" x14ac:dyDescent="0.2">
      <c r="A218" t="s">
        <v>1363</v>
      </c>
      <c r="B218" t="str">
        <f>"2/65"</f>
        <v>2/65</v>
      </c>
      <c r="C218">
        <v>3.68941312750905E-4</v>
      </c>
      <c r="D218">
        <v>1.0835223816578999E-3</v>
      </c>
      <c r="E218">
        <v>90.376417233560005</v>
      </c>
      <c r="F218" t="s">
        <v>1333</v>
      </c>
      <c r="G218" t="s">
        <v>101</v>
      </c>
    </row>
    <row r="219" spans="1:7" x14ac:dyDescent="0.2">
      <c r="A219" t="s">
        <v>38</v>
      </c>
      <c r="B219" t="str">
        <f>"2/66"</f>
        <v>2/66</v>
      </c>
      <c r="C219">
        <v>3.8038198335644798E-4</v>
      </c>
      <c r="D219">
        <v>1.1054851391296E-3</v>
      </c>
      <c r="E219">
        <v>88.959821428571402</v>
      </c>
      <c r="F219" t="s">
        <v>1346</v>
      </c>
      <c r="G219" t="s">
        <v>101</v>
      </c>
    </row>
    <row r="220" spans="1:7" x14ac:dyDescent="0.2">
      <c r="A220" t="s">
        <v>1364</v>
      </c>
      <c r="B220" t="str">
        <f>"2/69"</f>
        <v>2/69</v>
      </c>
      <c r="C220">
        <v>4.1573510553512499E-4</v>
      </c>
      <c r="D220">
        <v>1.1957741695288E-3</v>
      </c>
      <c r="E220">
        <v>84.963752665245195</v>
      </c>
      <c r="F220" t="s">
        <v>1333</v>
      </c>
      <c r="G220" t="s">
        <v>101</v>
      </c>
    </row>
    <row r="221" spans="1:7" x14ac:dyDescent="0.2">
      <c r="A221" t="s">
        <v>1189</v>
      </c>
      <c r="B221" t="str">
        <f>"2/70"</f>
        <v>2/70</v>
      </c>
      <c r="C221">
        <v>4.2786277535054998E-4</v>
      </c>
      <c r="D221">
        <v>1.2180991257427999E-3</v>
      </c>
      <c r="E221">
        <v>83.710084033613398</v>
      </c>
      <c r="F221" t="s">
        <v>1333</v>
      </c>
      <c r="G221" t="s">
        <v>101</v>
      </c>
    </row>
    <row r="222" spans="1:7" x14ac:dyDescent="0.2">
      <c r="A222" t="s">
        <v>971</v>
      </c>
      <c r="B222" t="str">
        <f>"2/71"</f>
        <v>2/71</v>
      </c>
      <c r="C222">
        <v>4.4016188935363902E-4</v>
      </c>
      <c r="D222">
        <v>1.2404562336328999E-3</v>
      </c>
      <c r="E222">
        <v>82.492753623188406</v>
      </c>
      <c r="F222" t="s">
        <v>1325</v>
      </c>
      <c r="G222" t="s">
        <v>101</v>
      </c>
    </row>
    <row r="223" spans="1:7" x14ac:dyDescent="0.2">
      <c r="A223" t="s">
        <v>1365</v>
      </c>
      <c r="B223" t="str">
        <f>"2/73"</f>
        <v>2/73</v>
      </c>
      <c r="C223">
        <v>4.6527396164461202E-4</v>
      </c>
      <c r="D223">
        <v>1.2981143529884E-3</v>
      </c>
      <c r="E223">
        <v>80.1609657947686</v>
      </c>
      <c r="F223" t="s">
        <v>1333</v>
      </c>
      <c r="G223" t="s">
        <v>101</v>
      </c>
    </row>
    <row r="224" spans="1:7" x14ac:dyDescent="0.2">
      <c r="A224" t="s">
        <v>1249</v>
      </c>
      <c r="B224" t="str">
        <f>"3/371"</f>
        <v>3/371</v>
      </c>
      <c r="C224">
        <v>4.8945215758597902E-4</v>
      </c>
      <c r="D224">
        <v>1.3432218285796E-3</v>
      </c>
      <c r="E224">
        <v>26.661684782608599</v>
      </c>
      <c r="F224" t="s">
        <v>220</v>
      </c>
      <c r="G224" t="s">
        <v>101</v>
      </c>
    </row>
    <row r="225" spans="1:7" x14ac:dyDescent="0.2">
      <c r="A225" t="s">
        <v>30</v>
      </c>
      <c r="B225" t="str">
        <f>"2/75"</f>
        <v>2/75</v>
      </c>
      <c r="C225">
        <v>4.9107034593234302E-4</v>
      </c>
      <c r="D225">
        <v>1.3432218285796E-3</v>
      </c>
      <c r="E225">
        <v>77.956947162426601</v>
      </c>
      <c r="F225" t="s">
        <v>1346</v>
      </c>
      <c r="G225" t="s">
        <v>101</v>
      </c>
    </row>
    <row r="226" spans="1:7" x14ac:dyDescent="0.2">
      <c r="A226" t="s">
        <v>18</v>
      </c>
      <c r="B226" t="str">
        <f>"2/76"</f>
        <v>2/76</v>
      </c>
      <c r="C226">
        <v>5.0422485020563197E-4</v>
      </c>
      <c r="D226">
        <v>1.3658129437608001E-3</v>
      </c>
      <c r="E226">
        <v>76.899613899613897</v>
      </c>
      <c r="F226" t="s">
        <v>1346</v>
      </c>
      <c r="G226" t="s">
        <v>101</v>
      </c>
    </row>
    <row r="227" spans="1:7" x14ac:dyDescent="0.2">
      <c r="A227" t="s">
        <v>1366</v>
      </c>
      <c r="B227" t="str">
        <f>"2/80"</f>
        <v>2/80</v>
      </c>
      <c r="C227">
        <v>5.5854877243554897E-4</v>
      </c>
      <c r="D227">
        <v>1.4701425236747E-3</v>
      </c>
      <c r="E227">
        <v>72.941391941391899</v>
      </c>
      <c r="F227" t="s">
        <v>1333</v>
      </c>
      <c r="G227" t="s">
        <v>101</v>
      </c>
    </row>
    <row r="228" spans="1:7" x14ac:dyDescent="0.2">
      <c r="A228" t="s">
        <v>543</v>
      </c>
      <c r="B228" t="str">
        <f>"2/80"</f>
        <v>2/80</v>
      </c>
      <c r="C228">
        <v>5.5854877243554897E-4</v>
      </c>
      <c r="D228">
        <v>1.4701425236747E-3</v>
      </c>
      <c r="E228">
        <v>72.941391941391899</v>
      </c>
      <c r="F228" t="s">
        <v>1327</v>
      </c>
      <c r="G228" t="s">
        <v>101</v>
      </c>
    </row>
    <row r="229" spans="1:7" x14ac:dyDescent="0.2">
      <c r="A229" t="s">
        <v>1367</v>
      </c>
      <c r="B229" t="str">
        <f>"2/80"</f>
        <v>2/80</v>
      </c>
      <c r="C229">
        <v>5.5854877243554897E-4</v>
      </c>
      <c r="D229">
        <v>1.4701425236747E-3</v>
      </c>
      <c r="E229">
        <v>72.941391941391899</v>
      </c>
      <c r="F229" t="s">
        <v>1346</v>
      </c>
      <c r="G229" t="s">
        <v>101</v>
      </c>
    </row>
    <row r="230" spans="1:7" x14ac:dyDescent="0.2">
      <c r="A230" t="s">
        <v>966</v>
      </c>
      <c r="B230" t="str">
        <f>"2/81"</f>
        <v>2/81</v>
      </c>
      <c r="C230">
        <v>5.7255562065352595E-4</v>
      </c>
      <c r="D230">
        <v>1.4929254033862001E-3</v>
      </c>
      <c r="E230">
        <v>72.014466546112104</v>
      </c>
      <c r="F230" t="s">
        <v>1346</v>
      </c>
      <c r="G230" t="s">
        <v>101</v>
      </c>
    </row>
    <row r="231" spans="1:7" x14ac:dyDescent="0.2">
      <c r="A231" t="s">
        <v>1368</v>
      </c>
      <c r="B231" t="str">
        <f>"2/82"</f>
        <v>2/82</v>
      </c>
      <c r="C231">
        <v>5.8673257266226295E-4</v>
      </c>
      <c r="D231">
        <v>1.5157258127108E-3</v>
      </c>
      <c r="E231">
        <v>71.110714285714195</v>
      </c>
      <c r="F231" t="s">
        <v>1333</v>
      </c>
      <c r="G231" t="s">
        <v>101</v>
      </c>
    </row>
    <row r="232" spans="1:7" x14ac:dyDescent="0.2">
      <c r="A232" t="s">
        <v>894</v>
      </c>
      <c r="B232" t="str">
        <f>"2/83"</f>
        <v>2/83</v>
      </c>
      <c r="C232">
        <v>6.0107950701986199E-4</v>
      </c>
      <c r="D232">
        <v>1.5385429583352E-3</v>
      </c>
      <c r="E232">
        <v>70.229276895943499</v>
      </c>
      <c r="F232" t="s">
        <v>1325</v>
      </c>
      <c r="G232" t="s">
        <v>101</v>
      </c>
    </row>
    <row r="233" spans="1:7" x14ac:dyDescent="0.2">
      <c r="A233" t="s">
        <v>1369</v>
      </c>
      <c r="B233" t="str">
        <f>"2/86"</f>
        <v>2/86</v>
      </c>
      <c r="C233">
        <v>6.4513898961685804E-4</v>
      </c>
      <c r="D233">
        <v>1.6363070736645001E-3</v>
      </c>
      <c r="E233">
        <v>67.710884353741406</v>
      </c>
      <c r="F233" t="s">
        <v>1327</v>
      </c>
      <c r="G233" t="s">
        <v>101</v>
      </c>
    </row>
    <row r="234" spans="1:7" x14ac:dyDescent="0.2">
      <c r="A234" t="s">
        <v>1370</v>
      </c>
      <c r="B234" t="str">
        <f>"2/89"</f>
        <v>2/89</v>
      </c>
      <c r="C234">
        <v>6.9072394340393198E-4</v>
      </c>
      <c r="D234">
        <v>1.7361439658531001E-3</v>
      </c>
      <c r="E234">
        <v>65.366174055829205</v>
      </c>
      <c r="F234" t="s">
        <v>1371</v>
      </c>
      <c r="G234" t="s">
        <v>101</v>
      </c>
    </row>
    <row r="235" spans="1:7" x14ac:dyDescent="0.2">
      <c r="A235" t="s">
        <v>1372</v>
      </c>
      <c r="B235" t="str">
        <f>"2/91"</f>
        <v>2/91</v>
      </c>
      <c r="C235">
        <v>7.2195978050888104E-4</v>
      </c>
      <c r="D235">
        <v>1.7984533818032999E-3</v>
      </c>
      <c r="E235">
        <v>63.890850722311399</v>
      </c>
      <c r="F235" t="s">
        <v>1333</v>
      </c>
      <c r="G235" t="s">
        <v>101</v>
      </c>
    </row>
    <row r="236" spans="1:7" x14ac:dyDescent="0.2">
      <c r="A236" t="s">
        <v>1373</v>
      </c>
      <c r="B236" t="str">
        <f>"2/102"</f>
        <v>2/102</v>
      </c>
      <c r="C236">
        <v>9.0580667474731097E-4</v>
      </c>
      <c r="D236">
        <v>2.2364607279158999E-3</v>
      </c>
      <c r="E236">
        <v>56.831428571428503</v>
      </c>
      <c r="F236" t="s">
        <v>1371</v>
      </c>
      <c r="G236" t="s">
        <v>101</v>
      </c>
    </row>
    <row r="237" spans="1:7" x14ac:dyDescent="0.2">
      <c r="A237" t="s">
        <v>1374</v>
      </c>
      <c r="B237" t="str">
        <f>"2/110"</f>
        <v>2/110</v>
      </c>
      <c r="C237">
        <v>1.0522575063090999E-3</v>
      </c>
      <c r="D237">
        <v>2.5752617917566001E-3</v>
      </c>
      <c r="E237">
        <v>52.600529100529101</v>
      </c>
      <c r="F237" t="s">
        <v>1327</v>
      </c>
      <c r="G237" t="s">
        <v>101</v>
      </c>
    </row>
    <row r="238" spans="1:7" x14ac:dyDescent="0.2">
      <c r="A238" t="s">
        <v>60</v>
      </c>
      <c r="B238" t="str">
        <f>"2/115"</f>
        <v>2/115</v>
      </c>
      <c r="C238">
        <v>1.1492077439936999E-3</v>
      </c>
      <c r="D238">
        <v>2.7880779180368999E-3</v>
      </c>
      <c r="E238">
        <v>50.260429835651003</v>
      </c>
      <c r="F238" t="s">
        <v>1375</v>
      </c>
      <c r="G238" t="s">
        <v>101</v>
      </c>
    </row>
    <row r="239" spans="1:7" x14ac:dyDescent="0.2">
      <c r="A239" t="s">
        <v>47</v>
      </c>
      <c r="B239" t="str">
        <f>"2/120"</f>
        <v>2/120</v>
      </c>
      <c r="C239">
        <v>1.250308053986E-3</v>
      </c>
      <c r="D239">
        <v>3.0072064401905001E-3</v>
      </c>
      <c r="E239">
        <v>48.118644067796602</v>
      </c>
      <c r="F239" t="s">
        <v>1375</v>
      </c>
      <c r="G239" t="s">
        <v>101</v>
      </c>
    </row>
    <row r="240" spans="1:7" x14ac:dyDescent="0.2">
      <c r="A240" t="s">
        <v>10</v>
      </c>
      <c r="B240" t="str">
        <f>"2/121"</f>
        <v>2/121</v>
      </c>
      <c r="C240">
        <v>1.2710248089282E-3</v>
      </c>
      <c r="D240">
        <v>3.030905313598E-3</v>
      </c>
      <c r="E240">
        <v>47.711884753901501</v>
      </c>
      <c r="F240" t="s">
        <v>1327</v>
      </c>
      <c r="G240" t="s">
        <v>101</v>
      </c>
    </row>
    <row r="241" spans="1:7" x14ac:dyDescent="0.2">
      <c r="A241" t="s">
        <v>1376</v>
      </c>
      <c r="B241" t="str">
        <f>"2/123"</f>
        <v>2/123</v>
      </c>
      <c r="C241">
        <v>1.3129540564151001E-3</v>
      </c>
      <c r="D241">
        <v>3.0782704347883999E-3</v>
      </c>
      <c r="E241">
        <v>46.918536009445099</v>
      </c>
      <c r="F241" t="s">
        <v>1371</v>
      </c>
      <c r="G241" t="s">
        <v>101</v>
      </c>
    </row>
    <row r="242" spans="1:7" x14ac:dyDescent="0.2">
      <c r="A242" t="s">
        <v>1377</v>
      </c>
      <c r="B242" t="str">
        <f>"2/123"</f>
        <v>2/123</v>
      </c>
      <c r="C242">
        <v>1.3129540564151001E-3</v>
      </c>
      <c r="D242">
        <v>3.0782704347883999E-3</v>
      </c>
      <c r="E242">
        <v>46.918536009445099</v>
      </c>
      <c r="F242" t="s">
        <v>1378</v>
      </c>
      <c r="G242" t="s">
        <v>101</v>
      </c>
    </row>
    <row r="243" spans="1:7" x14ac:dyDescent="0.2">
      <c r="A243" t="s">
        <v>1379</v>
      </c>
      <c r="B243" t="str">
        <f>"2/128"</f>
        <v>2/128</v>
      </c>
      <c r="C243">
        <v>1.4206634118419999E-3</v>
      </c>
      <c r="D243">
        <v>3.3030424325327999E-3</v>
      </c>
      <c r="E243">
        <v>45.045351473922899</v>
      </c>
      <c r="F243" t="s">
        <v>1333</v>
      </c>
      <c r="G243" t="s">
        <v>101</v>
      </c>
    </row>
    <row r="244" spans="1:7" x14ac:dyDescent="0.2">
      <c r="A244" t="s">
        <v>1380</v>
      </c>
      <c r="B244" t="str">
        <f>"2/129"</f>
        <v>2/129</v>
      </c>
      <c r="C244">
        <v>1.4426991132954999E-3</v>
      </c>
      <c r="D244">
        <v>3.3265541537970999E-3</v>
      </c>
      <c r="E244">
        <v>44.688413948256397</v>
      </c>
      <c r="F244" t="s">
        <v>1327</v>
      </c>
      <c r="G244" t="s">
        <v>101</v>
      </c>
    </row>
    <row r="245" spans="1:7" x14ac:dyDescent="0.2">
      <c r="A245" t="s">
        <v>1381</v>
      </c>
      <c r="B245" t="str">
        <f>"2/130"</f>
        <v>2/130</v>
      </c>
      <c r="C245">
        <v>1.4648991473667999E-3</v>
      </c>
      <c r="D245">
        <v>3.350056246847E-3</v>
      </c>
      <c r="E245">
        <v>44.337053571428498</v>
      </c>
      <c r="F245" t="s">
        <v>1382</v>
      </c>
      <c r="G245" t="s">
        <v>101</v>
      </c>
    </row>
    <row r="246" spans="1:7" x14ac:dyDescent="0.2">
      <c r="A246" t="s">
        <v>841</v>
      </c>
      <c r="B246" t="str">
        <f>"2/133"</f>
        <v>2/133</v>
      </c>
      <c r="C246">
        <v>1.5324840549009E-3</v>
      </c>
      <c r="D246">
        <v>3.4761223684339E-3</v>
      </c>
      <c r="E246">
        <v>43.315158124318401</v>
      </c>
      <c r="F246" t="s">
        <v>1371</v>
      </c>
      <c r="G246" t="s">
        <v>101</v>
      </c>
    </row>
    <row r="247" spans="1:7" x14ac:dyDescent="0.2">
      <c r="A247" t="s">
        <v>1000</v>
      </c>
      <c r="B247" t="str">
        <f>"2/139"</f>
        <v>2/139</v>
      </c>
      <c r="C247">
        <v>1.672074811386E-3</v>
      </c>
      <c r="D247">
        <v>3.7621683256184998E-3</v>
      </c>
      <c r="E247">
        <v>41.405630865484802</v>
      </c>
      <c r="F247" t="s">
        <v>1327</v>
      </c>
      <c r="G247" t="s">
        <v>101</v>
      </c>
    </row>
    <row r="248" spans="1:7" x14ac:dyDescent="0.2">
      <c r="A248" t="s">
        <v>1383</v>
      </c>
      <c r="B248" t="str">
        <f>"2/149"</f>
        <v>2/149</v>
      </c>
      <c r="C248">
        <v>1.9177651393017E-3</v>
      </c>
      <c r="D248">
        <v>4.2804517909215004E-3</v>
      </c>
      <c r="E248">
        <v>38.569484936831799</v>
      </c>
      <c r="F248" t="s">
        <v>1327</v>
      </c>
      <c r="G248" t="s">
        <v>101</v>
      </c>
    </row>
    <row r="249" spans="1:7" x14ac:dyDescent="0.2">
      <c r="A249" t="s">
        <v>590</v>
      </c>
      <c r="B249" t="str">
        <f>"2/150"</f>
        <v>2/150</v>
      </c>
      <c r="C249">
        <v>1.9432269245114001E-3</v>
      </c>
      <c r="D249">
        <v>4.3028596185608996E-3</v>
      </c>
      <c r="E249">
        <v>38.306949806949802</v>
      </c>
      <c r="F249" t="s">
        <v>1384</v>
      </c>
      <c r="G249" t="s">
        <v>101</v>
      </c>
    </row>
    <row r="250" spans="1:7" x14ac:dyDescent="0.2">
      <c r="A250" t="s">
        <v>923</v>
      </c>
      <c r="B250" t="str">
        <f>"2/155"</f>
        <v>2/155</v>
      </c>
      <c r="C250">
        <v>2.0729611988468E-3</v>
      </c>
      <c r="D250">
        <v>4.5539856258131001E-3</v>
      </c>
      <c r="E250">
        <v>37.045751633986903</v>
      </c>
      <c r="F250" t="s">
        <v>1327</v>
      </c>
      <c r="G250" t="s">
        <v>101</v>
      </c>
    </row>
    <row r="251" spans="1:7" x14ac:dyDescent="0.2">
      <c r="A251" t="s">
        <v>64</v>
      </c>
      <c r="B251" t="str">
        <f>"2/159"</f>
        <v>2/159</v>
      </c>
      <c r="C251">
        <v>2.1796519790663002E-3</v>
      </c>
      <c r="D251">
        <v>4.7160661212045001E-3</v>
      </c>
      <c r="E251">
        <v>36.094631483166502</v>
      </c>
      <c r="F251" t="s">
        <v>1375</v>
      </c>
      <c r="G251" t="s">
        <v>101</v>
      </c>
    </row>
    <row r="252" spans="1:7" x14ac:dyDescent="0.2">
      <c r="A252" t="s">
        <v>1385</v>
      </c>
      <c r="B252" t="str">
        <f>"1/5"</f>
        <v>1/5</v>
      </c>
      <c r="C252">
        <v>2.2481605524021001E-3</v>
      </c>
      <c r="D252">
        <v>4.7160661212045001E-3</v>
      </c>
      <c r="E252">
        <v>624.59375</v>
      </c>
      <c r="F252" t="s">
        <v>1386</v>
      </c>
      <c r="G252" t="s">
        <v>101</v>
      </c>
    </row>
    <row r="253" spans="1:7" x14ac:dyDescent="0.2">
      <c r="A253" t="s">
        <v>1387</v>
      </c>
      <c r="B253" t="str">
        <f>"1/5"</f>
        <v>1/5</v>
      </c>
      <c r="C253">
        <v>2.2481605524021001E-3</v>
      </c>
      <c r="D253">
        <v>4.7160661212045001E-3</v>
      </c>
      <c r="E253">
        <v>624.59375</v>
      </c>
      <c r="F253" t="s">
        <v>1388</v>
      </c>
      <c r="G253" t="s">
        <v>101</v>
      </c>
    </row>
    <row r="254" spans="1:7" x14ac:dyDescent="0.2">
      <c r="A254" t="s">
        <v>1389</v>
      </c>
      <c r="B254" t="str">
        <f>"1/5"</f>
        <v>1/5</v>
      </c>
      <c r="C254">
        <v>2.2481605524021001E-3</v>
      </c>
      <c r="D254">
        <v>4.7160661212045001E-3</v>
      </c>
      <c r="E254">
        <v>624.59375</v>
      </c>
      <c r="F254" t="s">
        <v>1390</v>
      </c>
      <c r="G254" t="s">
        <v>101</v>
      </c>
    </row>
    <row r="255" spans="1:7" x14ac:dyDescent="0.2">
      <c r="A255" t="s">
        <v>1391</v>
      </c>
      <c r="B255" t="str">
        <f>"1/5"</f>
        <v>1/5</v>
      </c>
      <c r="C255">
        <v>2.2481605524021001E-3</v>
      </c>
      <c r="D255">
        <v>4.7160661212045001E-3</v>
      </c>
      <c r="E255">
        <v>624.59375</v>
      </c>
      <c r="F255" t="s">
        <v>1392</v>
      </c>
      <c r="G255" t="s">
        <v>101</v>
      </c>
    </row>
    <row r="256" spans="1:7" x14ac:dyDescent="0.2">
      <c r="A256" t="s">
        <v>1393</v>
      </c>
      <c r="B256" t="str">
        <f>"1/5"</f>
        <v>1/5</v>
      </c>
      <c r="C256">
        <v>2.2481605524021001E-3</v>
      </c>
      <c r="D256">
        <v>4.7160661212045001E-3</v>
      </c>
      <c r="E256">
        <v>624.59375</v>
      </c>
      <c r="F256" t="s">
        <v>1394</v>
      </c>
      <c r="G256" t="s">
        <v>101</v>
      </c>
    </row>
    <row r="257" spans="1:7" x14ac:dyDescent="0.2">
      <c r="A257" t="s">
        <v>1395</v>
      </c>
      <c r="B257" t="str">
        <f>"1/6"</f>
        <v>1/6</v>
      </c>
      <c r="C257">
        <v>2.6972559359141001E-3</v>
      </c>
      <c r="D257">
        <v>5.4929518694894E-3</v>
      </c>
      <c r="E257">
        <v>499.65</v>
      </c>
      <c r="F257" t="s">
        <v>1394</v>
      </c>
      <c r="G257" t="s">
        <v>101</v>
      </c>
    </row>
    <row r="258" spans="1:7" x14ac:dyDescent="0.2">
      <c r="A258" t="s">
        <v>204</v>
      </c>
      <c r="B258" t="str">
        <f>"1/6"</f>
        <v>1/6</v>
      </c>
      <c r="C258">
        <v>2.6972559359141001E-3</v>
      </c>
      <c r="D258">
        <v>5.4929518694894E-3</v>
      </c>
      <c r="E258">
        <v>499.65</v>
      </c>
      <c r="F258" t="s">
        <v>1392</v>
      </c>
      <c r="G258" t="s">
        <v>101</v>
      </c>
    </row>
    <row r="259" spans="1:7" x14ac:dyDescent="0.2">
      <c r="A259" t="s">
        <v>1396</v>
      </c>
      <c r="B259" t="str">
        <f>"1/6"</f>
        <v>1/6</v>
      </c>
      <c r="C259">
        <v>2.6972559359141001E-3</v>
      </c>
      <c r="D259">
        <v>5.4929518694894E-3</v>
      </c>
      <c r="E259">
        <v>499.65</v>
      </c>
      <c r="F259" t="s">
        <v>1392</v>
      </c>
      <c r="G259" t="s">
        <v>101</v>
      </c>
    </row>
    <row r="260" spans="1:7" x14ac:dyDescent="0.2">
      <c r="A260" t="s">
        <v>1397</v>
      </c>
      <c r="B260" t="str">
        <f>"1/6"</f>
        <v>1/6</v>
      </c>
      <c r="C260">
        <v>2.6972559359141001E-3</v>
      </c>
      <c r="D260">
        <v>5.4929518694894E-3</v>
      </c>
      <c r="E260">
        <v>499.65</v>
      </c>
      <c r="F260" t="s">
        <v>1388</v>
      </c>
      <c r="G260" t="s">
        <v>101</v>
      </c>
    </row>
    <row r="261" spans="1:7" x14ac:dyDescent="0.2">
      <c r="A261" t="s">
        <v>1398</v>
      </c>
      <c r="B261" t="str">
        <f>"2/180"</f>
        <v>2/180</v>
      </c>
      <c r="C261">
        <v>2.7818115951429002E-3</v>
      </c>
      <c r="D261">
        <v>5.6240973553976E-3</v>
      </c>
      <c r="E261">
        <v>31.8025682182985</v>
      </c>
      <c r="F261" t="s">
        <v>1327</v>
      </c>
      <c r="G261" t="s">
        <v>101</v>
      </c>
    </row>
    <row r="262" spans="1:7" x14ac:dyDescent="0.2">
      <c r="A262" t="s">
        <v>1399</v>
      </c>
      <c r="B262" t="str">
        <f>"2/189"</f>
        <v>2/189</v>
      </c>
      <c r="C262">
        <v>3.0613184628549999E-3</v>
      </c>
      <c r="D262">
        <v>6.1446607995436003E-3</v>
      </c>
      <c r="E262">
        <v>30.258212375859401</v>
      </c>
      <c r="F262" t="s">
        <v>1327</v>
      </c>
      <c r="G262" t="s">
        <v>101</v>
      </c>
    </row>
    <row r="263" spans="1:7" x14ac:dyDescent="0.2">
      <c r="A263" t="s">
        <v>1400</v>
      </c>
      <c r="B263" t="str">
        <f>"1/7"</f>
        <v>1/7</v>
      </c>
      <c r="C263">
        <v>3.1461719727635998E-3</v>
      </c>
      <c r="D263">
        <v>6.1815632422608999E-3</v>
      </c>
      <c r="E263">
        <v>416.354166666666</v>
      </c>
      <c r="F263" t="s">
        <v>1401</v>
      </c>
      <c r="G263" t="s">
        <v>101</v>
      </c>
    </row>
    <row r="264" spans="1:7" x14ac:dyDescent="0.2">
      <c r="A264" t="s">
        <v>1402</v>
      </c>
      <c r="B264" t="str">
        <f>"1/7"</f>
        <v>1/7</v>
      </c>
      <c r="C264">
        <v>3.1461719727635998E-3</v>
      </c>
      <c r="D264">
        <v>6.1815632422608999E-3</v>
      </c>
      <c r="E264">
        <v>416.354166666666</v>
      </c>
      <c r="F264" t="s">
        <v>1403</v>
      </c>
      <c r="G264" t="s">
        <v>101</v>
      </c>
    </row>
    <row r="265" spans="1:7" x14ac:dyDescent="0.2">
      <c r="A265" t="s">
        <v>1404</v>
      </c>
      <c r="B265" t="str">
        <f>"1/7"</f>
        <v>1/7</v>
      </c>
      <c r="C265">
        <v>3.1461719727635998E-3</v>
      </c>
      <c r="D265">
        <v>6.1815632422608999E-3</v>
      </c>
      <c r="E265">
        <v>416.354166666666</v>
      </c>
      <c r="F265" t="s">
        <v>1392</v>
      </c>
      <c r="G265" t="s">
        <v>101</v>
      </c>
    </row>
    <row r="266" spans="1:7" x14ac:dyDescent="0.2">
      <c r="A266" t="s">
        <v>696</v>
      </c>
      <c r="B266" t="str">
        <f>"2/194"</f>
        <v>2/194</v>
      </c>
      <c r="C266">
        <v>3.2221107448657002E-3</v>
      </c>
      <c r="D266">
        <v>6.2864957889339004E-3</v>
      </c>
      <c r="E266">
        <v>29.462797619047599</v>
      </c>
      <c r="F266" t="s">
        <v>1327</v>
      </c>
      <c r="G266" t="s">
        <v>101</v>
      </c>
    </row>
    <row r="267" spans="1:7" x14ac:dyDescent="0.2">
      <c r="A267" t="s">
        <v>1405</v>
      </c>
      <c r="B267" t="str">
        <f t="shared" ref="B267:B272" si="0">"1/8"</f>
        <v>1/8</v>
      </c>
      <c r="C267">
        <v>3.5949086662176001E-3</v>
      </c>
      <c r="D267">
        <v>6.7314061602330002E-3</v>
      </c>
      <c r="E267">
        <v>356.85714285714198</v>
      </c>
      <c r="F267" t="s">
        <v>1386</v>
      </c>
      <c r="G267" t="s">
        <v>101</v>
      </c>
    </row>
    <row r="268" spans="1:7" x14ac:dyDescent="0.2">
      <c r="A268" t="s">
        <v>1406</v>
      </c>
      <c r="B268" t="str">
        <f t="shared" si="0"/>
        <v>1/8</v>
      </c>
      <c r="C268">
        <v>3.5949086662176001E-3</v>
      </c>
      <c r="D268">
        <v>6.7314061602330002E-3</v>
      </c>
      <c r="E268">
        <v>356.85714285714198</v>
      </c>
      <c r="F268" t="s">
        <v>1390</v>
      </c>
      <c r="G268" t="s">
        <v>101</v>
      </c>
    </row>
    <row r="269" spans="1:7" x14ac:dyDescent="0.2">
      <c r="A269" t="s">
        <v>1407</v>
      </c>
      <c r="B269" t="str">
        <f t="shared" si="0"/>
        <v>1/8</v>
      </c>
      <c r="C269">
        <v>3.5949086662176001E-3</v>
      </c>
      <c r="D269">
        <v>6.7314061602330002E-3</v>
      </c>
      <c r="E269">
        <v>356.85714285714198</v>
      </c>
      <c r="F269" t="s">
        <v>1388</v>
      </c>
      <c r="G269" t="s">
        <v>101</v>
      </c>
    </row>
    <row r="270" spans="1:7" x14ac:dyDescent="0.2">
      <c r="A270" t="s">
        <v>1408</v>
      </c>
      <c r="B270" t="str">
        <f t="shared" si="0"/>
        <v>1/8</v>
      </c>
      <c r="C270">
        <v>3.5949086662176001E-3</v>
      </c>
      <c r="D270">
        <v>6.7314061602330002E-3</v>
      </c>
      <c r="E270">
        <v>356.85714285714198</v>
      </c>
      <c r="F270" t="s">
        <v>1390</v>
      </c>
      <c r="G270" t="s">
        <v>101</v>
      </c>
    </row>
    <row r="271" spans="1:7" x14ac:dyDescent="0.2">
      <c r="A271" t="s">
        <v>1409</v>
      </c>
      <c r="B271" t="str">
        <f t="shared" si="0"/>
        <v>1/8</v>
      </c>
      <c r="C271">
        <v>3.5949086662176001E-3</v>
      </c>
      <c r="D271">
        <v>6.7314061602330002E-3</v>
      </c>
      <c r="E271">
        <v>356.85714285714198</v>
      </c>
      <c r="F271" t="s">
        <v>1390</v>
      </c>
      <c r="G271" t="s">
        <v>101</v>
      </c>
    </row>
    <row r="272" spans="1:7" x14ac:dyDescent="0.2">
      <c r="A272" t="s">
        <v>1410</v>
      </c>
      <c r="B272" t="str">
        <f t="shared" si="0"/>
        <v>1/8</v>
      </c>
      <c r="C272">
        <v>3.5949086662176001E-3</v>
      </c>
      <c r="D272">
        <v>6.7314061602330002E-3</v>
      </c>
      <c r="E272">
        <v>356.85714285714198</v>
      </c>
      <c r="F272" t="s">
        <v>1403</v>
      </c>
      <c r="G272" t="s">
        <v>101</v>
      </c>
    </row>
    <row r="273" spans="1:7" x14ac:dyDescent="0.2">
      <c r="A273" t="s">
        <v>1411</v>
      </c>
      <c r="B273" t="str">
        <f>"1/9"</f>
        <v>1/9</v>
      </c>
      <c r="C273">
        <v>4.0434660343014002E-3</v>
      </c>
      <c r="D273">
        <v>7.4710398911927E-3</v>
      </c>
      <c r="E273">
        <v>312.234375</v>
      </c>
      <c r="F273" t="s">
        <v>1388</v>
      </c>
      <c r="G273" t="s">
        <v>101</v>
      </c>
    </row>
    <row r="274" spans="1:7" x14ac:dyDescent="0.2">
      <c r="A274" t="s">
        <v>1412</v>
      </c>
      <c r="B274" t="str">
        <f>"1/9"</f>
        <v>1/9</v>
      </c>
      <c r="C274">
        <v>4.0434660343014002E-3</v>
      </c>
      <c r="D274">
        <v>7.4710398911927E-3</v>
      </c>
      <c r="E274">
        <v>312.234375</v>
      </c>
      <c r="F274" t="s">
        <v>1392</v>
      </c>
      <c r="G274" t="s">
        <v>101</v>
      </c>
    </row>
    <row r="275" spans="1:7" x14ac:dyDescent="0.2">
      <c r="A275" t="s">
        <v>68</v>
      </c>
      <c r="B275" t="str">
        <f>"2/219"</f>
        <v>2/219</v>
      </c>
      <c r="C275">
        <v>4.0845528567044001E-3</v>
      </c>
      <c r="D275">
        <v>7.4973042567141003E-3</v>
      </c>
      <c r="E275">
        <v>26.035549703752402</v>
      </c>
      <c r="F275" t="s">
        <v>1375</v>
      </c>
      <c r="G275" t="s">
        <v>101</v>
      </c>
    </row>
    <row r="276" spans="1:7" x14ac:dyDescent="0.2">
      <c r="A276" t="s">
        <v>1413</v>
      </c>
      <c r="B276" t="str">
        <f>"1/10"</f>
        <v>1/10</v>
      </c>
      <c r="C276">
        <v>4.4918441075107998E-3</v>
      </c>
      <c r="D276">
        <v>8.0334904230481997E-3</v>
      </c>
      <c r="E276">
        <v>277.52777777777698</v>
      </c>
      <c r="F276" t="s">
        <v>1394</v>
      </c>
      <c r="G276" t="s">
        <v>101</v>
      </c>
    </row>
    <row r="277" spans="1:7" x14ac:dyDescent="0.2">
      <c r="A277" t="s">
        <v>213</v>
      </c>
      <c r="B277" t="str">
        <f>"1/10"</f>
        <v>1/10</v>
      </c>
      <c r="C277">
        <v>4.4918441075107998E-3</v>
      </c>
      <c r="D277">
        <v>8.0334904230481997E-3</v>
      </c>
      <c r="E277">
        <v>277.52777777777698</v>
      </c>
      <c r="F277" t="s">
        <v>1392</v>
      </c>
      <c r="G277" t="s">
        <v>101</v>
      </c>
    </row>
    <row r="278" spans="1:7" x14ac:dyDescent="0.2">
      <c r="A278" t="s">
        <v>1414</v>
      </c>
      <c r="B278" t="str">
        <f>"1/10"</f>
        <v>1/10</v>
      </c>
      <c r="C278">
        <v>4.4918441075107998E-3</v>
      </c>
      <c r="D278">
        <v>8.0334904230481997E-3</v>
      </c>
      <c r="E278">
        <v>277.52777777777698</v>
      </c>
      <c r="F278" t="s">
        <v>1386</v>
      </c>
      <c r="G278" t="s">
        <v>101</v>
      </c>
    </row>
    <row r="279" spans="1:7" x14ac:dyDescent="0.2">
      <c r="A279" t="s">
        <v>1415</v>
      </c>
      <c r="B279" t="str">
        <f>"1/10"</f>
        <v>1/10</v>
      </c>
      <c r="C279">
        <v>4.4918441075107998E-3</v>
      </c>
      <c r="D279">
        <v>8.0334904230481997E-3</v>
      </c>
      <c r="E279">
        <v>277.52777777777698</v>
      </c>
      <c r="F279" t="s">
        <v>1390</v>
      </c>
      <c r="G279" t="s">
        <v>101</v>
      </c>
    </row>
    <row r="280" spans="1:7" x14ac:dyDescent="0.2">
      <c r="A280" t="s">
        <v>1416</v>
      </c>
      <c r="B280" t="str">
        <f>"1/11"</f>
        <v>1/11</v>
      </c>
      <c r="C280">
        <v>4.9400429229450003E-3</v>
      </c>
      <c r="D280">
        <v>8.7788023917302997E-3</v>
      </c>
      <c r="E280">
        <v>249.76249999999999</v>
      </c>
      <c r="F280" t="s">
        <v>1392</v>
      </c>
      <c r="G280" t="s">
        <v>101</v>
      </c>
    </row>
    <row r="281" spans="1:7" x14ac:dyDescent="0.2">
      <c r="A281" t="s">
        <v>1417</v>
      </c>
      <c r="B281" t="str">
        <f>"1/12"</f>
        <v>1/12</v>
      </c>
      <c r="C281">
        <v>5.3880625223818E-3</v>
      </c>
      <c r="D281">
        <v>9.5143635680033003E-3</v>
      </c>
      <c r="E281">
        <v>227.04545454545399</v>
      </c>
      <c r="F281" t="s">
        <v>1386</v>
      </c>
      <c r="G281" t="s">
        <v>101</v>
      </c>
    </row>
    <row r="282" spans="1:7" x14ac:dyDescent="0.2">
      <c r="A282" t="s">
        <v>18</v>
      </c>
      <c r="B282" t="str">
        <f>"6/76"</f>
        <v>6/76</v>
      </c>
      <c r="C282" s="2">
        <v>4.4061401996729298E-11</v>
      </c>
      <c r="D282" s="2">
        <v>1.9739508094534699E-8</v>
      </c>
      <c r="E282">
        <v>142.228571428571</v>
      </c>
      <c r="F282" t="s">
        <v>238</v>
      </c>
      <c r="G282" t="s">
        <v>102</v>
      </c>
    </row>
    <row r="283" spans="1:7" x14ac:dyDescent="0.2">
      <c r="A283" t="s">
        <v>30</v>
      </c>
      <c r="B283" t="str">
        <f>"5/75"</f>
        <v>5/75</v>
      </c>
      <c r="C283" s="2">
        <v>5.3405584803241802E-9</v>
      </c>
      <c r="D283" s="2">
        <v>1.19628509959261E-6</v>
      </c>
      <c r="E283">
        <v>109.406593406593</v>
      </c>
      <c r="F283" t="s">
        <v>239</v>
      </c>
      <c r="G283" t="s">
        <v>102</v>
      </c>
    </row>
    <row r="284" spans="1:7" x14ac:dyDescent="0.2">
      <c r="A284" t="s">
        <v>16</v>
      </c>
      <c r="B284" t="str">
        <f>"8/621"</f>
        <v>8/621</v>
      </c>
      <c r="C284" s="2">
        <v>2.74531082896674E-8</v>
      </c>
      <c r="D284" s="2">
        <v>4.0996641712570098E-6</v>
      </c>
      <c r="E284">
        <v>25.2776508972267</v>
      </c>
      <c r="F284" t="s">
        <v>240</v>
      </c>
      <c r="G284" t="s">
        <v>102</v>
      </c>
    </row>
    <row r="285" spans="1:7" x14ac:dyDescent="0.2">
      <c r="A285" t="s">
        <v>10</v>
      </c>
      <c r="B285" t="str">
        <f>"5/121"</f>
        <v>5/121</v>
      </c>
      <c r="C285" s="2">
        <v>5.9996374589731797E-8</v>
      </c>
      <c r="D285" s="2">
        <v>5.4620768538088101E-6</v>
      </c>
      <c r="E285">
        <v>65.868700265251903</v>
      </c>
      <c r="F285" t="s">
        <v>241</v>
      </c>
      <c r="G285" t="s">
        <v>102</v>
      </c>
    </row>
    <row r="286" spans="1:7" x14ac:dyDescent="0.2">
      <c r="A286" t="s">
        <v>242</v>
      </c>
      <c r="B286" t="str">
        <f>"4/45"</f>
        <v>4/45</v>
      </c>
      <c r="C286" s="2">
        <v>6.6846403034016904E-8</v>
      </c>
      <c r="D286" s="2">
        <v>5.4620768538088101E-6</v>
      </c>
      <c r="E286">
        <v>138.961672473867</v>
      </c>
      <c r="F286" t="s">
        <v>243</v>
      </c>
      <c r="G286" t="s">
        <v>102</v>
      </c>
    </row>
    <row r="287" spans="1:7" x14ac:dyDescent="0.2">
      <c r="A287" t="s">
        <v>50</v>
      </c>
      <c r="B287" t="str">
        <f>"3/10"</f>
        <v>3/10</v>
      </c>
      <c r="C287" s="2">
        <v>7.3152815006368097E-8</v>
      </c>
      <c r="D287" s="2">
        <v>5.4620768538088101E-6</v>
      </c>
      <c r="E287">
        <v>570.71428571428498</v>
      </c>
      <c r="F287" t="s">
        <v>244</v>
      </c>
      <c r="G287" t="s">
        <v>102</v>
      </c>
    </row>
    <row r="288" spans="1:7" x14ac:dyDescent="0.2">
      <c r="A288" t="s">
        <v>245</v>
      </c>
      <c r="B288" t="str">
        <f>"4/48"</f>
        <v>4/48</v>
      </c>
      <c r="C288" s="2">
        <v>8.7151689677952805E-8</v>
      </c>
      <c r="D288" s="2">
        <v>5.5777081393889804E-6</v>
      </c>
      <c r="E288">
        <v>129.46753246753201</v>
      </c>
      <c r="F288" t="s">
        <v>243</v>
      </c>
      <c r="G288" t="s">
        <v>102</v>
      </c>
    </row>
    <row r="289" spans="1:7" x14ac:dyDescent="0.2">
      <c r="A289" t="s">
        <v>54</v>
      </c>
      <c r="B289" t="str">
        <f>"3/11"</f>
        <v>3/11</v>
      </c>
      <c r="C289" s="2">
        <v>1.00529026081303E-7</v>
      </c>
      <c r="D289" s="2">
        <v>5.6296254605529701E-6</v>
      </c>
      <c r="E289">
        <v>499.35</v>
      </c>
      <c r="F289" t="s">
        <v>244</v>
      </c>
      <c r="G289" t="s">
        <v>102</v>
      </c>
    </row>
    <row r="290" spans="1:7" x14ac:dyDescent="0.2">
      <c r="A290" t="s">
        <v>38</v>
      </c>
      <c r="B290" t="str">
        <f>"4/66"</f>
        <v>4/66</v>
      </c>
      <c r="C290" s="2">
        <v>3.1957186744560301E-7</v>
      </c>
      <c r="D290" s="2">
        <v>1.5907577401736699E-5</v>
      </c>
      <c r="E290">
        <v>91.797235023041395</v>
      </c>
      <c r="F290" t="s">
        <v>246</v>
      </c>
      <c r="G290" t="s">
        <v>102</v>
      </c>
    </row>
    <row r="291" spans="1:7" x14ac:dyDescent="0.2">
      <c r="A291" t="s">
        <v>14</v>
      </c>
      <c r="B291" t="str">
        <f>"4/68"</f>
        <v>4/68</v>
      </c>
      <c r="C291" s="2">
        <v>3.6069928048293999E-7</v>
      </c>
      <c r="D291" s="2">
        <v>1.61593277656357E-5</v>
      </c>
      <c r="E291">
        <v>88.919642857142804</v>
      </c>
      <c r="F291" t="s">
        <v>247</v>
      </c>
      <c r="G291" t="s">
        <v>102</v>
      </c>
    </row>
    <row r="292" spans="1:7" x14ac:dyDescent="0.2">
      <c r="A292" t="s">
        <v>7</v>
      </c>
      <c r="B292" t="str">
        <f>"5/179"</f>
        <v>5/179</v>
      </c>
      <c r="C292" s="2">
        <v>4.2329985342938602E-7</v>
      </c>
      <c r="D292" s="2">
        <v>1.7160676363391599E-5</v>
      </c>
      <c r="E292">
        <v>43.784261715296097</v>
      </c>
      <c r="F292" t="s">
        <v>248</v>
      </c>
      <c r="G292" t="s">
        <v>102</v>
      </c>
    </row>
    <row r="293" spans="1:7" x14ac:dyDescent="0.2">
      <c r="A293" t="s">
        <v>249</v>
      </c>
      <c r="B293" t="str">
        <f>"5/182"</f>
        <v>5/182</v>
      </c>
      <c r="C293" s="2">
        <v>4.5966097401941999E-7</v>
      </c>
      <c r="D293" s="2">
        <v>1.7160676363391599E-5</v>
      </c>
      <c r="E293">
        <v>43.035636679704403</v>
      </c>
      <c r="F293" t="s">
        <v>250</v>
      </c>
      <c r="G293" t="s">
        <v>102</v>
      </c>
    </row>
    <row r="294" spans="1:7" x14ac:dyDescent="0.2">
      <c r="A294" t="s">
        <v>32</v>
      </c>
      <c r="B294" t="str">
        <f>"4/75"</f>
        <v>4/75</v>
      </c>
      <c r="C294" s="2">
        <v>5.3622821614086202E-7</v>
      </c>
      <c r="D294" s="2">
        <v>1.8479249294700399E-5</v>
      </c>
      <c r="E294">
        <v>80.124748490945606</v>
      </c>
      <c r="F294" t="s">
        <v>246</v>
      </c>
      <c r="G294" t="s">
        <v>102</v>
      </c>
    </row>
    <row r="295" spans="1:7" x14ac:dyDescent="0.2">
      <c r="A295" t="s">
        <v>251</v>
      </c>
      <c r="B295" t="str">
        <f>"4/86"</f>
        <v>4/86</v>
      </c>
      <c r="C295" s="2">
        <v>9.3110583741318899E-7</v>
      </c>
      <c r="D295" s="2">
        <v>2.9795386797222E-5</v>
      </c>
      <c r="E295">
        <v>69.337979094076601</v>
      </c>
      <c r="F295" t="s">
        <v>252</v>
      </c>
      <c r="G295" t="s">
        <v>102</v>
      </c>
    </row>
    <row r="296" spans="1:7" x14ac:dyDescent="0.2">
      <c r="A296" t="s">
        <v>45</v>
      </c>
      <c r="B296" t="str">
        <f>"4/103"</f>
        <v>4/103</v>
      </c>
      <c r="C296" s="2">
        <v>1.9201884544222299E-6</v>
      </c>
      <c r="D296" s="2">
        <v>5.7349628505410703E-5</v>
      </c>
      <c r="E296">
        <v>57.382395382395302</v>
      </c>
      <c r="F296" t="s">
        <v>253</v>
      </c>
      <c r="G296" t="s">
        <v>102</v>
      </c>
    </row>
    <row r="297" spans="1:7" x14ac:dyDescent="0.2">
      <c r="A297" t="s">
        <v>254</v>
      </c>
      <c r="B297" t="str">
        <f>"3/29"</f>
        <v>3/29</v>
      </c>
      <c r="C297" s="2">
        <v>2.2039173001854099E-6</v>
      </c>
      <c r="D297" s="2">
        <v>6.1709684405191498E-5</v>
      </c>
      <c r="E297">
        <v>153.507692307692</v>
      </c>
      <c r="F297" t="s">
        <v>255</v>
      </c>
      <c r="G297" t="s">
        <v>102</v>
      </c>
    </row>
    <row r="298" spans="1:7" x14ac:dyDescent="0.2">
      <c r="A298" t="s">
        <v>47</v>
      </c>
      <c r="B298" t="str">
        <f>"4/120"</f>
        <v>4/120</v>
      </c>
      <c r="C298" s="2">
        <v>3.53378310441863E-6</v>
      </c>
      <c r="D298" s="2">
        <v>8.9578617853345406E-5</v>
      </c>
      <c r="E298">
        <v>48.931034482758598</v>
      </c>
      <c r="F298" t="s">
        <v>256</v>
      </c>
      <c r="G298" t="s">
        <v>102</v>
      </c>
    </row>
    <row r="299" spans="1:7" x14ac:dyDescent="0.2">
      <c r="A299" t="s">
        <v>257</v>
      </c>
      <c r="B299" t="str">
        <f>"3/34"</f>
        <v>3/34</v>
      </c>
      <c r="C299" s="2">
        <v>3.59914089589334E-6</v>
      </c>
      <c r="D299" s="2">
        <v>8.9578617853345406E-5</v>
      </c>
      <c r="E299">
        <v>128.71612903225801</v>
      </c>
      <c r="F299" t="s">
        <v>258</v>
      </c>
      <c r="G299" t="s">
        <v>102</v>
      </c>
    </row>
    <row r="300" spans="1:7" x14ac:dyDescent="0.2">
      <c r="A300" t="s">
        <v>259</v>
      </c>
      <c r="B300" t="str">
        <f>"3/35"</f>
        <v>3/35</v>
      </c>
      <c r="C300" s="2">
        <v>3.9343496809851099E-6</v>
      </c>
      <c r="D300" s="2">
        <v>9.2767824056912105E-5</v>
      </c>
      <c r="E300">
        <v>124.6875</v>
      </c>
      <c r="F300" t="s">
        <v>255</v>
      </c>
      <c r="G300" t="s">
        <v>102</v>
      </c>
    </row>
    <row r="301" spans="1:7" x14ac:dyDescent="0.2">
      <c r="A301" t="s">
        <v>260</v>
      </c>
      <c r="B301" t="str">
        <f>"3/39"</f>
        <v>3/39</v>
      </c>
      <c r="C301" s="2">
        <v>5.4813305486206301E-6</v>
      </c>
      <c r="D301">
        <v>1.2278180428910201E-4</v>
      </c>
      <c r="E301">
        <v>110.811111111111</v>
      </c>
      <c r="F301" t="s">
        <v>255</v>
      </c>
      <c r="G301" t="s">
        <v>102</v>
      </c>
    </row>
    <row r="302" spans="1:7" x14ac:dyDescent="0.2">
      <c r="A302" t="s">
        <v>24</v>
      </c>
      <c r="B302" t="str">
        <f>"4/158"</f>
        <v>4/158</v>
      </c>
      <c r="C302" s="2">
        <v>1.0524307948242499E-5</v>
      </c>
      <c r="D302">
        <v>2.2451856956250699E-4</v>
      </c>
      <c r="E302">
        <v>36.786641929498998</v>
      </c>
      <c r="F302" t="s">
        <v>1418</v>
      </c>
      <c r="G302" t="s">
        <v>102</v>
      </c>
    </row>
    <row r="303" spans="1:7" x14ac:dyDescent="0.2">
      <c r="A303" t="s">
        <v>1419</v>
      </c>
      <c r="B303" t="str">
        <f>"2/6"</f>
        <v>2/6</v>
      </c>
      <c r="C303" s="2">
        <v>1.14504026485111E-5</v>
      </c>
      <c r="D303">
        <v>2.3317183575149899E-4</v>
      </c>
      <c r="E303">
        <v>624.3125</v>
      </c>
      <c r="F303" t="s">
        <v>1420</v>
      </c>
      <c r="G303" t="s">
        <v>102</v>
      </c>
    </row>
    <row r="304" spans="1:7" x14ac:dyDescent="0.2">
      <c r="A304" t="s">
        <v>70</v>
      </c>
      <c r="B304" t="str">
        <f>"2/7"</f>
        <v>2/7</v>
      </c>
      <c r="C304" s="2">
        <v>1.6022071431264698E-5</v>
      </c>
      <c r="D304">
        <v>3.1208208700898198E-4</v>
      </c>
      <c r="E304">
        <v>499.42500000000001</v>
      </c>
      <c r="F304" t="s">
        <v>206</v>
      </c>
      <c r="G304" t="s">
        <v>102</v>
      </c>
    </row>
    <row r="305" spans="1:7" x14ac:dyDescent="0.2">
      <c r="A305" t="s">
        <v>12</v>
      </c>
      <c r="B305" t="str">
        <f>"4/185"</f>
        <v>4/185</v>
      </c>
      <c r="C305" s="2">
        <v>1.9593227000379699E-5</v>
      </c>
      <c r="D305">
        <v>3.65740237340421E-4</v>
      </c>
      <c r="E305">
        <v>31.2565114443567</v>
      </c>
      <c r="F305" t="s">
        <v>1418</v>
      </c>
      <c r="G305" t="s">
        <v>102</v>
      </c>
    </row>
    <row r="306" spans="1:7" x14ac:dyDescent="0.2">
      <c r="A306" t="s">
        <v>696</v>
      </c>
      <c r="B306" t="str">
        <f>"4/194"</f>
        <v>4/194</v>
      </c>
      <c r="C306" s="2">
        <v>2.3609741641780599E-5</v>
      </c>
      <c r="D306">
        <v>4.2308657022070798E-4</v>
      </c>
      <c r="E306">
        <v>29.762406015037499</v>
      </c>
      <c r="F306" t="s">
        <v>1421</v>
      </c>
      <c r="G306" t="s">
        <v>102</v>
      </c>
    </row>
    <row r="307" spans="1:7" x14ac:dyDescent="0.2">
      <c r="A307" t="s">
        <v>1277</v>
      </c>
      <c r="B307" t="str">
        <f>"2/9"</f>
        <v>2/9</v>
      </c>
      <c r="C307" s="2">
        <v>2.74372708877149E-5</v>
      </c>
      <c r="D307">
        <v>4.7276528298831902E-4</v>
      </c>
      <c r="E307">
        <v>356.69642857142799</v>
      </c>
      <c r="F307" t="s">
        <v>1422</v>
      </c>
      <c r="G307" t="s">
        <v>102</v>
      </c>
    </row>
    <row r="308" spans="1:7" x14ac:dyDescent="0.2">
      <c r="A308" t="s">
        <v>1423</v>
      </c>
      <c r="B308" t="str">
        <f>"2/11"</f>
        <v>2/11</v>
      </c>
      <c r="C308" s="2">
        <v>4.1873529804695602E-5</v>
      </c>
      <c r="D308">
        <v>6.9479042046309797E-4</v>
      </c>
      <c r="E308">
        <v>277.40277777777698</v>
      </c>
      <c r="F308" t="s">
        <v>1424</v>
      </c>
      <c r="G308" t="s">
        <v>102</v>
      </c>
    </row>
    <row r="309" spans="1:7" x14ac:dyDescent="0.2">
      <c r="A309" t="s">
        <v>194</v>
      </c>
      <c r="B309" t="str">
        <f>"2/14"</f>
        <v>2/14</v>
      </c>
      <c r="C309" s="2">
        <v>6.9171210649439399E-5</v>
      </c>
      <c r="D309">
        <v>1.0329567456982E-3</v>
      </c>
      <c r="E309">
        <v>208.020833333333</v>
      </c>
      <c r="F309" t="s">
        <v>1425</v>
      </c>
      <c r="G309" t="s">
        <v>102</v>
      </c>
    </row>
    <row r="310" spans="1:7" x14ac:dyDescent="0.2">
      <c r="A310" t="s">
        <v>1426</v>
      </c>
      <c r="B310" t="str">
        <f>"2/14"</f>
        <v>2/14</v>
      </c>
      <c r="C310" s="2">
        <v>6.9171210649439399E-5</v>
      </c>
      <c r="D310">
        <v>1.0329567456982E-3</v>
      </c>
      <c r="E310">
        <v>208.020833333333</v>
      </c>
      <c r="F310" t="s">
        <v>1427</v>
      </c>
      <c r="G310" t="s">
        <v>102</v>
      </c>
    </row>
    <row r="311" spans="1:7" x14ac:dyDescent="0.2">
      <c r="A311" t="s">
        <v>1428</v>
      </c>
      <c r="B311" t="str">
        <f>"2/14"</f>
        <v>2/14</v>
      </c>
      <c r="C311" s="2">
        <v>6.9171210649439399E-5</v>
      </c>
      <c r="D311">
        <v>1.0329567456982E-3</v>
      </c>
      <c r="E311">
        <v>208.020833333333</v>
      </c>
      <c r="F311" t="s">
        <v>1429</v>
      </c>
      <c r="G311" t="s">
        <v>102</v>
      </c>
    </row>
    <row r="312" spans="1:7" x14ac:dyDescent="0.2">
      <c r="A312" t="s">
        <v>956</v>
      </c>
      <c r="B312" t="str">
        <f>"3/98"</f>
        <v>3/98</v>
      </c>
      <c r="C312" s="2">
        <v>8.8246172492692705E-5</v>
      </c>
      <c r="D312">
        <v>1.2752995250556E-3</v>
      </c>
      <c r="E312">
        <v>41.867368421052603</v>
      </c>
      <c r="F312" t="s">
        <v>1430</v>
      </c>
      <c r="G312" t="s">
        <v>102</v>
      </c>
    </row>
    <row r="313" spans="1:7" x14ac:dyDescent="0.2">
      <c r="A313" t="s">
        <v>947</v>
      </c>
      <c r="B313" t="str">
        <f>"3/100"</f>
        <v>3/100</v>
      </c>
      <c r="C313" s="2">
        <v>9.3712914418076903E-5</v>
      </c>
      <c r="D313">
        <v>1.3119808018529999E-3</v>
      </c>
      <c r="E313">
        <v>41</v>
      </c>
      <c r="F313" t="s">
        <v>1430</v>
      </c>
      <c r="G313" t="s">
        <v>102</v>
      </c>
    </row>
    <row r="314" spans="1:7" x14ac:dyDescent="0.2">
      <c r="A314" t="s">
        <v>1431</v>
      </c>
      <c r="B314" t="str">
        <f>"2/17"</f>
        <v>2/17</v>
      </c>
      <c r="C314">
        <v>1.03211851607056E-4</v>
      </c>
      <c r="D314">
        <v>1.4011790763623999E-3</v>
      </c>
      <c r="E314">
        <v>166.391666666666</v>
      </c>
      <c r="F314" t="s">
        <v>1424</v>
      </c>
      <c r="G314" t="s">
        <v>102</v>
      </c>
    </row>
    <row r="315" spans="1:7" x14ac:dyDescent="0.2">
      <c r="A315" t="s">
        <v>1432</v>
      </c>
      <c r="B315" t="str">
        <f>"2/19"</f>
        <v>2/19</v>
      </c>
      <c r="C315">
        <v>1.29635638145088E-4</v>
      </c>
      <c r="D315">
        <v>1.6722558449945E-3</v>
      </c>
      <c r="E315">
        <v>146.80147058823499</v>
      </c>
      <c r="F315" t="s">
        <v>1429</v>
      </c>
      <c r="G315" t="s">
        <v>102</v>
      </c>
    </row>
    <row r="316" spans="1:7" x14ac:dyDescent="0.2">
      <c r="A316" t="s">
        <v>60</v>
      </c>
      <c r="B316" t="str">
        <f>"3/115"</f>
        <v>3/115</v>
      </c>
      <c r="C316">
        <v>1.4189076431477601E-4</v>
      </c>
      <c r="D316">
        <v>1.6722558449945E-3</v>
      </c>
      <c r="E316">
        <v>35.482142857142797</v>
      </c>
      <c r="F316" t="s">
        <v>1433</v>
      </c>
      <c r="G316" t="s">
        <v>102</v>
      </c>
    </row>
    <row r="317" spans="1:7" x14ac:dyDescent="0.2">
      <c r="A317" t="s">
        <v>910</v>
      </c>
      <c r="B317" t="str">
        <f>"2/20"</f>
        <v>2/20</v>
      </c>
      <c r="C317">
        <v>1.4396293387323501E-4</v>
      </c>
      <c r="D317">
        <v>1.6722558449945E-3</v>
      </c>
      <c r="E317">
        <v>138.638888888888</v>
      </c>
      <c r="F317" t="s">
        <v>1425</v>
      </c>
      <c r="G317" t="s">
        <v>102</v>
      </c>
    </row>
    <row r="318" spans="1:7" x14ac:dyDescent="0.2">
      <c r="A318" t="s">
        <v>359</v>
      </c>
      <c r="B318" t="str">
        <f>"2/20"</f>
        <v>2/20</v>
      </c>
      <c r="C318">
        <v>1.4396293387323501E-4</v>
      </c>
      <c r="D318">
        <v>1.6722558449945E-3</v>
      </c>
      <c r="E318">
        <v>138.638888888888</v>
      </c>
      <c r="F318" t="s">
        <v>1434</v>
      </c>
      <c r="G318" t="s">
        <v>102</v>
      </c>
    </row>
    <row r="319" spans="1:7" x14ac:dyDescent="0.2">
      <c r="A319" t="s">
        <v>1435</v>
      </c>
      <c r="B319" t="str">
        <f>"2/20"</f>
        <v>2/20</v>
      </c>
      <c r="C319">
        <v>1.4396293387323501E-4</v>
      </c>
      <c r="D319">
        <v>1.6722558449945E-3</v>
      </c>
      <c r="E319">
        <v>138.638888888888</v>
      </c>
      <c r="F319" t="s">
        <v>1429</v>
      </c>
      <c r="G319" t="s">
        <v>102</v>
      </c>
    </row>
    <row r="320" spans="1:7" x14ac:dyDescent="0.2">
      <c r="A320" t="s">
        <v>282</v>
      </c>
      <c r="B320" t="str">
        <f>"3/116"</f>
        <v>3/116</v>
      </c>
      <c r="C320">
        <v>1.4557584364908299E-4</v>
      </c>
      <c r="D320">
        <v>1.6722558449945E-3</v>
      </c>
      <c r="E320">
        <v>35.166371681415903</v>
      </c>
      <c r="F320" t="s">
        <v>1436</v>
      </c>
      <c r="G320" t="s">
        <v>102</v>
      </c>
    </row>
    <row r="321" spans="1:7" x14ac:dyDescent="0.2">
      <c r="A321" t="s">
        <v>1437</v>
      </c>
      <c r="B321" t="str">
        <f>"2/22"</f>
        <v>2/22</v>
      </c>
      <c r="C321">
        <v>1.7484233445803901E-4</v>
      </c>
      <c r="D321">
        <v>1.95823414593E-3</v>
      </c>
      <c r="E321">
        <v>124.7625</v>
      </c>
      <c r="F321" t="s">
        <v>1429</v>
      </c>
      <c r="G321" t="s">
        <v>102</v>
      </c>
    </row>
    <row r="322" spans="1:7" x14ac:dyDescent="0.2">
      <c r="A322" t="s">
        <v>277</v>
      </c>
      <c r="B322" t="str">
        <f>"2/23"</f>
        <v>2/23</v>
      </c>
      <c r="C322">
        <v>1.9139204501829701E-4</v>
      </c>
      <c r="D322">
        <v>2.0415151468617999E-3</v>
      </c>
      <c r="E322">
        <v>118.81547619047601</v>
      </c>
      <c r="F322" t="s">
        <v>1425</v>
      </c>
      <c r="G322" t="s">
        <v>102</v>
      </c>
    </row>
    <row r="323" spans="1:7" x14ac:dyDescent="0.2">
      <c r="A323" t="s">
        <v>1438</v>
      </c>
      <c r="B323" t="str">
        <f>"2/23"</f>
        <v>2/23</v>
      </c>
      <c r="C323">
        <v>1.9139204501829701E-4</v>
      </c>
      <c r="D323">
        <v>2.0415151468617999E-3</v>
      </c>
      <c r="E323">
        <v>118.81547619047601</v>
      </c>
      <c r="F323" t="s">
        <v>1429</v>
      </c>
      <c r="G323" t="s">
        <v>102</v>
      </c>
    </row>
    <row r="324" spans="1:7" x14ac:dyDescent="0.2">
      <c r="A324" t="s">
        <v>41</v>
      </c>
      <c r="B324" t="str">
        <f>"4/335"</f>
        <v>4/335</v>
      </c>
      <c r="C324">
        <v>1.9647750748599899E-4</v>
      </c>
      <c r="D324">
        <v>2.0470214733425002E-3</v>
      </c>
      <c r="E324">
        <v>16.9624514458351</v>
      </c>
      <c r="F324" t="s">
        <v>1439</v>
      </c>
      <c r="G324" t="s">
        <v>102</v>
      </c>
    </row>
    <row r="325" spans="1:7" x14ac:dyDescent="0.2">
      <c r="A325" t="s">
        <v>26</v>
      </c>
      <c r="B325" t="str">
        <f>"2/26"</f>
        <v>2/26</v>
      </c>
      <c r="C325">
        <v>2.4546687981125099E-4</v>
      </c>
      <c r="D325">
        <v>2.4992991398962998E-3</v>
      </c>
      <c r="E325">
        <v>103.947916666666</v>
      </c>
      <c r="F325" t="s">
        <v>1425</v>
      </c>
      <c r="G325" t="s">
        <v>102</v>
      </c>
    </row>
    <row r="326" spans="1:7" x14ac:dyDescent="0.2">
      <c r="A326" t="s">
        <v>20</v>
      </c>
      <c r="B326" t="str">
        <f>"2/29"</f>
        <v>2/29</v>
      </c>
      <c r="C326">
        <v>3.0615524060429101E-4</v>
      </c>
      <c r="D326">
        <v>3.0479455064605001E-3</v>
      </c>
      <c r="E326">
        <v>92.384259259259196</v>
      </c>
      <c r="F326" t="s">
        <v>1425</v>
      </c>
      <c r="G326" t="s">
        <v>102</v>
      </c>
    </row>
    <row r="327" spans="1:7" x14ac:dyDescent="0.2">
      <c r="A327" t="s">
        <v>64</v>
      </c>
      <c r="B327" t="str">
        <f>"3/159"</f>
        <v>3/159</v>
      </c>
      <c r="C327">
        <v>3.6853096049400502E-4</v>
      </c>
      <c r="D327">
        <v>3.5594556772845999E-3</v>
      </c>
      <c r="E327">
        <v>25.4179487179487</v>
      </c>
      <c r="F327" t="s">
        <v>1433</v>
      </c>
      <c r="G327" t="s">
        <v>102</v>
      </c>
    </row>
    <row r="328" spans="1:7" x14ac:dyDescent="0.2">
      <c r="A328" t="s">
        <v>1440</v>
      </c>
      <c r="B328" t="str">
        <f>"2/32"</f>
        <v>2/32</v>
      </c>
      <c r="C328">
        <v>3.7342503757227102E-4</v>
      </c>
      <c r="D328">
        <v>3.5594556772845999E-3</v>
      </c>
      <c r="E328">
        <v>83.133333333333297</v>
      </c>
      <c r="F328" t="s">
        <v>1441</v>
      </c>
      <c r="G328" t="s">
        <v>102</v>
      </c>
    </row>
    <row r="329" spans="1:7" x14ac:dyDescent="0.2">
      <c r="A329" t="s">
        <v>1032</v>
      </c>
      <c r="B329" t="str">
        <f>"2/36"</f>
        <v>2/36</v>
      </c>
      <c r="C329">
        <v>4.7330062752558403E-4</v>
      </c>
      <c r="D329">
        <v>4.3273200230910004E-3</v>
      </c>
      <c r="E329">
        <v>73.338235294117595</v>
      </c>
      <c r="F329" t="s">
        <v>1300</v>
      </c>
      <c r="G329" t="s">
        <v>102</v>
      </c>
    </row>
    <row r="330" spans="1:7" x14ac:dyDescent="0.2">
      <c r="A330" t="s">
        <v>22</v>
      </c>
      <c r="B330" t="str">
        <f>"2/36"</f>
        <v>2/36</v>
      </c>
      <c r="C330">
        <v>4.7330062752558403E-4</v>
      </c>
      <c r="D330">
        <v>4.3273200230910004E-3</v>
      </c>
      <c r="E330">
        <v>73.338235294117595</v>
      </c>
      <c r="F330" t="s">
        <v>1425</v>
      </c>
      <c r="G330" t="s">
        <v>102</v>
      </c>
    </row>
    <row r="331" spans="1:7" x14ac:dyDescent="0.2">
      <c r="A331" t="s">
        <v>40</v>
      </c>
      <c r="B331" t="str">
        <f>"2/43"</f>
        <v>2/43</v>
      </c>
      <c r="C331">
        <v>6.7587311478240603E-4</v>
      </c>
      <c r="D331">
        <v>6.0558231084503001E-3</v>
      </c>
      <c r="E331">
        <v>60.795731707317003</v>
      </c>
      <c r="F331" t="s">
        <v>1425</v>
      </c>
      <c r="G331" t="s">
        <v>102</v>
      </c>
    </row>
    <row r="332" spans="1:7" x14ac:dyDescent="0.2">
      <c r="A332" t="s">
        <v>1302</v>
      </c>
      <c r="B332" t="str">
        <f>"2/46"</f>
        <v>2/46</v>
      </c>
      <c r="C332">
        <v>7.7343514372915797E-4</v>
      </c>
      <c r="D332">
        <v>6.7940969488365002E-3</v>
      </c>
      <c r="E332">
        <v>56.642045454545404</v>
      </c>
      <c r="F332" t="s">
        <v>1303</v>
      </c>
      <c r="G332" t="s">
        <v>102</v>
      </c>
    </row>
    <row r="333" spans="1:7" x14ac:dyDescent="0.2">
      <c r="A333" t="s">
        <v>564</v>
      </c>
      <c r="B333" t="str">
        <f>"2/47"</f>
        <v>2/47</v>
      </c>
      <c r="C333">
        <v>8.0737995497278401E-4</v>
      </c>
      <c r="D333">
        <v>6.9558888428424004E-3</v>
      </c>
      <c r="E333">
        <v>55.380555555555503</v>
      </c>
      <c r="F333" t="s">
        <v>1442</v>
      </c>
      <c r="G333" t="s">
        <v>102</v>
      </c>
    </row>
    <row r="334" spans="1:7" x14ac:dyDescent="0.2">
      <c r="A334" t="s">
        <v>1307</v>
      </c>
      <c r="B334" t="str">
        <f>"2/49"</f>
        <v>2/49</v>
      </c>
      <c r="C334">
        <v>8.7739879749096502E-4</v>
      </c>
      <c r="D334">
        <v>7.4165030429424001E-3</v>
      </c>
      <c r="E334">
        <v>53.018617021276597</v>
      </c>
      <c r="F334" t="s">
        <v>1303</v>
      </c>
      <c r="G334" t="s">
        <v>102</v>
      </c>
    </row>
    <row r="335" spans="1:7" x14ac:dyDescent="0.2">
      <c r="A335" t="s">
        <v>68</v>
      </c>
      <c r="B335" t="str">
        <f>"3/219"</f>
        <v>3/219</v>
      </c>
      <c r="C335">
        <v>9.3586896482864403E-4</v>
      </c>
      <c r="D335">
        <v>7.7402088983432003E-3</v>
      </c>
      <c r="E335">
        <v>18.301851851851801</v>
      </c>
      <c r="F335" t="s">
        <v>1433</v>
      </c>
      <c r="G335" t="s">
        <v>102</v>
      </c>
    </row>
    <row r="336" spans="1:7" x14ac:dyDescent="0.2">
      <c r="A336" t="s">
        <v>601</v>
      </c>
      <c r="B336" t="str">
        <f>"2/51"</f>
        <v>2/51</v>
      </c>
      <c r="C336">
        <v>9.5024886028767302E-4</v>
      </c>
      <c r="D336">
        <v>7.7402088983432003E-3</v>
      </c>
      <c r="E336">
        <v>50.849489795918302</v>
      </c>
      <c r="F336" t="s">
        <v>1427</v>
      </c>
      <c r="G336" t="s">
        <v>102</v>
      </c>
    </row>
    <row r="337" spans="1:7" x14ac:dyDescent="0.2">
      <c r="A337" t="s">
        <v>1309</v>
      </c>
      <c r="B337" t="str">
        <f>"2/54"</f>
        <v>2/54</v>
      </c>
      <c r="C337">
        <v>1.0648122203733E-3</v>
      </c>
      <c r="D337">
        <v>8.4735849059286005E-3</v>
      </c>
      <c r="E337">
        <v>47.908653846153797</v>
      </c>
      <c r="F337" t="s">
        <v>1429</v>
      </c>
      <c r="G337" t="s">
        <v>102</v>
      </c>
    </row>
    <row r="338" spans="1:7" x14ac:dyDescent="0.2">
      <c r="A338" t="s">
        <v>34</v>
      </c>
      <c r="B338" t="str">
        <f>"3/230"</f>
        <v>3/230</v>
      </c>
      <c r="C338">
        <v>1.0781123652632001E-3</v>
      </c>
      <c r="D338">
        <v>8.4735849059286005E-3</v>
      </c>
      <c r="E338">
        <v>17.4052863436123</v>
      </c>
      <c r="F338" t="s">
        <v>1443</v>
      </c>
      <c r="G338" t="s">
        <v>102</v>
      </c>
    </row>
    <row r="339" spans="1:7" x14ac:dyDescent="0.2">
      <c r="A339" t="s">
        <v>52</v>
      </c>
      <c r="B339" t="str">
        <f>"2/56"</f>
        <v>2/56</v>
      </c>
      <c r="C339">
        <v>1.1446998237224001E-3</v>
      </c>
      <c r="D339">
        <v>8.8418193280629005E-3</v>
      </c>
      <c r="E339">
        <v>46.129629629629598</v>
      </c>
      <c r="F339" t="s">
        <v>1444</v>
      </c>
      <c r="G339" t="s">
        <v>102</v>
      </c>
    </row>
    <row r="340" spans="1:7" x14ac:dyDescent="0.2">
      <c r="A340" t="s">
        <v>55</v>
      </c>
      <c r="B340" t="str">
        <f>"2/60"</f>
        <v>2/60</v>
      </c>
      <c r="C340">
        <v>1.3128624367881E-3</v>
      </c>
      <c r="D340">
        <v>9.9688537573069998E-3</v>
      </c>
      <c r="E340">
        <v>42.939655172413701</v>
      </c>
      <c r="F340" t="s">
        <v>1444</v>
      </c>
      <c r="G340" t="s">
        <v>102</v>
      </c>
    </row>
    <row r="341" spans="1:7" x14ac:dyDescent="0.2">
      <c r="A341" t="s">
        <v>47</v>
      </c>
      <c r="B341" t="str">
        <f>"5/120"</f>
        <v>5/120</v>
      </c>
      <c r="C341" s="2">
        <v>5.4748178961418998E-9</v>
      </c>
      <c r="D341" s="2">
        <v>1.3468052024509E-6</v>
      </c>
      <c r="E341">
        <v>123.434782608695</v>
      </c>
      <c r="F341" t="s">
        <v>48</v>
      </c>
      <c r="G341" t="s">
        <v>49</v>
      </c>
    </row>
    <row r="342" spans="1:7" x14ac:dyDescent="0.2">
      <c r="A342" t="s">
        <v>50</v>
      </c>
      <c r="B342" t="str">
        <f>"3/10"</f>
        <v>3/10</v>
      </c>
      <c r="C342" s="2">
        <v>1.9753256746527899E-8</v>
      </c>
      <c r="D342" s="2">
        <v>1.6698297494727099E-6</v>
      </c>
      <c r="E342">
        <v>951.47619047619003</v>
      </c>
      <c r="F342" t="s">
        <v>51</v>
      </c>
      <c r="G342" t="s">
        <v>49</v>
      </c>
    </row>
    <row r="343" spans="1:7" x14ac:dyDescent="0.2">
      <c r="A343" t="s">
        <v>52</v>
      </c>
      <c r="B343" t="str">
        <f>"4/56"</f>
        <v>4/56</v>
      </c>
      <c r="C343" s="2">
        <v>2.6824905941212899E-8</v>
      </c>
      <c r="D343" s="2">
        <v>1.6698297494727099E-6</v>
      </c>
      <c r="E343">
        <v>191.692307692307</v>
      </c>
      <c r="F343" t="s">
        <v>53</v>
      </c>
      <c r="G343" t="s">
        <v>49</v>
      </c>
    </row>
    <row r="344" spans="1:7" x14ac:dyDescent="0.2">
      <c r="A344" t="s">
        <v>54</v>
      </c>
      <c r="B344" t="str">
        <f>"3/11"</f>
        <v>3/11</v>
      </c>
      <c r="C344" s="2">
        <v>2.7151703243458701E-8</v>
      </c>
      <c r="D344" s="2">
        <v>1.6698297494727099E-6</v>
      </c>
      <c r="E344">
        <v>832.5</v>
      </c>
      <c r="F344" t="s">
        <v>51</v>
      </c>
      <c r="G344" t="s">
        <v>49</v>
      </c>
    </row>
    <row r="345" spans="1:7" x14ac:dyDescent="0.2">
      <c r="A345" t="s">
        <v>55</v>
      </c>
      <c r="B345" t="str">
        <f>"4/60"</f>
        <v>4/60</v>
      </c>
      <c r="C345" s="2">
        <v>3.55687860612036E-8</v>
      </c>
      <c r="D345" s="2">
        <v>1.74998427421122E-6</v>
      </c>
      <c r="E345">
        <v>177.96428571428501</v>
      </c>
      <c r="F345" t="s">
        <v>53</v>
      </c>
      <c r="G345" t="s">
        <v>49</v>
      </c>
    </row>
    <row r="346" spans="1:7" x14ac:dyDescent="0.2">
      <c r="A346" t="s">
        <v>43</v>
      </c>
      <c r="B346" t="str">
        <f>"4/70"</f>
        <v>4/70</v>
      </c>
      <c r="C346" s="2">
        <v>6.66661704594532E-8</v>
      </c>
      <c r="D346" s="2">
        <v>2.7333129888375799E-6</v>
      </c>
      <c r="E346">
        <v>150.92424242424201</v>
      </c>
      <c r="F346" t="s">
        <v>53</v>
      </c>
      <c r="G346" t="s">
        <v>49</v>
      </c>
    </row>
    <row r="347" spans="1:7" x14ac:dyDescent="0.2">
      <c r="A347" t="s">
        <v>56</v>
      </c>
      <c r="B347" t="str">
        <f>"4/73"</f>
        <v>4/73</v>
      </c>
      <c r="C347" s="2">
        <v>7.9062346013724403E-8</v>
      </c>
      <c r="D347" s="2">
        <v>2.7784767313394499E-6</v>
      </c>
      <c r="E347">
        <v>144.340579710144</v>
      </c>
      <c r="F347" t="s">
        <v>53</v>
      </c>
      <c r="G347" t="s">
        <v>49</v>
      </c>
    </row>
    <row r="348" spans="1:7" x14ac:dyDescent="0.2">
      <c r="A348" t="s">
        <v>57</v>
      </c>
      <c r="B348" t="str">
        <f>"4/77"</f>
        <v>4/77</v>
      </c>
      <c r="C348" s="2">
        <v>9.81746794573031E-8</v>
      </c>
      <c r="D348" s="2">
        <v>3.0188713933120701E-6</v>
      </c>
      <c r="E348">
        <v>136.40410958904101</v>
      </c>
      <c r="F348" t="s">
        <v>53</v>
      </c>
      <c r="G348" t="s">
        <v>49</v>
      </c>
    </row>
    <row r="349" spans="1:7" x14ac:dyDescent="0.2">
      <c r="A349" t="s">
        <v>58</v>
      </c>
      <c r="B349" t="str">
        <f>"3/27"</f>
        <v>3/27</v>
      </c>
      <c r="C349" s="2">
        <v>4.7875283810414799E-7</v>
      </c>
      <c r="D349" s="2">
        <v>1.21884937606915E-5</v>
      </c>
      <c r="E349">
        <v>277.27777777777698</v>
      </c>
      <c r="F349" t="s">
        <v>59</v>
      </c>
      <c r="G349" t="s">
        <v>49</v>
      </c>
    </row>
    <row r="350" spans="1:7" x14ac:dyDescent="0.2">
      <c r="A350" t="s">
        <v>60</v>
      </c>
      <c r="B350" t="str">
        <f>"4/115"</f>
        <v>4/115</v>
      </c>
      <c r="C350" s="2">
        <v>4.9546722604436999E-7</v>
      </c>
      <c r="D350" s="2">
        <v>1.21884937606915E-5</v>
      </c>
      <c r="E350">
        <v>89.536036036035995</v>
      </c>
      <c r="F350" t="s">
        <v>61</v>
      </c>
      <c r="G350" t="s">
        <v>49</v>
      </c>
    </row>
    <row r="351" spans="1:7" x14ac:dyDescent="0.2">
      <c r="A351" t="s">
        <v>62</v>
      </c>
      <c r="B351" t="str">
        <f>"3/34"</f>
        <v>3/34</v>
      </c>
      <c r="C351" s="2">
        <v>9.7713465122122907E-7</v>
      </c>
      <c r="D351" s="2">
        <v>2.0031260350035101E-5</v>
      </c>
      <c r="E351">
        <v>214.591397849462</v>
      </c>
      <c r="F351" t="s">
        <v>59</v>
      </c>
      <c r="G351" t="s">
        <v>49</v>
      </c>
    </row>
    <row r="352" spans="1:7" x14ac:dyDescent="0.2">
      <c r="A352" t="s">
        <v>63</v>
      </c>
      <c r="B352" t="str">
        <f>"3/34"</f>
        <v>3/34</v>
      </c>
      <c r="C352" s="2">
        <v>9.7713465122122907E-7</v>
      </c>
      <c r="D352" s="2">
        <v>2.0031260350035101E-5</v>
      </c>
      <c r="E352">
        <v>214.591397849462</v>
      </c>
      <c r="F352" t="s">
        <v>59</v>
      </c>
      <c r="G352" t="s">
        <v>49</v>
      </c>
    </row>
    <row r="353" spans="1:7" x14ac:dyDescent="0.2">
      <c r="A353" t="s">
        <v>64</v>
      </c>
      <c r="B353" t="str">
        <f>"4/159"</f>
        <v>4/159</v>
      </c>
      <c r="C353" s="2">
        <v>1.81159697920962E-6</v>
      </c>
      <c r="D353" s="2">
        <v>3.4280988991197501E-5</v>
      </c>
      <c r="E353">
        <v>63.977419354838702</v>
      </c>
      <c r="F353" t="s">
        <v>61</v>
      </c>
      <c r="G353" t="s">
        <v>49</v>
      </c>
    </row>
    <row r="354" spans="1:7" x14ac:dyDescent="0.2">
      <c r="A354" t="s">
        <v>65</v>
      </c>
      <c r="B354" t="str">
        <f>"3/44"</f>
        <v>3/44</v>
      </c>
      <c r="C354" s="2">
        <v>2.1553572082091002E-6</v>
      </c>
      <c r="D354" s="2">
        <v>3.787270522996E-5</v>
      </c>
      <c r="E354">
        <v>162.170731707317</v>
      </c>
      <c r="F354" t="s">
        <v>66</v>
      </c>
      <c r="G354" t="s">
        <v>49</v>
      </c>
    </row>
    <row r="355" spans="1:7" x14ac:dyDescent="0.2">
      <c r="A355" t="s">
        <v>67</v>
      </c>
      <c r="B355" t="str">
        <f>"3/52"</f>
        <v>3/52</v>
      </c>
      <c r="C355" s="2">
        <v>3.5869155810300002E-6</v>
      </c>
      <c r="D355" s="2">
        <v>5.8825415528892002E-5</v>
      </c>
      <c r="E355">
        <v>135.63945578231201</v>
      </c>
      <c r="F355" t="s">
        <v>59</v>
      </c>
      <c r="G355" t="s">
        <v>49</v>
      </c>
    </row>
    <row r="356" spans="1:7" x14ac:dyDescent="0.2">
      <c r="A356" t="s">
        <v>68</v>
      </c>
      <c r="B356" t="str">
        <f>"4/219"</f>
        <v>4/219</v>
      </c>
      <c r="C356" s="2">
        <v>6.4627705125280098E-6</v>
      </c>
      <c r="D356" s="2">
        <v>9.45505947812292E-5</v>
      </c>
      <c r="E356">
        <v>45.983720930232501</v>
      </c>
      <c r="F356" t="s">
        <v>61</v>
      </c>
      <c r="G356" t="s">
        <v>49</v>
      </c>
    </row>
    <row r="357" spans="1:7" x14ac:dyDescent="0.2">
      <c r="A357" t="s">
        <v>69</v>
      </c>
      <c r="B357" t="str">
        <f>"3/64"</f>
        <v>3/64</v>
      </c>
      <c r="C357" s="2">
        <v>6.7349112995211498E-6</v>
      </c>
      <c r="D357" s="2">
        <v>9.45505947812292E-5</v>
      </c>
      <c r="E357">
        <v>108.89071038251301</v>
      </c>
      <c r="F357" t="s">
        <v>59</v>
      </c>
      <c r="G357" t="s">
        <v>49</v>
      </c>
    </row>
    <row r="358" spans="1:7" x14ac:dyDescent="0.2">
      <c r="A358" t="s">
        <v>70</v>
      </c>
      <c r="B358" t="str">
        <f>"2/7"</f>
        <v>2/7</v>
      </c>
      <c r="C358" s="2">
        <v>6.9183362035045704E-6</v>
      </c>
      <c r="D358" s="2">
        <v>9.45505947812292E-5</v>
      </c>
      <c r="E358">
        <v>799.32</v>
      </c>
      <c r="F358" t="s">
        <v>71</v>
      </c>
      <c r="G358" t="s">
        <v>49</v>
      </c>
    </row>
    <row r="359" spans="1:7" x14ac:dyDescent="0.2">
      <c r="A359" t="s">
        <v>34</v>
      </c>
      <c r="B359" t="str">
        <f>"4/230"</f>
        <v>4/230</v>
      </c>
      <c r="C359" s="2">
        <v>7.8449613896113595E-6</v>
      </c>
      <c r="D359">
        <v>1.01571605360231E-4</v>
      </c>
      <c r="E359">
        <v>43.721238938053098</v>
      </c>
      <c r="F359" t="s">
        <v>53</v>
      </c>
      <c r="G359" t="s">
        <v>49</v>
      </c>
    </row>
    <row r="360" spans="1:7" x14ac:dyDescent="0.2">
      <c r="A360" t="s">
        <v>72</v>
      </c>
      <c r="B360" t="str">
        <f>"2/11"</f>
        <v>2/11</v>
      </c>
      <c r="C360" s="2">
        <v>1.8095491252897399E-5</v>
      </c>
      <c r="D360">
        <v>2.19804013220967E-4</v>
      </c>
      <c r="E360">
        <v>443.97777777777702</v>
      </c>
      <c r="F360" t="s">
        <v>73</v>
      </c>
      <c r="G360" t="s">
        <v>49</v>
      </c>
    </row>
    <row r="361" spans="1:7" x14ac:dyDescent="0.2">
      <c r="A361" t="s">
        <v>16</v>
      </c>
      <c r="B361" t="str">
        <f>"5/621"</f>
        <v>5/621</v>
      </c>
      <c r="C361" s="2">
        <v>1.8763757226180102E-5</v>
      </c>
      <c r="D361">
        <v>2.19804013220967E-4</v>
      </c>
      <c r="E361">
        <v>22.462894248608499</v>
      </c>
      <c r="F361" t="s">
        <v>1445</v>
      </c>
      <c r="G361" t="s">
        <v>49</v>
      </c>
    </row>
    <row r="362" spans="1:7" x14ac:dyDescent="0.2">
      <c r="A362" t="s">
        <v>541</v>
      </c>
      <c r="B362" t="str">
        <f>"3/92"</f>
        <v>3/92</v>
      </c>
      <c r="C362" s="2">
        <v>2.0108782415340898E-5</v>
      </c>
      <c r="D362">
        <v>2.2485274882608501E-4</v>
      </c>
      <c r="E362">
        <v>74.528089887640405</v>
      </c>
      <c r="F362" t="s">
        <v>1446</v>
      </c>
      <c r="G362" t="s">
        <v>49</v>
      </c>
    </row>
    <row r="363" spans="1:7" x14ac:dyDescent="0.2">
      <c r="A363" t="s">
        <v>263</v>
      </c>
      <c r="B363" t="str">
        <f>"4/323"</f>
        <v>4/323</v>
      </c>
      <c r="C363" s="2">
        <v>2.9837157122635899E-5</v>
      </c>
      <c r="D363">
        <v>3.0657784007081298E-4</v>
      </c>
      <c r="E363">
        <v>30.829153605015598</v>
      </c>
      <c r="F363" t="s">
        <v>61</v>
      </c>
      <c r="G363" t="s">
        <v>49</v>
      </c>
    </row>
    <row r="364" spans="1:7" x14ac:dyDescent="0.2">
      <c r="A364" t="s">
        <v>264</v>
      </c>
      <c r="B364" t="str">
        <f>"2/14"</f>
        <v>2/14</v>
      </c>
      <c r="C364" s="2">
        <v>2.9910033177640299E-5</v>
      </c>
      <c r="D364">
        <v>3.0657784007081298E-4</v>
      </c>
      <c r="E364">
        <v>332.933333333333</v>
      </c>
      <c r="F364" t="s">
        <v>1294</v>
      </c>
      <c r="G364" t="s">
        <v>49</v>
      </c>
    </row>
    <row r="365" spans="1:7" x14ac:dyDescent="0.2">
      <c r="A365" t="s">
        <v>1295</v>
      </c>
      <c r="B365" t="str">
        <f>"2/15"</f>
        <v>2/15</v>
      </c>
      <c r="C365" s="2">
        <v>3.4500120564243598E-5</v>
      </c>
      <c r="D365">
        <v>3.2642421764630502E-4</v>
      </c>
      <c r="E365">
        <v>307.30769230769198</v>
      </c>
      <c r="F365" t="s">
        <v>1294</v>
      </c>
      <c r="G365" t="s">
        <v>49</v>
      </c>
    </row>
    <row r="366" spans="1:7" x14ac:dyDescent="0.2">
      <c r="A366" t="s">
        <v>989</v>
      </c>
      <c r="B366" t="str">
        <f>"2/15"</f>
        <v>2/15</v>
      </c>
      <c r="C366" s="2">
        <v>3.4500120564243598E-5</v>
      </c>
      <c r="D366">
        <v>3.2642421764630502E-4</v>
      </c>
      <c r="E366">
        <v>307.30769230769198</v>
      </c>
      <c r="F366" t="s">
        <v>1447</v>
      </c>
      <c r="G366" t="s">
        <v>49</v>
      </c>
    </row>
    <row r="367" spans="1:7" x14ac:dyDescent="0.2">
      <c r="A367" t="s">
        <v>745</v>
      </c>
      <c r="B367" t="str">
        <f>"3/118"</f>
        <v>3/118</v>
      </c>
      <c r="C367" s="2">
        <v>4.2366659182945703E-5</v>
      </c>
      <c r="D367">
        <v>3.86007339222394E-4</v>
      </c>
      <c r="E367">
        <v>57.602898550724603</v>
      </c>
      <c r="F367" t="s">
        <v>59</v>
      </c>
      <c r="G367" t="s">
        <v>49</v>
      </c>
    </row>
    <row r="368" spans="1:7" x14ac:dyDescent="0.2">
      <c r="A368" t="s">
        <v>266</v>
      </c>
      <c r="B368" t="str">
        <f>"2/18"</f>
        <v>2/18</v>
      </c>
      <c r="C368" s="2">
        <v>5.02215273031008E-5</v>
      </c>
      <c r="D368">
        <v>4.4123198987724201E-4</v>
      </c>
      <c r="E368">
        <v>249.65</v>
      </c>
      <c r="F368" t="s">
        <v>73</v>
      </c>
      <c r="G368" t="s">
        <v>49</v>
      </c>
    </row>
    <row r="369" spans="1:7" x14ac:dyDescent="0.2">
      <c r="A369" t="s">
        <v>1075</v>
      </c>
      <c r="B369" t="str">
        <f>"2/19"</f>
        <v>2/19</v>
      </c>
      <c r="C369" s="2">
        <v>5.6111289598260898E-5</v>
      </c>
      <c r="D369">
        <v>4.7597852555766098E-4</v>
      </c>
      <c r="E369">
        <v>234.95294117647001</v>
      </c>
      <c r="F369" t="s">
        <v>1294</v>
      </c>
      <c r="G369" t="s">
        <v>49</v>
      </c>
    </row>
    <row r="370" spans="1:7" x14ac:dyDescent="0.2">
      <c r="A370" t="s">
        <v>267</v>
      </c>
      <c r="B370" t="str">
        <f>"2/20"</f>
        <v>2/20</v>
      </c>
      <c r="C370" s="2">
        <v>6.2325155019944605E-5</v>
      </c>
      <c r="D370">
        <v>5.1106627116354595E-4</v>
      </c>
      <c r="E370">
        <v>221.888888888888</v>
      </c>
      <c r="F370" t="s">
        <v>1294</v>
      </c>
      <c r="G370" t="s">
        <v>49</v>
      </c>
    </row>
    <row r="371" spans="1:7" x14ac:dyDescent="0.2">
      <c r="A371" t="s">
        <v>768</v>
      </c>
      <c r="B371" t="str">
        <f>"3/140"</f>
        <v>3/140</v>
      </c>
      <c r="C371" s="2">
        <v>7.0516321099948795E-5</v>
      </c>
      <c r="D371">
        <v>5.5958112872862603E-4</v>
      </c>
      <c r="E371">
        <v>48.299270072992698</v>
      </c>
      <c r="F371" t="s">
        <v>1446</v>
      </c>
      <c r="G371" t="s">
        <v>49</v>
      </c>
    </row>
    <row r="372" spans="1:7" x14ac:dyDescent="0.2">
      <c r="A372" t="s">
        <v>269</v>
      </c>
      <c r="B372" t="str">
        <f>"2/25"</f>
        <v>2/25</v>
      </c>
      <c r="C372" s="2">
        <v>9.8244631898203796E-5</v>
      </c>
      <c r="D372">
        <v>7.5525560771744205E-4</v>
      </c>
      <c r="E372">
        <v>173.608695652173</v>
      </c>
      <c r="F372" t="s">
        <v>1294</v>
      </c>
      <c r="G372" t="s">
        <v>49</v>
      </c>
    </row>
    <row r="373" spans="1:7" x14ac:dyDescent="0.2">
      <c r="A373" t="s">
        <v>1058</v>
      </c>
      <c r="B373" t="str">
        <f>"2/26"</f>
        <v>2/26</v>
      </c>
      <c r="C373">
        <v>1.06396280748011E-4</v>
      </c>
      <c r="D373">
        <v>7.9313591103063097E-4</v>
      </c>
      <c r="E373">
        <v>166.36666666666599</v>
      </c>
      <c r="F373" t="s">
        <v>1294</v>
      </c>
      <c r="G373" t="s">
        <v>49</v>
      </c>
    </row>
    <row r="374" spans="1:7" x14ac:dyDescent="0.2">
      <c r="A374" t="s">
        <v>847</v>
      </c>
      <c r="B374" t="str">
        <f>"3/165"</f>
        <v>3/165</v>
      </c>
      <c r="C374">
        <v>1.14844447684984E-4</v>
      </c>
      <c r="D374">
        <v>8.3093335677959595E-4</v>
      </c>
      <c r="E374">
        <v>40.794238683127503</v>
      </c>
      <c r="F374" t="s">
        <v>59</v>
      </c>
      <c r="G374" t="s">
        <v>49</v>
      </c>
    </row>
    <row r="375" spans="1:7" x14ac:dyDescent="0.2">
      <c r="A375" t="s">
        <v>7</v>
      </c>
      <c r="B375" t="str">
        <f>"3/179"</f>
        <v>3/179</v>
      </c>
      <c r="C375">
        <v>1.46144716844591E-4</v>
      </c>
      <c r="D375">
        <v>1.0271885812505E-3</v>
      </c>
      <c r="E375">
        <v>37.522727272727202</v>
      </c>
      <c r="F375" t="s">
        <v>1448</v>
      </c>
      <c r="G375" t="s">
        <v>49</v>
      </c>
    </row>
    <row r="376" spans="1:7" x14ac:dyDescent="0.2">
      <c r="A376" t="s">
        <v>1055</v>
      </c>
      <c r="B376" t="str">
        <f>"2/31"</f>
        <v>2/31</v>
      </c>
      <c r="C376">
        <v>1.5197544040944301E-4</v>
      </c>
      <c r="D376">
        <v>1.0384988427978E-3</v>
      </c>
      <c r="E376">
        <v>137.648275862068</v>
      </c>
      <c r="F376" t="s">
        <v>1294</v>
      </c>
      <c r="G376" t="s">
        <v>49</v>
      </c>
    </row>
    <row r="377" spans="1:7" x14ac:dyDescent="0.2">
      <c r="A377" t="s">
        <v>1299</v>
      </c>
      <c r="B377" t="str">
        <f>"2/35"</f>
        <v>2/35</v>
      </c>
      <c r="C377">
        <v>1.9420443968589201E-4</v>
      </c>
      <c r="D377">
        <v>1.2911970854790999E-3</v>
      </c>
      <c r="E377">
        <v>120.939393939393</v>
      </c>
      <c r="F377" t="s">
        <v>1294</v>
      </c>
      <c r="G377" t="s">
        <v>49</v>
      </c>
    </row>
    <row r="378" spans="1:7" x14ac:dyDescent="0.2">
      <c r="A378" t="s">
        <v>362</v>
      </c>
      <c r="B378" t="str">
        <f>"2/41"</f>
        <v>2/41</v>
      </c>
      <c r="C378">
        <v>2.6710895227870999E-4</v>
      </c>
      <c r="D378">
        <v>1.7291790068569E-3</v>
      </c>
      <c r="E378">
        <v>102.30256410256401</v>
      </c>
      <c r="F378" t="s">
        <v>1449</v>
      </c>
      <c r="G378" t="s">
        <v>49</v>
      </c>
    </row>
    <row r="379" spans="1:7" x14ac:dyDescent="0.2">
      <c r="A379" t="s">
        <v>564</v>
      </c>
      <c r="B379" t="str">
        <f>"2/47"</f>
        <v>2/47</v>
      </c>
      <c r="C379">
        <v>3.51424896053094E-4</v>
      </c>
      <c r="D379">
        <v>2.2166801135656E-3</v>
      </c>
      <c r="E379">
        <v>88.635555555555499</v>
      </c>
      <c r="F379" t="s">
        <v>1447</v>
      </c>
      <c r="G379" t="s">
        <v>49</v>
      </c>
    </row>
    <row r="380" spans="1:7" x14ac:dyDescent="0.2">
      <c r="A380" t="s">
        <v>1309</v>
      </c>
      <c r="B380" t="str">
        <f>"2/54"</f>
        <v>2/54</v>
      </c>
      <c r="C380">
        <v>4.6412390396978801E-4</v>
      </c>
      <c r="D380">
        <v>2.8543620094141002E-3</v>
      </c>
      <c r="E380">
        <v>76.676923076923003</v>
      </c>
      <c r="F380" t="s">
        <v>1294</v>
      </c>
      <c r="G380" t="s">
        <v>49</v>
      </c>
    </row>
    <row r="381" spans="1:7" x14ac:dyDescent="0.2">
      <c r="A381" t="s">
        <v>1450</v>
      </c>
      <c r="B381" t="str">
        <f>"2/58"</f>
        <v>2/58</v>
      </c>
      <c r="C381">
        <v>5.3541251637237604E-4</v>
      </c>
      <c r="D381">
        <v>3.2124750982342001E-3</v>
      </c>
      <c r="E381">
        <v>71.185714285714198</v>
      </c>
      <c r="F381" t="s">
        <v>1447</v>
      </c>
      <c r="G381" t="s">
        <v>49</v>
      </c>
    </row>
    <row r="382" spans="1:7" x14ac:dyDescent="0.2">
      <c r="A382" t="s">
        <v>38</v>
      </c>
      <c r="B382" t="str">
        <f>"2/66"</f>
        <v>2/66</v>
      </c>
      <c r="C382">
        <v>6.9292401380665204E-4</v>
      </c>
      <c r="D382">
        <v>4.0585549380103003E-3</v>
      </c>
      <c r="E382">
        <v>62.262500000000003</v>
      </c>
      <c r="F382" t="s">
        <v>1451</v>
      </c>
      <c r="G382" t="s">
        <v>49</v>
      </c>
    </row>
    <row r="383" spans="1:7" x14ac:dyDescent="0.2">
      <c r="A383" t="s">
        <v>32</v>
      </c>
      <c r="B383" t="str">
        <f>"2/75"</f>
        <v>2/75</v>
      </c>
      <c r="C383">
        <v>8.9375647484228799E-4</v>
      </c>
      <c r="D383">
        <v>4.9969112002545999E-3</v>
      </c>
      <c r="E383">
        <v>54.561643835616401</v>
      </c>
      <c r="F383" t="s">
        <v>1451</v>
      </c>
      <c r="G383" t="s">
        <v>49</v>
      </c>
    </row>
    <row r="384" spans="1:7" x14ac:dyDescent="0.2">
      <c r="A384" t="s">
        <v>30</v>
      </c>
      <c r="B384" t="str">
        <f>"2/75"</f>
        <v>2/75</v>
      </c>
      <c r="C384">
        <v>8.9375647484228799E-4</v>
      </c>
      <c r="D384">
        <v>4.9969112002545999E-3</v>
      </c>
      <c r="E384">
        <v>54.561643835616401</v>
      </c>
      <c r="F384" t="s">
        <v>1451</v>
      </c>
      <c r="G384" t="s">
        <v>49</v>
      </c>
    </row>
    <row r="385" spans="1:7" x14ac:dyDescent="0.2">
      <c r="A385" t="s">
        <v>18</v>
      </c>
      <c r="B385" t="str">
        <f>"2/76"</f>
        <v>2/76</v>
      </c>
      <c r="C385">
        <v>9.1760631106165404E-4</v>
      </c>
      <c r="D385">
        <v>5.0162478338037003E-3</v>
      </c>
      <c r="E385">
        <v>53.821621621621603</v>
      </c>
      <c r="F385" t="s">
        <v>1451</v>
      </c>
      <c r="G385" t="s">
        <v>49</v>
      </c>
    </row>
    <row r="386" spans="1:7" x14ac:dyDescent="0.2">
      <c r="A386" t="s">
        <v>713</v>
      </c>
      <c r="B386" t="str">
        <f>"3/404"</f>
        <v>3/404</v>
      </c>
      <c r="C386">
        <v>1.5714656729492E-3</v>
      </c>
      <c r="D386">
        <v>8.4039251205543994E-3</v>
      </c>
      <c r="E386">
        <v>16.281795511221901</v>
      </c>
      <c r="F386" t="s">
        <v>1446</v>
      </c>
      <c r="G386" t="s">
        <v>49</v>
      </c>
    </row>
    <row r="387" spans="1:7" x14ac:dyDescent="0.2">
      <c r="A387" t="s">
        <v>52</v>
      </c>
      <c r="B387" t="str">
        <f>"3/56"</f>
        <v>3/56</v>
      </c>
      <c r="C387" s="2">
        <v>2.0790016795178899E-8</v>
      </c>
      <c r="D387" s="2">
        <v>4.8279807636360897E-7</v>
      </c>
      <c r="E387">
        <v>59832</v>
      </c>
      <c r="F387" t="s">
        <v>261</v>
      </c>
      <c r="G387" t="s">
        <v>103</v>
      </c>
    </row>
    <row r="388" spans="1:7" x14ac:dyDescent="0.2">
      <c r="A388" t="s">
        <v>55</v>
      </c>
      <c r="B388" t="str">
        <f>"3/60"</f>
        <v>3/60</v>
      </c>
      <c r="C388" s="2">
        <v>2.56651113957061E-8</v>
      </c>
      <c r="D388" s="2">
        <v>4.8279807636360897E-7</v>
      </c>
      <c r="E388">
        <v>59820</v>
      </c>
      <c r="F388" t="s">
        <v>261</v>
      </c>
      <c r="G388" t="s">
        <v>103</v>
      </c>
    </row>
    <row r="389" spans="1:7" x14ac:dyDescent="0.2">
      <c r="A389" t="s">
        <v>43</v>
      </c>
      <c r="B389" t="str">
        <f>"3/70"</f>
        <v>3/70</v>
      </c>
      <c r="C389" s="2">
        <v>4.1055495360897401E-8</v>
      </c>
      <c r="D389" s="2">
        <v>4.8279807636360897E-7</v>
      </c>
      <c r="E389">
        <v>59790</v>
      </c>
      <c r="F389" t="s">
        <v>261</v>
      </c>
      <c r="G389" t="s">
        <v>103</v>
      </c>
    </row>
    <row r="390" spans="1:7" x14ac:dyDescent="0.2">
      <c r="A390" t="s">
        <v>56</v>
      </c>
      <c r="B390" t="str">
        <f>"3/73"</f>
        <v>3/73</v>
      </c>
      <c r="C390" s="2">
        <v>4.6647659096634802E-8</v>
      </c>
      <c r="D390" s="2">
        <v>4.8279807636360897E-7</v>
      </c>
      <c r="E390">
        <v>59781</v>
      </c>
      <c r="F390" t="s">
        <v>261</v>
      </c>
      <c r="G390" t="s">
        <v>103</v>
      </c>
    </row>
    <row r="391" spans="1:7" x14ac:dyDescent="0.2">
      <c r="A391" t="s">
        <v>57</v>
      </c>
      <c r="B391" t="str">
        <f>"3/77"</f>
        <v>3/77</v>
      </c>
      <c r="C391" s="2">
        <v>5.4863417768591903E-8</v>
      </c>
      <c r="D391" s="2">
        <v>4.8279807636360897E-7</v>
      </c>
      <c r="E391">
        <v>59769</v>
      </c>
      <c r="F391" t="s">
        <v>261</v>
      </c>
      <c r="G391" t="s">
        <v>103</v>
      </c>
    </row>
    <row r="392" spans="1:7" x14ac:dyDescent="0.2">
      <c r="A392" t="s">
        <v>34</v>
      </c>
      <c r="B392" t="str">
        <f>"3/230"</f>
        <v>3/230</v>
      </c>
      <c r="C392" s="2">
        <v>1.50119147474758E-6</v>
      </c>
      <c r="D392" s="2">
        <v>1.1008737481482201E-5</v>
      </c>
      <c r="E392">
        <v>59310</v>
      </c>
      <c r="F392" t="s">
        <v>261</v>
      </c>
      <c r="G392" t="s">
        <v>103</v>
      </c>
    </row>
    <row r="393" spans="1:7" x14ac:dyDescent="0.2">
      <c r="A393" t="s">
        <v>230</v>
      </c>
      <c r="B393" t="str">
        <f>"3/482"</f>
        <v>3/482</v>
      </c>
      <c r="C393" s="2">
        <v>1.39117772313786E-5</v>
      </c>
      <c r="D393" s="2">
        <v>8.7445456882951204E-5</v>
      </c>
      <c r="E393">
        <v>58554</v>
      </c>
      <c r="F393" t="s">
        <v>261</v>
      </c>
      <c r="G393" t="s">
        <v>103</v>
      </c>
    </row>
    <row r="394" spans="1:7" x14ac:dyDescent="0.2">
      <c r="A394" t="s">
        <v>16</v>
      </c>
      <c r="B394" t="str">
        <f>"3/621"</f>
        <v>3/621</v>
      </c>
      <c r="C394" s="2">
        <v>2.9793848740459801E-5</v>
      </c>
      <c r="D394">
        <v>1.4753417363272601E-4</v>
      </c>
      <c r="E394">
        <v>58137</v>
      </c>
      <c r="F394" t="s">
        <v>261</v>
      </c>
      <c r="G394" t="s">
        <v>103</v>
      </c>
    </row>
    <row r="395" spans="1:7" x14ac:dyDescent="0.2">
      <c r="A395" t="s">
        <v>69</v>
      </c>
      <c r="B395" t="str">
        <f>"2/64"</f>
        <v>2/64</v>
      </c>
      <c r="C395" s="2">
        <v>3.0177444606694E-5</v>
      </c>
      <c r="D395">
        <v>1.4753417363272601E-4</v>
      </c>
      <c r="E395">
        <v>643.06451612903197</v>
      </c>
      <c r="F395" t="s">
        <v>262</v>
      </c>
      <c r="G395" t="s">
        <v>103</v>
      </c>
    </row>
    <row r="396" spans="1:7" x14ac:dyDescent="0.2">
      <c r="A396" t="s">
        <v>60</v>
      </c>
      <c r="B396" t="str">
        <f>"2/115"</f>
        <v>2/115</v>
      </c>
      <c r="C396" s="2">
        <v>9.7955507919421399E-5</v>
      </c>
      <c r="D396">
        <v>4.2671903989536299E-4</v>
      </c>
      <c r="E396">
        <v>351.92920353982299</v>
      </c>
      <c r="F396" t="s">
        <v>262</v>
      </c>
      <c r="G396" t="s">
        <v>103</v>
      </c>
    </row>
    <row r="397" spans="1:7" x14ac:dyDescent="0.2">
      <c r="A397" t="s">
        <v>47</v>
      </c>
      <c r="B397" t="str">
        <f>"2/120"</f>
        <v>2/120</v>
      </c>
      <c r="C397">
        <v>1.0667975997384E-4</v>
      </c>
      <c r="D397">
        <v>4.2671903989536299E-4</v>
      </c>
      <c r="E397">
        <v>336.93220338983002</v>
      </c>
      <c r="F397" t="s">
        <v>262</v>
      </c>
      <c r="G397" t="s">
        <v>103</v>
      </c>
    </row>
    <row r="398" spans="1:7" x14ac:dyDescent="0.2">
      <c r="A398" t="s">
        <v>64</v>
      </c>
      <c r="B398" t="str">
        <f>"2/159"</f>
        <v>2/159</v>
      </c>
      <c r="C398">
        <v>1.8743161578070001E-4</v>
      </c>
      <c r="D398">
        <v>6.8724925786256899E-4</v>
      </c>
      <c r="E398">
        <v>252.738853503184</v>
      </c>
      <c r="F398" t="s">
        <v>262</v>
      </c>
      <c r="G398" t="s">
        <v>103</v>
      </c>
    </row>
    <row r="399" spans="1:7" x14ac:dyDescent="0.2">
      <c r="A399" t="s">
        <v>68</v>
      </c>
      <c r="B399" t="str">
        <f>"2/219"</f>
        <v>2/219</v>
      </c>
      <c r="C399">
        <v>3.5548173580292601E-4</v>
      </c>
      <c r="D399">
        <v>1.2031689519483E-3</v>
      </c>
      <c r="E399">
        <v>182.30414746543701</v>
      </c>
      <c r="F399" t="s">
        <v>262</v>
      </c>
      <c r="G399" t="s">
        <v>103</v>
      </c>
    </row>
    <row r="400" spans="1:7" x14ac:dyDescent="0.2">
      <c r="A400" t="s">
        <v>263</v>
      </c>
      <c r="B400" t="str">
        <f>"2/323"</f>
        <v>2/323</v>
      </c>
      <c r="C400">
        <v>7.7171713759050496E-4</v>
      </c>
      <c r="D400">
        <v>2.4253967181415001E-3</v>
      </c>
      <c r="E400">
        <v>122.591900311526</v>
      </c>
      <c r="F400" t="s">
        <v>262</v>
      </c>
      <c r="G400" t="s">
        <v>103</v>
      </c>
    </row>
    <row r="401" spans="1:7" x14ac:dyDescent="0.2">
      <c r="A401" t="s">
        <v>264</v>
      </c>
      <c r="B401" t="str">
        <f>"1/14"</f>
        <v>1/14</v>
      </c>
      <c r="C401">
        <v>2.0985970505495001E-3</v>
      </c>
      <c r="D401">
        <v>6.1558846816119998E-3</v>
      </c>
      <c r="E401">
        <v>768.61538461538396</v>
      </c>
      <c r="F401" t="s">
        <v>265</v>
      </c>
      <c r="G401" t="s">
        <v>103</v>
      </c>
    </row>
    <row r="402" spans="1:7" x14ac:dyDescent="0.2">
      <c r="A402" t="s">
        <v>266</v>
      </c>
      <c r="B402" t="str">
        <f>"1/18"</f>
        <v>1/18</v>
      </c>
      <c r="C402">
        <v>2.6976603266887999E-3</v>
      </c>
      <c r="D402">
        <v>7.4185658983943002E-3</v>
      </c>
      <c r="E402">
        <v>587.64705882352905</v>
      </c>
      <c r="F402" t="s">
        <v>265</v>
      </c>
      <c r="G402" t="s">
        <v>103</v>
      </c>
    </row>
    <row r="403" spans="1:7" x14ac:dyDescent="0.2">
      <c r="A403" t="s">
        <v>267</v>
      </c>
      <c r="B403" t="str">
        <f>"1/20"</f>
        <v>1/20</v>
      </c>
      <c r="C403">
        <v>2.9971022769703999E-3</v>
      </c>
      <c r="D403">
        <v>7.6921797926890996E-3</v>
      </c>
      <c r="E403">
        <v>525.73684210526301</v>
      </c>
      <c r="F403" t="s">
        <v>265</v>
      </c>
      <c r="G403" t="s">
        <v>103</v>
      </c>
    </row>
    <row r="404" spans="1:7" x14ac:dyDescent="0.2">
      <c r="A404" t="s">
        <v>268</v>
      </c>
      <c r="B404" t="str">
        <f>"1/21"</f>
        <v>1/21</v>
      </c>
      <c r="C404">
        <v>3.1468008242819001E-3</v>
      </c>
      <c r="D404">
        <v>7.6921797926890996E-3</v>
      </c>
      <c r="E404">
        <v>499.42500000000001</v>
      </c>
      <c r="F404" t="s">
        <v>265</v>
      </c>
      <c r="G404" t="s">
        <v>103</v>
      </c>
    </row>
    <row r="405" spans="1:7" x14ac:dyDescent="0.2">
      <c r="A405" t="s">
        <v>269</v>
      </c>
      <c r="B405" t="str">
        <f>"1/25"</f>
        <v>1/25</v>
      </c>
      <c r="C405">
        <v>3.7454454654531999E-3</v>
      </c>
      <c r="D405">
        <v>8.6736631831546996E-3</v>
      </c>
      <c r="E405">
        <v>416.104166666666</v>
      </c>
      <c r="F405" t="s">
        <v>265</v>
      </c>
      <c r="G405" t="s">
        <v>103</v>
      </c>
    </row>
    <row r="406" spans="1:7" x14ac:dyDescent="0.2">
      <c r="A406" t="s">
        <v>68</v>
      </c>
      <c r="B406" t="str">
        <f>"2/219"</f>
        <v>2/219</v>
      </c>
      <c r="C406">
        <v>1.193563237054E-4</v>
      </c>
      <c r="D406">
        <v>5.1323219193322002E-3</v>
      </c>
      <c r="E406">
        <v>39562</v>
      </c>
      <c r="F406" t="s">
        <v>74</v>
      </c>
      <c r="G406" t="s">
        <v>75</v>
      </c>
    </row>
    <row r="407" spans="1:7" x14ac:dyDescent="0.2">
      <c r="A407" t="s">
        <v>76</v>
      </c>
      <c r="B407" t="str">
        <f>"1/5"</f>
        <v>1/5</v>
      </c>
      <c r="C407">
        <v>4.9993621859877502E-4</v>
      </c>
      <c r="D407">
        <v>7.5223991298782999E-3</v>
      </c>
      <c r="E407">
        <v>4998.5</v>
      </c>
      <c r="F407" t="s">
        <v>77</v>
      </c>
      <c r="G407" t="s">
        <v>75</v>
      </c>
    </row>
    <row r="408" spans="1:7" x14ac:dyDescent="0.2">
      <c r="A408" t="s">
        <v>78</v>
      </c>
      <c r="B408" t="str">
        <f>"1/6"</f>
        <v>1/6</v>
      </c>
      <c r="C408">
        <v>5.9990924387497504E-4</v>
      </c>
      <c r="D408">
        <v>7.5223991298782999E-3</v>
      </c>
      <c r="E408">
        <v>3998.6</v>
      </c>
      <c r="F408" t="s">
        <v>77</v>
      </c>
      <c r="G408" t="s">
        <v>75</v>
      </c>
    </row>
    <row r="409" spans="1:7" x14ac:dyDescent="0.2">
      <c r="A409" t="s">
        <v>79</v>
      </c>
      <c r="B409" t="str">
        <f>"1/9"</f>
        <v>1/9</v>
      </c>
      <c r="C409">
        <v>8.9979886913118298E-4</v>
      </c>
      <c r="D409">
        <v>7.5223991298782999E-3</v>
      </c>
      <c r="E409">
        <v>2498.75</v>
      </c>
      <c r="F409" t="s">
        <v>77</v>
      </c>
      <c r="G409" t="s">
        <v>75</v>
      </c>
    </row>
    <row r="410" spans="1:7" x14ac:dyDescent="0.2">
      <c r="A410" t="s">
        <v>80</v>
      </c>
      <c r="B410" t="str">
        <f>"1/9"</f>
        <v>1/9</v>
      </c>
      <c r="C410">
        <v>8.9979886913118298E-4</v>
      </c>
      <c r="D410">
        <v>7.5223991298782999E-3</v>
      </c>
      <c r="E410">
        <v>2498.75</v>
      </c>
      <c r="F410" t="s">
        <v>77</v>
      </c>
      <c r="G410" t="s">
        <v>75</v>
      </c>
    </row>
    <row r="411" spans="1:7" x14ac:dyDescent="0.2">
      <c r="A411" t="s">
        <v>81</v>
      </c>
      <c r="B411" t="str">
        <f>"1/11"</f>
        <v>1/11</v>
      </c>
      <c r="C411">
        <v>1.0997006223853001E-3</v>
      </c>
      <c r="D411">
        <v>7.5223991298782999E-3</v>
      </c>
      <c r="E411">
        <v>1998.8</v>
      </c>
      <c r="F411" t="s">
        <v>77</v>
      </c>
      <c r="G411" t="s">
        <v>75</v>
      </c>
    </row>
    <row r="412" spans="1:7" x14ac:dyDescent="0.2">
      <c r="A412" t="s">
        <v>82</v>
      </c>
      <c r="B412" t="str">
        <f>"1/13"</f>
        <v>1/13</v>
      </c>
      <c r="C412">
        <v>1.2995825766743E-3</v>
      </c>
      <c r="D412">
        <v>7.5223991298782999E-3</v>
      </c>
      <c r="E412">
        <v>1665.5</v>
      </c>
      <c r="F412" t="s">
        <v>77</v>
      </c>
      <c r="G412" t="s">
        <v>75</v>
      </c>
    </row>
    <row r="413" spans="1:7" x14ac:dyDescent="0.2">
      <c r="A413" t="s">
        <v>83</v>
      </c>
      <c r="B413" t="str">
        <f>"1/14"</f>
        <v>1/14</v>
      </c>
      <c r="C413">
        <v>1.3995161171866E-3</v>
      </c>
      <c r="D413">
        <v>7.5223991298782999E-3</v>
      </c>
      <c r="E413">
        <v>1537.3076923076901</v>
      </c>
      <c r="F413" t="s">
        <v>77</v>
      </c>
      <c r="G413" t="s">
        <v>75</v>
      </c>
    </row>
    <row r="414" spans="1:7" x14ac:dyDescent="0.2">
      <c r="A414" t="s">
        <v>84</v>
      </c>
      <c r="B414" t="str">
        <f>"1/20"</f>
        <v>1/20</v>
      </c>
      <c r="C414">
        <v>1.9990130569785E-3</v>
      </c>
      <c r="D414">
        <v>9.0253207809356008E-3</v>
      </c>
      <c r="E414">
        <v>1051.5263157894699</v>
      </c>
      <c r="F414" t="s">
        <v>77</v>
      </c>
      <c r="G414" t="s">
        <v>75</v>
      </c>
    </row>
    <row r="415" spans="1:7" x14ac:dyDescent="0.2">
      <c r="A415" t="s">
        <v>85</v>
      </c>
      <c r="B415" t="str">
        <f>"1/21"</f>
        <v>1/21</v>
      </c>
      <c r="C415">
        <v>2.0989118095199001E-3</v>
      </c>
      <c r="D415">
        <v>9.0253207809356008E-3</v>
      </c>
      <c r="E415">
        <v>998.9</v>
      </c>
      <c r="F415" t="s">
        <v>77</v>
      </c>
      <c r="G415" t="s">
        <v>75</v>
      </c>
    </row>
    <row r="416" spans="1:7" x14ac:dyDescent="0.2">
      <c r="A416" t="s">
        <v>41</v>
      </c>
      <c r="B416" t="str">
        <f>"10/335"</f>
        <v>10/335</v>
      </c>
      <c r="C416" s="2">
        <v>4.2386433383904098E-15</v>
      </c>
      <c r="D416" s="2">
        <v>1.25887707150195E-12</v>
      </c>
      <c r="E416">
        <v>120.984615384615</v>
      </c>
      <c r="F416" t="s">
        <v>271</v>
      </c>
      <c r="G416" t="s">
        <v>104</v>
      </c>
    </row>
    <row r="417" spans="1:7" x14ac:dyDescent="0.2">
      <c r="A417" t="s">
        <v>38</v>
      </c>
      <c r="B417" t="str">
        <f>"7/66"</f>
        <v>7/66</v>
      </c>
      <c r="C417" s="2">
        <v>1.9339953974833701E-14</v>
      </c>
      <c r="D417" s="2">
        <v>2.8719831652628001E-12</v>
      </c>
      <c r="E417">
        <v>295.51271186440601</v>
      </c>
      <c r="F417" t="s">
        <v>272</v>
      </c>
      <c r="G417" t="s">
        <v>104</v>
      </c>
    </row>
    <row r="418" spans="1:7" x14ac:dyDescent="0.2">
      <c r="A418" t="s">
        <v>30</v>
      </c>
      <c r="B418" t="str">
        <f>"7/75"</f>
        <v>7/75</v>
      </c>
      <c r="C418" s="2">
        <v>4.9135857992851198E-14</v>
      </c>
      <c r="D418" s="2">
        <v>4.0170592233732902E-12</v>
      </c>
      <c r="E418">
        <v>256.284926470588</v>
      </c>
      <c r="F418" t="s">
        <v>273</v>
      </c>
      <c r="G418" t="s">
        <v>104</v>
      </c>
    </row>
    <row r="419" spans="1:7" x14ac:dyDescent="0.2">
      <c r="A419" t="s">
        <v>18</v>
      </c>
      <c r="B419" t="str">
        <f>"7/76"</f>
        <v>7/76</v>
      </c>
      <c r="C419" s="2">
        <v>5.41018077221992E-14</v>
      </c>
      <c r="D419" s="2">
        <v>4.0170592233732902E-12</v>
      </c>
      <c r="E419">
        <v>252.55797101449201</v>
      </c>
      <c r="F419" t="s">
        <v>272</v>
      </c>
      <c r="G419" t="s">
        <v>104</v>
      </c>
    </row>
    <row r="420" spans="1:7" x14ac:dyDescent="0.2">
      <c r="A420" t="s">
        <v>32</v>
      </c>
      <c r="B420" t="str">
        <f>"6/75"</f>
        <v>6/75</v>
      </c>
      <c r="C420" s="2">
        <v>1.1044454015637499E-11</v>
      </c>
      <c r="D420" s="2">
        <v>6.56040568528869E-10</v>
      </c>
      <c r="E420">
        <v>192.425120772946</v>
      </c>
      <c r="F420" t="s">
        <v>274</v>
      </c>
      <c r="G420" t="s">
        <v>104</v>
      </c>
    </row>
    <row r="421" spans="1:7" x14ac:dyDescent="0.2">
      <c r="A421" t="s">
        <v>275</v>
      </c>
      <c r="B421" t="str">
        <f>"4/18"</f>
        <v>4/18</v>
      </c>
      <c r="C421" s="2">
        <v>6.2273846049677296E-10</v>
      </c>
      <c r="D421" s="2">
        <v>3.08255537945902E-8</v>
      </c>
      <c r="E421">
        <v>518.72727272727195</v>
      </c>
      <c r="F421" t="s">
        <v>276</v>
      </c>
      <c r="G421" t="s">
        <v>104</v>
      </c>
    </row>
    <row r="422" spans="1:7" x14ac:dyDescent="0.2">
      <c r="A422" t="s">
        <v>277</v>
      </c>
      <c r="B422" t="str">
        <f>"4/23"</f>
        <v>4/23</v>
      </c>
      <c r="C422" s="2">
        <v>1.7981489803134E-9</v>
      </c>
      <c r="D422" s="2">
        <v>7.6292892450439997E-8</v>
      </c>
      <c r="E422">
        <v>382.12440191387498</v>
      </c>
      <c r="F422" t="s">
        <v>276</v>
      </c>
      <c r="G422" t="s">
        <v>104</v>
      </c>
    </row>
    <row r="423" spans="1:7" x14ac:dyDescent="0.2">
      <c r="A423" t="s">
        <v>251</v>
      </c>
      <c r="B423" t="str">
        <f>"5/86"</f>
        <v>5/86</v>
      </c>
      <c r="C423" s="2">
        <v>3.7927182418546301E-9</v>
      </c>
      <c r="D423" s="2">
        <v>1.40804664728853E-7</v>
      </c>
      <c r="E423">
        <v>122.864197530864</v>
      </c>
      <c r="F423" t="s">
        <v>278</v>
      </c>
      <c r="G423" t="s">
        <v>104</v>
      </c>
    </row>
    <row r="424" spans="1:7" x14ac:dyDescent="0.2">
      <c r="A424" t="s">
        <v>254</v>
      </c>
      <c r="B424" t="str">
        <f>"4/29"</f>
        <v>4/29</v>
      </c>
      <c r="C424" s="2">
        <v>4.8103800344947799E-9</v>
      </c>
      <c r="D424" s="2">
        <v>1.5874254113832801E-7</v>
      </c>
      <c r="E424">
        <v>290.32727272727197</v>
      </c>
      <c r="F424" t="s">
        <v>279</v>
      </c>
      <c r="G424" t="s">
        <v>104</v>
      </c>
    </row>
    <row r="425" spans="1:7" x14ac:dyDescent="0.2">
      <c r="A425" t="s">
        <v>259</v>
      </c>
      <c r="B425" t="str">
        <f>"4/35"</f>
        <v>4/35</v>
      </c>
      <c r="C425" s="2">
        <v>1.05768286219132E-8</v>
      </c>
      <c r="D425" s="2">
        <v>3.1413181007082399E-7</v>
      </c>
      <c r="E425">
        <v>234.064516129032</v>
      </c>
      <c r="F425" t="s">
        <v>280</v>
      </c>
      <c r="G425" t="s">
        <v>104</v>
      </c>
    </row>
    <row r="426" spans="1:7" x14ac:dyDescent="0.2">
      <c r="A426" t="s">
        <v>260</v>
      </c>
      <c r="B426" t="str">
        <f>"4/39"</f>
        <v>4/39</v>
      </c>
      <c r="C426" s="2">
        <v>1.65857502580308E-8</v>
      </c>
      <c r="D426" s="2">
        <v>4.2693200128341498E-7</v>
      </c>
      <c r="E426">
        <v>207.272727272727</v>
      </c>
      <c r="F426" t="s">
        <v>281</v>
      </c>
      <c r="G426" t="s">
        <v>104</v>
      </c>
    </row>
    <row r="427" spans="1:7" x14ac:dyDescent="0.2">
      <c r="A427" t="s">
        <v>282</v>
      </c>
      <c r="B427" t="str">
        <f>"5/116"</f>
        <v>5/116</v>
      </c>
      <c r="C427" s="2">
        <v>1.7249777829632899E-8</v>
      </c>
      <c r="D427" s="2">
        <v>4.2693200128341498E-7</v>
      </c>
      <c r="E427">
        <v>89.522522522522493</v>
      </c>
      <c r="F427" t="s">
        <v>283</v>
      </c>
      <c r="G427" t="s">
        <v>104</v>
      </c>
    </row>
    <row r="428" spans="1:7" x14ac:dyDescent="0.2">
      <c r="A428" t="s">
        <v>242</v>
      </c>
      <c r="B428" t="str">
        <f>"4/45"</f>
        <v>4/45</v>
      </c>
      <c r="C428" s="2">
        <v>2.9965525759422499E-8</v>
      </c>
      <c r="D428" s="2">
        <v>6.8459701158065404E-7</v>
      </c>
      <c r="E428">
        <v>176.886917960088</v>
      </c>
      <c r="F428" t="s">
        <v>284</v>
      </c>
      <c r="G428" t="s">
        <v>104</v>
      </c>
    </row>
    <row r="429" spans="1:7" x14ac:dyDescent="0.2">
      <c r="A429" t="s">
        <v>245</v>
      </c>
      <c r="B429" t="str">
        <f>"4/48"</f>
        <v>4/48</v>
      </c>
      <c r="C429" s="2">
        <v>3.90819492381745E-8</v>
      </c>
      <c r="D429" s="2">
        <v>7.5775170521125903E-7</v>
      </c>
      <c r="E429">
        <v>164.80165289256101</v>
      </c>
      <c r="F429" t="s">
        <v>285</v>
      </c>
      <c r="G429" t="s">
        <v>104</v>
      </c>
    </row>
    <row r="430" spans="1:7" x14ac:dyDescent="0.2">
      <c r="A430" t="s">
        <v>286</v>
      </c>
      <c r="B430" t="str">
        <f>"4/48"</f>
        <v>4/48</v>
      </c>
      <c r="C430" s="2">
        <v>3.90819492381745E-8</v>
      </c>
      <c r="D430" s="2">
        <v>7.5775170521125903E-7</v>
      </c>
      <c r="E430">
        <v>164.80165289256101</v>
      </c>
      <c r="F430" t="s">
        <v>287</v>
      </c>
      <c r="G430" t="s">
        <v>104</v>
      </c>
    </row>
    <row r="431" spans="1:7" x14ac:dyDescent="0.2">
      <c r="A431" t="s">
        <v>288</v>
      </c>
      <c r="B431" t="str">
        <f>"3/10"</f>
        <v>3/10</v>
      </c>
      <c r="C431" s="2">
        <v>4.08216406847816E-8</v>
      </c>
      <c r="D431" s="2">
        <v>7.5775170521125903E-7</v>
      </c>
      <c r="E431">
        <v>713.5</v>
      </c>
      <c r="F431" t="s">
        <v>289</v>
      </c>
      <c r="G431" t="s">
        <v>104</v>
      </c>
    </row>
    <row r="432" spans="1:7" x14ac:dyDescent="0.2">
      <c r="A432" t="s">
        <v>290</v>
      </c>
      <c r="B432" t="str">
        <f>"3/14"</f>
        <v>3/14</v>
      </c>
      <c r="C432" s="2">
        <v>1.2360499752175701E-7</v>
      </c>
      <c r="D432" s="2">
        <v>2.1594520155271699E-6</v>
      </c>
      <c r="E432">
        <v>453.95454545454498</v>
      </c>
      <c r="F432" t="s">
        <v>291</v>
      </c>
      <c r="G432" t="s">
        <v>104</v>
      </c>
    </row>
    <row r="433" spans="1:7" x14ac:dyDescent="0.2">
      <c r="A433" t="s">
        <v>16</v>
      </c>
      <c r="B433" t="str">
        <f>"7/621"</f>
        <v>7/621</v>
      </c>
      <c r="C433" s="2">
        <v>1.3936036569875199E-7</v>
      </c>
      <c r="D433" s="2">
        <v>2.2994460340294101E-6</v>
      </c>
      <c r="E433">
        <v>27.605252442996701</v>
      </c>
      <c r="F433" t="s">
        <v>292</v>
      </c>
      <c r="G433" t="s">
        <v>104</v>
      </c>
    </row>
    <row r="434" spans="1:7" x14ac:dyDescent="0.2">
      <c r="A434" t="s">
        <v>7</v>
      </c>
      <c r="B434" t="str">
        <f>"5/179"</f>
        <v>5/179</v>
      </c>
      <c r="C434" s="2">
        <v>1.5162917157935301E-7</v>
      </c>
      <c r="D434" s="2">
        <v>2.3702033662667302E-6</v>
      </c>
      <c r="E434">
        <v>56.928160919540197</v>
      </c>
      <c r="F434" t="s">
        <v>293</v>
      </c>
      <c r="G434" t="s">
        <v>104</v>
      </c>
    </row>
    <row r="435" spans="1:7" x14ac:dyDescent="0.2">
      <c r="A435" t="s">
        <v>249</v>
      </c>
      <c r="B435" t="str">
        <f>"5/182"</f>
        <v>5/182</v>
      </c>
      <c r="C435" s="2">
        <v>1.6471597423409499E-7</v>
      </c>
      <c r="D435" s="2">
        <v>2.4460322173763099E-6</v>
      </c>
      <c r="E435">
        <v>55.954802259887003</v>
      </c>
      <c r="F435" t="s">
        <v>294</v>
      </c>
      <c r="G435" t="s">
        <v>104</v>
      </c>
    </row>
    <row r="436" spans="1:7" x14ac:dyDescent="0.2">
      <c r="A436" t="s">
        <v>696</v>
      </c>
      <c r="B436" t="str">
        <f>"5/194"</f>
        <v>5/194</v>
      </c>
      <c r="C436" s="2">
        <v>2.2631051043643401E-7</v>
      </c>
      <c r="D436" s="2">
        <v>3.2006772190295701E-6</v>
      </c>
      <c r="E436">
        <v>52.370370370370303</v>
      </c>
      <c r="F436" t="s">
        <v>283</v>
      </c>
      <c r="G436" t="s">
        <v>104</v>
      </c>
    </row>
    <row r="437" spans="1:7" x14ac:dyDescent="0.2">
      <c r="A437" t="s">
        <v>660</v>
      </c>
      <c r="B437" t="str">
        <f>"3/26"</f>
        <v>3/26</v>
      </c>
      <c r="C437" s="2">
        <v>8.7815989447295398E-7</v>
      </c>
      <c r="D437" s="2">
        <v>1.1339716898194199E-5</v>
      </c>
      <c r="E437">
        <v>216.97826086956499</v>
      </c>
      <c r="F437" t="s">
        <v>1452</v>
      </c>
      <c r="G437" t="s">
        <v>104</v>
      </c>
    </row>
    <row r="438" spans="1:7" x14ac:dyDescent="0.2">
      <c r="A438" t="s">
        <v>1453</v>
      </c>
      <c r="B438" t="str">
        <f>"3/26"</f>
        <v>3/26</v>
      </c>
      <c r="C438" s="2">
        <v>8.7815989447295398E-7</v>
      </c>
      <c r="D438" s="2">
        <v>1.1339716898194199E-5</v>
      </c>
      <c r="E438">
        <v>216.97826086956499</v>
      </c>
      <c r="F438" t="s">
        <v>1454</v>
      </c>
      <c r="G438" t="s">
        <v>104</v>
      </c>
    </row>
    <row r="439" spans="1:7" x14ac:dyDescent="0.2">
      <c r="A439" t="s">
        <v>60</v>
      </c>
      <c r="B439" t="str">
        <f>"4/115"</f>
        <v>4/115</v>
      </c>
      <c r="C439" s="2">
        <v>1.3482078959433999E-6</v>
      </c>
      <c r="D439" s="2">
        <v>1.6684072712299599E-5</v>
      </c>
      <c r="E439">
        <v>65.107289107289105</v>
      </c>
      <c r="F439" t="s">
        <v>1455</v>
      </c>
      <c r="G439" t="s">
        <v>104</v>
      </c>
    </row>
    <row r="440" spans="1:7" x14ac:dyDescent="0.2">
      <c r="A440" t="s">
        <v>47</v>
      </c>
      <c r="B440" t="str">
        <f>"4/120"</f>
        <v>4/120</v>
      </c>
      <c r="C440" s="2">
        <v>1.59844009647767E-6</v>
      </c>
      <c r="D440" s="2">
        <v>1.8989468346154699E-5</v>
      </c>
      <c r="E440">
        <v>62.285266457680201</v>
      </c>
      <c r="F440" t="s">
        <v>1455</v>
      </c>
      <c r="G440" t="s">
        <v>104</v>
      </c>
    </row>
    <row r="441" spans="1:7" x14ac:dyDescent="0.2">
      <c r="A441" t="s">
        <v>1440</v>
      </c>
      <c r="B441" t="str">
        <f>"3/32"</f>
        <v>3/32</v>
      </c>
      <c r="C441" s="2">
        <v>1.67075280886595E-6</v>
      </c>
      <c r="D441" s="2">
        <v>1.9085137855122599E-5</v>
      </c>
      <c r="E441">
        <v>172.03448275861999</v>
      </c>
      <c r="F441" t="s">
        <v>1456</v>
      </c>
      <c r="G441" t="s">
        <v>104</v>
      </c>
    </row>
    <row r="442" spans="1:7" x14ac:dyDescent="0.2">
      <c r="A442" t="s">
        <v>786</v>
      </c>
      <c r="B442" t="str">
        <f>"3/38"</f>
        <v>3/38</v>
      </c>
      <c r="C442" s="2">
        <v>2.8339783240212102E-6</v>
      </c>
      <c r="D442" s="2">
        <v>3.1173761564233301E-5</v>
      </c>
      <c r="E442">
        <v>142.5</v>
      </c>
      <c r="F442" t="s">
        <v>1457</v>
      </c>
      <c r="G442" t="s">
        <v>104</v>
      </c>
    </row>
    <row r="443" spans="1:7" x14ac:dyDescent="0.2">
      <c r="A443" t="s">
        <v>725</v>
      </c>
      <c r="B443" t="str">
        <f>"3/43"</f>
        <v>3/43</v>
      </c>
      <c r="C443" s="2">
        <v>4.13651279762175E-6</v>
      </c>
      <c r="D443" s="2">
        <v>4.3876582174773597E-5</v>
      </c>
      <c r="E443">
        <v>124.65625</v>
      </c>
      <c r="F443" t="s">
        <v>1458</v>
      </c>
      <c r="G443" t="s">
        <v>104</v>
      </c>
    </row>
    <row r="444" spans="1:7" x14ac:dyDescent="0.2">
      <c r="A444" t="s">
        <v>64</v>
      </c>
      <c r="B444" t="str">
        <f>"4/159"</f>
        <v>4/159</v>
      </c>
      <c r="C444" s="2">
        <v>4.9034940383541101E-6</v>
      </c>
      <c r="D444" s="2">
        <v>5.0218542392799002E-5</v>
      </c>
      <c r="E444">
        <v>46.521994134897298</v>
      </c>
      <c r="F444" t="s">
        <v>1455</v>
      </c>
      <c r="G444" t="s">
        <v>104</v>
      </c>
    </row>
    <row r="445" spans="1:7" x14ac:dyDescent="0.2">
      <c r="A445" t="s">
        <v>1459</v>
      </c>
      <c r="B445" t="str">
        <f>"2/5"</f>
        <v>2/5</v>
      </c>
      <c r="C445" s="2">
        <v>5.2430695395048701E-6</v>
      </c>
      <c r="D445" s="2">
        <v>5.1906388441098298E-5</v>
      </c>
      <c r="E445">
        <v>1024.7179487179401</v>
      </c>
      <c r="F445" t="s">
        <v>1460</v>
      </c>
      <c r="G445" t="s">
        <v>104</v>
      </c>
    </row>
    <row r="446" spans="1:7" x14ac:dyDescent="0.2">
      <c r="A446" t="s">
        <v>993</v>
      </c>
      <c r="B446" t="str">
        <f>"3/48"</f>
        <v>3/48</v>
      </c>
      <c r="C446" s="2">
        <v>5.7843350877450804E-6</v>
      </c>
      <c r="D446" s="2">
        <v>5.5417661969686797E-5</v>
      </c>
      <c r="E446">
        <v>110.777777777777</v>
      </c>
      <c r="F446" t="s">
        <v>1461</v>
      </c>
      <c r="G446" t="s">
        <v>104</v>
      </c>
    </row>
    <row r="447" spans="1:7" x14ac:dyDescent="0.2">
      <c r="A447" t="s">
        <v>779</v>
      </c>
      <c r="B447" t="str">
        <f>"3/53"</f>
        <v>3/53</v>
      </c>
      <c r="C447" s="2">
        <v>7.8168070851021899E-6</v>
      </c>
      <c r="D447" s="2">
        <v>6.8670176251574904E-5</v>
      </c>
      <c r="E447">
        <v>99.674999999999997</v>
      </c>
      <c r="F447" t="s">
        <v>1462</v>
      </c>
      <c r="G447" t="s">
        <v>104</v>
      </c>
    </row>
    <row r="448" spans="1:7" x14ac:dyDescent="0.2">
      <c r="A448" t="s">
        <v>1463</v>
      </c>
      <c r="B448" t="str">
        <f>"2/6"</f>
        <v>2/6</v>
      </c>
      <c r="C448" s="2">
        <v>7.8612322981600895E-6</v>
      </c>
      <c r="D448" s="2">
        <v>6.8670176251574904E-5</v>
      </c>
      <c r="E448">
        <v>768.5</v>
      </c>
      <c r="F448" t="s">
        <v>1464</v>
      </c>
      <c r="G448" t="s">
        <v>104</v>
      </c>
    </row>
    <row r="449" spans="1:7" x14ac:dyDescent="0.2">
      <c r="A449" t="s">
        <v>1397</v>
      </c>
      <c r="B449" t="str">
        <f>"2/6"</f>
        <v>2/6</v>
      </c>
      <c r="C449" s="2">
        <v>7.8612322981600895E-6</v>
      </c>
      <c r="D449" s="2">
        <v>6.8670176251574904E-5</v>
      </c>
      <c r="E449">
        <v>768.5</v>
      </c>
      <c r="F449" t="s">
        <v>1465</v>
      </c>
      <c r="G449" t="s">
        <v>104</v>
      </c>
    </row>
    <row r="450" spans="1:7" x14ac:dyDescent="0.2">
      <c r="A450" t="s">
        <v>1400</v>
      </c>
      <c r="B450" t="str">
        <f>"2/7"</f>
        <v>2/7</v>
      </c>
      <c r="C450" s="2">
        <v>1.1000996562011999E-5</v>
      </c>
      <c r="D450" s="2">
        <v>9.3351313683359E-5</v>
      </c>
      <c r="E450">
        <v>614.76923076923003</v>
      </c>
      <c r="F450" t="s">
        <v>1466</v>
      </c>
      <c r="G450" t="s">
        <v>104</v>
      </c>
    </row>
    <row r="451" spans="1:7" x14ac:dyDescent="0.2">
      <c r="A451" t="s">
        <v>1467</v>
      </c>
      <c r="B451" t="str">
        <f>"2/8"</f>
        <v>2/8</v>
      </c>
      <c r="C451" s="2">
        <v>1.4661684218577699E-5</v>
      </c>
      <c r="D451">
        <v>1.1459263718204101E-4</v>
      </c>
      <c r="E451">
        <v>512.28205128205104</v>
      </c>
      <c r="F451" t="s">
        <v>1464</v>
      </c>
      <c r="G451" t="s">
        <v>104</v>
      </c>
    </row>
    <row r="452" spans="1:7" x14ac:dyDescent="0.2">
      <c r="A452" t="s">
        <v>1407</v>
      </c>
      <c r="B452" t="str">
        <f>"2/8"</f>
        <v>2/8</v>
      </c>
      <c r="C452" s="2">
        <v>1.4661684218577699E-5</v>
      </c>
      <c r="D452">
        <v>1.1459263718204101E-4</v>
      </c>
      <c r="E452">
        <v>512.28205128205104</v>
      </c>
      <c r="F452" t="s">
        <v>1465</v>
      </c>
      <c r="G452" t="s">
        <v>104</v>
      </c>
    </row>
    <row r="453" spans="1:7" x14ac:dyDescent="0.2">
      <c r="A453" t="s">
        <v>1468</v>
      </c>
      <c r="B453" t="str">
        <f>"2/8"</f>
        <v>2/8</v>
      </c>
      <c r="C453" s="2">
        <v>1.4661684218577699E-5</v>
      </c>
      <c r="D453">
        <v>1.1459263718204101E-4</v>
      </c>
      <c r="E453">
        <v>512.28205128205104</v>
      </c>
      <c r="F453" t="s">
        <v>1469</v>
      </c>
      <c r="G453" t="s">
        <v>104</v>
      </c>
    </row>
    <row r="454" spans="1:7" x14ac:dyDescent="0.2">
      <c r="A454" t="s">
        <v>68</v>
      </c>
      <c r="B454" t="str">
        <f>"4/219"</f>
        <v>4/219</v>
      </c>
      <c r="C454" s="2">
        <v>1.7367132654225402E-5</v>
      </c>
      <c r="D454">
        <v>1.3225739482833199E-4</v>
      </c>
      <c r="E454">
        <v>33.437632135306501</v>
      </c>
      <c r="F454" t="s">
        <v>1455</v>
      </c>
      <c r="G454" t="s">
        <v>104</v>
      </c>
    </row>
    <row r="455" spans="1:7" x14ac:dyDescent="0.2">
      <c r="A455" t="s">
        <v>1411</v>
      </c>
      <c r="B455" t="str">
        <f>"2/9"</f>
        <v>2/9</v>
      </c>
      <c r="C455" s="2">
        <v>1.88426175267926E-5</v>
      </c>
      <c r="D455">
        <v>1.3649408305993599E-4</v>
      </c>
      <c r="E455">
        <v>439.07692307692298</v>
      </c>
      <c r="F455" t="s">
        <v>1470</v>
      </c>
      <c r="G455" t="s">
        <v>104</v>
      </c>
    </row>
    <row r="456" spans="1:7" x14ac:dyDescent="0.2">
      <c r="A456" t="s">
        <v>1471</v>
      </c>
      <c r="B456" t="str">
        <f>"2/9"</f>
        <v>2/9</v>
      </c>
      <c r="C456" s="2">
        <v>1.88426175267926E-5</v>
      </c>
      <c r="D456">
        <v>1.3649408305993599E-4</v>
      </c>
      <c r="E456">
        <v>439.07692307692298</v>
      </c>
      <c r="F456" t="s">
        <v>1472</v>
      </c>
      <c r="G456" t="s">
        <v>104</v>
      </c>
    </row>
    <row r="457" spans="1:7" x14ac:dyDescent="0.2">
      <c r="A457" t="s">
        <v>50</v>
      </c>
      <c r="B457" t="str">
        <f>"2/10"</f>
        <v>2/10</v>
      </c>
      <c r="C457" s="2">
        <v>2.3543119160283601E-5</v>
      </c>
      <c r="D457">
        <v>1.6648348549057701E-4</v>
      </c>
      <c r="E457">
        <v>384.173076923076</v>
      </c>
      <c r="F457" t="s">
        <v>1473</v>
      </c>
      <c r="G457" t="s">
        <v>104</v>
      </c>
    </row>
    <row r="458" spans="1:7" x14ac:dyDescent="0.2">
      <c r="A458" t="s">
        <v>54</v>
      </c>
      <c r="B458" t="str">
        <f>"2/11"</f>
        <v>2/11</v>
      </c>
      <c r="C458" s="2">
        <v>2.8762512286659199E-5</v>
      </c>
      <c r="D458">
        <v>1.89832581091951E-4</v>
      </c>
      <c r="E458">
        <v>341.470085470085</v>
      </c>
      <c r="F458" t="s">
        <v>1473</v>
      </c>
      <c r="G458" t="s">
        <v>104</v>
      </c>
    </row>
    <row r="459" spans="1:7" x14ac:dyDescent="0.2">
      <c r="A459" t="s">
        <v>1474</v>
      </c>
      <c r="B459" t="str">
        <f>"2/11"</f>
        <v>2/11</v>
      </c>
      <c r="C459" s="2">
        <v>2.8762512286659199E-5</v>
      </c>
      <c r="D459">
        <v>1.89832581091951E-4</v>
      </c>
      <c r="E459">
        <v>341.470085470085</v>
      </c>
      <c r="F459" t="s">
        <v>1475</v>
      </c>
      <c r="G459" t="s">
        <v>104</v>
      </c>
    </row>
    <row r="460" spans="1:7" x14ac:dyDescent="0.2">
      <c r="A460" t="s">
        <v>1476</v>
      </c>
      <c r="B460" t="str">
        <f>"2/11"</f>
        <v>2/11</v>
      </c>
      <c r="C460" s="2">
        <v>2.8762512286659199E-5</v>
      </c>
      <c r="D460">
        <v>1.89832581091951E-4</v>
      </c>
      <c r="E460">
        <v>341.470085470085</v>
      </c>
      <c r="F460" t="s">
        <v>1464</v>
      </c>
      <c r="G460" t="s">
        <v>104</v>
      </c>
    </row>
    <row r="461" spans="1:7" x14ac:dyDescent="0.2">
      <c r="A461" t="s">
        <v>1355</v>
      </c>
      <c r="B461" t="str">
        <f>"5/546"</f>
        <v>5/546</v>
      </c>
      <c r="C461" s="2">
        <v>3.5630853072010597E-5</v>
      </c>
      <c r="D461">
        <v>2.3005137744319901E-4</v>
      </c>
      <c r="E461">
        <v>17.970425138632098</v>
      </c>
      <c r="F461" t="s">
        <v>1477</v>
      </c>
      <c r="G461" t="s">
        <v>104</v>
      </c>
    </row>
    <row r="462" spans="1:7" x14ac:dyDescent="0.2">
      <c r="A462" t="s">
        <v>1478</v>
      </c>
      <c r="B462" t="str">
        <f>"2/13"</f>
        <v>2/13</v>
      </c>
      <c r="C462" s="2">
        <v>4.0755268182868103E-5</v>
      </c>
      <c r="D462">
        <v>2.5476777317785999E-4</v>
      </c>
      <c r="E462">
        <v>279.35664335664302</v>
      </c>
      <c r="F462" t="s">
        <v>1464</v>
      </c>
      <c r="G462" t="s">
        <v>104</v>
      </c>
    </row>
    <row r="463" spans="1:7" x14ac:dyDescent="0.2">
      <c r="A463" t="s">
        <v>541</v>
      </c>
      <c r="B463" t="str">
        <f>"3/92"</f>
        <v>3/92</v>
      </c>
      <c r="C463" s="2">
        <v>4.11745896045026E-5</v>
      </c>
      <c r="D463">
        <v>2.5476777317785999E-4</v>
      </c>
      <c r="E463">
        <v>55.887640449438202</v>
      </c>
      <c r="F463" t="s">
        <v>1479</v>
      </c>
      <c r="G463" t="s">
        <v>104</v>
      </c>
    </row>
    <row r="464" spans="1:7" x14ac:dyDescent="0.2">
      <c r="A464" t="s">
        <v>1480</v>
      </c>
      <c r="B464" t="str">
        <f>"2/14"</f>
        <v>2/14</v>
      </c>
      <c r="C464" s="2">
        <v>4.7527279863624802E-5</v>
      </c>
      <c r="D464">
        <v>2.8231204238993098E-4</v>
      </c>
      <c r="E464">
        <v>256.06410256410197</v>
      </c>
      <c r="F464" t="s">
        <v>1460</v>
      </c>
      <c r="G464" t="s">
        <v>104</v>
      </c>
    </row>
    <row r="465" spans="1:7" x14ac:dyDescent="0.2">
      <c r="A465" t="s">
        <v>1481</v>
      </c>
      <c r="B465" t="str">
        <f>"2/14"</f>
        <v>2/14</v>
      </c>
      <c r="C465" s="2">
        <v>4.7527279863624802E-5</v>
      </c>
      <c r="D465">
        <v>2.8231204238993098E-4</v>
      </c>
      <c r="E465">
        <v>256.06410256410197</v>
      </c>
      <c r="F465" t="s">
        <v>1465</v>
      </c>
      <c r="G465" t="s">
        <v>104</v>
      </c>
    </row>
    <row r="466" spans="1:7" x14ac:dyDescent="0.2">
      <c r="A466" t="s">
        <v>1482</v>
      </c>
      <c r="B466" t="str">
        <f>"2/15"</f>
        <v>2/15</v>
      </c>
      <c r="C466" s="2">
        <v>5.4815480888197802E-5</v>
      </c>
      <c r="D466">
        <v>3.1921956517244599E-4</v>
      </c>
      <c r="E466">
        <v>236.35502958579801</v>
      </c>
      <c r="F466" t="s">
        <v>1483</v>
      </c>
      <c r="G466" t="s">
        <v>104</v>
      </c>
    </row>
    <row r="467" spans="1:7" x14ac:dyDescent="0.2">
      <c r="A467" t="s">
        <v>1431</v>
      </c>
      <c r="B467" t="str">
        <f>"2/17"</f>
        <v>2/17</v>
      </c>
      <c r="C467" s="2">
        <v>7.0937754879353202E-5</v>
      </c>
      <c r="D467">
        <v>4.0516371536861298E-4</v>
      </c>
      <c r="E467">
        <v>204.82051282051199</v>
      </c>
      <c r="F467" t="s">
        <v>1464</v>
      </c>
      <c r="G467" t="s">
        <v>104</v>
      </c>
    </row>
    <row r="468" spans="1:7" x14ac:dyDescent="0.2">
      <c r="A468" t="s">
        <v>263</v>
      </c>
      <c r="B468" t="str">
        <f>"4/323"</f>
        <v>4/323</v>
      </c>
      <c r="C468" s="2">
        <v>7.9182644497189194E-5</v>
      </c>
      <c r="D468">
        <v>4.43721611616324E-4</v>
      </c>
      <c r="E468">
        <v>22.417782844115099</v>
      </c>
      <c r="F468" t="s">
        <v>1455</v>
      </c>
      <c r="G468" t="s">
        <v>104</v>
      </c>
    </row>
    <row r="469" spans="1:7" x14ac:dyDescent="0.2">
      <c r="A469" t="s">
        <v>1484</v>
      </c>
      <c r="B469" t="str">
        <f>"2/19"</f>
        <v>2/19</v>
      </c>
      <c r="C469" s="2">
        <v>8.9116703677075002E-5</v>
      </c>
      <c r="D469">
        <v>4.9014187022391196E-4</v>
      </c>
      <c r="E469">
        <v>180.70588235294099</v>
      </c>
      <c r="F469" t="s">
        <v>1485</v>
      </c>
      <c r="G469" t="s">
        <v>104</v>
      </c>
    </row>
    <row r="470" spans="1:7" x14ac:dyDescent="0.2">
      <c r="A470" t="s">
        <v>267</v>
      </c>
      <c r="B470" t="str">
        <f>"2/20"</f>
        <v>2/20</v>
      </c>
      <c r="C470" s="2">
        <v>9.8975750369810294E-5</v>
      </c>
      <c r="D470">
        <v>5.3446905199697604E-4</v>
      </c>
      <c r="E470">
        <v>170.65811965811901</v>
      </c>
      <c r="F470" t="s">
        <v>1486</v>
      </c>
      <c r="G470" t="s">
        <v>104</v>
      </c>
    </row>
    <row r="471" spans="1:7" x14ac:dyDescent="0.2">
      <c r="A471" t="s">
        <v>1487</v>
      </c>
      <c r="B471" t="str">
        <f>"3/134"</f>
        <v>3/134</v>
      </c>
      <c r="C471">
        <v>1.2614566319721701E-4</v>
      </c>
      <c r="D471">
        <v>6.6902253517095802E-4</v>
      </c>
      <c r="E471">
        <v>37.889312977099202</v>
      </c>
      <c r="F471" t="s">
        <v>1488</v>
      </c>
      <c r="G471" t="s">
        <v>104</v>
      </c>
    </row>
    <row r="472" spans="1:7" x14ac:dyDescent="0.2">
      <c r="A472" t="s">
        <v>1489</v>
      </c>
      <c r="B472" t="str">
        <f>"3/143"</f>
        <v>3/143</v>
      </c>
      <c r="C472">
        <v>1.52905922993721E-4</v>
      </c>
      <c r="D472">
        <v>7.9672033559886402E-4</v>
      </c>
      <c r="E472">
        <v>35.4375</v>
      </c>
      <c r="F472" t="s">
        <v>1490</v>
      </c>
      <c r="G472" t="s">
        <v>104</v>
      </c>
    </row>
    <row r="473" spans="1:7" x14ac:dyDescent="0.2">
      <c r="A473" t="s">
        <v>590</v>
      </c>
      <c r="B473" t="str">
        <f>"3/150"</f>
        <v>3/150</v>
      </c>
      <c r="C473">
        <v>1.7609626345725901E-4</v>
      </c>
      <c r="D473">
        <v>9.0173431460010298E-4</v>
      </c>
      <c r="E473">
        <v>33.738095238095198</v>
      </c>
      <c r="F473" t="s">
        <v>1479</v>
      </c>
      <c r="G473" t="s">
        <v>104</v>
      </c>
    </row>
    <row r="474" spans="1:7" x14ac:dyDescent="0.2">
      <c r="A474" t="s">
        <v>755</v>
      </c>
      <c r="B474" t="str">
        <f>"2/28"</f>
        <v>2/28</v>
      </c>
      <c r="C474">
        <v>1.9622936554570801E-4</v>
      </c>
      <c r="D474">
        <v>9.8779867062839702E-4</v>
      </c>
      <c r="E474">
        <v>118.10059171597599</v>
      </c>
      <c r="F474" t="s">
        <v>1465</v>
      </c>
      <c r="G474" t="s">
        <v>104</v>
      </c>
    </row>
    <row r="475" spans="1:7" x14ac:dyDescent="0.2">
      <c r="A475" t="s">
        <v>24</v>
      </c>
      <c r="B475" t="str">
        <f>"3/158"</f>
        <v>3/158</v>
      </c>
      <c r="C475">
        <v>2.0527046781032999E-4</v>
      </c>
      <c r="D475">
        <v>1.0160888156610999E-3</v>
      </c>
      <c r="E475">
        <v>31.9838709677419</v>
      </c>
      <c r="F475" t="s">
        <v>1491</v>
      </c>
      <c r="G475" t="s">
        <v>104</v>
      </c>
    </row>
    <row r="476" spans="1:7" x14ac:dyDescent="0.2">
      <c r="A476" t="s">
        <v>1318</v>
      </c>
      <c r="B476" t="str">
        <f>"3/161"</f>
        <v>3/161</v>
      </c>
      <c r="C476">
        <v>2.1697061355895701E-4</v>
      </c>
      <c r="D476">
        <v>1.0563979053607999E-3</v>
      </c>
      <c r="E476">
        <v>31.371835443037899</v>
      </c>
      <c r="F476" t="s">
        <v>1454</v>
      </c>
      <c r="G476" t="s">
        <v>104</v>
      </c>
    </row>
    <row r="477" spans="1:7" x14ac:dyDescent="0.2">
      <c r="A477" t="s">
        <v>828</v>
      </c>
      <c r="B477" t="str">
        <f>"2/33"</f>
        <v>2/33</v>
      </c>
      <c r="C477">
        <v>2.7350573078037198E-4</v>
      </c>
      <c r="D477">
        <v>1.2893841593931E-3</v>
      </c>
      <c r="E477">
        <v>99.027295285359799</v>
      </c>
      <c r="F477" t="s">
        <v>1475</v>
      </c>
      <c r="G477" t="s">
        <v>104</v>
      </c>
    </row>
    <row r="478" spans="1:7" x14ac:dyDescent="0.2">
      <c r="A478" t="s">
        <v>1257</v>
      </c>
      <c r="B478" t="str">
        <f>"2/33"</f>
        <v>2/33</v>
      </c>
      <c r="C478">
        <v>2.7350573078037198E-4</v>
      </c>
      <c r="D478">
        <v>1.2893841593931E-3</v>
      </c>
      <c r="E478">
        <v>99.027295285359799</v>
      </c>
      <c r="F478" t="s">
        <v>1469</v>
      </c>
      <c r="G478" t="s">
        <v>104</v>
      </c>
    </row>
    <row r="479" spans="1:7" x14ac:dyDescent="0.2">
      <c r="A479" t="s">
        <v>257</v>
      </c>
      <c r="B479" t="str">
        <f>"2/34"</f>
        <v>2/34</v>
      </c>
      <c r="C479">
        <v>2.9047409965205601E-4</v>
      </c>
      <c r="D479">
        <v>1.3272431937947E-3</v>
      </c>
      <c r="E479">
        <v>95.927884615384599</v>
      </c>
      <c r="F479" t="s">
        <v>1492</v>
      </c>
      <c r="G479" t="s">
        <v>104</v>
      </c>
    </row>
    <row r="480" spans="1:7" x14ac:dyDescent="0.2">
      <c r="A480" t="s">
        <v>693</v>
      </c>
      <c r="B480" t="str">
        <f>"2/34"</f>
        <v>2/34</v>
      </c>
      <c r="C480">
        <v>2.9047409965205601E-4</v>
      </c>
      <c r="D480">
        <v>1.3272431937947E-3</v>
      </c>
      <c r="E480">
        <v>95.927884615384599</v>
      </c>
      <c r="F480" t="s">
        <v>1493</v>
      </c>
      <c r="G480" t="s">
        <v>104</v>
      </c>
    </row>
    <row r="481" spans="1:7" x14ac:dyDescent="0.2">
      <c r="A481" t="s">
        <v>1494</v>
      </c>
      <c r="B481" t="str">
        <f>"2/35"</f>
        <v>2/35</v>
      </c>
      <c r="C481">
        <v>3.0794528539752398E-4</v>
      </c>
      <c r="D481">
        <v>1.3857537842887999E-3</v>
      </c>
      <c r="E481">
        <v>93.016317016317004</v>
      </c>
      <c r="F481" t="s">
        <v>1465</v>
      </c>
      <c r="G481" t="s">
        <v>104</v>
      </c>
    </row>
    <row r="482" spans="1:7" x14ac:dyDescent="0.2">
      <c r="A482" t="s">
        <v>12</v>
      </c>
      <c r="B482" t="str">
        <f>"3/185"</f>
        <v>3/185</v>
      </c>
      <c r="C482">
        <v>3.26437648825368E-4</v>
      </c>
      <c r="D482">
        <v>1.4470445030020001E-3</v>
      </c>
      <c r="E482">
        <v>27.201923076922998</v>
      </c>
      <c r="F482" t="s">
        <v>1491</v>
      </c>
      <c r="G482" t="s">
        <v>104</v>
      </c>
    </row>
    <row r="483" spans="1:7" x14ac:dyDescent="0.2">
      <c r="A483" t="s">
        <v>1322</v>
      </c>
      <c r="B483" t="str">
        <f>"3/207"</f>
        <v>3/207</v>
      </c>
      <c r="C483">
        <v>4.5356876011884201E-4</v>
      </c>
      <c r="D483">
        <v>1.9810282611071998E-3</v>
      </c>
      <c r="E483">
        <v>24.241421568627398</v>
      </c>
      <c r="F483" t="s">
        <v>1454</v>
      </c>
      <c r="G483" t="s">
        <v>104</v>
      </c>
    </row>
    <row r="484" spans="1:7" x14ac:dyDescent="0.2">
      <c r="A484" t="s">
        <v>1021</v>
      </c>
      <c r="B484" t="str">
        <f>"2/46"</f>
        <v>2/46</v>
      </c>
      <c r="C484">
        <v>5.3312521550321203E-4</v>
      </c>
      <c r="D484">
        <v>2.2619741286350002E-3</v>
      </c>
      <c r="E484">
        <v>69.723776223776198</v>
      </c>
      <c r="F484" t="s">
        <v>1495</v>
      </c>
      <c r="G484" t="s">
        <v>104</v>
      </c>
    </row>
    <row r="485" spans="1:7" x14ac:dyDescent="0.2">
      <c r="A485" t="s">
        <v>607</v>
      </c>
      <c r="B485" t="str">
        <f>"2/46"</f>
        <v>2/46</v>
      </c>
      <c r="C485">
        <v>5.3312521550321203E-4</v>
      </c>
      <c r="D485">
        <v>2.2619741286350002E-3</v>
      </c>
      <c r="E485">
        <v>69.723776223776198</v>
      </c>
      <c r="F485" t="s">
        <v>1496</v>
      </c>
      <c r="G485" t="s">
        <v>104</v>
      </c>
    </row>
    <row r="486" spans="1:7" x14ac:dyDescent="0.2">
      <c r="A486" t="s">
        <v>601</v>
      </c>
      <c r="B486" t="str">
        <f>"2/51"</f>
        <v>2/51</v>
      </c>
      <c r="C486">
        <v>6.5532863591648402E-4</v>
      </c>
      <c r="D486">
        <v>2.7413042939040998E-3</v>
      </c>
      <c r="E486">
        <v>62.593406593406499</v>
      </c>
      <c r="F486" t="s">
        <v>1493</v>
      </c>
      <c r="G486" t="s">
        <v>104</v>
      </c>
    </row>
    <row r="487" spans="1:7" x14ac:dyDescent="0.2">
      <c r="A487" t="s">
        <v>1361</v>
      </c>
      <c r="B487" t="str">
        <f>"2/53"</f>
        <v>2/53</v>
      </c>
      <c r="C487">
        <v>7.0765603383384705E-4</v>
      </c>
      <c r="D487">
        <v>2.9190811395645999E-3</v>
      </c>
      <c r="E487">
        <v>60.132730015082899</v>
      </c>
      <c r="F487" t="s">
        <v>1497</v>
      </c>
      <c r="G487" t="s">
        <v>104</v>
      </c>
    </row>
    <row r="488" spans="1:7" x14ac:dyDescent="0.2">
      <c r="A488" t="s">
        <v>579</v>
      </c>
      <c r="B488" t="str">
        <f>"2/57"</f>
        <v>2/57</v>
      </c>
      <c r="C488">
        <v>8.1818961251407503E-4</v>
      </c>
      <c r="D488">
        <v>3.328798834475E-3</v>
      </c>
      <c r="E488">
        <v>55.748251748251697</v>
      </c>
      <c r="F488" t="s">
        <v>1498</v>
      </c>
      <c r="G488" t="s">
        <v>104</v>
      </c>
    </row>
    <row r="489" spans="1:7" x14ac:dyDescent="0.2">
      <c r="A489" t="s">
        <v>1499</v>
      </c>
      <c r="B489" t="str">
        <f>"2/79"</f>
        <v>2/79</v>
      </c>
      <c r="C489">
        <v>1.5645072954225E-3</v>
      </c>
      <c r="D489">
        <v>6.2791711721688999E-3</v>
      </c>
      <c r="E489">
        <v>39.776223776223702</v>
      </c>
      <c r="F489" t="s">
        <v>1483</v>
      </c>
      <c r="G489" t="s">
        <v>104</v>
      </c>
    </row>
    <row r="490" spans="1:7" x14ac:dyDescent="0.2">
      <c r="A490" t="s">
        <v>1367</v>
      </c>
      <c r="B490" t="str">
        <f>"2/80"</f>
        <v>2/80</v>
      </c>
      <c r="C490">
        <v>1.6039286166702001E-3</v>
      </c>
      <c r="D490">
        <v>6.3515573220141001E-3</v>
      </c>
      <c r="E490">
        <v>39.2642998027613</v>
      </c>
      <c r="F490" t="s">
        <v>1497</v>
      </c>
      <c r="G490" t="s">
        <v>104</v>
      </c>
    </row>
    <row r="491" spans="1:7" x14ac:dyDescent="0.2">
      <c r="A491" t="s">
        <v>966</v>
      </c>
      <c r="B491" t="str">
        <f>"2/81"</f>
        <v>2/81</v>
      </c>
      <c r="C491">
        <v>1.6438228945336E-3</v>
      </c>
      <c r="D491">
        <v>6.4238868378485E-3</v>
      </c>
      <c r="E491">
        <v>38.7653359298928</v>
      </c>
      <c r="F491" t="s">
        <v>1500</v>
      </c>
      <c r="G491" t="s">
        <v>104</v>
      </c>
    </row>
    <row r="492" spans="1:7" x14ac:dyDescent="0.2">
      <c r="A492" t="s">
        <v>544</v>
      </c>
      <c r="B492" t="str">
        <f>"2/85"</f>
        <v>2/85</v>
      </c>
      <c r="C492">
        <v>1.8081168721341E-3</v>
      </c>
      <c r="D492">
        <v>6.9741650782315003E-3</v>
      </c>
      <c r="E492">
        <v>36.889712696941601</v>
      </c>
      <c r="F492" t="s">
        <v>1470</v>
      </c>
      <c r="G492" t="s">
        <v>104</v>
      </c>
    </row>
    <row r="493" spans="1:7" x14ac:dyDescent="0.2">
      <c r="A493" t="s">
        <v>1501</v>
      </c>
      <c r="B493" t="str">
        <f>"4/742"</f>
        <v>4/742</v>
      </c>
      <c r="C493">
        <v>1.8491201282551E-3</v>
      </c>
      <c r="D493">
        <v>7.040880488356E-3</v>
      </c>
      <c r="E493">
        <v>9.48361665434836</v>
      </c>
      <c r="F493" t="s">
        <v>1502</v>
      </c>
      <c r="G493" t="s">
        <v>104</v>
      </c>
    </row>
    <row r="494" spans="1:7" x14ac:dyDescent="0.2">
      <c r="A494" t="s">
        <v>1503</v>
      </c>
      <c r="B494" t="str">
        <f>"2/92"</f>
        <v>2/92</v>
      </c>
      <c r="C494">
        <v>2.1136937745398999E-3</v>
      </c>
      <c r="D494">
        <v>7.9464183675742005E-3</v>
      </c>
      <c r="E494">
        <v>34.008547008546998</v>
      </c>
      <c r="F494" t="s">
        <v>1504</v>
      </c>
      <c r="G494" t="s">
        <v>104</v>
      </c>
    </row>
    <row r="495" spans="1:7" x14ac:dyDescent="0.2">
      <c r="A495" t="s">
        <v>1249</v>
      </c>
      <c r="B495" t="str">
        <f>"3/371"</f>
        <v>3/371</v>
      </c>
      <c r="C495">
        <v>2.4406854745309E-3</v>
      </c>
      <c r="D495">
        <v>9.0610448241961999E-3</v>
      </c>
      <c r="E495">
        <v>13.3267663043478</v>
      </c>
      <c r="F495" t="s">
        <v>1488</v>
      </c>
      <c r="G495" t="s">
        <v>104</v>
      </c>
    </row>
    <row r="496" spans="1:7" x14ac:dyDescent="0.2">
      <c r="A496" t="s">
        <v>295</v>
      </c>
      <c r="B496" t="str">
        <f>"4/108"</f>
        <v>4/108</v>
      </c>
      <c r="C496" s="2">
        <v>1.1959523528958101E-8</v>
      </c>
      <c r="D496" s="2">
        <v>3.1094761175291098E-6</v>
      </c>
      <c r="E496">
        <v>382.5</v>
      </c>
      <c r="F496" t="s">
        <v>1505</v>
      </c>
      <c r="G496" t="s">
        <v>1506</v>
      </c>
    </row>
    <row r="497" spans="1:7" x14ac:dyDescent="0.2">
      <c r="A497" t="s">
        <v>296</v>
      </c>
      <c r="B497" t="str">
        <f>"3/68"</f>
        <v>3/68</v>
      </c>
      <c r="C497" s="2">
        <v>7.4629705556914501E-7</v>
      </c>
      <c r="D497" s="2">
        <v>9.0646881450091505E-5</v>
      </c>
      <c r="E497">
        <v>306.60000000000002</v>
      </c>
      <c r="F497" t="s">
        <v>1507</v>
      </c>
      <c r="G497" t="s">
        <v>1506</v>
      </c>
    </row>
    <row r="498" spans="1:7" x14ac:dyDescent="0.2">
      <c r="A498" t="s">
        <v>297</v>
      </c>
      <c r="B498" t="str">
        <f>"3/76"</f>
        <v>3/76</v>
      </c>
      <c r="C498" s="2">
        <v>1.0459255551933599E-6</v>
      </c>
      <c r="D498" s="2">
        <v>9.0646881450091505E-5</v>
      </c>
      <c r="E498">
        <v>272.890410958904</v>
      </c>
      <c r="F498" t="s">
        <v>298</v>
      </c>
      <c r="G498" t="s">
        <v>1506</v>
      </c>
    </row>
    <row r="499" spans="1:7" x14ac:dyDescent="0.2">
      <c r="A499" t="s">
        <v>299</v>
      </c>
      <c r="B499" t="str">
        <f>"3/100"</f>
        <v>3/100</v>
      </c>
      <c r="C499" s="2">
        <v>2.3992967780572099E-6</v>
      </c>
      <c r="D499">
        <v>1.5595429057371901E-4</v>
      </c>
      <c r="E499">
        <v>205.123711340206</v>
      </c>
      <c r="F499" t="s">
        <v>1507</v>
      </c>
      <c r="G499" t="s">
        <v>1506</v>
      </c>
    </row>
    <row r="500" spans="1:7" x14ac:dyDescent="0.2">
      <c r="A500" t="s">
        <v>300</v>
      </c>
      <c r="B500" t="str">
        <f>"3/109"</f>
        <v>3/109</v>
      </c>
      <c r="C500" s="2">
        <v>3.1118370051671E-6</v>
      </c>
      <c r="D500">
        <v>1.61815524268689E-4</v>
      </c>
      <c r="E500">
        <v>187.622641509434</v>
      </c>
      <c r="F500" t="s">
        <v>1508</v>
      </c>
      <c r="G500" t="s">
        <v>1506</v>
      </c>
    </row>
    <row r="501" spans="1:7" x14ac:dyDescent="0.2">
      <c r="A501" t="s">
        <v>301</v>
      </c>
      <c r="B501" t="str">
        <f>"3/133"</f>
        <v>3/133</v>
      </c>
      <c r="C501" s="2">
        <v>5.6663761289916802E-6</v>
      </c>
      <c r="D501">
        <v>2.4554296558963902E-4</v>
      </c>
      <c r="E501">
        <v>152.80000000000001</v>
      </c>
      <c r="F501" t="s">
        <v>1509</v>
      </c>
      <c r="G501" t="s">
        <v>1506</v>
      </c>
    </row>
    <row r="502" spans="1:7" x14ac:dyDescent="0.2">
      <c r="A502" t="s">
        <v>302</v>
      </c>
      <c r="B502" t="str">
        <f>"2/16"</f>
        <v>2/16</v>
      </c>
      <c r="C502" s="2">
        <v>8.9830804443484501E-6</v>
      </c>
      <c r="D502">
        <v>3.07161512651511E-4</v>
      </c>
      <c r="E502">
        <v>713.57142857142799</v>
      </c>
      <c r="F502" t="s">
        <v>1510</v>
      </c>
      <c r="G502" t="s">
        <v>1506</v>
      </c>
    </row>
    <row r="503" spans="1:7" x14ac:dyDescent="0.2">
      <c r="A503" t="s">
        <v>303</v>
      </c>
      <c r="B503" t="str">
        <f>"2/17"</f>
        <v>2/17</v>
      </c>
      <c r="C503" s="2">
        <v>1.0179480503462299E-5</v>
      </c>
      <c r="D503">
        <v>3.07161512651511E-4</v>
      </c>
      <c r="E503">
        <v>665.96666666666601</v>
      </c>
      <c r="F503" t="s">
        <v>1510</v>
      </c>
      <c r="G503" t="s">
        <v>1506</v>
      </c>
    </row>
    <row r="504" spans="1:7" x14ac:dyDescent="0.2">
      <c r="A504" t="s">
        <v>304</v>
      </c>
      <c r="B504" t="str">
        <f>"3/164"</f>
        <v>3/164</v>
      </c>
      <c r="C504" s="2">
        <v>1.0632513899475301E-5</v>
      </c>
      <c r="D504">
        <v>3.07161512651511E-4</v>
      </c>
      <c r="E504">
        <v>123.18633540372601</v>
      </c>
      <c r="F504" t="s">
        <v>1509</v>
      </c>
      <c r="G504" t="s">
        <v>1506</v>
      </c>
    </row>
    <row r="505" spans="1:7" x14ac:dyDescent="0.2">
      <c r="A505" t="s">
        <v>305</v>
      </c>
      <c r="B505" t="str">
        <f>"2/19"</f>
        <v>2/19</v>
      </c>
      <c r="C505" s="2">
        <v>1.27958170531224E-5</v>
      </c>
      <c r="D505">
        <v>3.32691243381184E-4</v>
      </c>
      <c r="E505">
        <v>587.55882352941103</v>
      </c>
      <c r="F505" t="s">
        <v>1511</v>
      </c>
      <c r="G505" t="s">
        <v>1506</v>
      </c>
    </row>
    <row r="506" spans="1:7" x14ac:dyDescent="0.2">
      <c r="A506" t="s">
        <v>306</v>
      </c>
      <c r="B506" t="str">
        <f>"2/23"</f>
        <v>2/23</v>
      </c>
      <c r="C506" s="2">
        <v>1.8921800825805999E-5</v>
      </c>
      <c r="D506">
        <v>4.4724256497359702E-4</v>
      </c>
      <c r="E506">
        <v>475.54761904761898</v>
      </c>
      <c r="F506" t="s">
        <v>1510</v>
      </c>
      <c r="G506" t="s">
        <v>1506</v>
      </c>
    </row>
    <row r="507" spans="1:7" x14ac:dyDescent="0.2">
      <c r="A507" t="s">
        <v>307</v>
      </c>
      <c r="B507" t="str">
        <f>"2/28"</f>
        <v>2/28</v>
      </c>
      <c r="C507" s="2">
        <v>2.8251778414238399E-5</v>
      </c>
      <c r="D507">
        <v>6.1212186564183304E-4</v>
      </c>
      <c r="E507">
        <v>384</v>
      </c>
      <c r="F507" t="s">
        <v>1510</v>
      </c>
      <c r="G507" t="s">
        <v>1506</v>
      </c>
    </row>
    <row r="508" spans="1:7" x14ac:dyDescent="0.2">
      <c r="A508" t="s">
        <v>308</v>
      </c>
      <c r="B508" t="str">
        <f>"2/30"</f>
        <v>2/30</v>
      </c>
      <c r="C508" s="2">
        <v>3.2503337229695602E-5</v>
      </c>
      <c r="D508">
        <v>6.4517762100206903E-4</v>
      </c>
      <c r="E508">
        <v>356.53571428571399</v>
      </c>
      <c r="F508" t="s">
        <v>1510</v>
      </c>
      <c r="G508" t="s">
        <v>1506</v>
      </c>
    </row>
    <row r="509" spans="1:7" x14ac:dyDescent="0.2">
      <c r="A509" t="s">
        <v>309</v>
      </c>
      <c r="B509" t="str">
        <f>"2/31"</f>
        <v>2/31</v>
      </c>
      <c r="C509" s="2">
        <v>3.4740333438572898E-5</v>
      </c>
      <c r="D509">
        <v>6.4517762100206903E-4</v>
      </c>
      <c r="E509">
        <v>344.22413793103402</v>
      </c>
      <c r="F509" t="s">
        <v>310</v>
      </c>
      <c r="G509" t="s">
        <v>1506</v>
      </c>
    </row>
    <row r="510" spans="1:7" x14ac:dyDescent="0.2">
      <c r="A510" t="s">
        <v>311</v>
      </c>
      <c r="B510" t="str">
        <f>"2/34"</f>
        <v>2/34</v>
      </c>
      <c r="C510" s="2">
        <v>4.1895832017658998E-5</v>
      </c>
      <c r="D510">
        <v>7.2619442163942302E-4</v>
      </c>
      <c r="E510">
        <v>311.90625</v>
      </c>
      <c r="F510" t="s">
        <v>1511</v>
      </c>
      <c r="G510" t="s">
        <v>1506</v>
      </c>
    </row>
    <row r="511" spans="1:7" x14ac:dyDescent="0.2">
      <c r="A511" t="s">
        <v>312</v>
      </c>
      <c r="B511" t="str">
        <f>"2/38"</f>
        <v>2/38</v>
      </c>
      <c r="C511" s="2">
        <v>5.2472575617239503E-5</v>
      </c>
      <c r="D511">
        <v>8.5267935378014197E-4</v>
      </c>
      <c r="E511">
        <v>277.194444444444</v>
      </c>
      <c r="F511" t="s">
        <v>1510</v>
      </c>
      <c r="G511" t="s">
        <v>1506</v>
      </c>
    </row>
    <row r="512" spans="1:7" x14ac:dyDescent="0.2">
      <c r="A512" t="s">
        <v>313</v>
      </c>
      <c r="B512" t="str">
        <f>"2/41"</f>
        <v>2/41</v>
      </c>
      <c r="C512" s="2">
        <v>6.1181151398318303E-5</v>
      </c>
      <c r="D512">
        <v>9.3571172726839805E-4</v>
      </c>
      <c r="E512">
        <v>255.833333333333</v>
      </c>
      <c r="F512" t="s">
        <v>1510</v>
      </c>
      <c r="G512" t="s">
        <v>1506</v>
      </c>
    </row>
    <row r="513" spans="1:7" x14ac:dyDescent="0.2">
      <c r="A513" t="s">
        <v>314</v>
      </c>
      <c r="B513" t="str">
        <f>"2/47"</f>
        <v>2/47</v>
      </c>
      <c r="C513" s="2">
        <v>8.0590300661080301E-5</v>
      </c>
      <c r="D513">
        <v>1.1640821206600001E-3</v>
      </c>
      <c r="E513">
        <v>221.655555555555</v>
      </c>
      <c r="F513" t="s">
        <v>1510</v>
      </c>
      <c r="G513" t="s">
        <v>1506</v>
      </c>
    </row>
    <row r="514" spans="1:7" x14ac:dyDescent="0.2">
      <c r="A514" t="s">
        <v>315</v>
      </c>
      <c r="B514" t="str">
        <f>"2/52"</f>
        <v>2/52</v>
      </c>
      <c r="C514" s="2">
        <v>9.8789667550709404E-5</v>
      </c>
      <c r="D514">
        <v>1.3344513291346999E-3</v>
      </c>
      <c r="E514">
        <v>199.44</v>
      </c>
      <c r="F514" t="s">
        <v>316</v>
      </c>
      <c r="G514" t="s">
        <v>1506</v>
      </c>
    </row>
    <row r="515" spans="1:7" x14ac:dyDescent="0.2">
      <c r="A515" t="s">
        <v>317</v>
      </c>
      <c r="B515" t="str">
        <f>"2/53"</f>
        <v>2/53</v>
      </c>
      <c r="C515">
        <v>1.02650102241131E-4</v>
      </c>
      <c r="D515">
        <v>1.3344513291346999E-3</v>
      </c>
      <c r="E515">
        <v>195.51960784313701</v>
      </c>
      <c r="F515" t="s">
        <v>1511</v>
      </c>
      <c r="G515" t="s">
        <v>1506</v>
      </c>
    </row>
    <row r="516" spans="1:7" x14ac:dyDescent="0.2">
      <c r="A516" t="s">
        <v>663</v>
      </c>
      <c r="B516" t="str">
        <f>"2/58"</f>
        <v>2/58</v>
      </c>
      <c r="C516">
        <v>1.23053451829744E-4</v>
      </c>
      <c r="D516">
        <v>1.5235189274157999E-3</v>
      </c>
      <c r="E516">
        <v>178.017857142857</v>
      </c>
      <c r="F516" t="s">
        <v>1510</v>
      </c>
      <c r="G516" t="s">
        <v>1506</v>
      </c>
    </row>
    <row r="517" spans="1:7" x14ac:dyDescent="0.2">
      <c r="A517" t="s">
        <v>537</v>
      </c>
      <c r="B517" t="str">
        <f>"2/63"</f>
        <v>2/63</v>
      </c>
      <c r="C517">
        <v>1.4528937987106499E-4</v>
      </c>
      <c r="D517">
        <v>1.7170563075671001E-3</v>
      </c>
      <c r="E517">
        <v>163.385245901639</v>
      </c>
      <c r="F517" t="s">
        <v>1510</v>
      </c>
      <c r="G517" t="s">
        <v>1506</v>
      </c>
    </row>
    <row r="518" spans="1:7" x14ac:dyDescent="0.2">
      <c r="A518" t="s">
        <v>1512</v>
      </c>
      <c r="B518" t="str">
        <f>"2/77"</f>
        <v>2/77</v>
      </c>
      <c r="C518">
        <v>2.1726782324248101E-4</v>
      </c>
      <c r="D518">
        <v>2.3537347517935E-3</v>
      </c>
      <c r="E518">
        <v>132.79333333333301</v>
      </c>
      <c r="F518" t="s">
        <v>310</v>
      </c>
      <c r="G518" t="s">
        <v>1506</v>
      </c>
    </row>
    <row r="519" spans="1:7" x14ac:dyDescent="0.2">
      <c r="A519" t="s">
        <v>1211</v>
      </c>
      <c r="B519" t="str">
        <f>"2/77"</f>
        <v>2/77</v>
      </c>
      <c r="C519">
        <v>2.1726782324248101E-4</v>
      </c>
      <c r="D519">
        <v>2.3537347517935E-3</v>
      </c>
      <c r="E519">
        <v>132.79333333333301</v>
      </c>
      <c r="F519" t="s">
        <v>1510</v>
      </c>
      <c r="G519" t="s">
        <v>1506</v>
      </c>
    </row>
    <row r="520" spans="1:7" x14ac:dyDescent="0.2">
      <c r="A520" t="s">
        <v>681</v>
      </c>
      <c r="B520" t="str">
        <f>"2/80"</f>
        <v>2/80</v>
      </c>
      <c r="C520">
        <v>2.3454944800385699E-4</v>
      </c>
      <c r="D520">
        <v>2.4393142592401E-3</v>
      </c>
      <c r="E520">
        <v>127.666666666666</v>
      </c>
      <c r="F520" t="s">
        <v>316</v>
      </c>
      <c r="G520" t="s">
        <v>1506</v>
      </c>
    </row>
    <row r="521" spans="1:7" x14ac:dyDescent="0.2">
      <c r="A521" t="s">
        <v>925</v>
      </c>
      <c r="B521" t="str">
        <f>"2/82"</f>
        <v>2/82</v>
      </c>
      <c r="C521">
        <v>2.4643384663739501E-4</v>
      </c>
      <c r="D521">
        <v>2.4643384663738999E-3</v>
      </c>
      <c r="E521">
        <v>124.46250000000001</v>
      </c>
      <c r="F521" t="s">
        <v>310</v>
      </c>
      <c r="G521" t="s">
        <v>1506</v>
      </c>
    </row>
    <row r="522" spans="1:7" x14ac:dyDescent="0.2">
      <c r="A522" t="s">
        <v>807</v>
      </c>
      <c r="B522" t="str">
        <f>"2/89"</f>
        <v>2/89</v>
      </c>
      <c r="C522">
        <v>2.9031441796761301E-4</v>
      </c>
      <c r="D522">
        <v>2.7811643271706001E-3</v>
      </c>
      <c r="E522">
        <v>114.408045977011</v>
      </c>
      <c r="F522" t="s">
        <v>1511</v>
      </c>
      <c r="G522" t="s">
        <v>1506</v>
      </c>
    </row>
    <row r="523" spans="1:7" x14ac:dyDescent="0.2">
      <c r="A523" t="s">
        <v>845</v>
      </c>
      <c r="B523" t="str">
        <f>"2/92"</f>
        <v>2/92</v>
      </c>
      <c r="C523">
        <v>3.1020679033826401E-4</v>
      </c>
      <c r="D523">
        <v>2.7811643271706001E-3</v>
      </c>
      <c r="E523">
        <v>110.577777777777</v>
      </c>
      <c r="F523" t="s">
        <v>1510</v>
      </c>
      <c r="G523" t="s">
        <v>1506</v>
      </c>
    </row>
    <row r="524" spans="1:7" x14ac:dyDescent="0.2">
      <c r="A524" t="s">
        <v>784</v>
      </c>
      <c r="B524" t="str">
        <f>"2/92"</f>
        <v>2/92</v>
      </c>
      <c r="C524">
        <v>3.1020679033826401E-4</v>
      </c>
      <c r="D524">
        <v>2.7811643271706001E-3</v>
      </c>
      <c r="E524">
        <v>110.577777777777</v>
      </c>
      <c r="F524" t="s">
        <v>1510</v>
      </c>
      <c r="G524" t="s">
        <v>1506</v>
      </c>
    </row>
    <row r="525" spans="1:7" x14ac:dyDescent="0.2">
      <c r="A525" t="s">
        <v>1355</v>
      </c>
      <c r="B525" t="str">
        <f>"3/546"</f>
        <v>3/546</v>
      </c>
      <c r="C525">
        <v>3.8054728069296601E-4</v>
      </c>
      <c r="D525">
        <v>3.2980764326722999E-3</v>
      </c>
      <c r="E525">
        <v>35.821362799263298</v>
      </c>
      <c r="F525" t="s">
        <v>1513</v>
      </c>
      <c r="G525" t="s">
        <v>1506</v>
      </c>
    </row>
    <row r="526" spans="1:7" x14ac:dyDescent="0.2">
      <c r="A526" t="s">
        <v>682</v>
      </c>
      <c r="B526" t="str">
        <f>"2/114"</f>
        <v>2/114</v>
      </c>
      <c r="C526">
        <v>4.7591559908383298E-4</v>
      </c>
      <c r="D526">
        <v>3.9915501858644002E-3</v>
      </c>
      <c r="E526">
        <v>88.758928571428498</v>
      </c>
      <c r="F526" t="s">
        <v>1511</v>
      </c>
      <c r="G526" t="s">
        <v>1506</v>
      </c>
    </row>
    <row r="527" spans="1:7" x14ac:dyDescent="0.2">
      <c r="A527" t="s">
        <v>1376</v>
      </c>
      <c r="B527" t="str">
        <f>"2/123"</f>
        <v>2/123</v>
      </c>
      <c r="C527">
        <v>5.5371916540744104E-4</v>
      </c>
      <c r="D527">
        <v>4.3626358486645997E-3</v>
      </c>
      <c r="E527">
        <v>82.119834710743802</v>
      </c>
      <c r="F527" t="s">
        <v>1510</v>
      </c>
      <c r="G527" t="s">
        <v>1506</v>
      </c>
    </row>
    <row r="528" spans="1:7" x14ac:dyDescent="0.2">
      <c r="A528" t="s">
        <v>602</v>
      </c>
      <c r="B528" t="str">
        <f>"2/123"</f>
        <v>2/123</v>
      </c>
      <c r="C528">
        <v>5.5371916540744104E-4</v>
      </c>
      <c r="D528">
        <v>4.3626358486645997E-3</v>
      </c>
      <c r="E528">
        <v>82.119834710743802</v>
      </c>
      <c r="F528" t="s">
        <v>1510</v>
      </c>
      <c r="G528" t="s">
        <v>1506</v>
      </c>
    </row>
    <row r="529" spans="1:7" x14ac:dyDescent="0.2">
      <c r="A529" t="s">
        <v>574</v>
      </c>
      <c r="B529" t="str">
        <f>"2/158"</f>
        <v>2/158</v>
      </c>
      <c r="C529">
        <v>9.1106624145587296E-4</v>
      </c>
      <c r="D529">
        <v>6.9669771405448996E-3</v>
      </c>
      <c r="E529">
        <v>63.5833333333333</v>
      </c>
      <c r="F529" t="s">
        <v>1510</v>
      </c>
      <c r="G529" t="s">
        <v>1506</v>
      </c>
    </row>
    <row r="530" spans="1:7" x14ac:dyDescent="0.2">
      <c r="A530" t="s">
        <v>1514</v>
      </c>
      <c r="B530" t="str">
        <f>"3/764"</f>
        <v>3/764</v>
      </c>
      <c r="C530">
        <v>1.0183890757481E-3</v>
      </c>
      <c r="D530">
        <v>7.5651759912715999E-3</v>
      </c>
      <c r="E530">
        <v>25.273324572930299</v>
      </c>
      <c r="F530" t="s">
        <v>1515</v>
      </c>
      <c r="G530" t="s">
        <v>1506</v>
      </c>
    </row>
    <row r="531" spans="1:7" x14ac:dyDescent="0.2">
      <c r="A531" t="s">
        <v>863</v>
      </c>
      <c r="B531" t="str">
        <f>"2/171"</f>
        <v>2/171</v>
      </c>
      <c r="C531">
        <v>1.0658184844478001E-3</v>
      </c>
      <c r="D531">
        <v>7.6975779432346004E-3</v>
      </c>
      <c r="E531">
        <v>58.653846153846096</v>
      </c>
      <c r="F531" t="s">
        <v>1516</v>
      </c>
      <c r="G531" t="s">
        <v>1506</v>
      </c>
    </row>
    <row r="532" spans="1:7" x14ac:dyDescent="0.2">
      <c r="A532" t="s">
        <v>7</v>
      </c>
      <c r="B532" t="str">
        <f>"2/179"</f>
        <v>2/179</v>
      </c>
      <c r="C532">
        <v>1.1669345871945E-3</v>
      </c>
      <c r="D532">
        <v>8.2000808829888003E-3</v>
      </c>
      <c r="E532">
        <v>55.980225988700496</v>
      </c>
      <c r="F532" t="s">
        <v>310</v>
      </c>
      <c r="G532" t="s">
        <v>1506</v>
      </c>
    </row>
    <row r="533" spans="1:7" x14ac:dyDescent="0.2">
      <c r="A533" t="s">
        <v>1517</v>
      </c>
      <c r="B533" t="str">
        <f t="shared" ref="B533:B540" si="1">"1/5"</f>
        <v>1/5</v>
      </c>
      <c r="C533">
        <v>1.4992198216206001E-3</v>
      </c>
      <c r="D533">
        <v>8.6621589693640002E-3</v>
      </c>
      <c r="E533">
        <v>999.5</v>
      </c>
      <c r="F533" t="s">
        <v>1518</v>
      </c>
      <c r="G533" t="s">
        <v>1506</v>
      </c>
    </row>
    <row r="534" spans="1:7" x14ac:dyDescent="0.2">
      <c r="A534" t="s">
        <v>1519</v>
      </c>
      <c r="B534" t="str">
        <f t="shared" si="1"/>
        <v>1/5</v>
      </c>
      <c r="C534">
        <v>1.4992198216206001E-3</v>
      </c>
      <c r="D534">
        <v>8.6621589693640002E-3</v>
      </c>
      <c r="E534">
        <v>999.5</v>
      </c>
      <c r="F534" t="s">
        <v>1520</v>
      </c>
      <c r="G534" t="s">
        <v>1506</v>
      </c>
    </row>
    <row r="535" spans="1:7" x14ac:dyDescent="0.2">
      <c r="A535" t="s">
        <v>1521</v>
      </c>
      <c r="B535" t="str">
        <f t="shared" si="1"/>
        <v>1/5</v>
      </c>
      <c r="C535">
        <v>1.4992198216206001E-3</v>
      </c>
      <c r="D535">
        <v>8.6621589693640002E-3</v>
      </c>
      <c r="E535">
        <v>999.5</v>
      </c>
      <c r="F535" t="s">
        <v>1520</v>
      </c>
      <c r="G535" t="s">
        <v>1506</v>
      </c>
    </row>
    <row r="536" spans="1:7" x14ac:dyDescent="0.2">
      <c r="A536" t="s">
        <v>1522</v>
      </c>
      <c r="B536" t="str">
        <f t="shared" si="1"/>
        <v>1/5</v>
      </c>
      <c r="C536">
        <v>1.4992198216206001E-3</v>
      </c>
      <c r="D536">
        <v>8.6621589693640002E-3</v>
      </c>
      <c r="E536">
        <v>999.5</v>
      </c>
      <c r="F536" t="s">
        <v>1523</v>
      </c>
      <c r="G536" t="s">
        <v>1506</v>
      </c>
    </row>
    <row r="537" spans="1:7" x14ac:dyDescent="0.2">
      <c r="A537" t="s">
        <v>1524</v>
      </c>
      <c r="B537" t="str">
        <f t="shared" si="1"/>
        <v>1/5</v>
      </c>
      <c r="C537">
        <v>1.4992198216206001E-3</v>
      </c>
      <c r="D537">
        <v>8.6621589693640002E-3</v>
      </c>
      <c r="E537">
        <v>999.5</v>
      </c>
      <c r="F537" t="s">
        <v>1523</v>
      </c>
      <c r="G537" t="s">
        <v>1506</v>
      </c>
    </row>
    <row r="538" spans="1:7" x14ac:dyDescent="0.2">
      <c r="A538" t="s">
        <v>1525</v>
      </c>
      <c r="B538" t="str">
        <f t="shared" si="1"/>
        <v>1/5</v>
      </c>
      <c r="C538">
        <v>1.4992198216206001E-3</v>
      </c>
      <c r="D538">
        <v>8.6621589693640002E-3</v>
      </c>
      <c r="E538">
        <v>999.5</v>
      </c>
      <c r="F538" t="s">
        <v>1526</v>
      </c>
      <c r="G538" t="s">
        <v>1506</v>
      </c>
    </row>
    <row r="539" spans="1:7" x14ac:dyDescent="0.2">
      <c r="A539" t="s">
        <v>1527</v>
      </c>
      <c r="B539" t="str">
        <f t="shared" si="1"/>
        <v>1/5</v>
      </c>
      <c r="C539">
        <v>1.4992198216206001E-3</v>
      </c>
      <c r="D539">
        <v>8.6621589693640002E-3</v>
      </c>
      <c r="E539">
        <v>999.5</v>
      </c>
      <c r="F539" t="s">
        <v>1523</v>
      </c>
      <c r="G539" t="s">
        <v>1506</v>
      </c>
    </row>
    <row r="540" spans="1:7" x14ac:dyDescent="0.2">
      <c r="A540" t="s">
        <v>1528</v>
      </c>
      <c r="B540" t="str">
        <f t="shared" si="1"/>
        <v>1/5</v>
      </c>
      <c r="C540">
        <v>1.4992198216206001E-3</v>
      </c>
      <c r="D540">
        <v>8.6621589693640002E-3</v>
      </c>
      <c r="E540">
        <v>999.5</v>
      </c>
      <c r="F540" t="s">
        <v>1523</v>
      </c>
      <c r="G540" t="s">
        <v>1506</v>
      </c>
    </row>
    <row r="541" spans="1:7" x14ac:dyDescent="0.2">
      <c r="A541" t="s">
        <v>1529</v>
      </c>
      <c r="B541" t="str">
        <f>"2/217"</f>
        <v>2/217</v>
      </c>
      <c r="C541">
        <v>1.7079621318844E-3</v>
      </c>
      <c r="D541">
        <v>9.6491224169800004E-3</v>
      </c>
      <c r="E541">
        <v>45.997674418604603</v>
      </c>
      <c r="F541" t="s">
        <v>1510</v>
      </c>
      <c r="G541" t="s">
        <v>1506</v>
      </c>
    </row>
    <row r="542" spans="1:7" x14ac:dyDescent="0.2">
      <c r="A542" t="s">
        <v>1530</v>
      </c>
      <c r="B542" t="str">
        <f>"1/6"</f>
        <v>1/6</v>
      </c>
      <c r="C542">
        <v>1.7988408901478E-3</v>
      </c>
      <c r="D542">
        <v>9.6491224169800004E-3</v>
      </c>
      <c r="E542">
        <v>799.56</v>
      </c>
      <c r="F542" t="s">
        <v>1523</v>
      </c>
      <c r="G542" t="s">
        <v>1506</v>
      </c>
    </row>
    <row r="543" spans="1:7" x14ac:dyDescent="0.2">
      <c r="A543" t="s">
        <v>1531</v>
      </c>
      <c r="B543" t="str">
        <f>"1/6"</f>
        <v>1/6</v>
      </c>
      <c r="C543">
        <v>1.7988408901478E-3</v>
      </c>
      <c r="D543">
        <v>9.6491224169800004E-3</v>
      </c>
      <c r="E543">
        <v>799.56</v>
      </c>
      <c r="F543" t="s">
        <v>1520</v>
      </c>
      <c r="G543" t="s">
        <v>1506</v>
      </c>
    </row>
    <row r="544" spans="1:7" x14ac:dyDescent="0.2">
      <c r="A544" t="s">
        <v>957</v>
      </c>
      <c r="B544" t="str">
        <f>"2/224"</f>
        <v>2/224</v>
      </c>
      <c r="C544">
        <v>1.8184884555077E-3</v>
      </c>
      <c r="D544">
        <v>9.6491224169800004E-3</v>
      </c>
      <c r="E544">
        <v>44.531531531531499</v>
      </c>
      <c r="F544" t="s">
        <v>1516</v>
      </c>
      <c r="G544" t="s">
        <v>1506</v>
      </c>
    </row>
    <row r="545" spans="1:7" x14ac:dyDescent="0.2">
      <c r="A545" t="s">
        <v>7</v>
      </c>
      <c r="B545" t="str">
        <f>"17/179"</f>
        <v>17/179</v>
      </c>
      <c r="C545" s="2">
        <v>9.5289261097116305E-17</v>
      </c>
      <c r="D545" s="2">
        <v>1.05199344251216E-13</v>
      </c>
      <c r="E545">
        <v>22.752001085334399</v>
      </c>
      <c r="F545" t="s">
        <v>8</v>
      </c>
      <c r="G545" t="s">
        <v>9</v>
      </c>
    </row>
    <row r="546" spans="1:7" x14ac:dyDescent="0.2">
      <c r="A546" t="s">
        <v>10</v>
      </c>
      <c r="B546" t="str">
        <f>"14/121"</f>
        <v>14/121</v>
      </c>
      <c r="C546" s="2">
        <v>3.5270715492456601E-15</v>
      </c>
      <c r="D546" s="2">
        <v>1.9469434951836001E-12</v>
      </c>
      <c r="E546">
        <v>27.5392722211175</v>
      </c>
      <c r="F546" t="s">
        <v>11</v>
      </c>
      <c r="G546" t="s">
        <v>9</v>
      </c>
    </row>
    <row r="547" spans="1:7" x14ac:dyDescent="0.2">
      <c r="A547" t="s">
        <v>12</v>
      </c>
      <c r="B547" t="str">
        <f>"15/185"</f>
        <v>15/185</v>
      </c>
      <c r="C547" s="2">
        <v>7.2404506427117399E-14</v>
      </c>
      <c r="D547" s="2">
        <v>2.21152440502779E-11</v>
      </c>
      <c r="E547">
        <v>18.711574952561602</v>
      </c>
      <c r="F547" t="s">
        <v>13</v>
      </c>
      <c r="G547" t="s">
        <v>9</v>
      </c>
    </row>
    <row r="548" spans="1:7" x14ac:dyDescent="0.2">
      <c r="A548" t="s">
        <v>14</v>
      </c>
      <c r="B548" t="str">
        <f>"11/68"</f>
        <v>11/68</v>
      </c>
      <c r="C548" s="2">
        <v>8.0127695834340504E-14</v>
      </c>
      <c r="D548" s="2">
        <v>2.21152440502779E-11</v>
      </c>
      <c r="E548">
        <v>39.461928015916001</v>
      </c>
      <c r="F548" t="s">
        <v>15</v>
      </c>
      <c r="G548" t="s">
        <v>9</v>
      </c>
    </row>
    <row r="549" spans="1:7" x14ac:dyDescent="0.2">
      <c r="A549" t="s">
        <v>16</v>
      </c>
      <c r="B549" t="str">
        <f>"23/621"</f>
        <v>23/621</v>
      </c>
      <c r="C549" s="2">
        <v>2.1343551626707599E-13</v>
      </c>
      <c r="D549" s="2">
        <v>4.7126561991770402E-11</v>
      </c>
      <c r="E549">
        <v>8.73031674208144</v>
      </c>
      <c r="F549" t="s">
        <v>17</v>
      </c>
      <c r="G549" t="s">
        <v>9</v>
      </c>
    </row>
    <row r="550" spans="1:7" x14ac:dyDescent="0.2">
      <c r="A550" t="s">
        <v>18</v>
      </c>
      <c r="B550" t="str">
        <f>"11/76"</f>
        <v>11/76</v>
      </c>
      <c r="C550" s="2">
        <v>2.8885255661278699E-13</v>
      </c>
      <c r="D550" s="2">
        <v>5.3148870416752798E-11</v>
      </c>
      <c r="E550">
        <v>34.591118160190298</v>
      </c>
      <c r="F550" t="s">
        <v>19</v>
      </c>
      <c r="G550" t="s">
        <v>9</v>
      </c>
    </row>
    <row r="551" spans="1:7" x14ac:dyDescent="0.2">
      <c r="A551" t="s">
        <v>20</v>
      </c>
      <c r="B551" t="str">
        <f>"8/29"</f>
        <v>8/29</v>
      </c>
      <c r="C551" s="2">
        <v>2.1694564403456999E-12</v>
      </c>
      <c r="D551" s="2">
        <v>3.4215427287737899E-10</v>
      </c>
      <c r="E551">
        <v>75.699047619047604</v>
      </c>
      <c r="F551" t="s">
        <v>21</v>
      </c>
      <c r="G551" t="s">
        <v>9</v>
      </c>
    </row>
    <row r="552" spans="1:7" x14ac:dyDescent="0.2">
      <c r="A552" t="s">
        <v>22</v>
      </c>
      <c r="B552" t="str">
        <f>"8/36"</f>
        <v>8/36</v>
      </c>
      <c r="C552" s="2">
        <v>1.4826123650244001E-11</v>
      </c>
      <c r="D552" s="2">
        <v>2.0460050637336699E-9</v>
      </c>
      <c r="E552">
        <v>56.7542857142857</v>
      </c>
      <c r="F552" t="s">
        <v>23</v>
      </c>
      <c r="G552" t="s">
        <v>9</v>
      </c>
    </row>
    <row r="553" spans="1:7" x14ac:dyDescent="0.2">
      <c r="A553" t="s">
        <v>24</v>
      </c>
      <c r="B553" t="str">
        <f>"12/158"</f>
        <v>12/158</v>
      </c>
      <c r="C553" s="2">
        <v>5.6250043747301802E-11</v>
      </c>
      <c r="D553" s="2">
        <v>6.9000053663356903E-9</v>
      </c>
      <c r="E553">
        <v>16.905821917808201</v>
      </c>
      <c r="F553" t="s">
        <v>25</v>
      </c>
      <c r="G553" t="s">
        <v>9</v>
      </c>
    </row>
    <row r="554" spans="1:7" x14ac:dyDescent="0.2">
      <c r="A554" t="s">
        <v>26</v>
      </c>
      <c r="B554" t="str">
        <f>"7/26"</f>
        <v>7/26</v>
      </c>
      <c r="C554" s="2">
        <v>6.6443473730689801E-11</v>
      </c>
      <c r="D554" s="2">
        <v>7.3353594998681503E-9</v>
      </c>
      <c r="E554">
        <v>72.491401771756102</v>
      </c>
      <c r="F554" t="s">
        <v>27</v>
      </c>
      <c r="G554" t="s">
        <v>9</v>
      </c>
    </row>
    <row r="555" spans="1:7" x14ac:dyDescent="0.2">
      <c r="A555" t="s">
        <v>28</v>
      </c>
      <c r="B555" t="str">
        <f>"9/75"</f>
        <v>9/75</v>
      </c>
      <c r="C555" s="2">
        <v>2.5968245245252401E-10</v>
      </c>
      <c r="D555" s="2">
        <v>2.2053032885198901E-8</v>
      </c>
      <c r="E555">
        <v>27.308539944903501</v>
      </c>
      <c r="F555" t="s">
        <v>29</v>
      </c>
      <c r="G555" t="s">
        <v>9</v>
      </c>
    </row>
    <row r="556" spans="1:7" x14ac:dyDescent="0.2">
      <c r="A556" t="s">
        <v>30</v>
      </c>
      <c r="B556" t="str">
        <f>"9/75"</f>
        <v>9/75</v>
      </c>
      <c r="C556" s="2">
        <v>2.5968245245252401E-10</v>
      </c>
      <c r="D556" s="2">
        <v>2.2053032885198901E-8</v>
      </c>
      <c r="E556">
        <v>27.308539944903501</v>
      </c>
      <c r="F556" t="s">
        <v>31</v>
      </c>
      <c r="G556" t="s">
        <v>9</v>
      </c>
    </row>
    <row r="557" spans="1:7" x14ac:dyDescent="0.2">
      <c r="A557" t="s">
        <v>32</v>
      </c>
      <c r="B557" t="str">
        <f>"9/75"</f>
        <v>9/75</v>
      </c>
      <c r="C557" s="2">
        <v>2.5968245245252401E-10</v>
      </c>
      <c r="D557" s="2">
        <v>2.2053032885198901E-8</v>
      </c>
      <c r="E557">
        <v>27.308539944903501</v>
      </c>
      <c r="F557" t="s">
        <v>33</v>
      </c>
      <c r="G557" t="s">
        <v>9</v>
      </c>
    </row>
    <row r="558" spans="1:7" x14ac:dyDescent="0.2">
      <c r="A558" t="s">
        <v>34</v>
      </c>
      <c r="B558" t="str">
        <f>"13/230"</f>
        <v>13/230</v>
      </c>
      <c r="C558" s="2">
        <v>3.4392038266858999E-10</v>
      </c>
      <c r="D558" s="2">
        <v>2.7120578747580201E-8</v>
      </c>
      <c r="E558">
        <v>12.407227746786299</v>
      </c>
      <c r="F558" t="s">
        <v>35</v>
      </c>
      <c r="G558" t="s">
        <v>9</v>
      </c>
    </row>
    <row r="559" spans="1:7" x14ac:dyDescent="0.2">
      <c r="A559" t="s">
        <v>36</v>
      </c>
      <c r="B559" t="str">
        <f>"8/53"</f>
        <v>8/53</v>
      </c>
      <c r="C559" s="2">
        <v>4.02616443532678E-10</v>
      </c>
      <c r="D559" s="2">
        <v>2.9632570244005099E-8</v>
      </c>
      <c r="E559">
        <v>35.283555555555502</v>
      </c>
      <c r="F559" t="s">
        <v>37</v>
      </c>
      <c r="G559" t="s">
        <v>9</v>
      </c>
    </row>
    <row r="560" spans="1:7" x14ac:dyDescent="0.2">
      <c r="A560" t="s">
        <v>38</v>
      </c>
      <c r="B560" t="str">
        <f>"8/66"</f>
        <v>8/66</v>
      </c>
      <c r="C560" s="2">
        <v>2.4623743506583901E-9</v>
      </c>
      <c r="D560" s="2">
        <v>1.6990383019542901E-7</v>
      </c>
      <c r="E560">
        <v>27.357241379310299</v>
      </c>
      <c r="F560" t="s">
        <v>39</v>
      </c>
      <c r="G560" t="s">
        <v>9</v>
      </c>
    </row>
    <row r="561" spans="1:7" x14ac:dyDescent="0.2">
      <c r="A561" t="s">
        <v>40</v>
      </c>
      <c r="B561" t="str">
        <f>"7/43"</f>
        <v>7/43</v>
      </c>
      <c r="C561" s="2">
        <v>3.0191842099535098E-9</v>
      </c>
      <c r="D561" s="2">
        <v>1.9606937457580401E-7</v>
      </c>
      <c r="E561">
        <v>38.226622662266202</v>
      </c>
      <c r="F561" t="s">
        <v>27</v>
      </c>
      <c r="G561" t="s">
        <v>9</v>
      </c>
    </row>
    <row r="562" spans="1:7" x14ac:dyDescent="0.2">
      <c r="A562" t="s">
        <v>41</v>
      </c>
      <c r="B562" t="str">
        <f>"14/335"</f>
        <v>14/335</v>
      </c>
      <c r="C562" s="2">
        <v>3.5314569703709302E-9</v>
      </c>
      <c r="D562" s="2">
        <v>2.16596027516084E-7</v>
      </c>
      <c r="E562">
        <v>9.0804666268973193</v>
      </c>
      <c r="F562" t="s">
        <v>42</v>
      </c>
      <c r="G562" t="s">
        <v>9</v>
      </c>
    </row>
    <row r="563" spans="1:7" x14ac:dyDescent="0.2">
      <c r="A563" t="s">
        <v>43</v>
      </c>
      <c r="B563" t="str">
        <f>"8/70"</f>
        <v>8/70</v>
      </c>
      <c r="C563" s="2">
        <v>3.9758369220176996E-9</v>
      </c>
      <c r="D563" s="2">
        <v>2.3101705062671201E-7</v>
      </c>
      <c r="E563">
        <v>25.587096774193501</v>
      </c>
      <c r="F563" t="s">
        <v>44</v>
      </c>
      <c r="G563" t="s">
        <v>9</v>
      </c>
    </row>
    <row r="564" spans="1:7" x14ac:dyDescent="0.2">
      <c r="A564" t="s">
        <v>45</v>
      </c>
      <c r="B564" t="str">
        <f>"9/103"</f>
        <v>9/103</v>
      </c>
      <c r="C564" s="2">
        <v>4.5793318059051397E-9</v>
      </c>
      <c r="D564" s="2">
        <v>2.52779115685964E-7</v>
      </c>
      <c r="E564">
        <v>19.147001934235899</v>
      </c>
      <c r="F564" t="s">
        <v>46</v>
      </c>
      <c r="G564" t="s">
        <v>9</v>
      </c>
    </row>
    <row r="565" spans="1:7" x14ac:dyDescent="0.2">
      <c r="A565" t="s">
        <v>56</v>
      </c>
      <c r="B565" t="str">
        <f>"8/73"</f>
        <v>8/73</v>
      </c>
      <c r="C565" s="2">
        <v>5.58611377285754E-9</v>
      </c>
      <c r="D565" s="2">
        <v>2.9366998120165302E-7</v>
      </c>
      <c r="E565">
        <v>24.402461538461498</v>
      </c>
      <c r="F565" t="s">
        <v>44</v>
      </c>
      <c r="G565" t="s">
        <v>9</v>
      </c>
    </row>
    <row r="566" spans="1:7" x14ac:dyDescent="0.2">
      <c r="A566" t="s">
        <v>57</v>
      </c>
      <c r="B566" t="str">
        <f>"8/77"</f>
        <v>8/77</v>
      </c>
      <c r="C566" s="2">
        <v>8.5901151900187108E-9</v>
      </c>
      <c r="D566" s="2">
        <v>4.3106759862639302E-7</v>
      </c>
      <c r="E566">
        <v>22.983188405797101</v>
      </c>
      <c r="F566" t="s">
        <v>44</v>
      </c>
      <c r="G566" t="s">
        <v>9</v>
      </c>
    </row>
    <row r="567" spans="1:7" x14ac:dyDescent="0.2">
      <c r="A567" t="s">
        <v>251</v>
      </c>
      <c r="B567" t="str">
        <f>"8/86"</f>
        <v>8/86</v>
      </c>
      <c r="C567" s="2">
        <v>2.0810660468507E-8</v>
      </c>
      <c r="D567" s="2">
        <v>9.9891170248833691E-7</v>
      </c>
      <c r="E567">
        <v>20.322051282051198</v>
      </c>
      <c r="F567" t="s">
        <v>1532</v>
      </c>
      <c r="G567" t="s">
        <v>9</v>
      </c>
    </row>
    <row r="568" spans="1:7" x14ac:dyDescent="0.2">
      <c r="A568" t="s">
        <v>541</v>
      </c>
      <c r="B568" t="str">
        <f>"8/92"</f>
        <v>8/92</v>
      </c>
      <c r="C568" s="2">
        <v>3.55451537646434E-8</v>
      </c>
      <c r="D568" s="2">
        <v>1.6350770731735901E-6</v>
      </c>
      <c r="E568">
        <v>18.864761904761899</v>
      </c>
      <c r="F568" t="s">
        <v>1533</v>
      </c>
      <c r="G568" t="s">
        <v>9</v>
      </c>
    </row>
    <row r="569" spans="1:7" x14ac:dyDescent="0.2">
      <c r="A569" t="s">
        <v>177</v>
      </c>
      <c r="B569" t="str">
        <f>"4/8"</f>
        <v>4/8</v>
      </c>
      <c r="C569" s="2">
        <v>5.5349190617732601E-8</v>
      </c>
      <c r="D569" s="2">
        <v>2.4442202576790701E-6</v>
      </c>
      <c r="E569">
        <v>191.230769230769</v>
      </c>
      <c r="F569" t="s">
        <v>178</v>
      </c>
      <c r="G569" t="s">
        <v>9</v>
      </c>
    </row>
    <row r="570" spans="1:7" x14ac:dyDescent="0.2">
      <c r="A570" t="s">
        <v>956</v>
      </c>
      <c r="B570" t="str">
        <f>"8/98"</f>
        <v>8/98</v>
      </c>
      <c r="C570" s="2">
        <v>5.8510918524396497E-8</v>
      </c>
      <c r="D570" s="2">
        <v>2.4844636173435999E-6</v>
      </c>
      <c r="E570">
        <v>17.601777777777698</v>
      </c>
      <c r="F570" t="s">
        <v>1534</v>
      </c>
      <c r="G570" t="s">
        <v>9</v>
      </c>
    </row>
    <row r="571" spans="1:7" x14ac:dyDescent="0.2">
      <c r="A571" t="s">
        <v>947</v>
      </c>
      <c r="B571" t="str">
        <f>"8/100"</f>
        <v>8/100</v>
      </c>
      <c r="C571" s="2">
        <v>6.8576926734929105E-8</v>
      </c>
      <c r="D571" s="2">
        <v>2.8040343376059899E-6</v>
      </c>
      <c r="E571">
        <v>17.2173913043478</v>
      </c>
      <c r="F571" t="s">
        <v>1534</v>
      </c>
      <c r="G571" t="s">
        <v>9</v>
      </c>
    </row>
    <row r="572" spans="1:7" x14ac:dyDescent="0.2">
      <c r="A572" t="s">
        <v>242</v>
      </c>
      <c r="B572" t="str">
        <f>"6/45"</f>
        <v>6/45</v>
      </c>
      <c r="C572" s="2">
        <v>1.47912426337214E-7</v>
      </c>
      <c r="D572" s="2">
        <v>5.8319756670101502E-6</v>
      </c>
      <c r="E572">
        <v>29.9441930618401</v>
      </c>
      <c r="F572" t="s">
        <v>1535</v>
      </c>
      <c r="G572" t="s">
        <v>9</v>
      </c>
    </row>
    <row r="573" spans="1:7" x14ac:dyDescent="0.2">
      <c r="A573" t="s">
        <v>601</v>
      </c>
      <c r="B573" t="str">
        <f>"6/51"</f>
        <v>6/51</v>
      </c>
      <c r="C573" s="2">
        <v>3.1858119122510098E-7</v>
      </c>
      <c r="D573" s="2">
        <v>1.212805638319E-5</v>
      </c>
      <c r="E573">
        <v>25.943790849673199</v>
      </c>
      <c r="F573" t="s">
        <v>1536</v>
      </c>
      <c r="G573" t="s">
        <v>9</v>
      </c>
    </row>
    <row r="574" spans="1:7" x14ac:dyDescent="0.2">
      <c r="A574" t="s">
        <v>366</v>
      </c>
      <c r="B574" t="str">
        <f>"6/54"</f>
        <v>6/54</v>
      </c>
      <c r="C574" s="2">
        <v>4.5092232545956602E-7</v>
      </c>
      <c r="D574" s="2">
        <v>1.6593941576911998E-5</v>
      </c>
      <c r="E574">
        <v>24.318627450980301</v>
      </c>
      <c r="F574" t="s">
        <v>1537</v>
      </c>
      <c r="G574" t="s">
        <v>9</v>
      </c>
    </row>
    <row r="575" spans="1:7" x14ac:dyDescent="0.2">
      <c r="A575" t="s">
        <v>52</v>
      </c>
      <c r="B575" t="str">
        <f>"6/56"</f>
        <v>6/56</v>
      </c>
      <c r="C575" s="2">
        <v>5.6194068802391404E-7</v>
      </c>
      <c r="D575" s="2">
        <v>2.00123393412387E-5</v>
      </c>
      <c r="E575">
        <v>23.343529411764699</v>
      </c>
      <c r="F575" t="s">
        <v>1538</v>
      </c>
      <c r="G575" t="s">
        <v>9</v>
      </c>
    </row>
    <row r="576" spans="1:7" x14ac:dyDescent="0.2">
      <c r="A576" t="s">
        <v>249</v>
      </c>
      <c r="B576" t="str">
        <f>"9/182"</f>
        <v>9/182</v>
      </c>
      <c r="C576" s="2">
        <v>6.3329943753819797E-7</v>
      </c>
      <c r="D576" s="2">
        <v>2.18488305950678E-5</v>
      </c>
      <c r="E576">
        <v>10.362059905412501</v>
      </c>
      <c r="F576" t="s">
        <v>1539</v>
      </c>
      <c r="G576" t="s">
        <v>9</v>
      </c>
    </row>
    <row r="577" spans="1:7" x14ac:dyDescent="0.2">
      <c r="A577" t="s">
        <v>615</v>
      </c>
      <c r="B577" t="str">
        <f>"5/32"</f>
        <v>5/32</v>
      </c>
      <c r="C577" s="2">
        <v>7.4985574252005904E-7</v>
      </c>
      <c r="D577" s="2">
        <v>2.5066790485318201E-5</v>
      </c>
      <c r="E577">
        <v>35.7155699388709</v>
      </c>
      <c r="F577" t="s">
        <v>1540</v>
      </c>
      <c r="G577" t="s">
        <v>9</v>
      </c>
    </row>
    <row r="578" spans="1:7" x14ac:dyDescent="0.2">
      <c r="A578" t="s">
        <v>194</v>
      </c>
      <c r="B578" t="str">
        <f>"4/14"</f>
        <v>4/14</v>
      </c>
      <c r="C578" s="2">
        <v>7.71984489584075E-7</v>
      </c>
      <c r="D578" s="2">
        <v>2.5066790485318201E-5</v>
      </c>
      <c r="E578">
        <v>76.469230769230705</v>
      </c>
      <c r="F578" t="s">
        <v>1541</v>
      </c>
      <c r="G578" t="s">
        <v>9</v>
      </c>
    </row>
    <row r="579" spans="1:7" x14ac:dyDescent="0.2">
      <c r="A579" t="s">
        <v>55</v>
      </c>
      <c r="B579" t="str">
        <f>"6/60"</f>
        <v>6/60</v>
      </c>
      <c r="C579" s="2">
        <v>8.5145687815542798E-7</v>
      </c>
      <c r="D579" s="2">
        <v>2.6857382670959699E-5</v>
      </c>
      <c r="E579">
        <v>21.6100217864923</v>
      </c>
      <c r="F579" t="s">
        <v>1538</v>
      </c>
      <c r="G579" t="s">
        <v>9</v>
      </c>
    </row>
    <row r="580" spans="1:7" x14ac:dyDescent="0.2">
      <c r="A580" t="s">
        <v>612</v>
      </c>
      <c r="B580" t="str">
        <f>"5/34"</f>
        <v>5/34</v>
      </c>
      <c r="C580" s="2">
        <v>1.02727836515426E-6</v>
      </c>
      <c r="D580" s="2">
        <v>3.1280080537503802E-5</v>
      </c>
      <c r="E580">
        <v>33.249079343823198</v>
      </c>
      <c r="F580" t="s">
        <v>1542</v>
      </c>
      <c r="G580" t="s">
        <v>9</v>
      </c>
    </row>
    <row r="581" spans="1:7" x14ac:dyDescent="0.2">
      <c r="A581" t="s">
        <v>1295</v>
      </c>
      <c r="B581" t="str">
        <f>"4/15"</f>
        <v>4/15</v>
      </c>
      <c r="C581" s="2">
        <v>1.04833603250692E-6</v>
      </c>
      <c r="D581" s="2">
        <v>3.1280080537503802E-5</v>
      </c>
      <c r="E581">
        <v>69.513986013985999</v>
      </c>
      <c r="F581" t="s">
        <v>1543</v>
      </c>
      <c r="G581" t="s">
        <v>9</v>
      </c>
    </row>
    <row r="582" spans="1:7" x14ac:dyDescent="0.2">
      <c r="A582" t="s">
        <v>216</v>
      </c>
      <c r="B582" t="str">
        <f>"4/16"</f>
        <v>4/16</v>
      </c>
      <c r="C582" s="2">
        <v>1.39197903785942E-6</v>
      </c>
      <c r="D582" s="2">
        <v>3.99341182587169E-5</v>
      </c>
      <c r="E582">
        <v>63.717948717948701</v>
      </c>
      <c r="F582" t="s">
        <v>1544</v>
      </c>
      <c r="G582" t="s">
        <v>9</v>
      </c>
    </row>
    <row r="583" spans="1:7" x14ac:dyDescent="0.2">
      <c r="A583" t="s">
        <v>1545</v>
      </c>
      <c r="B583" t="str">
        <f>"3/5"</f>
        <v>3/5</v>
      </c>
      <c r="C583" s="2">
        <v>1.51923275984249E-6</v>
      </c>
      <c r="D583" s="2">
        <v>3.99341182587169E-5</v>
      </c>
      <c r="E583">
        <v>284.142857142857</v>
      </c>
      <c r="F583" t="s">
        <v>1546</v>
      </c>
      <c r="G583" t="s">
        <v>9</v>
      </c>
    </row>
    <row r="584" spans="1:7" x14ac:dyDescent="0.2">
      <c r="A584" t="s">
        <v>1547</v>
      </c>
      <c r="B584" t="str">
        <f>"3/5"</f>
        <v>3/5</v>
      </c>
      <c r="C584" s="2">
        <v>1.51923275984249E-6</v>
      </c>
      <c r="D584" s="2">
        <v>3.99341182587169E-5</v>
      </c>
      <c r="E584">
        <v>284.142857142857</v>
      </c>
      <c r="F584" t="s">
        <v>1546</v>
      </c>
      <c r="G584" t="s">
        <v>9</v>
      </c>
    </row>
    <row r="585" spans="1:7" x14ac:dyDescent="0.2">
      <c r="A585" t="s">
        <v>1548</v>
      </c>
      <c r="B585" t="str">
        <f>"3/5"</f>
        <v>3/5</v>
      </c>
      <c r="C585" s="2">
        <v>1.51923275984249E-6</v>
      </c>
      <c r="D585" s="2">
        <v>3.99341182587169E-5</v>
      </c>
      <c r="E585">
        <v>284.142857142857</v>
      </c>
      <c r="F585" t="s">
        <v>1546</v>
      </c>
      <c r="G585" t="s">
        <v>9</v>
      </c>
    </row>
    <row r="586" spans="1:7" x14ac:dyDescent="0.2">
      <c r="A586" t="s">
        <v>1549</v>
      </c>
      <c r="B586" t="str">
        <f>"3/5"</f>
        <v>3/5</v>
      </c>
      <c r="C586" s="2">
        <v>1.51923275984249E-6</v>
      </c>
      <c r="D586" s="2">
        <v>3.99341182587169E-5</v>
      </c>
      <c r="E586">
        <v>284.142857142857</v>
      </c>
      <c r="F586" t="s">
        <v>1550</v>
      </c>
      <c r="G586" t="s">
        <v>9</v>
      </c>
    </row>
    <row r="587" spans="1:7" x14ac:dyDescent="0.2">
      <c r="A587" t="s">
        <v>341</v>
      </c>
      <c r="B587" t="str">
        <f>"13/481"</f>
        <v>13/481</v>
      </c>
      <c r="C587" s="2">
        <v>1.97348435627904E-6</v>
      </c>
      <c r="D587" s="2">
        <v>5.0668063472838601E-5</v>
      </c>
      <c r="E587">
        <v>5.6795321637426897</v>
      </c>
      <c r="F587" t="s">
        <v>1551</v>
      </c>
      <c r="G587" t="s">
        <v>9</v>
      </c>
    </row>
    <row r="588" spans="1:7" x14ac:dyDescent="0.2">
      <c r="A588" t="s">
        <v>343</v>
      </c>
      <c r="B588" t="str">
        <f>"13/485"</f>
        <v>13/485</v>
      </c>
      <c r="C588" s="2">
        <v>2.1618443828779201E-6</v>
      </c>
      <c r="D588" s="2">
        <v>5.4242640879482303E-5</v>
      </c>
      <c r="E588">
        <v>5.6302408563782302</v>
      </c>
      <c r="F588" t="s">
        <v>1551</v>
      </c>
      <c r="G588" t="s">
        <v>9</v>
      </c>
    </row>
    <row r="589" spans="1:7" x14ac:dyDescent="0.2">
      <c r="A589" t="s">
        <v>346</v>
      </c>
      <c r="B589" t="str">
        <f>"13/488"</f>
        <v>13/488</v>
      </c>
      <c r="C589" s="2">
        <v>2.3134406968221001E-6</v>
      </c>
      <c r="D589" s="2">
        <v>5.45181583487384E-5</v>
      </c>
      <c r="E589">
        <v>5.5938171745152303</v>
      </c>
      <c r="F589" t="s">
        <v>1551</v>
      </c>
      <c r="G589" t="s">
        <v>9</v>
      </c>
    </row>
    <row r="590" spans="1:7" x14ac:dyDescent="0.2">
      <c r="A590" t="s">
        <v>218</v>
      </c>
      <c r="B590" t="str">
        <f>"4/18"</f>
        <v>4/18</v>
      </c>
      <c r="C590" s="2">
        <v>2.32097232100607E-6</v>
      </c>
      <c r="D590" s="2">
        <v>5.45181583487384E-5</v>
      </c>
      <c r="E590">
        <v>54.609890109890102</v>
      </c>
      <c r="F590" t="s">
        <v>1544</v>
      </c>
      <c r="G590" t="s">
        <v>9</v>
      </c>
    </row>
    <row r="591" spans="1:7" x14ac:dyDescent="0.2">
      <c r="A591" t="s">
        <v>1297</v>
      </c>
      <c r="B591" t="str">
        <f>"4/18"</f>
        <v>4/18</v>
      </c>
      <c r="C591" s="2">
        <v>2.32097232100607E-6</v>
      </c>
      <c r="D591" s="2">
        <v>5.45181583487384E-5</v>
      </c>
      <c r="E591">
        <v>54.609890109890102</v>
      </c>
      <c r="F591" t="s">
        <v>1552</v>
      </c>
      <c r="G591" t="s">
        <v>9</v>
      </c>
    </row>
    <row r="592" spans="1:7" x14ac:dyDescent="0.2">
      <c r="A592" t="s">
        <v>349</v>
      </c>
      <c r="B592" t="str">
        <f>"3/6"</f>
        <v>3/6</v>
      </c>
      <c r="C592" s="2">
        <v>3.0265308049292499E-6</v>
      </c>
      <c r="D592" s="2">
        <v>6.9610208513372807E-5</v>
      </c>
      <c r="E592">
        <v>189.41904761904701</v>
      </c>
      <c r="F592" t="s">
        <v>1553</v>
      </c>
      <c r="G592" t="s">
        <v>9</v>
      </c>
    </row>
    <row r="593" spans="1:7" x14ac:dyDescent="0.2">
      <c r="A593" t="s">
        <v>927</v>
      </c>
      <c r="B593" t="str">
        <f>"4/20"</f>
        <v>4/20</v>
      </c>
      <c r="C593" s="2">
        <v>3.6444341527483799E-6</v>
      </c>
      <c r="D593" s="2">
        <v>8.0469106092684203E-5</v>
      </c>
      <c r="E593">
        <v>47.778846153846096</v>
      </c>
      <c r="F593" t="s">
        <v>1554</v>
      </c>
      <c r="G593" t="s">
        <v>9</v>
      </c>
    </row>
    <row r="594" spans="1:7" x14ac:dyDescent="0.2">
      <c r="A594" t="s">
        <v>910</v>
      </c>
      <c r="B594" t="str">
        <f>"4/20"</f>
        <v>4/20</v>
      </c>
      <c r="C594" s="2">
        <v>3.6444341527483799E-6</v>
      </c>
      <c r="D594" s="2">
        <v>8.0469106092684203E-5</v>
      </c>
      <c r="E594">
        <v>47.778846153846096</v>
      </c>
      <c r="F594" t="s">
        <v>1555</v>
      </c>
      <c r="G594" t="s">
        <v>9</v>
      </c>
    </row>
    <row r="595" spans="1:7" x14ac:dyDescent="0.2">
      <c r="A595" t="s">
        <v>65</v>
      </c>
      <c r="B595" t="str">
        <f>"5/44"</f>
        <v>5/44</v>
      </c>
      <c r="C595" s="2">
        <v>3.84106954790785E-6</v>
      </c>
      <c r="D595" s="2">
        <v>8.3147858448828904E-5</v>
      </c>
      <c r="E595">
        <v>24.711227284042799</v>
      </c>
      <c r="F595" t="s">
        <v>1556</v>
      </c>
      <c r="G595" t="s">
        <v>9</v>
      </c>
    </row>
    <row r="596" spans="1:7" x14ac:dyDescent="0.2">
      <c r="A596" t="s">
        <v>543</v>
      </c>
      <c r="B596" t="str">
        <f>"6/80"</f>
        <v>6/80</v>
      </c>
      <c r="C596" s="2">
        <v>4.6832858212747697E-6</v>
      </c>
      <c r="D596" s="2">
        <v>9.9429760513218102E-5</v>
      </c>
      <c r="E596">
        <v>15.7535771065182</v>
      </c>
      <c r="F596" t="s">
        <v>1557</v>
      </c>
      <c r="G596" t="s">
        <v>9</v>
      </c>
    </row>
    <row r="597" spans="1:7" x14ac:dyDescent="0.2">
      <c r="A597" t="s">
        <v>181</v>
      </c>
      <c r="B597" t="str">
        <f>"3/7"</f>
        <v>3/7</v>
      </c>
      <c r="C597" s="2">
        <v>5.2756194265723604E-6</v>
      </c>
      <c r="D597">
        <v>1.0751001828144901E-4</v>
      </c>
      <c r="E597">
        <v>142.057142857142</v>
      </c>
      <c r="F597" t="s">
        <v>182</v>
      </c>
      <c r="G597" t="s">
        <v>9</v>
      </c>
    </row>
    <row r="598" spans="1:7" x14ac:dyDescent="0.2">
      <c r="A598" t="s">
        <v>183</v>
      </c>
      <c r="B598" t="str">
        <f>"3/7"</f>
        <v>3/7</v>
      </c>
      <c r="C598" s="2">
        <v>5.2756194265723604E-6</v>
      </c>
      <c r="D598">
        <v>1.0751001828144901E-4</v>
      </c>
      <c r="E598">
        <v>142.057142857142</v>
      </c>
      <c r="F598" t="s">
        <v>182</v>
      </c>
      <c r="G598" t="s">
        <v>9</v>
      </c>
    </row>
    <row r="599" spans="1:7" x14ac:dyDescent="0.2">
      <c r="A599" t="s">
        <v>564</v>
      </c>
      <c r="B599" t="str">
        <f>"5/47"</f>
        <v>5/47</v>
      </c>
      <c r="C599" s="2">
        <v>5.3560244614852497E-6</v>
      </c>
      <c r="D599">
        <v>1.0751001828144901E-4</v>
      </c>
      <c r="E599">
        <v>22.942672214516801</v>
      </c>
      <c r="F599" t="s">
        <v>1558</v>
      </c>
      <c r="G599" t="s">
        <v>9</v>
      </c>
    </row>
    <row r="600" spans="1:7" x14ac:dyDescent="0.2">
      <c r="A600" t="s">
        <v>1559</v>
      </c>
      <c r="B600" t="str">
        <f>"4/22"</f>
        <v>4/22</v>
      </c>
      <c r="C600" s="2">
        <v>5.4568135016525404E-6</v>
      </c>
      <c r="D600">
        <v>1.0757718046115E-4</v>
      </c>
      <c r="E600">
        <v>42.465811965811902</v>
      </c>
      <c r="F600" t="s">
        <v>1560</v>
      </c>
      <c r="G600" t="s">
        <v>9</v>
      </c>
    </row>
    <row r="601" spans="1:7" x14ac:dyDescent="0.2">
      <c r="A601" t="s">
        <v>286</v>
      </c>
      <c r="B601" t="str">
        <f>"5/48"</f>
        <v>5/48</v>
      </c>
      <c r="C601" s="2">
        <v>5.9532491403218801E-6</v>
      </c>
      <c r="D601">
        <v>1.15305035980971E-4</v>
      </c>
      <c r="E601">
        <v>22.407992774892701</v>
      </c>
      <c r="F601" t="s">
        <v>1561</v>
      </c>
      <c r="G601" t="s">
        <v>9</v>
      </c>
    </row>
    <row r="602" spans="1:7" x14ac:dyDescent="0.2">
      <c r="A602" t="s">
        <v>365</v>
      </c>
      <c r="B602" t="str">
        <f>"5/50"</f>
        <v>5/50</v>
      </c>
      <c r="C602" s="2">
        <v>7.3035303129803401E-6</v>
      </c>
      <c r="D602">
        <v>1.3901892181948701E-4</v>
      </c>
      <c r="E602">
        <v>21.409924487594299</v>
      </c>
      <c r="F602" t="s">
        <v>1562</v>
      </c>
      <c r="G602" t="s">
        <v>9</v>
      </c>
    </row>
    <row r="603" spans="1:7" x14ac:dyDescent="0.2">
      <c r="A603" t="s">
        <v>1563</v>
      </c>
      <c r="B603" t="str">
        <f>"3/8"</f>
        <v>3/8</v>
      </c>
      <c r="C603" s="2">
        <v>8.4078234244621594E-6</v>
      </c>
      <c r="D603">
        <v>1.5732605187468099E-4</v>
      </c>
      <c r="E603">
        <v>113.64</v>
      </c>
      <c r="F603" t="s">
        <v>1564</v>
      </c>
      <c r="G603" t="s">
        <v>9</v>
      </c>
    </row>
    <row r="604" spans="1:7" x14ac:dyDescent="0.2">
      <c r="A604" t="s">
        <v>610</v>
      </c>
      <c r="B604" t="str">
        <f>"4/25"</f>
        <v>4/25</v>
      </c>
      <c r="C604" s="2">
        <v>9.3196451611173805E-6</v>
      </c>
      <c r="D604">
        <v>1.68670299309403E-4</v>
      </c>
      <c r="E604">
        <v>36.393772893772798</v>
      </c>
      <c r="F604" t="s">
        <v>1565</v>
      </c>
      <c r="G604" t="s">
        <v>9</v>
      </c>
    </row>
    <row r="605" spans="1:7" x14ac:dyDescent="0.2">
      <c r="A605" t="s">
        <v>269</v>
      </c>
      <c r="B605" t="str">
        <f>"4/25"</f>
        <v>4/25</v>
      </c>
      <c r="C605" s="2">
        <v>9.3196451611173805E-6</v>
      </c>
      <c r="D605">
        <v>1.68670299309403E-4</v>
      </c>
      <c r="E605">
        <v>36.393772893772798</v>
      </c>
      <c r="F605" t="s">
        <v>1543</v>
      </c>
      <c r="G605" t="s">
        <v>9</v>
      </c>
    </row>
    <row r="606" spans="1:7" x14ac:dyDescent="0.2">
      <c r="A606" t="s">
        <v>1000</v>
      </c>
      <c r="B606" t="str">
        <f>"7/139"</f>
        <v>7/139</v>
      </c>
      <c r="C606" s="2">
        <v>1.04598169445209E-5</v>
      </c>
      <c r="D606">
        <v>1.8625222430243701E-4</v>
      </c>
      <c r="E606">
        <v>10.375037503750301</v>
      </c>
      <c r="F606" t="s">
        <v>1566</v>
      </c>
      <c r="G606" t="s">
        <v>9</v>
      </c>
    </row>
    <row r="607" spans="1:7" x14ac:dyDescent="0.2">
      <c r="A607" t="s">
        <v>1567</v>
      </c>
      <c r="B607" t="str">
        <f>"3/9"</f>
        <v>3/9</v>
      </c>
      <c r="C607" s="2">
        <v>1.25621790862128E-5</v>
      </c>
      <c r="D607">
        <v>2.1336378017198401E-4</v>
      </c>
      <c r="E607">
        <v>94.695238095238096</v>
      </c>
      <c r="F607" t="s">
        <v>1568</v>
      </c>
      <c r="G607" t="s">
        <v>9</v>
      </c>
    </row>
    <row r="608" spans="1:7" x14ac:dyDescent="0.2">
      <c r="A608" t="s">
        <v>352</v>
      </c>
      <c r="B608" t="str">
        <f>"3/9"</f>
        <v>3/9</v>
      </c>
      <c r="C608" s="2">
        <v>1.25621790862128E-5</v>
      </c>
      <c r="D608">
        <v>2.1336378017198401E-4</v>
      </c>
      <c r="E608">
        <v>94.695238095238096</v>
      </c>
      <c r="F608" t="s">
        <v>1553</v>
      </c>
      <c r="G608" t="s">
        <v>9</v>
      </c>
    </row>
    <row r="609" spans="1:7" x14ac:dyDescent="0.2">
      <c r="A609" t="s">
        <v>351</v>
      </c>
      <c r="B609" t="str">
        <f>"3/9"</f>
        <v>3/9</v>
      </c>
      <c r="C609" s="2">
        <v>1.25621790862128E-5</v>
      </c>
      <c r="D609">
        <v>2.1336378017198401E-4</v>
      </c>
      <c r="E609">
        <v>94.695238095238096</v>
      </c>
      <c r="F609" t="s">
        <v>1553</v>
      </c>
      <c r="G609" t="s">
        <v>9</v>
      </c>
    </row>
    <row r="610" spans="1:7" x14ac:dyDescent="0.2">
      <c r="A610" t="s">
        <v>1569</v>
      </c>
      <c r="B610" t="str">
        <f>"5/56"</f>
        <v>5/56</v>
      </c>
      <c r="C610" s="2">
        <v>1.2833074548659799E-5</v>
      </c>
      <c r="D610">
        <v>2.1466233790485499E-4</v>
      </c>
      <c r="E610">
        <v>18.885398819721999</v>
      </c>
      <c r="F610" t="s">
        <v>1570</v>
      </c>
      <c r="G610" t="s">
        <v>9</v>
      </c>
    </row>
    <row r="611" spans="1:7" x14ac:dyDescent="0.2">
      <c r="A611" t="s">
        <v>579</v>
      </c>
      <c r="B611" t="str">
        <f>"5/57"</f>
        <v>5/57</v>
      </c>
      <c r="C611" s="2">
        <v>1.4006908439231E-5</v>
      </c>
      <c r="D611">
        <v>2.30800401744941E-4</v>
      </c>
      <c r="E611">
        <v>18.521284540701998</v>
      </c>
      <c r="F611" t="s">
        <v>1571</v>
      </c>
      <c r="G611" t="s">
        <v>9</v>
      </c>
    </row>
    <row r="612" spans="1:7" x14ac:dyDescent="0.2">
      <c r="A612" t="s">
        <v>590</v>
      </c>
      <c r="B612" t="str">
        <f>"7/150"</f>
        <v>7/150</v>
      </c>
      <c r="C612" s="2">
        <v>1.71770492185613E-5</v>
      </c>
      <c r="D612">
        <v>2.7887444613664301E-4</v>
      </c>
      <c r="E612">
        <v>9.5716263934085699</v>
      </c>
      <c r="F612" t="s">
        <v>1572</v>
      </c>
      <c r="G612" t="s">
        <v>9</v>
      </c>
    </row>
    <row r="613" spans="1:7" x14ac:dyDescent="0.2">
      <c r="A613" t="s">
        <v>824</v>
      </c>
      <c r="B613" t="str">
        <f>"9/274"</f>
        <v>9/274</v>
      </c>
      <c r="C613" s="2">
        <v>1.7866484991904599E-5</v>
      </c>
      <c r="D613">
        <v>2.8192151096618101E-4</v>
      </c>
      <c r="E613">
        <v>6.73310463121783</v>
      </c>
      <c r="F613" t="s">
        <v>1573</v>
      </c>
      <c r="G613" t="s">
        <v>9</v>
      </c>
    </row>
    <row r="614" spans="1:7" x14ac:dyDescent="0.2">
      <c r="A614" t="s">
        <v>1574</v>
      </c>
      <c r="B614" t="str">
        <f>"3/10"</f>
        <v>3/10</v>
      </c>
      <c r="C614" s="2">
        <v>1.7875458122855699E-5</v>
      </c>
      <c r="D614">
        <v>2.8192151096618101E-4</v>
      </c>
      <c r="E614">
        <v>81.163265306122398</v>
      </c>
      <c r="F614" t="s">
        <v>1575</v>
      </c>
      <c r="G614" t="s">
        <v>9</v>
      </c>
    </row>
    <row r="615" spans="1:7" x14ac:dyDescent="0.2">
      <c r="A615" t="s">
        <v>842</v>
      </c>
      <c r="B615" t="str">
        <f>"4/30"</f>
        <v>4/30</v>
      </c>
      <c r="C615" s="2">
        <v>1.9774985931775499E-5</v>
      </c>
      <c r="D615">
        <v>3.0748710519267901E-4</v>
      </c>
      <c r="E615">
        <v>29.387573964497001</v>
      </c>
      <c r="F615" t="s">
        <v>1576</v>
      </c>
      <c r="G615" t="s">
        <v>9</v>
      </c>
    </row>
    <row r="616" spans="1:7" x14ac:dyDescent="0.2">
      <c r="A616" t="s">
        <v>1577</v>
      </c>
      <c r="B616" t="str">
        <f>"5/62"</f>
        <v>5/62</v>
      </c>
      <c r="C616" s="2">
        <v>2.1188610251415801E-5</v>
      </c>
      <c r="D616">
        <v>3.2489202385504301E-4</v>
      </c>
      <c r="E616">
        <v>16.892352239822799</v>
      </c>
      <c r="F616" t="s">
        <v>1570</v>
      </c>
      <c r="G616" t="s">
        <v>9</v>
      </c>
    </row>
    <row r="617" spans="1:7" x14ac:dyDescent="0.2">
      <c r="A617" t="s">
        <v>1578</v>
      </c>
      <c r="B617" t="str">
        <f>"4/31"</f>
        <v>4/31</v>
      </c>
      <c r="C617" s="2">
        <v>2.26105050803735E-5</v>
      </c>
      <c r="D617">
        <v>3.4194517272236101E-4</v>
      </c>
      <c r="E617">
        <v>28.2977207977207</v>
      </c>
      <c r="F617" t="s">
        <v>1579</v>
      </c>
      <c r="G617" t="s">
        <v>9</v>
      </c>
    </row>
    <row r="618" spans="1:7" x14ac:dyDescent="0.2">
      <c r="A618" t="s">
        <v>1580</v>
      </c>
      <c r="B618" t="str">
        <f>"3/11"</f>
        <v>3/11</v>
      </c>
      <c r="C618" s="2">
        <v>2.44821914198826E-5</v>
      </c>
      <c r="D618">
        <v>3.5101739386429103E-4</v>
      </c>
      <c r="E618">
        <v>71.014285714285705</v>
      </c>
      <c r="F618" t="s">
        <v>1575</v>
      </c>
      <c r="G618" t="s">
        <v>9</v>
      </c>
    </row>
    <row r="619" spans="1:7" x14ac:dyDescent="0.2">
      <c r="A619" t="s">
        <v>1416</v>
      </c>
      <c r="B619" t="str">
        <f>"3/11"</f>
        <v>3/11</v>
      </c>
      <c r="C619" s="2">
        <v>2.44821914198826E-5</v>
      </c>
      <c r="D619">
        <v>3.5101739386429103E-4</v>
      </c>
      <c r="E619">
        <v>71.014285714285705</v>
      </c>
      <c r="F619" t="s">
        <v>1581</v>
      </c>
      <c r="G619" t="s">
        <v>9</v>
      </c>
    </row>
    <row r="620" spans="1:7" x14ac:dyDescent="0.2">
      <c r="A620" t="s">
        <v>354</v>
      </c>
      <c r="B620" t="str">
        <f>"3/11"</f>
        <v>3/11</v>
      </c>
      <c r="C620" s="2">
        <v>2.44821914198826E-5</v>
      </c>
      <c r="D620">
        <v>3.5101739386429103E-4</v>
      </c>
      <c r="E620">
        <v>71.014285714285705</v>
      </c>
      <c r="F620" t="s">
        <v>1553</v>
      </c>
      <c r="G620" t="s">
        <v>9</v>
      </c>
    </row>
    <row r="621" spans="1:7" x14ac:dyDescent="0.2">
      <c r="A621" t="s">
        <v>72</v>
      </c>
      <c r="B621" t="str">
        <f>"3/11"</f>
        <v>3/11</v>
      </c>
      <c r="C621" s="2">
        <v>2.44821914198826E-5</v>
      </c>
      <c r="D621">
        <v>3.5101739386429103E-4</v>
      </c>
      <c r="E621">
        <v>71.014285714285705</v>
      </c>
      <c r="F621" t="s">
        <v>1582</v>
      </c>
      <c r="G621" t="s">
        <v>9</v>
      </c>
    </row>
    <row r="622" spans="1:7" x14ac:dyDescent="0.2">
      <c r="A622" t="s">
        <v>591</v>
      </c>
      <c r="B622" t="str">
        <f>"4/32"</f>
        <v>4/32</v>
      </c>
      <c r="C622" s="2">
        <v>2.57334837309884E-5</v>
      </c>
      <c r="D622">
        <v>3.6422776973091302E-4</v>
      </c>
      <c r="E622">
        <v>27.285714285714199</v>
      </c>
      <c r="F622" t="s">
        <v>1583</v>
      </c>
      <c r="G622" t="s">
        <v>9</v>
      </c>
    </row>
    <row r="623" spans="1:7" x14ac:dyDescent="0.2">
      <c r="A623" t="s">
        <v>179</v>
      </c>
      <c r="B623" t="str">
        <f>"4/33"</f>
        <v>4/33</v>
      </c>
      <c r="C623" s="2">
        <v>2.91615848758824E-5</v>
      </c>
      <c r="D623">
        <v>4.07523920290812E-4</v>
      </c>
      <c r="E623">
        <v>26.343501326259901</v>
      </c>
      <c r="F623" t="s">
        <v>178</v>
      </c>
      <c r="G623" t="s">
        <v>9</v>
      </c>
    </row>
    <row r="624" spans="1:7" x14ac:dyDescent="0.2">
      <c r="A624" t="s">
        <v>1584</v>
      </c>
      <c r="B624" t="str">
        <f>"3/12"</f>
        <v>3/12</v>
      </c>
      <c r="C624" s="2">
        <v>3.25146926109493E-5</v>
      </c>
      <c r="D624">
        <v>4.4859007874867399E-4</v>
      </c>
      <c r="E624">
        <v>63.120634920634899</v>
      </c>
      <c r="F624" t="s">
        <v>1564</v>
      </c>
      <c r="G624" t="s">
        <v>9</v>
      </c>
    </row>
    <row r="625" spans="1:7" x14ac:dyDescent="0.2">
      <c r="A625" t="s">
        <v>693</v>
      </c>
      <c r="B625" t="str">
        <f>"4/34"</f>
        <v>4/34</v>
      </c>
      <c r="C625" s="2">
        <v>3.2912859038625498E-5</v>
      </c>
      <c r="D625">
        <v>4.4859007874867399E-4</v>
      </c>
      <c r="E625">
        <v>25.4641025641025</v>
      </c>
      <c r="F625" t="s">
        <v>1585</v>
      </c>
      <c r="G625" t="s">
        <v>9</v>
      </c>
    </row>
    <row r="626" spans="1:7" x14ac:dyDescent="0.2">
      <c r="A626" t="s">
        <v>259</v>
      </c>
      <c r="B626" t="str">
        <f>"4/35"</f>
        <v>4/35</v>
      </c>
      <c r="C626" s="2">
        <v>3.7005733165398003E-5</v>
      </c>
      <c r="D626">
        <v>4.86361064459516E-4</v>
      </c>
      <c r="E626">
        <v>24.641439205955301</v>
      </c>
      <c r="F626" t="s">
        <v>1586</v>
      </c>
      <c r="G626" t="s">
        <v>9</v>
      </c>
    </row>
    <row r="627" spans="1:7" x14ac:dyDescent="0.2">
      <c r="A627" t="s">
        <v>766</v>
      </c>
      <c r="B627" t="str">
        <f>"4/35"</f>
        <v>4/35</v>
      </c>
      <c r="C627" s="2">
        <v>3.7005733165398003E-5</v>
      </c>
      <c r="D627">
        <v>4.86361064459516E-4</v>
      </c>
      <c r="E627">
        <v>24.641439205955301</v>
      </c>
      <c r="F627" t="s">
        <v>1587</v>
      </c>
      <c r="G627" t="s">
        <v>9</v>
      </c>
    </row>
    <row r="628" spans="1:7" x14ac:dyDescent="0.2">
      <c r="A628" t="s">
        <v>1072</v>
      </c>
      <c r="B628" t="str">
        <f>"4/35"</f>
        <v>4/35</v>
      </c>
      <c r="C628" s="2">
        <v>3.7005733165398003E-5</v>
      </c>
      <c r="D628">
        <v>4.86361064459516E-4</v>
      </c>
      <c r="E628">
        <v>24.641439205955301</v>
      </c>
      <c r="F628" t="s">
        <v>1588</v>
      </c>
      <c r="G628" t="s">
        <v>9</v>
      </c>
    </row>
    <row r="629" spans="1:7" x14ac:dyDescent="0.2">
      <c r="A629" t="s">
        <v>1355</v>
      </c>
      <c r="B629" t="str">
        <f>"12/546"</f>
        <v>12/546</v>
      </c>
      <c r="C629" s="2">
        <v>3.9165061540865701E-5</v>
      </c>
      <c r="D629">
        <v>5.0868503460136196E-4</v>
      </c>
      <c r="E629">
        <v>4.5313670411985001</v>
      </c>
      <c r="F629" t="s">
        <v>1589</v>
      </c>
      <c r="G629" t="s">
        <v>9</v>
      </c>
    </row>
    <row r="630" spans="1:7" x14ac:dyDescent="0.2">
      <c r="A630" t="s">
        <v>1590</v>
      </c>
      <c r="B630" t="str">
        <f>"3/13"</f>
        <v>3/13</v>
      </c>
      <c r="C630" s="2">
        <v>4.2103081418808598E-5</v>
      </c>
      <c r="D630">
        <v>5.4048606844610205E-4</v>
      </c>
      <c r="E630">
        <v>56.805714285714203</v>
      </c>
      <c r="F630" t="s">
        <v>1564</v>
      </c>
      <c r="G630" t="s">
        <v>9</v>
      </c>
    </row>
    <row r="631" spans="1:7" x14ac:dyDescent="0.2">
      <c r="A631" t="s">
        <v>184</v>
      </c>
      <c r="B631" t="str">
        <f>"5/73"</f>
        <v>5/73</v>
      </c>
      <c r="C631" s="2">
        <v>4.6921302594087801E-5</v>
      </c>
      <c r="D631">
        <v>5.9541515015945905E-4</v>
      </c>
      <c r="E631">
        <v>14.1519131924614</v>
      </c>
      <c r="F631" t="s">
        <v>1591</v>
      </c>
      <c r="G631" t="s">
        <v>9</v>
      </c>
    </row>
    <row r="632" spans="1:7" x14ac:dyDescent="0.2">
      <c r="A632" t="s">
        <v>656</v>
      </c>
      <c r="B632" t="str">
        <f>"4/38"</f>
        <v>4/38</v>
      </c>
      <c r="C632" s="2">
        <v>5.15236411320307E-5</v>
      </c>
      <c r="D632">
        <v>6.4638749783820296E-4</v>
      </c>
      <c r="E632">
        <v>22.463800904977301</v>
      </c>
      <c r="F632" t="s">
        <v>1592</v>
      </c>
      <c r="G632" t="s">
        <v>9</v>
      </c>
    </row>
    <row r="633" spans="1:7" x14ac:dyDescent="0.2">
      <c r="A633" t="s">
        <v>193</v>
      </c>
      <c r="B633" t="str">
        <f>"3/14"</f>
        <v>3/14</v>
      </c>
      <c r="C633" s="2">
        <v>5.3375306898064602E-5</v>
      </c>
      <c r="D633">
        <v>6.4754218478531105E-4</v>
      </c>
      <c r="E633">
        <v>51.638961038961</v>
      </c>
      <c r="F633" t="s">
        <v>1593</v>
      </c>
      <c r="G633" t="s">
        <v>9</v>
      </c>
    </row>
    <row r="634" spans="1:7" x14ac:dyDescent="0.2">
      <c r="A634" t="s">
        <v>1594</v>
      </c>
      <c r="B634" t="str">
        <f>"3/14"</f>
        <v>3/14</v>
      </c>
      <c r="C634" s="2">
        <v>5.3375306898064602E-5</v>
      </c>
      <c r="D634">
        <v>6.4754218478531105E-4</v>
      </c>
      <c r="E634">
        <v>51.638961038961</v>
      </c>
      <c r="F634" t="s">
        <v>1595</v>
      </c>
      <c r="G634" t="s">
        <v>9</v>
      </c>
    </row>
    <row r="635" spans="1:7" x14ac:dyDescent="0.2">
      <c r="A635" t="s">
        <v>1344</v>
      </c>
      <c r="B635" t="str">
        <f>"3/14"</f>
        <v>3/14</v>
      </c>
      <c r="C635" s="2">
        <v>5.3375306898064602E-5</v>
      </c>
      <c r="D635">
        <v>6.4754218478531105E-4</v>
      </c>
      <c r="E635">
        <v>51.638961038961</v>
      </c>
      <c r="F635" t="s">
        <v>1596</v>
      </c>
      <c r="G635" t="s">
        <v>9</v>
      </c>
    </row>
    <row r="636" spans="1:7" x14ac:dyDescent="0.2">
      <c r="A636" t="s">
        <v>260</v>
      </c>
      <c r="B636" t="str">
        <f>"4/39"</f>
        <v>4/39</v>
      </c>
      <c r="C636" s="2">
        <v>5.71743312480077E-5</v>
      </c>
      <c r="D636">
        <v>6.7871464191183301E-4</v>
      </c>
      <c r="E636">
        <v>21.820879120879098</v>
      </c>
      <c r="F636" t="s">
        <v>1586</v>
      </c>
      <c r="G636" t="s">
        <v>9</v>
      </c>
    </row>
    <row r="637" spans="1:7" x14ac:dyDescent="0.2">
      <c r="A637" t="s">
        <v>848</v>
      </c>
      <c r="B637" t="str">
        <f>"4/39"</f>
        <v>4/39</v>
      </c>
      <c r="C637" s="2">
        <v>5.71743312480077E-5</v>
      </c>
      <c r="D637">
        <v>6.7871464191183301E-4</v>
      </c>
      <c r="E637">
        <v>21.820879120879098</v>
      </c>
      <c r="F637" t="s">
        <v>1597</v>
      </c>
      <c r="G637" t="s">
        <v>9</v>
      </c>
    </row>
    <row r="638" spans="1:7" x14ac:dyDescent="0.2">
      <c r="A638" t="s">
        <v>185</v>
      </c>
      <c r="B638" t="str">
        <f>"5/78"</f>
        <v>5/78</v>
      </c>
      <c r="C638" s="2">
        <v>6.4552999158886204E-5</v>
      </c>
      <c r="D638">
        <v>7.5815437310011095E-4</v>
      </c>
      <c r="E638">
        <v>13.179279159462601</v>
      </c>
      <c r="F638" t="s">
        <v>1591</v>
      </c>
      <c r="G638" t="s">
        <v>9</v>
      </c>
    </row>
    <row r="639" spans="1:7" x14ac:dyDescent="0.2">
      <c r="A639" t="s">
        <v>989</v>
      </c>
      <c r="B639" t="str">
        <f>"3/15"</f>
        <v>3/15</v>
      </c>
      <c r="C639" s="2">
        <v>6.6457170353304194E-5</v>
      </c>
      <c r="D639">
        <v>7.6425745906299797E-4</v>
      </c>
      <c r="E639">
        <v>47.3333333333333</v>
      </c>
      <c r="F639" t="s">
        <v>1598</v>
      </c>
      <c r="G639" t="s">
        <v>9</v>
      </c>
    </row>
    <row r="640" spans="1:7" x14ac:dyDescent="0.2">
      <c r="A640" t="s">
        <v>1599</v>
      </c>
      <c r="B640" t="str">
        <f>"3/15"</f>
        <v>3/15</v>
      </c>
      <c r="C640" s="2">
        <v>6.6457170353304194E-5</v>
      </c>
      <c r="D640">
        <v>7.6425745906299797E-4</v>
      </c>
      <c r="E640">
        <v>47.3333333333333</v>
      </c>
      <c r="F640" t="s">
        <v>1600</v>
      </c>
      <c r="G640" t="s">
        <v>9</v>
      </c>
    </row>
    <row r="641" spans="1:7" x14ac:dyDescent="0.2">
      <c r="A641" t="s">
        <v>725</v>
      </c>
      <c r="B641" t="str">
        <f>"4/43"</f>
        <v>4/43</v>
      </c>
      <c r="C641" s="2">
        <v>8.4373210227008301E-5</v>
      </c>
      <c r="D641">
        <v>9.6028890815069202E-4</v>
      </c>
      <c r="E641">
        <v>19.578895463510801</v>
      </c>
      <c r="F641" t="s">
        <v>1601</v>
      </c>
      <c r="G641" t="s">
        <v>9</v>
      </c>
    </row>
    <row r="642" spans="1:7" x14ac:dyDescent="0.2">
      <c r="A642" t="s">
        <v>894</v>
      </c>
      <c r="B642" t="str">
        <f>"5/83"</f>
        <v>5/83</v>
      </c>
      <c r="C642" s="2">
        <v>8.6903636686535895E-5</v>
      </c>
      <c r="D642">
        <v>9.7899607042791392E-4</v>
      </c>
      <c r="E642">
        <v>12.331341797361199</v>
      </c>
      <c r="F642" t="s">
        <v>1570</v>
      </c>
      <c r="G642" t="s">
        <v>9</v>
      </c>
    </row>
    <row r="643" spans="1:7" x14ac:dyDescent="0.2">
      <c r="A643" t="s">
        <v>607</v>
      </c>
      <c r="B643" t="str">
        <f>"4/46"</f>
        <v>4/46</v>
      </c>
      <c r="C643">
        <v>1.1018759941759499E-4</v>
      </c>
      <c r="D643">
        <v>1.2287586844142999E-3</v>
      </c>
      <c r="E643">
        <v>18.177655677655601</v>
      </c>
      <c r="F643" t="s">
        <v>1576</v>
      </c>
      <c r="G643" t="s">
        <v>9</v>
      </c>
    </row>
    <row r="644" spans="1:7" x14ac:dyDescent="0.2">
      <c r="A644" t="s">
        <v>1349</v>
      </c>
      <c r="B644" t="str">
        <f>"3/18"</f>
        <v>3/18</v>
      </c>
      <c r="C644">
        <v>1.17786863145952E-4</v>
      </c>
      <c r="D644">
        <v>1.3003669691313E-3</v>
      </c>
      <c r="E644">
        <v>37.860952380952298</v>
      </c>
      <c r="F644" t="s">
        <v>1596</v>
      </c>
      <c r="G644" t="s">
        <v>9</v>
      </c>
    </row>
    <row r="645" spans="1:7" x14ac:dyDescent="0.2">
      <c r="A645" t="s">
        <v>686</v>
      </c>
      <c r="B645" t="str">
        <f>"3/19"</f>
        <v>3/19</v>
      </c>
      <c r="C645">
        <v>1.3932313085757999E-4</v>
      </c>
      <c r="D645">
        <v>1.4789686198727E-3</v>
      </c>
      <c r="E645">
        <v>35.492857142857098</v>
      </c>
      <c r="F645" t="s">
        <v>1602</v>
      </c>
      <c r="G645" t="s">
        <v>9</v>
      </c>
    </row>
    <row r="646" spans="1:7" x14ac:dyDescent="0.2">
      <c r="A646" t="s">
        <v>196</v>
      </c>
      <c r="B646" t="str">
        <f>"3/19"</f>
        <v>3/19</v>
      </c>
      <c r="C646">
        <v>1.3932313085757999E-4</v>
      </c>
      <c r="D646">
        <v>1.4789686198727E-3</v>
      </c>
      <c r="E646">
        <v>35.492857142857098</v>
      </c>
      <c r="F646" t="s">
        <v>1603</v>
      </c>
      <c r="G646" t="s">
        <v>9</v>
      </c>
    </row>
    <row r="647" spans="1:7" x14ac:dyDescent="0.2">
      <c r="A647" t="s">
        <v>1075</v>
      </c>
      <c r="B647" t="str">
        <f>"3/19"</f>
        <v>3/19</v>
      </c>
      <c r="C647">
        <v>1.3932313085757999E-4</v>
      </c>
      <c r="D647">
        <v>1.4789686198727E-3</v>
      </c>
      <c r="E647">
        <v>35.492857142857098</v>
      </c>
      <c r="F647" t="s">
        <v>1604</v>
      </c>
      <c r="G647" t="s">
        <v>9</v>
      </c>
    </row>
    <row r="648" spans="1:7" x14ac:dyDescent="0.2">
      <c r="A648" t="s">
        <v>234</v>
      </c>
      <c r="B648" t="str">
        <f>"3/19"</f>
        <v>3/19</v>
      </c>
      <c r="C648">
        <v>1.3932313085757999E-4</v>
      </c>
      <c r="D648">
        <v>1.4789686198727E-3</v>
      </c>
      <c r="E648">
        <v>35.492857142857098</v>
      </c>
      <c r="F648" t="s">
        <v>1605</v>
      </c>
      <c r="G648" t="s">
        <v>9</v>
      </c>
    </row>
    <row r="649" spans="1:7" x14ac:dyDescent="0.2">
      <c r="A649" t="s">
        <v>1606</v>
      </c>
      <c r="B649" t="str">
        <f>"3/20"</f>
        <v>3/20</v>
      </c>
      <c r="C649">
        <v>1.63266618196085E-4</v>
      </c>
      <c r="D649">
        <v>1.7166318713188E-3</v>
      </c>
      <c r="E649">
        <v>33.403361344537799</v>
      </c>
      <c r="F649" t="s">
        <v>1607</v>
      </c>
      <c r="G649" t="s">
        <v>9</v>
      </c>
    </row>
    <row r="650" spans="1:7" x14ac:dyDescent="0.2">
      <c r="A650" t="s">
        <v>1608</v>
      </c>
      <c r="B650" t="str">
        <f>"5/98"</f>
        <v>5/98</v>
      </c>
      <c r="C650">
        <v>1.9065473843012299E-4</v>
      </c>
      <c r="D650">
        <v>1.9817573073111E-3</v>
      </c>
      <c r="E650">
        <v>10.3345860737028</v>
      </c>
      <c r="F650" t="s">
        <v>1609</v>
      </c>
      <c r="G650" t="s">
        <v>9</v>
      </c>
    </row>
    <row r="651" spans="1:7" x14ac:dyDescent="0.2">
      <c r="A651" t="s">
        <v>779</v>
      </c>
      <c r="B651" t="str">
        <f>"4/53"</f>
        <v>4/53</v>
      </c>
      <c r="C651">
        <v>1.92072492647005E-4</v>
      </c>
      <c r="D651">
        <v>1.9817573073111E-3</v>
      </c>
      <c r="E651">
        <v>15.575353218210299</v>
      </c>
      <c r="F651" t="s">
        <v>1576</v>
      </c>
      <c r="G651" t="s">
        <v>9</v>
      </c>
    </row>
    <row r="652" spans="1:7" x14ac:dyDescent="0.2">
      <c r="A652" t="s">
        <v>236</v>
      </c>
      <c r="B652" t="str">
        <f>"3/22"</f>
        <v>3/22</v>
      </c>
      <c r="C652">
        <v>2.18826806881905E-4</v>
      </c>
      <c r="D652">
        <v>2.1962254072511E-3</v>
      </c>
      <c r="E652">
        <v>29.884210526315702</v>
      </c>
      <c r="F652" t="s">
        <v>1605</v>
      </c>
      <c r="G652" t="s">
        <v>9</v>
      </c>
    </row>
    <row r="653" spans="1:7" x14ac:dyDescent="0.2">
      <c r="A653" t="s">
        <v>235</v>
      </c>
      <c r="B653" t="str">
        <f>"3/22"</f>
        <v>3/22</v>
      </c>
      <c r="C653">
        <v>2.18826806881905E-4</v>
      </c>
      <c r="D653">
        <v>2.1962254072511E-3</v>
      </c>
      <c r="E653">
        <v>29.884210526315702</v>
      </c>
      <c r="F653" t="s">
        <v>1605</v>
      </c>
      <c r="G653" t="s">
        <v>9</v>
      </c>
    </row>
    <row r="654" spans="1:7" x14ac:dyDescent="0.2">
      <c r="A654" t="s">
        <v>360</v>
      </c>
      <c r="B654" t="str">
        <f>"3/22"</f>
        <v>3/22</v>
      </c>
      <c r="C654">
        <v>2.18826806881905E-4</v>
      </c>
      <c r="D654">
        <v>2.1962254072511E-3</v>
      </c>
      <c r="E654">
        <v>29.884210526315702</v>
      </c>
      <c r="F654" t="s">
        <v>1610</v>
      </c>
      <c r="G654" t="s">
        <v>9</v>
      </c>
    </row>
    <row r="655" spans="1:7" x14ac:dyDescent="0.2">
      <c r="A655" t="s">
        <v>577</v>
      </c>
      <c r="B655" t="str">
        <f>"8/302"</f>
        <v>8/302</v>
      </c>
      <c r="C655">
        <v>2.3482557298681701E-4</v>
      </c>
      <c r="D655">
        <v>2.3355624556526001E-3</v>
      </c>
      <c r="E655">
        <v>5.3327891156462499</v>
      </c>
      <c r="F655" t="s">
        <v>1611</v>
      </c>
      <c r="G655" t="s">
        <v>9</v>
      </c>
    </row>
    <row r="656" spans="1:7" x14ac:dyDescent="0.2">
      <c r="A656" t="s">
        <v>230</v>
      </c>
      <c r="B656" t="str">
        <f>"10/482"</f>
        <v>10/482</v>
      </c>
      <c r="C656">
        <v>2.8307939491343398E-4</v>
      </c>
      <c r="D656">
        <v>2.7903540355752E-3</v>
      </c>
      <c r="E656">
        <v>4.1983742649602203</v>
      </c>
      <c r="F656" t="s">
        <v>1612</v>
      </c>
      <c r="G656" t="s">
        <v>9</v>
      </c>
    </row>
    <row r="657" spans="1:7" x14ac:dyDescent="0.2">
      <c r="A657" t="s">
        <v>1613</v>
      </c>
      <c r="B657" t="str">
        <f>"2/5"</f>
        <v>2/5</v>
      </c>
      <c r="C657">
        <v>2.8585452093704398E-4</v>
      </c>
      <c r="D657">
        <v>2.7927733726946001E-3</v>
      </c>
      <c r="E657">
        <v>125.08805031446499</v>
      </c>
      <c r="F657" t="s">
        <v>1614</v>
      </c>
      <c r="G657" t="s">
        <v>9</v>
      </c>
    </row>
    <row r="658" spans="1:7" x14ac:dyDescent="0.2">
      <c r="A658" t="s">
        <v>1310</v>
      </c>
      <c r="B658" t="str">
        <f>"3/25"</f>
        <v>3/25</v>
      </c>
      <c r="C658">
        <v>3.2299160956106098E-4</v>
      </c>
      <c r="D658">
        <v>3.1279187452228998E-3</v>
      </c>
      <c r="E658">
        <v>25.805194805194802</v>
      </c>
      <c r="F658" t="s">
        <v>1605</v>
      </c>
      <c r="G658" t="s">
        <v>9</v>
      </c>
    </row>
    <row r="659" spans="1:7" x14ac:dyDescent="0.2">
      <c r="A659" t="s">
        <v>834</v>
      </c>
      <c r="B659" t="str">
        <f>"5/110"</f>
        <v>5/110</v>
      </c>
      <c r="C659">
        <v>3.2646293501140702E-4</v>
      </c>
      <c r="D659">
        <v>3.1340441761095001E-3</v>
      </c>
      <c r="E659">
        <v>9.1479426722145103</v>
      </c>
      <c r="F659" t="s">
        <v>1615</v>
      </c>
      <c r="G659" t="s">
        <v>9</v>
      </c>
    </row>
    <row r="660" spans="1:7" x14ac:dyDescent="0.2">
      <c r="A660" t="s">
        <v>1178</v>
      </c>
      <c r="B660" t="str">
        <f>"6/172"</f>
        <v>6/172</v>
      </c>
      <c r="C660">
        <v>3.4380132868574401E-4</v>
      </c>
      <c r="D660">
        <v>3.2720402316297999E-3</v>
      </c>
      <c r="E660">
        <v>6.9900779588943998</v>
      </c>
      <c r="F660" t="s">
        <v>1616</v>
      </c>
      <c r="G660" t="s">
        <v>9</v>
      </c>
    </row>
    <row r="661" spans="1:7" x14ac:dyDescent="0.2">
      <c r="A661" t="s">
        <v>1058</v>
      </c>
      <c r="B661" t="str">
        <f>"3/26"</f>
        <v>3/26</v>
      </c>
      <c r="C661">
        <v>3.6369055690553802E-4</v>
      </c>
      <c r="D661">
        <v>3.4317467933649998E-3</v>
      </c>
      <c r="E661">
        <v>24.681987577639699</v>
      </c>
      <c r="F661" t="s">
        <v>1604</v>
      </c>
      <c r="G661" t="s">
        <v>9</v>
      </c>
    </row>
    <row r="662" spans="1:7" x14ac:dyDescent="0.2">
      <c r="A662" t="s">
        <v>58</v>
      </c>
      <c r="B662" t="str">
        <f>"3/27"</f>
        <v>3/27</v>
      </c>
      <c r="C662">
        <v>4.0754933906889497E-4</v>
      </c>
      <c r="D662">
        <v>3.7436966104773999E-3</v>
      </c>
      <c r="E662">
        <v>23.652380952380899</v>
      </c>
      <c r="F662" t="s">
        <v>1617</v>
      </c>
      <c r="G662" t="s">
        <v>9</v>
      </c>
    </row>
    <row r="663" spans="1:7" x14ac:dyDescent="0.2">
      <c r="A663" t="s">
        <v>1011</v>
      </c>
      <c r="B663" t="str">
        <f>"6/178"</f>
        <v>6/178</v>
      </c>
      <c r="C663">
        <v>4.1271478370080098E-4</v>
      </c>
      <c r="D663">
        <v>3.7436966104773999E-3</v>
      </c>
      <c r="E663">
        <v>6.7441860465116203</v>
      </c>
      <c r="F663" t="s">
        <v>1618</v>
      </c>
      <c r="G663" t="s">
        <v>9</v>
      </c>
    </row>
    <row r="664" spans="1:7" x14ac:dyDescent="0.2">
      <c r="A664" t="s">
        <v>1619</v>
      </c>
      <c r="B664" t="str">
        <f t="shared" ref="B664:B670" si="2">"2/6"</f>
        <v>2/6</v>
      </c>
      <c r="C664">
        <v>4.27269721847974E-4</v>
      </c>
      <c r="D664">
        <v>3.7436966104773999E-3</v>
      </c>
      <c r="E664">
        <v>93.811320754717002</v>
      </c>
      <c r="F664" t="s">
        <v>1620</v>
      </c>
      <c r="G664" t="s">
        <v>9</v>
      </c>
    </row>
    <row r="665" spans="1:7" x14ac:dyDescent="0.2">
      <c r="A665" t="s">
        <v>1621</v>
      </c>
      <c r="B665" t="str">
        <f t="shared" si="2"/>
        <v>2/6</v>
      </c>
      <c r="C665">
        <v>4.27269721847974E-4</v>
      </c>
      <c r="D665">
        <v>3.7436966104773999E-3</v>
      </c>
      <c r="E665">
        <v>93.811320754717002</v>
      </c>
      <c r="F665" t="s">
        <v>1622</v>
      </c>
      <c r="G665" t="s">
        <v>9</v>
      </c>
    </row>
    <row r="666" spans="1:7" x14ac:dyDescent="0.2">
      <c r="A666" t="s">
        <v>204</v>
      </c>
      <c r="B666" t="str">
        <f t="shared" si="2"/>
        <v>2/6</v>
      </c>
      <c r="C666">
        <v>4.27269721847974E-4</v>
      </c>
      <c r="D666">
        <v>3.7436966104773999E-3</v>
      </c>
      <c r="E666">
        <v>93.811320754717002</v>
      </c>
      <c r="F666" t="s">
        <v>1623</v>
      </c>
      <c r="G666" t="s">
        <v>9</v>
      </c>
    </row>
    <row r="667" spans="1:7" x14ac:dyDescent="0.2">
      <c r="A667" t="s">
        <v>1624</v>
      </c>
      <c r="B667" t="str">
        <f t="shared" si="2"/>
        <v>2/6</v>
      </c>
      <c r="C667">
        <v>4.27269721847974E-4</v>
      </c>
      <c r="D667">
        <v>3.7436966104773999E-3</v>
      </c>
      <c r="E667">
        <v>93.811320754717002</v>
      </c>
      <c r="F667" t="s">
        <v>1622</v>
      </c>
      <c r="G667" t="s">
        <v>9</v>
      </c>
    </row>
    <row r="668" spans="1:7" x14ac:dyDescent="0.2">
      <c r="A668" t="s">
        <v>1625</v>
      </c>
      <c r="B668" t="str">
        <f t="shared" si="2"/>
        <v>2/6</v>
      </c>
      <c r="C668">
        <v>4.27269721847974E-4</v>
      </c>
      <c r="D668">
        <v>3.7436966104773999E-3</v>
      </c>
      <c r="E668">
        <v>93.811320754717002</v>
      </c>
      <c r="F668" t="s">
        <v>1626</v>
      </c>
      <c r="G668" t="s">
        <v>9</v>
      </c>
    </row>
    <row r="669" spans="1:7" x14ac:dyDescent="0.2">
      <c r="A669" t="s">
        <v>158</v>
      </c>
      <c r="B669" t="str">
        <f t="shared" si="2"/>
        <v>2/6</v>
      </c>
      <c r="C669">
        <v>4.27269721847974E-4</v>
      </c>
      <c r="D669">
        <v>3.7436966104773999E-3</v>
      </c>
      <c r="E669">
        <v>93.811320754717002</v>
      </c>
      <c r="F669" t="s">
        <v>1627</v>
      </c>
      <c r="G669" t="s">
        <v>9</v>
      </c>
    </row>
    <row r="670" spans="1:7" x14ac:dyDescent="0.2">
      <c r="A670" t="s">
        <v>189</v>
      </c>
      <c r="B670" t="str">
        <f t="shared" si="2"/>
        <v>2/6</v>
      </c>
      <c r="C670">
        <v>4.27269721847974E-4</v>
      </c>
      <c r="D670">
        <v>3.7436966104773999E-3</v>
      </c>
      <c r="E670">
        <v>93.811320754717002</v>
      </c>
      <c r="F670" t="s">
        <v>190</v>
      </c>
      <c r="G670" t="s">
        <v>9</v>
      </c>
    </row>
    <row r="671" spans="1:7" x14ac:dyDescent="0.2">
      <c r="A671" t="s">
        <v>1628</v>
      </c>
      <c r="B671" t="str">
        <f>"5/118"</f>
        <v>5/118</v>
      </c>
      <c r="C671">
        <v>4.5105199305931902E-4</v>
      </c>
      <c r="D671">
        <v>3.8317045552863E-3</v>
      </c>
      <c r="E671">
        <v>8.4968639917518693</v>
      </c>
      <c r="F671" t="s">
        <v>1629</v>
      </c>
      <c r="G671" t="s">
        <v>9</v>
      </c>
    </row>
    <row r="672" spans="1:7" x14ac:dyDescent="0.2">
      <c r="A672" t="s">
        <v>603</v>
      </c>
      <c r="B672" t="str">
        <f>"3/28"</f>
        <v>3/28</v>
      </c>
      <c r="C672">
        <v>4.5466784125226898E-4</v>
      </c>
      <c r="D672">
        <v>3.8317045552863E-3</v>
      </c>
      <c r="E672">
        <v>22.7051428571428</v>
      </c>
      <c r="F672" t="s">
        <v>1630</v>
      </c>
      <c r="G672" t="s">
        <v>9</v>
      </c>
    </row>
    <row r="673" spans="1:7" x14ac:dyDescent="0.2">
      <c r="A673" t="s">
        <v>755</v>
      </c>
      <c r="B673" t="str">
        <f>"3/28"</f>
        <v>3/28</v>
      </c>
      <c r="C673">
        <v>4.5466784125226898E-4</v>
      </c>
      <c r="D673">
        <v>3.8317045552863E-3</v>
      </c>
      <c r="E673">
        <v>22.7051428571428</v>
      </c>
      <c r="F673" t="s">
        <v>1631</v>
      </c>
      <c r="G673" t="s">
        <v>9</v>
      </c>
    </row>
    <row r="674" spans="1:7" x14ac:dyDescent="0.2">
      <c r="A674" t="s">
        <v>1632</v>
      </c>
      <c r="B674" t="str">
        <f>"3/28"</f>
        <v>3/28</v>
      </c>
      <c r="C674">
        <v>4.5466784125226898E-4</v>
      </c>
      <c r="D674">
        <v>3.8317045552863E-3</v>
      </c>
      <c r="E674">
        <v>22.7051428571428</v>
      </c>
      <c r="F674" t="s">
        <v>1633</v>
      </c>
      <c r="G674" t="s">
        <v>9</v>
      </c>
    </row>
    <row r="675" spans="1:7" x14ac:dyDescent="0.2">
      <c r="A675" t="s">
        <v>1143</v>
      </c>
      <c r="B675" t="str">
        <f>"3/28"</f>
        <v>3/28</v>
      </c>
      <c r="C675">
        <v>4.5466784125226898E-4</v>
      </c>
      <c r="D675">
        <v>3.8317045552863E-3</v>
      </c>
      <c r="E675">
        <v>22.7051428571428</v>
      </c>
      <c r="F675" t="s">
        <v>1634</v>
      </c>
      <c r="G675" t="s">
        <v>9</v>
      </c>
    </row>
    <row r="676" spans="1:7" x14ac:dyDescent="0.2">
      <c r="A676" t="s">
        <v>254</v>
      </c>
      <c r="B676" t="str">
        <f>"3/29"</f>
        <v>3/29</v>
      </c>
      <c r="C676">
        <v>5.0514410273322201E-4</v>
      </c>
      <c r="D676">
        <v>4.2248415864960002E-3</v>
      </c>
      <c r="E676">
        <v>21.830769230769199</v>
      </c>
      <c r="F676" t="s">
        <v>1635</v>
      </c>
      <c r="G676" t="s">
        <v>9</v>
      </c>
    </row>
    <row r="677" spans="1:7" x14ac:dyDescent="0.2">
      <c r="A677" t="s">
        <v>1636</v>
      </c>
      <c r="B677" t="str">
        <f>"3/30"</f>
        <v>3/30</v>
      </c>
      <c r="C677">
        <v>5.5907433694712602E-4</v>
      </c>
      <c r="D677">
        <v>4.5719856888120003E-3</v>
      </c>
      <c r="E677">
        <v>21.021164021164001</v>
      </c>
      <c r="F677" t="s">
        <v>1637</v>
      </c>
      <c r="G677" t="s">
        <v>9</v>
      </c>
    </row>
    <row r="678" spans="1:7" x14ac:dyDescent="0.2">
      <c r="A678" t="s">
        <v>1137</v>
      </c>
      <c r="B678" t="str">
        <f>"3/30"</f>
        <v>3/30</v>
      </c>
      <c r="C678">
        <v>5.5907433694712602E-4</v>
      </c>
      <c r="D678">
        <v>4.5719856888120003E-3</v>
      </c>
      <c r="E678">
        <v>21.021164021164001</v>
      </c>
      <c r="F678" t="s">
        <v>1634</v>
      </c>
      <c r="G678" t="s">
        <v>9</v>
      </c>
    </row>
    <row r="679" spans="1:7" x14ac:dyDescent="0.2">
      <c r="A679" t="s">
        <v>1638</v>
      </c>
      <c r="B679" t="str">
        <f>"3/30"</f>
        <v>3/30</v>
      </c>
      <c r="C679">
        <v>5.5907433694712602E-4</v>
      </c>
      <c r="D679">
        <v>4.5719856888120003E-3</v>
      </c>
      <c r="E679">
        <v>21.021164021164001</v>
      </c>
      <c r="F679" t="s">
        <v>1639</v>
      </c>
      <c r="G679" t="s">
        <v>9</v>
      </c>
    </row>
    <row r="680" spans="1:7" x14ac:dyDescent="0.2">
      <c r="A680" t="s">
        <v>1640</v>
      </c>
      <c r="B680" t="str">
        <f>"4/71"</f>
        <v>4/71</v>
      </c>
      <c r="C680">
        <v>5.9160047409560204E-4</v>
      </c>
      <c r="D680">
        <v>4.7342432950617996E-3</v>
      </c>
      <c r="E680">
        <v>11.3805970149253</v>
      </c>
      <c r="F680" t="s">
        <v>1641</v>
      </c>
      <c r="G680" t="s">
        <v>9</v>
      </c>
    </row>
    <row r="681" spans="1:7" x14ac:dyDescent="0.2">
      <c r="A681" t="s">
        <v>971</v>
      </c>
      <c r="B681" t="str">
        <f>"4/71"</f>
        <v>4/71</v>
      </c>
      <c r="C681">
        <v>5.9160047409560204E-4</v>
      </c>
      <c r="D681">
        <v>4.7342432950617996E-3</v>
      </c>
      <c r="E681">
        <v>11.3805970149253</v>
      </c>
      <c r="F681" t="s">
        <v>1642</v>
      </c>
      <c r="G681" t="s">
        <v>9</v>
      </c>
    </row>
    <row r="682" spans="1:7" x14ac:dyDescent="0.2">
      <c r="A682" t="s">
        <v>1266</v>
      </c>
      <c r="B682" t="str">
        <f>"2/7"</f>
        <v>2/7</v>
      </c>
      <c r="C682">
        <v>5.9606867573695104E-4</v>
      </c>
      <c r="D682">
        <v>4.7342432950617996E-3</v>
      </c>
      <c r="E682">
        <v>75.045283018867906</v>
      </c>
      <c r="F682" t="s">
        <v>1643</v>
      </c>
      <c r="G682" t="s">
        <v>9</v>
      </c>
    </row>
    <row r="683" spans="1:7" x14ac:dyDescent="0.2">
      <c r="A683" t="s">
        <v>1267</v>
      </c>
      <c r="B683" t="str">
        <f>"2/7"</f>
        <v>2/7</v>
      </c>
      <c r="C683">
        <v>5.9606867573695104E-4</v>
      </c>
      <c r="D683">
        <v>4.7342432950617996E-3</v>
      </c>
      <c r="E683">
        <v>75.045283018867906</v>
      </c>
      <c r="F683" t="s">
        <v>1643</v>
      </c>
      <c r="G683" t="s">
        <v>9</v>
      </c>
    </row>
    <row r="684" spans="1:7" x14ac:dyDescent="0.2">
      <c r="A684" t="s">
        <v>1644</v>
      </c>
      <c r="B684" t="str">
        <f>"3/31"</f>
        <v>3/31</v>
      </c>
      <c r="C684">
        <v>6.1655295163715897E-4</v>
      </c>
      <c r="D684">
        <v>4.8274784298397997E-3</v>
      </c>
      <c r="E684">
        <v>20.269387755101999</v>
      </c>
      <c r="F684" t="s">
        <v>1645</v>
      </c>
      <c r="G684" t="s">
        <v>9</v>
      </c>
    </row>
    <row r="685" spans="1:7" x14ac:dyDescent="0.2">
      <c r="A685" t="s">
        <v>1055</v>
      </c>
      <c r="B685" t="str">
        <f>"3/31"</f>
        <v>3/31</v>
      </c>
      <c r="C685">
        <v>6.1655295163715897E-4</v>
      </c>
      <c r="D685">
        <v>4.8274784298397997E-3</v>
      </c>
      <c r="E685">
        <v>20.269387755101999</v>
      </c>
      <c r="F685" t="s">
        <v>1604</v>
      </c>
      <c r="G685" t="s">
        <v>9</v>
      </c>
    </row>
    <row r="686" spans="1:7" x14ac:dyDescent="0.2">
      <c r="A686" t="s">
        <v>1146</v>
      </c>
      <c r="B686" t="str">
        <f>"3/32"</f>
        <v>3/32</v>
      </c>
      <c r="C686">
        <v>6.7767256843722799E-4</v>
      </c>
      <c r="D686">
        <v>5.2686656024978004E-3</v>
      </c>
      <c r="E686">
        <v>19.5694581280788</v>
      </c>
      <c r="F686" t="s">
        <v>1646</v>
      </c>
      <c r="G686" t="s">
        <v>9</v>
      </c>
    </row>
    <row r="687" spans="1:7" x14ac:dyDescent="0.2">
      <c r="A687" t="s">
        <v>1257</v>
      </c>
      <c r="B687" t="str">
        <f>"3/33"</f>
        <v>3/33</v>
      </c>
      <c r="C687">
        <v>7.42524042911958E-4</v>
      </c>
      <c r="D687">
        <v>5.7324933103133002E-3</v>
      </c>
      <c r="E687">
        <v>18.916190476190401</v>
      </c>
      <c r="F687" t="s">
        <v>1647</v>
      </c>
      <c r="G687" t="s">
        <v>9</v>
      </c>
    </row>
    <row r="688" spans="1:7" x14ac:dyDescent="0.2">
      <c r="A688" t="s">
        <v>191</v>
      </c>
      <c r="B688" t="str">
        <f>"2/8"</f>
        <v>2/8</v>
      </c>
      <c r="C688">
        <v>7.9195703794488999E-4</v>
      </c>
      <c r="D688">
        <v>5.8918481430848E-3</v>
      </c>
      <c r="E688">
        <v>62.534591194968499</v>
      </c>
      <c r="F688" t="s">
        <v>192</v>
      </c>
      <c r="G688" t="s">
        <v>9</v>
      </c>
    </row>
    <row r="689" spans="1:7" x14ac:dyDescent="0.2">
      <c r="A689" t="s">
        <v>1648</v>
      </c>
      <c r="B689" t="str">
        <f>"2/8"</f>
        <v>2/8</v>
      </c>
      <c r="C689">
        <v>7.9195703794488999E-4</v>
      </c>
      <c r="D689">
        <v>5.8918481430848E-3</v>
      </c>
      <c r="E689">
        <v>62.534591194968499</v>
      </c>
      <c r="F689" t="s">
        <v>1622</v>
      </c>
      <c r="G689" t="s">
        <v>9</v>
      </c>
    </row>
    <row r="690" spans="1:7" x14ac:dyDescent="0.2">
      <c r="A690" t="s">
        <v>1649</v>
      </c>
      <c r="B690" t="str">
        <f>"2/8"</f>
        <v>2/8</v>
      </c>
      <c r="C690">
        <v>7.9195703794488999E-4</v>
      </c>
      <c r="D690">
        <v>5.8918481430848E-3</v>
      </c>
      <c r="E690">
        <v>62.534591194968499</v>
      </c>
      <c r="F690" t="s">
        <v>1650</v>
      </c>
      <c r="G690" t="s">
        <v>9</v>
      </c>
    </row>
    <row r="691" spans="1:7" x14ac:dyDescent="0.2">
      <c r="A691" t="s">
        <v>1651</v>
      </c>
      <c r="B691" t="str">
        <f>"2/8"</f>
        <v>2/8</v>
      </c>
      <c r="C691">
        <v>7.9195703794488999E-4</v>
      </c>
      <c r="D691">
        <v>5.8918481430848E-3</v>
      </c>
      <c r="E691">
        <v>62.534591194968499</v>
      </c>
      <c r="F691" t="s">
        <v>1652</v>
      </c>
      <c r="G691" t="s">
        <v>9</v>
      </c>
    </row>
    <row r="692" spans="1:7" x14ac:dyDescent="0.2">
      <c r="A692" t="s">
        <v>1653</v>
      </c>
      <c r="B692" t="str">
        <f>"2/8"</f>
        <v>2/8</v>
      </c>
      <c r="C692">
        <v>7.9195703794488999E-4</v>
      </c>
      <c r="D692">
        <v>5.8918481430848E-3</v>
      </c>
      <c r="E692">
        <v>62.534591194968499</v>
      </c>
      <c r="F692" t="s">
        <v>1654</v>
      </c>
      <c r="G692" t="s">
        <v>9</v>
      </c>
    </row>
    <row r="693" spans="1:7" x14ac:dyDescent="0.2">
      <c r="A693" t="s">
        <v>967</v>
      </c>
      <c r="B693" t="str">
        <f>"4/77"</f>
        <v>4/77</v>
      </c>
      <c r="C693">
        <v>8.0380882204104899E-4</v>
      </c>
      <c r="D693">
        <v>5.8918481430848E-3</v>
      </c>
      <c r="E693">
        <v>10.4420442571127</v>
      </c>
      <c r="F693" t="s">
        <v>1655</v>
      </c>
      <c r="G693" t="s">
        <v>9</v>
      </c>
    </row>
    <row r="694" spans="1:7" x14ac:dyDescent="0.2">
      <c r="A694" t="s">
        <v>1656</v>
      </c>
      <c r="B694" t="str">
        <f>"3/34"</f>
        <v>3/34</v>
      </c>
      <c r="C694">
        <v>8.1119648346820799E-4</v>
      </c>
      <c r="D694">
        <v>5.8918481430848E-3</v>
      </c>
      <c r="E694">
        <v>18.305069124423898</v>
      </c>
      <c r="F694" t="s">
        <v>1657</v>
      </c>
      <c r="G694" t="s">
        <v>9</v>
      </c>
    </row>
    <row r="695" spans="1:7" x14ac:dyDescent="0.2">
      <c r="A695" t="s">
        <v>62</v>
      </c>
      <c r="B695" t="str">
        <f>"3/34"</f>
        <v>3/34</v>
      </c>
      <c r="C695">
        <v>8.1119648346820799E-4</v>
      </c>
      <c r="D695">
        <v>5.8918481430848E-3</v>
      </c>
      <c r="E695">
        <v>18.305069124423898</v>
      </c>
      <c r="F695" t="s">
        <v>1617</v>
      </c>
      <c r="G695" t="s">
        <v>9</v>
      </c>
    </row>
    <row r="696" spans="1:7" x14ac:dyDescent="0.2">
      <c r="A696" t="s">
        <v>63</v>
      </c>
      <c r="B696" t="str">
        <f>"3/34"</f>
        <v>3/34</v>
      </c>
      <c r="C696">
        <v>8.1119648346820799E-4</v>
      </c>
      <c r="D696">
        <v>5.8918481430848E-3</v>
      </c>
      <c r="E696">
        <v>18.305069124423898</v>
      </c>
      <c r="F696" t="s">
        <v>1617</v>
      </c>
      <c r="G696" t="s">
        <v>9</v>
      </c>
    </row>
    <row r="697" spans="1:7" x14ac:dyDescent="0.2">
      <c r="A697" t="s">
        <v>1299</v>
      </c>
      <c r="B697" t="str">
        <f>"3/35"</f>
        <v>3/35</v>
      </c>
      <c r="C697">
        <v>8.8377727122117701E-4</v>
      </c>
      <c r="D697">
        <v>6.3266411550462996E-3</v>
      </c>
      <c r="E697">
        <v>17.732142857142801</v>
      </c>
      <c r="F697" t="s">
        <v>1658</v>
      </c>
      <c r="G697" t="s">
        <v>9</v>
      </c>
    </row>
    <row r="698" spans="1:7" x14ac:dyDescent="0.2">
      <c r="A698" t="s">
        <v>1125</v>
      </c>
      <c r="B698" t="str">
        <f>"3/35"</f>
        <v>3/35</v>
      </c>
      <c r="C698">
        <v>8.8377727122117701E-4</v>
      </c>
      <c r="D698">
        <v>6.3266411550462996E-3</v>
      </c>
      <c r="E698">
        <v>17.732142857142801</v>
      </c>
      <c r="F698" t="s">
        <v>1634</v>
      </c>
      <c r="G698" t="s">
        <v>9</v>
      </c>
    </row>
    <row r="699" spans="1:7" x14ac:dyDescent="0.2">
      <c r="A699" t="s">
        <v>1659</v>
      </c>
      <c r="B699" t="str">
        <f>"5/137"</f>
        <v>5/137</v>
      </c>
      <c r="C699">
        <v>8.8825124912335395E-4</v>
      </c>
      <c r="D699">
        <v>6.3266411550462996E-3</v>
      </c>
      <c r="E699">
        <v>7.2668431891732803</v>
      </c>
      <c r="F699" t="s">
        <v>1660</v>
      </c>
      <c r="G699" t="s">
        <v>9</v>
      </c>
    </row>
    <row r="700" spans="1:7" x14ac:dyDescent="0.2">
      <c r="A700" t="s">
        <v>320</v>
      </c>
      <c r="B700" t="str">
        <f>"3/36"</f>
        <v>3/36</v>
      </c>
      <c r="C700">
        <v>9.6035207875326295E-4</v>
      </c>
      <c r="D700">
        <v>6.6264293433975002E-3</v>
      </c>
      <c r="E700">
        <v>17.193939393939299</v>
      </c>
      <c r="F700" t="s">
        <v>1661</v>
      </c>
      <c r="G700" t="s">
        <v>9</v>
      </c>
    </row>
    <row r="701" spans="1:7" x14ac:dyDescent="0.2">
      <c r="A701" t="s">
        <v>1032</v>
      </c>
      <c r="B701" t="str">
        <f>"3/36"</f>
        <v>3/36</v>
      </c>
      <c r="C701">
        <v>9.6035207875326295E-4</v>
      </c>
      <c r="D701">
        <v>6.6264293433975002E-3</v>
      </c>
      <c r="E701">
        <v>17.193939393939299</v>
      </c>
      <c r="F701" t="s">
        <v>1662</v>
      </c>
      <c r="G701" t="s">
        <v>9</v>
      </c>
    </row>
    <row r="702" spans="1:7" x14ac:dyDescent="0.2">
      <c r="A702" t="s">
        <v>1663</v>
      </c>
      <c r="B702" t="str">
        <f>"3/36"</f>
        <v>3/36</v>
      </c>
      <c r="C702">
        <v>9.6035207875326295E-4</v>
      </c>
      <c r="D702">
        <v>6.6264293433975002E-3</v>
      </c>
      <c r="E702">
        <v>17.193939393939299</v>
      </c>
      <c r="F702" t="s">
        <v>1664</v>
      </c>
      <c r="G702" t="s">
        <v>9</v>
      </c>
    </row>
    <row r="703" spans="1:7" x14ac:dyDescent="0.2">
      <c r="A703" t="s">
        <v>1665</v>
      </c>
      <c r="B703" t="str">
        <f>"3/36"</f>
        <v>3/36</v>
      </c>
      <c r="C703">
        <v>9.6035207875326295E-4</v>
      </c>
      <c r="D703">
        <v>6.6264293433975002E-3</v>
      </c>
      <c r="E703">
        <v>17.193939393939299</v>
      </c>
      <c r="F703" t="s">
        <v>1666</v>
      </c>
      <c r="G703" t="s">
        <v>9</v>
      </c>
    </row>
    <row r="704" spans="1:7" x14ac:dyDescent="0.2">
      <c r="A704" t="s">
        <v>361</v>
      </c>
      <c r="B704" t="str">
        <f>"3/36"</f>
        <v>3/36</v>
      </c>
      <c r="C704">
        <v>9.6035207875326295E-4</v>
      </c>
      <c r="D704">
        <v>6.6264293433975002E-3</v>
      </c>
      <c r="E704">
        <v>17.193939393939299</v>
      </c>
      <c r="F704" t="s">
        <v>1610</v>
      </c>
      <c r="G704" t="s">
        <v>9</v>
      </c>
    </row>
    <row r="705" spans="1:7" x14ac:dyDescent="0.2">
      <c r="A705" t="s">
        <v>966</v>
      </c>
      <c r="B705" t="str">
        <f>"4/81"</f>
        <v>4/81</v>
      </c>
      <c r="C705">
        <v>9.7204189124819502E-4</v>
      </c>
      <c r="D705">
        <v>6.6654301114161003E-3</v>
      </c>
      <c r="E705">
        <v>9.8976023976023892</v>
      </c>
      <c r="F705" t="s">
        <v>1655</v>
      </c>
      <c r="G705" t="s">
        <v>9</v>
      </c>
    </row>
    <row r="706" spans="1:7" x14ac:dyDescent="0.2">
      <c r="A706" t="s">
        <v>1667</v>
      </c>
      <c r="B706" t="str">
        <f>"2/9"</f>
        <v>2/9</v>
      </c>
      <c r="C706">
        <v>1.014642785373E-3</v>
      </c>
      <c r="D706">
        <v>6.7888826366779998E-3</v>
      </c>
      <c r="E706">
        <v>53.598382749326099</v>
      </c>
      <c r="F706" t="s">
        <v>1614</v>
      </c>
      <c r="G706" t="s">
        <v>9</v>
      </c>
    </row>
    <row r="707" spans="1:7" x14ac:dyDescent="0.2">
      <c r="A707" t="s">
        <v>1278</v>
      </c>
      <c r="B707" t="str">
        <f>"2/9"</f>
        <v>2/9</v>
      </c>
      <c r="C707">
        <v>1.014642785373E-3</v>
      </c>
      <c r="D707">
        <v>6.7888826366779998E-3</v>
      </c>
      <c r="E707">
        <v>53.598382749326099</v>
      </c>
      <c r="F707" t="s">
        <v>1668</v>
      </c>
      <c r="G707" t="s">
        <v>9</v>
      </c>
    </row>
    <row r="708" spans="1:7" x14ac:dyDescent="0.2">
      <c r="A708" t="s">
        <v>1669</v>
      </c>
      <c r="B708" t="str">
        <f>"2/9"</f>
        <v>2/9</v>
      </c>
      <c r="C708">
        <v>1.014642785373E-3</v>
      </c>
      <c r="D708">
        <v>6.7888826366779998E-3</v>
      </c>
      <c r="E708">
        <v>53.598382749326099</v>
      </c>
      <c r="F708" t="s">
        <v>1670</v>
      </c>
      <c r="G708" t="s">
        <v>9</v>
      </c>
    </row>
    <row r="709" spans="1:7" x14ac:dyDescent="0.2">
      <c r="A709" t="s">
        <v>1671</v>
      </c>
      <c r="B709" t="str">
        <f>"2/9"</f>
        <v>2/9</v>
      </c>
      <c r="C709">
        <v>1.014642785373E-3</v>
      </c>
      <c r="D709">
        <v>6.7888826366779998E-3</v>
      </c>
      <c r="E709">
        <v>53.598382749326099</v>
      </c>
      <c r="F709" t="s">
        <v>1622</v>
      </c>
      <c r="G709" t="s">
        <v>9</v>
      </c>
    </row>
    <row r="710" spans="1:7" x14ac:dyDescent="0.2">
      <c r="A710" t="s">
        <v>544</v>
      </c>
      <c r="B710" t="str">
        <f>"4/85"</f>
        <v>4/85</v>
      </c>
      <c r="C710">
        <v>1.1636315447141E-3</v>
      </c>
      <c r="D710">
        <v>7.7388507552069996E-3</v>
      </c>
      <c r="E710">
        <v>9.4069325735992404</v>
      </c>
      <c r="F710" t="s">
        <v>1672</v>
      </c>
      <c r="G710" t="s">
        <v>9</v>
      </c>
    </row>
    <row r="711" spans="1:7" x14ac:dyDescent="0.2">
      <c r="A711" t="s">
        <v>369</v>
      </c>
      <c r="B711" t="str">
        <f>"4/86"</f>
        <v>4/86</v>
      </c>
      <c r="C711">
        <v>1.2153741960279E-3</v>
      </c>
      <c r="D711">
        <v>8.0345695354181006E-3</v>
      </c>
      <c r="E711">
        <v>9.29174484052532</v>
      </c>
      <c r="F711" t="s">
        <v>1673</v>
      </c>
      <c r="G711" t="s">
        <v>9</v>
      </c>
    </row>
    <row r="712" spans="1:7" x14ac:dyDescent="0.2">
      <c r="A712" t="s">
        <v>213</v>
      </c>
      <c r="B712" t="str">
        <f t="shared" ref="B712:B717" si="3">"2/10"</f>
        <v>2/10</v>
      </c>
      <c r="C712">
        <v>1.2638362023541E-3</v>
      </c>
      <c r="D712">
        <v>8.0651743780288995E-3</v>
      </c>
      <c r="E712">
        <v>46.896226415094297</v>
      </c>
      <c r="F712" t="s">
        <v>1623</v>
      </c>
      <c r="G712" t="s">
        <v>9</v>
      </c>
    </row>
    <row r="713" spans="1:7" x14ac:dyDescent="0.2">
      <c r="A713" t="s">
        <v>1674</v>
      </c>
      <c r="B713" t="str">
        <f t="shared" si="3"/>
        <v>2/10</v>
      </c>
      <c r="C713">
        <v>1.2638362023541E-3</v>
      </c>
      <c r="D713">
        <v>8.0651743780288995E-3</v>
      </c>
      <c r="E713">
        <v>46.896226415094297</v>
      </c>
      <c r="F713" t="s">
        <v>1622</v>
      </c>
      <c r="G713" t="s">
        <v>9</v>
      </c>
    </row>
    <row r="714" spans="1:7" x14ac:dyDescent="0.2">
      <c r="A714" t="s">
        <v>1675</v>
      </c>
      <c r="B714" t="str">
        <f t="shared" si="3"/>
        <v>2/10</v>
      </c>
      <c r="C714">
        <v>1.2638362023541E-3</v>
      </c>
      <c r="D714">
        <v>8.0651743780288995E-3</v>
      </c>
      <c r="E714">
        <v>46.896226415094297</v>
      </c>
      <c r="F714" t="s">
        <v>1676</v>
      </c>
      <c r="G714" t="s">
        <v>9</v>
      </c>
    </row>
    <row r="715" spans="1:7" x14ac:dyDescent="0.2">
      <c r="A715" t="s">
        <v>1677</v>
      </c>
      <c r="B715" t="str">
        <f t="shared" si="3"/>
        <v>2/10</v>
      </c>
      <c r="C715">
        <v>1.2638362023541E-3</v>
      </c>
      <c r="D715">
        <v>8.0651743780288995E-3</v>
      </c>
      <c r="E715">
        <v>46.896226415094297</v>
      </c>
      <c r="F715" t="s">
        <v>1676</v>
      </c>
      <c r="G715" t="s">
        <v>9</v>
      </c>
    </row>
    <row r="716" spans="1:7" x14ac:dyDescent="0.2">
      <c r="A716" t="s">
        <v>1678</v>
      </c>
      <c r="B716" t="str">
        <f t="shared" si="3"/>
        <v>2/10</v>
      </c>
      <c r="C716">
        <v>1.2638362023541E-3</v>
      </c>
      <c r="D716">
        <v>8.0651743780288995E-3</v>
      </c>
      <c r="E716">
        <v>46.896226415094297</v>
      </c>
      <c r="F716" t="s">
        <v>1676</v>
      </c>
      <c r="G716" t="s">
        <v>9</v>
      </c>
    </row>
    <row r="717" spans="1:7" x14ac:dyDescent="0.2">
      <c r="A717" t="s">
        <v>1281</v>
      </c>
      <c r="B717" t="str">
        <f t="shared" si="3"/>
        <v>2/10</v>
      </c>
      <c r="C717">
        <v>1.2638362023541E-3</v>
      </c>
      <c r="D717">
        <v>8.0651743780288995E-3</v>
      </c>
      <c r="E717">
        <v>46.896226415094297</v>
      </c>
      <c r="F717" t="s">
        <v>1643</v>
      </c>
      <c r="G717" t="s">
        <v>9</v>
      </c>
    </row>
    <row r="718" spans="1:7" x14ac:dyDescent="0.2">
      <c r="A718" t="s">
        <v>1679</v>
      </c>
      <c r="B718" t="str">
        <f>"3/41"</f>
        <v>3/41</v>
      </c>
      <c r="C718">
        <v>1.4060177420553001E-3</v>
      </c>
      <c r="D718">
        <v>8.9209401564892005E-3</v>
      </c>
      <c r="E718">
        <v>14.927819548872099</v>
      </c>
      <c r="F718" t="s">
        <v>1607</v>
      </c>
      <c r="G718" t="s">
        <v>9</v>
      </c>
    </row>
    <row r="719" spans="1:7" x14ac:dyDescent="0.2">
      <c r="A719" t="s">
        <v>1474</v>
      </c>
      <c r="B719" t="str">
        <f>"2/11"</f>
        <v>2/11</v>
      </c>
      <c r="C719">
        <v>1.5392498663643001E-3</v>
      </c>
      <c r="D719">
        <v>9.6552946162856007E-3</v>
      </c>
      <c r="E719">
        <v>41.683438155136201</v>
      </c>
      <c r="F719" t="s">
        <v>1680</v>
      </c>
      <c r="G719" t="s">
        <v>9</v>
      </c>
    </row>
    <row r="720" spans="1:7" x14ac:dyDescent="0.2">
      <c r="A720" t="s">
        <v>1681</v>
      </c>
      <c r="B720" t="str">
        <f>"2/11"</f>
        <v>2/11</v>
      </c>
      <c r="C720">
        <v>1.5392498663643001E-3</v>
      </c>
      <c r="D720">
        <v>9.6552946162856007E-3</v>
      </c>
      <c r="E720">
        <v>41.683438155136201</v>
      </c>
      <c r="F720" t="s">
        <v>1627</v>
      </c>
      <c r="G720" t="s">
        <v>9</v>
      </c>
    </row>
    <row r="721" spans="1:7" x14ac:dyDescent="0.2">
      <c r="A721" t="s">
        <v>318</v>
      </c>
      <c r="B721" t="str">
        <f>"5/29"</f>
        <v>5/29</v>
      </c>
      <c r="C721" s="2">
        <v>1.9357856705034101E-8</v>
      </c>
      <c r="D721" s="2">
        <v>1.9125562424573701E-5</v>
      </c>
      <c r="E721">
        <v>78.294025157232696</v>
      </c>
      <c r="F721" t="s">
        <v>319</v>
      </c>
      <c r="G721" t="s">
        <v>105</v>
      </c>
    </row>
    <row r="722" spans="1:7" x14ac:dyDescent="0.2">
      <c r="A722" t="s">
        <v>320</v>
      </c>
      <c r="B722" t="str">
        <f>"5/36"</f>
        <v>5/36</v>
      </c>
      <c r="C722" s="2">
        <v>6.0509945752124404E-8</v>
      </c>
      <c r="D722" s="2">
        <v>2.9891913201549399E-5</v>
      </c>
      <c r="E722">
        <v>60.593426658551401</v>
      </c>
      <c r="F722" t="s">
        <v>321</v>
      </c>
      <c r="G722" t="s">
        <v>105</v>
      </c>
    </row>
    <row r="723" spans="1:7" x14ac:dyDescent="0.2">
      <c r="A723" t="s">
        <v>322</v>
      </c>
      <c r="B723" t="str">
        <f>"5/41"</f>
        <v>5/41</v>
      </c>
      <c r="C723" s="2">
        <v>1.1896334460915101E-7</v>
      </c>
      <c r="D723" s="2">
        <v>3.9178594824613999E-5</v>
      </c>
      <c r="E723">
        <v>52.1645702306079</v>
      </c>
      <c r="F723" t="s">
        <v>319</v>
      </c>
      <c r="G723" t="s">
        <v>105</v>
      </c>
    </row>
    <row r="724" spans="1:7" x14ac:dyDescent="0.2">
      <c r="A724" t="s">
        <v>323</v>
      </c>
      <c r="B724" t="str">
        <f>"5/44"</f>
        <v>5/44</v>
      </c>
      <c r="C724" s="2">
        <v>1.71260481531463E-7</v>
      </c>
      <c r="D724" s="2">
        <v>4.2301338938271398E-5</v>
      </c>
      <c r="E724">
        <v>48.144654088050302</v>
      </c>
      <c r="F724" t="s">
        <v>321</v>
      </c>
      <c r="G724" t="s">
        <v>105</v>
      </c>
    </row>
    <row r="725" spans="1:7" x14ac:dyDescent="0.2">
      <c r="A725" t="s">
        <v>324</v>
      </c>
      <c r="B725" t="str">
        <f>"5/55"</f>
        <v>5/55</v>
      </c>
      <c r="C725" s="2">
        <v>5.3542860126955805E-7</v>
      </c>
      <c r="D725" s="2">
        <v>7.9371294692163504E-5</v>
      </c>
      <c r="E725">
        <v>37.5320754716981</v>
      </c>
      <c r="F725" t="s">
        <v>319</v>
      </c>
      <c r="G725" t="s">
        <v>105</v>
      </c>
    </row>
    <row r="726" spans="1:7" x14ac:dyDescent="0.2">
      <c r="A726" t="s">
        <v>325</v>
      </c>
      <c r="B726" t="str">
        <f>"4/24"</f>
        <v>4/24</v>
      </c>
      <c r="C726" s="2">
        <v>6.4776040875639896E-7</v>
      </c>
      <c r="D726" s="2">
        <v>7.9371294692163504E-5</v>
      </c>
      <c r="E726">
        <v>73.785185185185099</v>
      </c>
      <c r="F726" t="s">
        <v>326</v>
      </c>
      <c r="G726" t="s">
        <v>105</v>
      </c>
    </row>
    <row r="727" spans="1:7" x14ac:dyDescent="0.2">
      <c r="A727" t="s">
        <v>327</v>
      </c>
      <c r="B727" t="str">
        <f>"4/24"</f>
        <v>4/24</v>
      </c>
      <c r="C727" s="2">
        <v>6.4776040875639896E-7</v>
      </c>
      <c r="D727" s="2">
        <v>7.9371294692163504E-5</v>
      </c>
      <c r="E727">
        <v>73.785185185185099</v>
      </c>
      <c r="F727" t="s">
        <v>326</v>
      </c>
      <c r="G727" t="s">
        <v>105</v>
      </c>
    </row>
    <row r="728" spans="1:7" x14ac:dyDescent="0.2">
      <c r="A728" t="s">
        <v>328</v>
      </c>
      <c r="B728" t="str">
        <f>"9/351"</f>
        <v>9/351</v>
      </c>
      <c r="C728" s="2">
        <v>7.1183293892624604E-7</v>
      </c>
      <c r="D728" s="2">
        <v>7.9371294692163504E-5</v>
      </c>
      <c r="E728">
        <v>10.5263157894736</v>
      </c>
      <c r="F728" t="s">
        <v>329</v>
      </c>
      <c r="G728" t="s">
        <v>105</v>
      </c>
    </row>
    <row r="729" spans="1:7" x14ac:dyDescent="0.2">
      <c r="A729" t="s">
        <v>330</v>
      </c>
      <c r="B729" t="str">
        <f>"4/25"</f>
        <v>4/25</v>
      </c>
      <c r="C729" s="2">
        <v>7.6948074655538398E-7</v>
      </c>
      <c r="D729" s="2">
        <v>7.9371294692163504E-5</v>
      </c>
      <c r="E729">
        <v>70.268077601410894</v>
      </c>
      <c r="F729" t="s">
        <v>326</v>
      </c>
      <c r="G729" t="s">
        <v>105</v>
      </c>
    </row>
    <row r="730" spans="1:7" x14ac:dyDescent="0.2">
      <c r="A730" t="s">
        <v>331</v>
      </c>
      <c r="B730" t="str">
        <f>"3/7"</f>
        <v>3/7</v>
      </c>
      <c r="C730" s="2">
        <v>8.0335318514335505E-7</v>
      </c>
      <c r="D730" s="2">
        <v>7.9371294692163504E-5</v>
      </c>
      <c r="E730">
        <v>271.88181818181801</v>
      </c>
      <c r="F730" t="s">
        <v>332</v>
      </c>
      <c r="G730" t="s">
        <v>105</v>
      </c>
    </row>
    <row r="731" spans="1:7" x14ac:dyDescent="0.2">
      <c r="A731" t="s">
        <v>333</v>
      </c>
      <c r="B731" t="str">
        <f>"5/80"</f>
        <v>5/80</v>
      </c>
      <c r="C731" s="2">
        <v>3.5014270054261E-6</v>
      </c>
      <c r="D731">
        <v>3.1449180739645299E-4</v>
      </c>
      <c r="E731">
        <v>24.989937106918202</v>
      </c>
      <c r="F731" t="s">
        <v>334</v>
      </c>
      <c r="G731" t="s">
        <v>105</v>
      </c>
    </row>
    <row r="732" spans="1:7" x14ac:dyDescent="0.2">
      <c r="A732" t="s">
        <v>335</v>
      </c>
      <c r="B732" t="str">
        <f>"4/39"</f>
        <v>4/39</v>
      </c>
      <c r="C732" s="2">
        <v>4.8542963098188203E-6</v>
      </c>
      <c r="D732">
        <v>3.99670396175083E-4</v>
      </c>
      <c r="E732">
        <v>42.131216931216898</v>
      </c>
      <c r="F732" t="s">
        <v>336</v>
      </c>
      <c r="G732" t="s">
        <v>105</v>
      </c>
    </row>
    <row r="733" spans="1:7" x14ac:dyDescent="0.2">
      <c r="A733" t="s">
        <v>337</v>
      </c>
      <c r="B733" t="str">
        <f>"5/89"</f>
        <v>5/89</v>
      </c>
      <c r="C733" s="2">
        <v>5.9266966995467E-6</v>
      </c>
      <c r="D733">
        <v>4.1997222921527302E-4</v>
      </c>
      <c r="E733">
        <v>22.3023360287511</v>
      </c>
      <c r="F733" t="s">
        <v>338</v>
      </c>
      <c r="G733" t="s">
        <v>105</v>
      </c>
    </row>
    <row r="734" spans="1:7" x14ac:dyDescent="0.2">
      <c r="A734" t="s">
        <v>339</v>
      </c>
      <c r="B734" t="str">
        <f>"4/41"</f>
        <v>4/41</v>
      </c>
      <c r="C734" s="2">
        <v>5.9510234909046902E-6</v>
      </c>
      <c r="D734">
        <v>4.1997222921527302E-4</v>
      </c>
      <c r="E734">
        <v>39.849849849849797</v>
      </c>
      <c r="F734" t="s">
        <v>326</v>
      </c>
      <c r="G734" t="s">
        <v>105</v>
      </c>
    </row>
    <row r="735" spans="1:7" x14ac:dyDescent="0.2">
      <c r="A735" t="s">
        <v>340</v>
      </c>
      <c r="B735" t="str">
        <f>"4/44"</f>
        <v>4/44</v>
      </c>
      <c r="C735" s="2">
        <v>7.9257937084004493E-6</v>
      </c>
      <c r="D735">
        <v>5.2204561225997596E-4</v>
      </c>
      <c r="E735">
        <v>36.855555555555497</v>
      </c>
      <c r="F735" t="s">
        <v>326</v>
      </c>
      <c r="G735" t="s">
        <v>105</v>
      </c>
    </row>
    <row r="736" spans="1:7" x14ac:dyDescent="0.2">
      <c r="A736" t="s">
        <v>341</v>
      </c>
      <c r="B736" t="str">
        <f>"9/481"</f>
        <v>9/481</v>
      </c>
      <c r="C736" s="2">
        <v>9.3408429811052696E-6</v>
      </c>
      <c r="D736">
        <v>5.4519811066708497E-4</v>
      </c>
      <c r="E736">
        <v>7.5765306122448903</v>
      </c>
      <c r="F736" t="s">
        <v>342</v>
      </c>
      <c r="G736" t="s">
        <v>105</v>
      </c>
    </row>
    <row r="737" spans="1:7" x14ac:dyDescent="0.2">
      <c r="A737" t="s">
        <v>343</v>
      </c>
      <c r="B737" t="str">
        <f>"9/485"</f>
        <v>9/485</v>
      </c>
      <c r="C737" s="2">
        <v>9.9805245532285693E-6</v>
      </c>
      <c r="D737">
        <v>5.4519811066708497E-4</v>
      </c>
      <c r="E737">
        <v>7.5113188132395798</v>
      </c>
      <c r="F737" t="s">
        <v>342</v>
      </c>
      <c r="G737" t="s">
        <v>105</v>
      </c>
    </row>
    <row r="738" spans="1:7" x14ac:dyDescent="0.2">
      <c r="A738" t="s">
        <v>344</v>
      </c>
      <c r="B738" t="str">
        <f>"3/15"</f>
        <v>3/15</v>
      </c>
      <c r="C738" s="2">
        <v>1.02729258163094E-5</v>
      </c>
      <c r="D738">
        <v>5.4519811066708497E-4</v>
      </c>
      <c r="E738">
        <v>90.590909090909093</v>
      </c>
      <c r="F738" t="s">
        <v>345</v>
      </c>
      <c r="G738" t="s">
        <v>105</v>
      </c>
    </row>
    <row r="739" spans="1:7" x14ac:dyDescent="0.2">
      <c r="A739" t="s">
        <v>346</v>
      </c>
      <c r="B739" t="str">
        <f>"9/488"</f>
        <v>9/488</v>
      </c>
      <c r="C739" s="2">
        <v>1.04845790512901E-5</v>
      </c>
      <c r="D739">
        <v>5.4519811066708497E-4</v>
      </c>
      <c r="E739">
        <v>7.4631247070853304</v>
      </c>
      <c r="F739" t="s">
        <v>342</v>
      </c>
      <c r="G739" t="s">
        <v>105</v>
      </c>
    </row>
    <row r="740" spans="1:7" x14ac:dyDescent="0.2">
      <c r="A740" t="s">
        <v>347</v>
      </c>
      <c r="B740" t="str">
        <f>"7/300"</f>
        <v>7/300</v>
      </c>
      <c r="C740" s="2">
        <v>2.48833783269483E-5</v>
      </c>
      <c r="D740">
        <v>1.2292388893512E-3</v>
      </c>
      <c r="E740">
        <v>9.2045104731312293</v>
      </c>
      <c r="F740" t="s">
        <v>348</v>
      </c>
      <c r="G740" t="s">
        <v>105</v>
      </c>
    </row>
    <row r="741" spans="1:7" x14ac:dyDescent="0.2">
      <c r="A741" t="s">
        <v>631</v>
      </c>
      <c r="B741" t="str">
        <f>"5/122"</f>
        <v>5/122</v>
      </c>
      <c r="C741" s="2">
        <v>2.7519761238016099E-5</v>
      </c>
      <c r="D741">
        <v>1.2947392430076E-3</v>
      </c>
      <c r="E741">
        <v>15.985324947589101</v>
      </c>
      <c r="F741" t="s">
        <v>1682</v>
      </c>
      <c r="G741" t="s">
        <v>105</v>
      </c>
    </row>
    <row r="742" spans="1:7" x14ac:dyDescent="0.2">
      <c r="A742" t="s">
        <v>973</v>
      </c>
      <c r="B742" t="str">
        <f>"4/62"</f>
        <v>4/62</v>
      </c>
      <c r="C742" s="2">
        <v>3.1329498462670802E-5</v>
      </c>
      <c r="D742">
        <v>1.4069792945963001E-3</v>
      </c>
      <c r="E742">
        <v>25.394636015325599</v>
      </c>
      <c r="F742" t="s">
        <v>326</v>
      </c>
      <c r="G742" t="s">
        <v>105</v>
      </c>
    </row>
    <row r="743" spans="1:7" x14ac:dyDescent="0.2">
      <c r="A743" t="s">
        <v>514</v>
      </c>
      <c r="B743" t="str">
        <f>"6/216"</f>
        <v>6/216</v>
      </c>
      <c r="C743" s="2">
        <v>3.7512794553001202E-5</v>
      </c>
      <c r="D743">
        <v>1.5846539418279001E-3</v>
      </c>
      <c r="E743">
        <v>10.8417582417582</v>
      </c>
      <c r="F743" t="s">
        <v>1683</v>
      </c>
      <c r="G743" t="s">
        <v>105</v>
      </c>
    </row>
    <row r="744" spans="1:7" x14ac:dyDescent="0.2">
      <c r="A744" t="s">
        <v>515</v>
      </c>
      <c r="B744" t="str">
        <f>"6/217"</f>
        <v>6/217</v>
      </c>
      <c r="C744" s="2">
        <v>3.8493618020111601E-5</v>
      </c>
      <c r="D744">
        <v>1.5846539418279001E-3</v>
      </c>
      <c r="E744">
        <v>10.7898286547575</v>
      </c>
      <c r="F744" t="s">
        <v>1683</v>
      </c>
      <c r="G744" t="s">
        <v>105</v>
      </c>
    </row>
    <row r="745" spans="1:7" x14ac:dyDescent="0.2">
      <c r="A745" t="s">
        <v>1189</v>
      </c>
      <c r="B745" t="str">
        <f>"4/70"</f>
        <v>4/70</v>
      </c>
      <c r="C745" s="2">
        <v>5.0613984097124901E-5</v>
      </c>
      <c r="D745">
        <v>2.0002646515183001E-3</v>
      </c>
      <c r="E745">
        <v>22.307519640852899</v>
      </c>
      <c r="F745" t="s">
        <v>1684</v>
      </c>
      <c r="G745" t="s">
        <v>105</v>
      </c>
    </row>
    <row r="746" spans="1:7" x14ac:dyDescent="0.2">
      <c r="A746" t="s">
        <v>759</v>
      </c>
      <c r="B746" t="str">
        <f>"5/146"</f>
        <v>5/146</v>
      </c>
      <c r="C746" s="2">
        <v>6.4956055178897495E-5</v>
      </c>
      <c r="D746">
        <v>2.4683300967980998E-3</v>
      </c>
      <c r="E746">
        <v>13.248360765422101</v>
      </c>
      <c r="F746" t="s">
        <v>1682</v>
      </c>
      <c r="G746" t="s">
        <v>105</v>
      </c>
    </row>
    <row r="747" spans="1:7" x14ac:dyDescent="0.2">
      <c r="A747" t="s">
        <v>1685</v>
      </c>
      <c r="B747" t="str">
        <f>"8/482"</f>
        <v>8/482</v>
      </c>
      <c r="C747" s="2">
        <v>7.1476687262542806E-5</v>
      </c>
      <c r="D747">
        <v>2.5409511547405E-3</v>
      </c>
      <c r="E747">
        <v>6.57147679324894</v>
      </c>
      <c r="F747" t="s">
        <v>1686</v>
      </c>
      <c r="G747" t="s">
        <v>105</v>
      </c>
    </row>
    <row r="748" spans="1:7" x14ac:dyDescent="0.2">
      <c r="A748" t="s">
        <v>1687</v>
      </c>
      <c r="B748" t="str">
        <f>"3/28"</f>
        <v>3/28</v>
      </c>
      <c r="C748" s="2">
        <v>7.2010761470380305E-5</v>
      </c>
      <c r="D748">
        <v>2.5409511547405E-3</v>
      </c>
      <c r="E748">
        <v>43.4552727272727</v>
      </c>
      <c r="F748" t="s">
        <v>1688</v>
      </c>
      <c r="G748" t="s">
        <v>105</v>
      </c>
    </row>
    <row r="749" spans="1:7" x14ac:dyDescent="0.2">
      <c r="A749" t="s">
        <v>1689</v>
      </c>
      <c r="B749" t="str">
        <f>"8/485"</f>
        <v>8/485</v>
      </c>
      <c r="C749" s="2">
        <v>7.4638205413012703E-5</v>
      </c>
      <c r="D749">
        <v>2.5428464464847E-3</v>
      </c>
      <c r="E749">
        <v>6.5291404612159303</v>
      </c>
      <c r="F749" t="s">
        <v>1690</v>
      </c>
      <c r="G749" t="s">
        <v>105</v>
      </c>
    </row>
    <row r="750" spans="1:7" x14ac:dyDescent="0.2">
      <c r="A750" t="s">
        <v>1691</v>
      </c>
      <c r="B750" t="str">
        <f>"2/5"</f>
        <v>2/5</v>
      </c>
      <c r="C750" s="2">
        <v>8.2188691693354794E-5</v>
      </c>
      <c r="D750">
        <v>2.7067475797678E-3</v>
      </c>
      <c r="E750">
        <v>237.369047619047</v>
      </c>
      <c r="F750" t="s">
        <v>1692</v>
      </c>
      <c r="G750" t="s">
        <v>105</v>
      </c>
    </row>
    <row r="751" spans="1:7" x14ac:dyDescent="0.2">
      <c r="A751" t="s">
        <v>1693</v>
      </c>
      <c r="B751" t="str">
        <f>"3/30"</f>
        <v>3/30</v>
      </c>
      <c r="C751" s="2">
        <v>8.8877390099875196E-5</v>
      </c>
      <c r="D751">
        <v>2.8326084328605E-3</v>
      </c>
      <c r="E751">
        <v>40.232323232323203</v>
      </c>
      <c r="F751" t="s">
        <v>1694</v>
      </c>
      <c r="G751" t="s">
        <v>105</v>
      </c>
    </row>
    <row r="752" spans="1:7" x14ac:dyDescent="0.2">
      <c r="A752" t="s">
        <v>1644</v>
      </c>
      <c r="B752" t="str">
        <f>"3/31"</f>
        <v>3/31</v>
      </c>
      <c r="C752" s="2">
        <v>9.8197614408152605E-5</v>
      </c>
      <c r="D752">
        <v>3.0318513448517001E-3</v>
      </c>
      <c r="E752">
        <v>38.793506493506399</v>
      </c>
      <c r="F752" t="s">
        <v>1695</v>
      </c>
      <c r="G752" t="s">
        <v>105</v>
      </c>
    </row>
    <row r="753" spans="1:7" x14ac:dyDescent="0.2">
      <c r="A753" t="s">
        <v>1696</v>
      </c>
      <c r="B753" t="str">
        <f>"7/381"</f>
        <v>7/381</v>
      </c>
      <c r="C753">
        <v>1.1228845510492801E-4</v>
      </c>
      <c r="D753">
        <v>3.3618482922323999E-3</v>
      </c>
      <c r="E753">
        <v>7.1812939079375004</v>
      </c>
      <c r="F753" t="s">
        <v>1697</v>
      </c>
      <c r="G753" t="s">
        <v>105</v>
      </c>
    </row>
    <row r="754" spans="1:7" x14ac:dyDescent="0.2">
      <c r="A754" t="s">
        <v>1698</v>
      </c>
      <c r="B754" t="str">
        <f>"2/6"</f>
        <v>2/6</v>
      </c>
      <c r="C754">
        <v>1.23053451829744E-4</v>
      </c>
      <c r="D754">
        <v>3.5596185097278E-3</v>
      </c>
      <c r="E754">
        <v>178.017857142857</v>
      </c>
      <c r="F754" t="s">
        <v>1699</v>
      </c>
      <c r="G754" t="s">
        <v>105</v>
      </c>
    </row>
    <row r="755" spans="1:7" x14ac:dyDescent="0.2">
      <c r="A755" t="s">
        <v>528</v>
      </c>
      <c r="B755" t="str">
        <f>"6/269"</f>
        <v>6/269</v>
      </c>
      <c r="C755">
        <v>1.2609984599238201E-4</v>
      </c>
      <c r="D755">
        <v>3.5596185097278E-3</v>
      </c>
      <c r="E755">
        <v>8.63366481427318</v>
      </c>
      <c r="F755" t="s">
        <v>1700</v>
      </c>
      <c r="G755" t="s">
        <v>105</v>
      </c>
    </row>
    <row r="756" spans="1:7" x14ac:dyDescent="0.2">
      <c r="A756" t="s">
        <v>1663</v>
      </c>
      <c r="B756" t="str">
        <f>"3/36"</f>
        <v>3/36</v>
      </c>
      <c r="C756">
        <v>1.5438335924143799E-4</v>
      </c>
      <c r="D756">
        <v>4.2369655258483003E-3</v>
      </c>
      <c r="E756">
        <v>32.9074380165289</v>
      </c>
      <c r="F756" t="s">
        <v>1701</v>
      </c>
      <c r="G756" t="s">
        <v>105</v>
      </c>
    </row>
    <row r="757" spans="1:7" x14ac:dyDescent="0.2">
      <c r="A757" t="s">
        <v>1702</v>
      </c>
      <c r="B757" t="str">
        <f>"3/37"</f>
        <v>3/37</v>
      </c>
      <c r="C757">
        <v>1.6766010451086801E-4</v>
      </c>
      <c r="D757">
        <v>4.2472625870139998E-3</v>
      </c>
      <c r="E757">
        <v>31.937967914438499</v>
      </c>
      <c r="F757" t="s">
        <v>1694</v>
      </c>
      <c r="G757" t="s">
        <v>105</v>
      </c>
    </row>
    <row r="758" spans="1:7" x14ac:dyDescent="0.2">
      <c r="A758" t="s">
        <v>516</v>
      </c>
      <c r="B758" t="str">
        <f>"7/408"</f>
        <v>7/408</v>
      </c>
      <c r="C758">
        <v>1.7132905286614201E-4</v>
      </c>
      <c r="D758">
        <v>4.2472625870139998E-3</v>
      </c>
      <c r="E758">
        <v>6.6885237885677897</v>
      </c>
      <c r="F758" t="s">
        <v>1703</v>
      </c>
      <c r="G758" t="s">
        <v>105</v>
      </c>
    </row>
    <row r="759" spans="1:7" x14ac:dyDescent="0.2">
      <c r="A759" t="s">
        <v>1704</v>
      </c>
      <c r="B759" t="str">
        <f>"2/7"</f>
        <v>2/7</v>
      </c>
      <c r="C759">
        <v>1.7195395089125601E-4</v>
      </c>
      <c r="D759">
        <v>4.2472625870139998E-3</v>
      </c>
      <c r="E759">
        <v>142.40714285714199</v>
      </c>
      <c r="F759" t="s">
        <v>1699</v>
      </c>
      <c r="G759" t="s">
        <v>105</v>
      </c>
    </row>
    <row r="760" spans="1:7" x14ac:dyDescent="0.2">
      <c r="A760" t="s">
        <v>1705</v>
      </c>
      <c r="B760" t="str">
        <f>"2/7"</f>
        <v>2/7</v>
      </c>
      <c r="C760">
        <v>1.7195395089125601E-4</v>
      </c>
      <c r="D760">
        <v>4.2472625870139998E-3</v>
      </c>
      <c r="E760">
        <v>142.40714285714199</v>
      </c>
      <c r="F760" t="s">
        <v>1699</v>
      </c>
      <c r="G760" t="s">
        <v>105</v>
      </c>
    </row>
    <row r="761" spans="1:7" x14ac:dyDescent="0.2">
      <c r="A761" t="s">
        <v>1228</v>
      </c>
      <c r="B761" t="str">
        <f>"8/566"</f>
        <v>8/566</v>
      </c>
      <c r="C761">
        <v>2.1594826196800999E-4</v>
      </c>
      <c r="D761">
        <v>5.2038264103509996E-3</v>
      </c>
      <c r="E761">
        <v>5.5581362007168398</v>
      </c>
      <c r="F761" t="s">
        <v>1706</v>
      </c>
      <c r="G761" t="s">
        <v>105</v>
      </c>
    </row>
    <row r="762" spans="1:7" x14ac:dyDescent="0.2">
      <c r="A762" t="s">
        <v>1707</v>
      </c>
      <c r="B762" t="str">
        <f>"2/8"</f>
        <v>2/8</v>
      </c>
      <c r="C762">
        <v>2.2884486091265599E-4</v>
      </c>
      <c r="D762">
        <v>5.2581098274813998E-3</v>
      </c>
      <c r="E762">
        <v>118.666666666666</v>
      </c>
      <c r="F762" t="s">
        <v>1692</v>
      </c>
      <c r="G762" t="s">
        <v>105</v>
      </c>
    </row>
    <row r="763" spans="1:7" x14ac:dyDescent="0.2">
      <c r="A763" t="s">
        <v>1708</v>
      </c>
      <c r="B763" t="str">
        <f>"2/8"</f>
        <v>2/8</v>
      </c>
      <c r="C763">
        <v>2.2884486091265599E-4</v>
      </c>
      <c r="D763">
        <v>5.2581098274813998E-3</v>
      </c>
      <c r="E763">
        <v>118.666666666666</v>
      </c>
      <c r="F763" t="s">
        <v>1709</v>
      </c>
      <c r="G763" t="s">
        <v>105</v>
      </c>
    </row>
    <row r="764" spans="1:7" x14ac:dyDescent="0.2">
      <c r="A764" t="s">
        <v>1710</v>
      </c>
      <c r="B764" t="str">
        <f>"2/9"</f>
        <v>2/9</v>
      </c>
      <c r="C764">
        <v>2.9368103860218098E-4</v>
      </c>
      <c r="D764">
        <v>6.5944742304307998E-3</v>
      </c>
      <c r="E764">
        <v>101.709183673469</v>
      </c>
      <c r="F764" t="s">
        <v>1699</v>
      </c>
      <c r="G764" t="s">
        <v>105</v>
      </c>
    </row>
    <row r="765" spans="1:7" x14ac:dyDescent="0.2">
      <c r="A765" t="s">
        <v>1179</v>
      </c>
      <c r="B765" t="str">
        <f>"3/45"</f>
        <v>3/45</v>
      </c>
      <c r="C765">
        <v>3.0119346093740402E-4</v>
      </c>
      <c r="D765">
        <v>6.6128697645812E-3</v>
      </c>
      <c r="E765">
        <v>25.8441558441558</v>
      </c>
      <c r="F765" t="s">
        <v>1711</v>
      </c>
      <c r="G765" t="s">
        <v>105</v>
      </c>
    </row>
    <row r="766" spans="1:7" x14ac:dyDescent="0.2">
      <c r="A766" t="s">
        <v>1712</v>
      </c>
      <c r="B766" t="str">
        <f>"3/46"</f>
        <v>3/46</v>
      </c>
      <c r="C766">
        <v>3.2154524533834199E-4</v>
      </c>
      <c r="D766">
        <v>6.7592915403037997E-3</v>
      </c>
      <c r="E766">
        <v>25.241860465116201</v>
      </c>
      <c r="F766" t="s">
        <v>1713</v>
      </c>
      <c r="G766" t="s">
        <v>105</v>
      </c>
    </row>
    <row r="767" spans="1:7" x14ac:dyDescent="0.2">
      <c r="A767" t="s">
        <v>990</v>
      </c>
      <c r="B767" t="str">
        <f>"3/46"</f>
        <v>3/46</v>
      </c>
      <c r="C767">
        <v>3.2154524533834199E-4</v>
      </c>
      <c r="D767">
        <v>6.7592915403037997E-3</v>
      </c>
      <c r="E767">
        <v>25.241860465116201</v>
      </c>
      <c r="F767" t="s">
        <v>1714</v>
      </c>
      <c r="G767" t="s">
        <v>105</v>
      </c>
    </row>
    <row r="768" spans="1:7" x14ac:dyDescent="0.2">
      <c r="A768" t="s">
        <v>558</v>
      </c>
      <c r="B768" t="str">
        <f>"4/116"</f>
        <v>4/116</v>
      </c>
      <c r="C768">
        <v>3.5799333340808502E-4</v>
      </c>
      <c r="D768">
        <v>6.9619329848612001E-3</v>
      </c>
      <c r="E768">
        <v>13.1150793650793</v>
      </c>
      <c r="F768" t="s">
        <v>1715</v>
      </c>
      <c r="G768" t="s">
        <v>105</v>
      </c>
    </row>
    <row r="769" spans="1:7" x14ac:dyDescent="0.2">
      <c r="A769" t="s">
        <v>991</v>
      </c>
      <c r="B769" t="str">
        <f>"3/48"</f>
        <v>3/48</v>
      </c>
      <c r="C769">
        <v>3.6486365599019499E-4</v>
      </c>
      <c r="D769">
        <v>6.9619329848612001E-3</v>
      </c>
      <c r="E769">
        <v>24.1175757575757</v>
      </c>
      <c r="F769" t="s">
        <v>1714</v>
      </c>
      <c r="G769" t="s">
        <v>105</v>
      </c>
    </row>
    <row r="770" spans="1:7" x14ac:dyDescent="0.2">
      <c r="A770" t="s">
        <v>1716</v>
      </c>
      <c r="B770" t="str">
        <f>"2/10"</f>
        <v>2/10</v>
      </c>
      <c r="C770">
        <v>3.6641752551901401E-4</v>
      </c>
      <c r="D770">
        <v>6.9619329848612001E-3</v>
      </c>
      <c r="E770">
        <v>88.991071428571402</v>
      </c>
      <c r="F770" t="s">
        <v>1717</v>
      </c>
      <c r="G770" t="s">
        <v>105</v>
      </c>
    </row>
    <row r="771" spans="1:7" x14ac:dyDescent="0.2">
      <c r="A771" t="s">
        <v>1718</v>
      </c>
      <c r="B771" t="str">
        <f>"2/10"</f>
        <v>2/10</v>
      </c>
      <c r="C771">
        <v>3.6641752551901401E-4</v>
      </c>
      <c r="D771">
        <v>6.9619329848612001E-3</v>
      </c>
      <c r="E771">
        <v>88.991071428571402</v>
      </c>
      <c r="F771" t="s">
        <v>1719</v>
      </c>
      <c r="G771" t="s">
        <v>105</v>
      </c>
    </row>
    <row r="772" spans="1:7" x14ac:dyDescent="0.2">
      <c r="A772" t="s">
        <v>1281</v>
      </c>
      <c r="B772" t="str">
        <f>"2/10"</f>
        <v>2/10</v>
      </c>
      <c r="C772">
        <v>3.6641752551901401E-4</v>
      </c>
      <c r="D772">
        <v>6.9619329848612001E-3</v>
      </c>
      <c r="E772">
        <v>88.991071428571402</v>
      </c>
      <c r="F772" t="s">
        <v>1720</v>
      </c>
      <c r="G772" t="s">
        <v>105</v>
      </c>
    </row>
    <row r="773" spans="1:7" x14ac:dyDescent="0.2">
      <c r="A773" t="s">
        <v>1721</v>
      </c>
      <c r="B773" t="str">
        <f>"3/49"</f>
        <v>3/49</v>
      </c>
      <c r="C773">
        <v>3.8786115454152197E-4</v>
      </c>
      <c r="D773">
        <v>7.2303173714531998E-3</v>
      </c>
      <c r="E773">
        <v>23.592094861660001</v>
      </c>
      <c r="F773" t="s">
        <v>1722</v>
      </c>
      <c r="G773" t="s">
        <v>105</v>
      </c>
    </row>
    <row r="774" spans="1:7" x14ac:dyDescent="0.2">
      <c r="A774" t="s">
        <v>16</v>
      </c>
      <c r="B774" t="str">
        <f>"8/621"</f>
        <v>8/621</v>
      </c>
      <c r="C774">
        <v>4.0263399663606697E-4</v>
      </c>
      <c r="D774">
        <v>7.3667109014154001E-3</v>
      </c>
      <c r="E774">
        <v>5.0450897226753604</v>
      </c>
      <c r="F774" t="s">
        <v>1723</v>
      </c>
      <c r="G774" t="s">
        <v>105</v>
      </c>
    </row>
    <row r="775" spans="1:7" x14ac:dyDescent="0.2">
      <c r="A775" t="s">
        <v>920</v>
      </c>
      <c r="B775" t="str">
        <f>"3/51"</f>
        <v>3/51</v>
      </c>
      <c r="C775">
        <v>4.3660880784141399E-4</v>
      </c>
      <c r="D775">
        <v>7.7670556622109997E-3</v>
      </c>
      <c r="E775">
        <v>22.606818181818099</v>
      </c>
      <c r="F775" t="s">
        <v>1724</v>
      </c>
      <c r="G775" t="s">
        <v>105</v>
      </c>
    </row>
    <row r="776" spans="1:7" x14ac:dyDescent="0.2">
      <c r="A776" t="s">
        <v>1725</v>
      </c>
      <c r="B776" t="str">
        <f>"2/11"</f>
        <v>2/11</v>
      </c>
      <c r="C776">
        <v>4.4700954794706202E-4</v>
      </c>
      <c r="D776">
        <v>7.7670556622109997E-3</v>
      </c>
      <c r="E776">
        <v>79.099206349206298</v>
      </c>
      <c r="F776" t="s">
        <v>1726</v>
      </c>
      <c r="G776" t="s">
        <v>105</v>
      </c>
    </row>
    <row r="777" spans="1:7" x14ac:dyDescent="0.2">
      <c r="A777" t="s">
        <v>526</v>
      </c>
      <c r="B777" t="str">
        <f>"5/221"</f>
        <v>5/221</v>
      </c>
      <c r="C777">
        <v>4.4809936512756201E-4</v>
      </c>
      <c r="D777">
        <v>7.7670556622109997E-3</v>
      </c>
      <c r="E777">
        <v>8.6154786862334003</v>
      </c>
      <c r="F777" t="s">
        <v>1727</v>
      </c>
      <c r="G777" t="s">
        <v>105</v>
      </c>
    </row>
    <row r="778" spans="1:7" x14ac:dyDescent="0.2">
      <c r="A778" t="s">
        <v>898</v>
      </c>
      <c r="B778" t="str">
        <f>"6/345"</f>
        <v>6/345</v>
      </c>
      <c r="C778">
        <v>4.7974979934242099E-4</v>
      </c>
      <c r="D778">
        <v>8.1722896853501995E-3</v>
      </c>
      <c r="E778">
        <v>6.6722260040844104</v>
      </c>
      <c r="F778" t="s">
        <v>1728</v>
      </c>
      <c r="G778" t="s">
        <v>105</v>
      </c>
    </row>
    <row r="779" spans="1:7" x14ac:dyDescent="0.2">
      <c r="A779" t="s">
        <v>1729</v>
      </c>
      <c r="B779" t="str">
        <f>"2/12"</f>
        <v>2/12</v>
      </c>
      <c r="C779">
        <v>5.3541251637237604E-4</v>
      </c>
      <c r="D779">
        <v>8.6719273143591007E-3</v>
      </c>
      <c r="E779">
        <v>71.185714285714198</v>
      </c>
      <c r="F779" t="s">
        <v>1699</v>
      </c>
      <c r="G779" t="s">
        <v>105</v>
      </c>
    </row>
    <row r="780" spans="1:7" x14ac:dyDescent="0.2">
      <c r="A780" t="s">
        <v>1730</v>
      </c>
      <c r="B780" t="str">
        <f>"2/12"</f>
        <v>2/12</v>
      </c>
      <c r="C780">
        <v>5.3541251637237604E-4</v>
      </c>
      <c r="D780">
        <v>8.6719273143591007E-3</v>
      </c>
      <c r="E780">
        <v>71.185714285714198</v>
      </c>
      <c r="F780" t="s">
        <v>1699</v>
      </c>
      <c r="G780" t="s">
        <v>105</v>
      </c>
    </row>
    <row r="781" spans="1:7" x14ac:dyDescent="0.2">
      <c r="A781" t="s">
        <v>1731</v>
      </c>
      <c r="B781" t="str">
        <f>"2/12"</f>
        <v>2/12</v>
      </c>
      <c r="C781">
        <v>5.3541251637237604E-4</v>
      </c>
      <c r="D781">
        <v>8.6719273143591007E-3</v>
      </c>
      <c r="E781">
        <v>71.185714285714198</v>
      </c>
      <c r="F781" t="s">
        <v>1732</v>
      </c>
      <c r="G781" t="s">
        <v>105</v>
      </c>
    </row>
    <row r="782" spans="1:7" x14ac:dyDescent="0.2">
      <c r="A782" t="s">
        <v>1733</v>
      </c>
      <c r="B782" t="str">
        <f>"3/55"</f>
        <v>3/55</v>
      </c>
      <c r="C782">
        <v>5.45531500931862E-4</v>
      </c>
      <c r="D782">
        <v>8.6933084342045008E-3</v>
      </c>
      <c r="E782">
        <v>20.863636363636299</v>
      </c>
      <c r="F782" t="s">
        <v>1734</v>
      </c>
      <c r="G782" t="s">
        <v>105</v>
      </c>
    </row>
    <row r="783" spans="1:7" x14ac:dyDescent="0.2">
      <c r="A783" t="s">
        <v>349</v>
      </c>
      <c r="B783" t="str">
        <f>"1/6"</f>
        <v>1/6</v>
      </c>
      <c r="C783">
        <v>5.9990924387497504E-4</v>
      </c>
      <c r="D783">
        <v>5.6315244989222999E-3</v>
      </c>
      <c r="E783">
        <v>3998.6</v>
      </c>
      <c r="F783" t="s">
        <v>350</v>
      </c>
      <c r="G783" t="s">
        <v>107</v>
      </c>
    </row>
    <row r="784" spans="1:7" x14ac:dyDescent="0.2">
      <c r="A784" t="s">
        <v>351</v>
      </c>
      <c r="B784" t="str">
        <f>"1/9"</f>
        <v>1/9</v>
      </c>
      <c r="C784">
        <v>8.9979886913118298E-4</v>
      </c>
      <c r="D784">
        <v>5.6315244989222999E-3</v>
      </c>
      <c r="E784">
        <v>2498.75</v>
      </c>
      <c r="F784" t="s">
        <v>350</v>
      </c>
      <c r="G784" t="s">
        <v>107</v>
      </c>
    </row>
    <row r="785" spans="1:7" x14ac:dyDescent="0.2">
      <c r="A785" t="s">
        <v>352</v>
      </c>
      <c r="B785" t="str">
        <f>"1/9"</f>
        <v>1/9</v>
      </c>
      <c r="C785">
        <v>8.9979886913118298E-4</v>
      </c>
      <c r="D785">
        <v>5.6315244989222999E-3</v>
      </c>
      <c r="E785">
        <v>2498.75</v>
      </c>
      <c r="F785" t="s">
        <v>350</v>
      </c>
      <c r="G785" t="s">
        <v>107</v>
      </c>
    </row>
    <row r="786" spans="1:7" x14ac:dyDescent="0.2">
      <c r="A786" t="s">
        <v>353</v>
      </c>
      <c r="B786" t="str">
        <f>"1/10"</f>
        <v>1/10</v>
      </c>
      <c r="C786">
        <v>9.9975221774784907E-4</v>
      </c>
      <c r="D786">
        <v>5.6315244989222999E-3</v>
      </c>
      <c r="E786">
        <v>2221</v>
      </c>
      <c r="F786" t="s">
        <v>350</v>
      </c>
      <c r="G786" t="s">
        <v>107</v>
      </c>
    </row>
    <row r="787" spans="1:7" x14ac:dyDescent="0.2">
      <c r="A787" t="s">
        <v>354</v>
      </c>
      <c r="B787" t="str">
        <f>"1/11"</f>
        <v>1/11</v>
      </c>
      <c r="C787">
        <v>1.0997006223853001E-3</v>
      </c>
      <c r="D787">
        <v>5.6315244989222999E-3</v>
      </c>
      <c r="E787">
        <v>1998.8</v>
      </c>
      <c r="F787" t="s">
        <v>350</v>
      </c>
      <c r="G787" t="s">
        <v>107</v>
      </c>
    </row>
    <row r="788" spans="1:7" x14ac:dyDescent="0.2">
      <c r="A788" t="s">
        <v>355</v>
      </c>
      <c r="B788" t="str">
        <f>"1/13"</f>
        <v>1/13</v>
      </c>
      <c r="C788">
        <v>1.2995825766743E-3</v>
      </c>
      <c r="D788">
        <v>5.6315244989222999E-3</v>
      </c>
      <c r="E788">
        <v>1665.5</v>
      </c>
      <c r="F788" t="s">
        <v>356</v>
      </c>
      <c r="G788" t="s">
        <v>107</v>
      </c>
    </row>
    <row r="789" spans="1:7" x14ac:dyDescent="0.2">
      <c r="A789" t="s">
        <v>357</v>
      </c>
      <c r="B789" t="str">
        <f>"1/16"</f>
        <v>1/16</v>
      </c>
      <c r="C789">
        <v>1.5993683081067E-3</v>
      </c>
      <c r="D789">
        <v>5.716894521086E-3</v>
      </c>
      <c r="E789">
        <v>1332.2</v>
      </c>
      <c r="F789" t="s">
        <v>356</v>
      </c>
      <c r="G789" t="s">
        <v>107</v>
      </c>
    </row>
    <row r="790" spans="1:7" x14ac:dyDescent="0.2">
      <c r="A790" t="s">
        <v>358</v>
      </c>
      <c r="B790" t="str">
        <f>"1/18"</f>
        <v>1/18</v>
      </c>
      <c r="C790">
        <v>1.7992006270532001E-3</v>
      </c>
      <c r="D790">
        <v>5.716894521086E-3</v>
      </c>
      <c r="E790">
        <v>1175.35294117647</v>
      </c>
      <c r="F790" t="s">
        <v>350</v>
      </c>
      <c r="G790" t="s">
        <v>107</v>
      </c>
    </row>
    <row r="791" spans="1:7" x14ac:dyDescent="0.2">
      <c r="A791" t="s">
        <v>359</v>
      </c>
      <c r="B791" t="str">
        <f>"1/20"</f>
        <v>1/20</v>
      </c>
      <c r="C791">
        <v>1.9990130569785E-3</v>
      </c>
      <c r="D791">
        <v>5.716894521086E-3</v>
      </c>
      <c r="E791">
        <v>1051.5263157894699</v>
      </c>
      <c r="F791" t="s">
        <v>356</v>
      </c>
      <c r="G791" t="s">
        <v>107</v>
      </c>
    </row>
    <row r="792" spans="1:7" x14ac:dyDescent="0.2">
      <c r="A792" t="s">
        <v>360</v>
      </c>
      <c r="B792" t="str">
        <f>"1/22"</f>
        <v>1/22</v>
      </c>
      <c r="C792">
        <v>2.1988055850330002E-3</v>
      </c>
      <c r="D792">
        <v>5.716894521086E-3</v>
      </c>
      <c r="E792">
        <v>951.28571428571399</v>
      </c>
      <c r="F792" t="s">
        <v>350</v>
      </c>
      <c r="G792" t="s">
        <v>107</v>
      </c>
    </row>
    <row r="793" spans="1:7" x14ac:dyDescent="0.2">
      <c r="A793" t="s">
        <v>361</v>
      </c>
      <c r="B793" t="str">
        <f>"1/36"</f>
        <v>1/36</v>
      </c>
      <c r="C793">
        <v>3.5967953129580001E-3</v>
      </c>
      <c r="D793">
        <v>8.1916809990336004E-3</v>
      </c>
      <c r="E793">
        <v>570.37142857142805</v>
      </c>
      <c r="F793" t="s">
        <v>350</v>
      </c>
      <c r="G793" t="s">
        <v>107</v>
      </c>
    </row>
    <row r="794" spans="1:7" x14ac:dyDescent="0.2">
      <c r="A794" t="s">
        <v>362</v>
      </c>
      <c r="B794" t="str">
        <f>"1/41"</f>
        <v>1/41</v>
      </c>
      <c r="C794">
        <v>4.0958404995168002E-3</v>
      </c>
      <c r="D794">
        <v>8.1916809990336004E-3</v>
      </c>
      <c r="E794">
        <v>498.95</v>
      </c>
      <c r="F794" t="s">
        <v>356</v>
      </c>
      <c r="G794" t="s">
        <v>107</v>
      </c>
    </row>
    <row r="795" spans="1:7" x14ac:dyDescent="0.2">
      <c r="A795" t="s">
        <v>363</v>
      </c>
      <c r="B795" t="str">
        <f>"1/41"</f>
        <v>1/41</v>
      </c>
      <c r="C795">
        <v>4.0958404995168002E-3</v>
      </c>
      <c r="D795">
        <v>8.1916809990336004E-3</v>
      </c>
      <c r="E795">
        <v>498.95</v>
      </c>
      <c r="F795" t="s">
        <v>350</v>
      </c>
      <c r="G795" t="s">
        <v>107</v>
      </c>
    </row>
    <row r="796" spans="1:7" x14ac:dyDescent="0.2">
      <c r="A796" t="s">
        <v>364</v>
      </c>
      <c r="B796" t="str">
        <f>"1/47"</f>
        <v>1/47</v>
      </c>
      <c r="C796">
        <v>4.6945300523320004E-3</v>
      </c>
      <c r="D796">
        <v>8.2477721209387005E-3</v>
      </c>
      <c r="E796">
        <v>433.739130434782</v>
      </c>
      <c r="F796" t="s">
        <v>350</v>
      </c>
      <c r="G796" t="s">
        <v>107</v>
      </c>
    </row>
    <row r="797" spans="1:7" x14ac:dyDescent="0.2">
      <c r="A797" t="s">
        <v>365</v>
      </c>
      <c r="B797" t="str">
        <f>"1/50"</f>
        <v>1/50</v>
      </c>
      <c r="C797">
        <v>4.9938074457830002E-3</v>
      </c>
      <c r="D797">
        <v>8.2477721209387005E-3</v>
      </c>
      <c r="E797">
        <v>407.12244897959101</v>
      </c>
      <c r="F797" t="s">
        <v>350</v>
      </c>
      <c r="G797" t="s">
        <v>107</v>
      </c>
    </row>
    <row r="798" spans="1:7" x14ac:dyDescent="0.2">
      <c r="A798" t="s">
        <v>36</v>
      </c>
      <c r="B798" t="str">
        <f>"1/53"</f>
        <v>1/53</v>
      </c>
      <c r="C798">
        <v>5.2930399104012E-3</v>
      </c>
      <c r="D798">
        <v>8.2477721209387005E-3</v>
      </c>
      <c r="E798">
        <v>383.57692307692298</v>
      </c>
      <c r="F798" t="s">
        <v>350</v>
      </c>
      <c r="G798" t="s">
        <v>107</v>
      </c>
    </row>
    <row r="799" spans="1:7" x14ac:dyDescent="0.2">
      <c r="A799" t="s">
        <v>366</v>
      </c>
      <c r="B799" t="str">
        <f>"1/54"</f>
        <v>1/54</v>
      </c>
      <c r="C799">
        <v>5.3927740790752996E-3</v>
      </c>
      <c r="D799">
        <v>8.2477721209387005E-3</v>
      </c>
      <c r="E799">
        <v>376.32075471698101</v>
      </c>
      <c r="F799" t="s">
        <v>350</v>
      </c>
      <c r="G799" t="s">
        <v>107</v>
      </c>
    </row>
    <row r="800" spans="1:7" x14ac:dyDescent="0.2">
      <c r="A800" t="s">
        <v>367</v>
      </c>
      <c r="B800" t="str">
        <f>"1/66"</f>
        <v>1/66</v>
      </c>
      <c r="C800">
        <v>6.5891946193871002E-3</v>
      </c>
      <c r="D800">
        <v>9.5177255613370006E-3</v>
      </c>
      <c r="E800">
        <v>306.66153846153799</v>
      </c>
      <c r="F800" t="s">
        <v>350</v>
      </c>
      <c r="G800" t="s">
        <v>107</v>
      </c>
    </row>
    <row r="801" spans="1:7" x14ac:dyDescent="0.2">
      <c r="A801" t="s">
        <v>368</v>
      </c>
      <c r="B801" t="str">
        <f>"1/72"</f>
        <v>1/72</v>
      </c>
      <c r="C801">
        <v>7.1871351960584003E-3</v>
      </c>
      <c r="D801">
        <v>9.8350271103956992E-3</v>
      </c>
      <c r="E801">
        <v>280.66197183098501</v>
      </c>
      <c r="F801" t="s">
        <v>350</v>
      </c>
      <c r="G801" t="s">
        <v>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26DA-666A-1643-A86A-6791215694DE}">
  <dimension ref="A1:G3240"/>
  <sheetViews>
    <sheetView tabSelected="1" workbookViewId="0">
      <selection activeCell="B11" sqref="B11"/>
    </sheetView>
  </sheetViews>
  <sheetFormatPr baseColWidth="10" defaultRowHeight="16" x14ac:dyDescent="0.2"/>
  <cols>
    <col min="1" max="1" width="10.83203125" style="1"/>
    <col min="2" max="2" width="51.1640625" customWidth="1"/>
  </cols>
  <sheetData>
    <row r="1" spans="1:7" x14ac:dyDescent="0.2">
      <c r="A1" s="1" t="s">
        <v>2889</v>
      </c>
    </row>
    <row r="2" spans="1:7" x14ac:dyDescent="0.2">
      <c r="A2" s="1" t="s">
        <v>118</v>
      </c>
      <c r="B2" s="1" t="s">
        <v>0</v>
      </c>
      <c r="C2" s="1" t="s">
        <v>509</v>
      </c>
      <c r="D2" s="1" t="s">
        <v>510</v>
      </c>
      <c r="E2" s="1" t="s">
        <v>511</v>
      </c>
      <c r="F2" s="1" t="s">
        <v>512</v>
      </c>
      <c r="G2" s="1" t="s">
        <v>513</v>
      </c>
    </row>
    <row r="3" spans="1:7" x14ac:dyDescent="0.2">
      <c r="A3" s="1" t="s">
        <v>146</v>
      </c>
      <c r="B3" t="s">
        <v>347</v>
      </c>
      <c r="C3">
        <v>-7.3240785160258799</v>
      </c>
      <c r="D3">
        <v>0</v>
      </c>
      <c r="E3">
        <v>0</v>
      </c>
      <c r="F3" t="str">
        <f>"177/259"</f>
        <v>177/259</v>
      </c>
      <c r="G3" s="10">
        <v>0.30509999999999998</v>
      </c>
    </row>
    <row r="4" spans="1:7" x14ac:dyDescent="0.2">
      <c r="A4" s="1" t="s">
        <v>146</v>
      </c>
      <c r="B4" t="s">
        <v>514</v>
      </c>
      <c r="C4">
        <v>-6.9223658060346596</v>
      </c>
      <c r="D4">
        <v>0</v>
      </c>
      <c r="E4">
        <v>0</v>
      </c>
      <c r="F4" t="str">
        <f>"119/191"</f>
        <v>119/191</v>
      </c>
      <c r="G4" s="10">
        <v>0.20810000000000001</v>
      </c>
    </row>
    <row r="5" spans="1:7" x14ac:dyDescent="0.2">
      <c r="A5" s="1" t="s">
        <v>146</v>
      </c>
      <c r="B5" t="s">
        <v>515</v>
      </c>
      <c r="C5">
        <v>-6.9045525306895996</v>
      </c>
      <c r="D5">
        <v>0</v>
      </c>
      <c r="E5">
        <v>0</v>
      </c>
      <c r="F5" t="str">
        <f>"119/191"</f>
        <v>119/191</v>
      </c>
      <c r="G5" s="10">
        <v>0.20810000000000001</v>
      </c>
    </row>
    <row r="6" spans="1:7" x14ac:dyDescent="0.2">
      <c r="A6" s="1" t="s">
        <v>146</v>
      </c>
      <c r="B6" t="s">
        <v>337</v>
      </c>
      <c r="C6">
        <v>-5.5672606390822699</v>
      </c>
      <c r="D6">
        <v>0</v>
      </c>
      <c r="E6">
        <v>0</v>
      </c>
      <c r="F6" t="str">
        <f>"66/84"</f>
        <v>66/84</v>
      </c>
      <c r="G6" s="10">
        <v>0.2661</v>
      </c>
    </row>
    <row r="7" spans="1:7" x14ac:dyDescent="0.2">
      <c r="A7" s="1" t="s">
        <v>146</v>
      </c>
      <c r="B7" t="s">
        <v>7</v>
      </c>
      <c r="C7">
        <v>5.5575630231459501</v>
      </c>
      <c r="D7">
        <v>0</v>
      </c>
      <c r="E7">
        <v>0</v>
      </c>
      <c r="F7" t="str">
        <f>"92/153"</f>
        <v>92/153</v>
      </c>
      <c r="G7" s="10">
        <v>0.2089</v>
      </c>
    </row>
    <row r="8" spans="1:7" x14ac:dyDescent="0.2">
      <c r="A8" s="1" t="s">
        <v>146</v>
      </c>
      <c r="B8" t="s">
        <v>10</v>
      </c>
      <c r="C8">
        <v>5.3119736487597899</v>
      </c>
      <c r="D8">
        <v>0</v>
      </c>
      <c r="E8">
        <v>0</v>
      </c>
      <c r="F8" t="str">
        <f>"61/98"</f>
        <v>61/98</v>
      </c>
      <c r="G8" s="10">
        <v>0.16830000000000001</v>
      </c>
    </row>
    <row r="9" spans="1:7" x14ac:dyDescent="0.2">
      <c r="A9" s="1" t="s">
        <v>146</v>
      </c>
      <c r="B9" t="s">
        <v>516</v>
      </c>
      <c r="C9">
        <v>-5.1539963362032202</v>
      </c>
      <c r="D9">
        <v>0</v>
      </c>
      <c r="E9">
        <v>0</v>
      </c>
      <c r="F9" t="str">
        <f>"195/345"</f>
        <v>195/345</v>
      </c>
      <c r="G9" s="10">
        <v>0.34460000000000002</v>
      </c>
    </row>
    <row r="10" spans="1:7" x14ac:dyDescent="0.2">
      <c r="A10" s="1" t="s">
        <v>146</v>
      </c>
      <c r="B10" t="s">
        <v>14</v>
      </c>
      <c r="C10">
        <v>5.1037083369511098</v>
      </c>
      <c r="D10">
        <v>0</v>
      </c>
      <c r="E10">
        <v>0</v>
      </c>
      <c r="F10" t="str">
        <f>"45/65"</f>
        <v>45/65</v>
      </c>
      <c r="G10" s="10">
        <v>0.16830000000000001</v>
      </c>
    </row>
    <row r="11" spans="1:7" x14ac:dyDescent="0.2">
      <c r="A11" s="1" t="s">
        <v>146</v>
      </c>
      <c r="B11" t="s">
        <v>12</v>
      </c>
      <c r="C11">
        <v>4.8159054783033204</v>
      </c>
      <c r="D11">
        <v>0</v>
      </c>
      <c r="E11">
        <v>0</v>
      </c>
      <c r="F11" t="str">
        <f>"129/169"</f>
        <v>129/169</v>
      </c>
      <c r="G11" s="10">
        <v>0.4536</v>
      </c>
    </row>
    <row r="12" spans="1:7" x14ac:dyDescent="0.2">
      <c r="A12" s="1" t="s">
        <v>146</v>
      </c>
      <c r="B12" t="s">
        <v>517</v>
      </c>
      <c r="C12">
        <v>4.6996783874497998</v>
      </c>
      <c r="D12">
        <v>0</v>
      </c>
      <c r="E12">
        <v>0</v>
      </c>
      <c r="F12" t="str">
        <f>"220/259"</f>
        <v>220/259</v>
      </c>
      <c r="G12" s="10">
        <v>0.60429999999999995</v>
      </c>
    </row>
    <row r="13" spans="1:7" x14ac:dyDescent="0.2">
      <c r="A13" s="1" t="s">
        <v>146</v>
      </c>
      <c r="B13" t="s">
        <v>328</v>
      </c>
      <c r="C13">
        <v>-4.6403457000272104</v>
      </c>
      <c r="D13">
        <v>0</v>
      </c>
      <c r="E13">
        <v>0</v>
      </c>
      <c r="F13" t="str">
        <f>"172/301"</f>
        <v>172/301</v>
      </c>
      <c r="G13" s="10">
        <v>0.3533</v>
      </c>
    </row>
    <row r="14" spans="1:7" x14ac:dyDescent="0.2">
      <c r="A14" s="1" t="s">
        <v>146</v>
      </c>
      <c r="B14" t="s">
        <v>518</v>
      </c>
      <c r="C14">
        <v>4.60960162220253</v>
      </c>
      <c r="D14">
        <v>0</v>
      </c>
      <c r="E14">
        <v>0</v>
      </c>
      <c r="F14" t="str">
        <f>"258/282"</f>
        <v>258/282</v>
      </c>
      <c r="G14" s="10">
        <v>0.66969999999999996</v>
      </c>
    </row>
    <row r="15" spans="1:7" x14ac:dyDescent="0.2">
      <c r="A15" s="1" t="s">
        <v>146</v>
      </c>
      <c r="B15" t="s">
        <v>519</v>
      </c>
      <c r="C15">
        <v>-4.5682945353779596</v>
      </c>
      <c r="D15">
        <v>0</v>
      </c>
      <c r="E15">
        <v>0</v>
      </c>
      <c r="F15" t="str">
        <f>"65/82"</f>
        <v>65/82</v>
      </c>
      <c r="G15" s="10">
        <v>0.37390000000000001</v>
      </c>
    </row>
    <row r="16" spans="1:7" x14ac:dyDescent="0.2">
      <c r="A16" s="1" t="s">
        <v>146</v>
      </c>
      <c r="B16" t="s">
        <v>520</v>
      </c>
      <c r="C16">
        <v>-4.5505357993164504</v>
      </c>
      <c r="D16">
        <v>0</v>
      </c>
      <c r="E16">
        <v>0</v>
      </c>
      <c r="F16" t="str">
        <f>"74/119"</f>
        <v>74/119</v>
      </c>
      <c r="G16" s="10">
        <v>0.27379999999999999</v>
      </c>
    </row>
    <row r="17" spans="1:7" x14ac:dyDescent="0.2">
      <c r="A17" s="1" t="s">
        <v>146</v>
      </c>
      <c r="B17" t="s">
        <v>521</v>
      </c>
      <c r="C17">
        <v>-4.5182458293514198</v>
      </c>
      <c r="D17">
        <v>0</v>
      </c>
      <c r="E17">
        <v>0</v>
      </c>
      <c r="F17" t="str">
        <f>"22/28"</f>
        <v>22/28</v>
      </c>
      <c r="G17" s="10">
        <v>0.1389</v>
      </c>
    </row>
    <row r="18" spans="1:7" x14ac:dyDescent="0.2">
      <c r="A18" s="1" t="s">
        <v>146</v>
      </c>
      <c r="B18" t="s">
        <v>522</v>
      </c>
      <c r="C18">
        <v>-4.51047850058709</v>
      </c>
      <c r="D18">
        <v>0</v>
      </c>
      <c r="E18">
        <v>0</v>
      </c>
      <c r="F18" t="str">
        <f>"169/345"</f>
        <v>169/345</v>
      </c>
      <c r="G18" s="10">
        <v>0.27189999999999998</v>
      </c>
    </row>
    <row r="19" spans="1:7" x14ac:dyDescent="0.2">
      <c r="A19" s="1" t="s">
        <v>146</v>
      </c>
      <c r="B19" t="s">
        <v>523</v>
      </c>
      <c r="C19">
        <v>4.4761448549356997</v>
      </c>
      <c r="D19">
        <v>0</v>
      </c>
      <c r="E19">
        <v>0</v>
      </c>
      <c r="F19" t="str">
        <f>"207/237"</f>
        <v>207/237</v>
      </c>
      <c r="G19" s="10">
        <v>0.6159</v>
      </c>
    </row>
    <row r="20" spans="1:7" x14ac:dyDescent="0.2">
      <c r="A20" s="1" t="s">
        <v>146</v>
      </c>
      <c r="B20" t="s">
        <v>188</v>
      </c>
      <c r="C20">
        <v>4.4549890234785297</v>
      </c>
      <c r="D20">
        <v>0</v>
      </c>
      <c r="E20">
        <v>0</v>
      </c>
      <c r="F20" t="str">
        <f>"36/52"</f>
        <v>36/52</v>
      </c>
      <c r="G20" s="10">
        <v>0.1376</v>
      </c>
    </row>
    <row r="21" spans="1:7" x14ac:dyDescent="0.2">
      <c r="A21" s="1" t="s">
        <v>146</v>
      </c>
      <c r="B21" t="s">
        <v>187</v>
      </c>
      <c r="C21">
        <v>4.4549890234785297</v>
      </c>
      <c r="D21">
        <v>0</v>
      </c>
      <c r="E21">
        <v>0</v>
      </c>
      <c r="F21" t="str">
        <f>"36/52"</f>
        <v>36/52</v>
      </c>
      <c r="G21" s="10">
        <v>0.1376</v>
      </c>
    </row>
    <row r="22" spans="1:7" x14ac:dyDescent="0.2">
      <c r="A22" s="1" t="s">
        <v>146</v>
      </c>
      <c r="B22" t="s">
        <v>524</v>
      </c>
      <c r="C22">
        <v>-4.4491112719395396</v>
      </c>
      <c r="D22">
        <v>0</v>
      </c>
      <c r="E22">
        <v>0</v>
      </c>
      <c r="F22" t="str">
        <f>"64/109"</f>
        <v>64/109</v>
      </c>
      <c r="G22" s="10">
        <v>0.20899999999999999</v>
      </c>
    </row>
    <row r="23" spans="1:7" x14ac:dyDescent="0.2">
      <c r="A23" s="1" t="s">
        <v>146</v>
      </c>
      <c r="B23" t="s">
        <v>24</v>
      </c>
      <c r="C23">
        <v>4.3991122224354502</v>
      </c>
      <c r="D23">
        <v>0</v>
      </c>
      <c r="E23">
        <v>0</v>
      </c>
      <c r="F23" t="str">
        <f>"110/144"</f>
        <v>110/144</v>
      </c>
      <c r="G23" s="10">
        <v>0.45989999999999998</v>
      </c>
    </row>
    <row r="24" spans="1:7" x14ac:dyDescent="0.2">
      <c r="A24" s="1" t="s">
        <v>146</v>
      </c>
      <c r="B24" t="s">
        <v>525</v>
      </c>
      <c r="C24">
        <v>4.3811878842398899</v>
      </c>
      <c r="D24">
        <v>0</v>
      </c>
      <c r="E24">
        <v>0</v>
      </c>
      <c r="F24" t="str">
        <f>"310/330"</f>
        <v>310/330</v>
      </c>
      <c r="G24" s="10">
        <v>0.73709999999999998</v>
      </c>
    </row>
    <row r="25" spans="1:7" x14ac:dyDescent="0.2">
      <c r="A25" s="1" t="s">
        <v>146</v>
      </c>
      <c r="B25" t="s">
        <v>18</v>
      </c>
      <c r="C25">
        <v>4.3613930011716899</v>
      </c>
      <c r="D25">
        <v>0</v>
      </c>
      <c r="E25">
        <v>0</v>
      </c>
      <c r="F25" t="str">
        <f>"48/63"</f>
        <v>48/63</v>
      </c>
      <c r="G25" s="10">
        <v>0.31640000000000001</v>
      </c>
    </row>
    <row r="26" spans="1:7" x14ac:dyDescent="0.2">
      <c r="A26" s="1" t="s">
        <v>146</v>
      </c>
      <c r="B26" t="s">
        <v>20</v>
      </c>
      <c r="C26">
        <v>4.3195865037933396</v>
      </c>
      <c r="D26">
        <v>0</v>
      </c>
      <c r="E26">
        <v>0</v>
      </c>
      <c r="F26" t="str">
        <f>"21/25"</f>
        <v>21/25</v>
      </c>
      <c r="G26" s="10">
        <v>0.19350000000000001</v>
      </c>
    </row>
    <row r="27" spans="1:7" x14ac:dyDescent="0.2">
      <c r="A27" s="1" t="s">
        <v>146</v>
      </c>
      <c r="B27" t="s">
        <v>526</v>
      </c>
      <c r="C27">
        <v>-4.2543315160845303</v>
      </c>
      <c r="D27">
        <v>0</v>
      </c>
      <c r="E27">
        <v>0</v>
      </c>
      <c r="F27" t="str">
        <f>"117/195"</f>
        <v>117/195</v>
      </c>
      <c r="G27" s="10">
        <v>0.34460000000000002</v>
      </c>
    </row>
    <row r="28" spans="1:7" x14ac:dyDescent="0.2">
      <c r="A28" s="1" t="s">
        <v>146</v>
      </c>
      <c r="B28" t="s">
        <v>527</v>
      </c>
      <c r="C28">
        <v>-4.1200220294553498</v>
      </c>
      <c r="D28">
        <v>0</v>
      </c>
      <c r="E28">
        <v>0</v>
      </c>
      <c r="F28" t="str">
        <f>"68/137"</f>
        <v>68/137</v>
      </c>
      <c r="G28" s="10">
        <v>0.18010000000000001</v>
      </c>
    </row>
    <row r="29" spans="1:7" x14ac:dyDescent="0.2">
      <c r="A29" s="1" t="s">
        <v>146</v>
      </c>
      <c r="B29" t="s">
        <v>528</v>
      </c>
      <c r="C29">
        <v>-4.1192980041834497</v>
      </c>
      <c r="D29">
        <v>0</v>
      </c>
      <c r="E29">
        <v>0</v>
      </c>
      <c r="F29" t="str">
        <f>"147/240"</f>
        <v>147/240</v>
      </c>
      <c r="G29" s="10">
        <v>0.38200000000000001</v>
      </c>
    </row>
    <row r="30" spans="1:7" x14ac:dyDescent="0.2">
      <c r="A30" s="1" t="s">
        <v>146</v>
      </c>
      <c r="B30" t="s">
        <v>529</v>
      </c>
      <c r="C30">
        <v>4.1164153018416103</v>
      </c>
      <c r="D30">
        <v>0</v>
      </c>
      <c r="E30">
        <v>0</v>
      </c>
      <c r="F30" t="str">
        <f>"222/266"</f>
        <v>222/266</v>
      </c>
      <c r="G30" s="10">
        <v>0.60099999999999998</v>
      </c>
    </row>
    <row r="31" spans="1:7" x14ac:dyDescent="0.2">
      <c r="A31" s="1" t="s">
        <v>146</v>
      </c>
      <c r="B31" t="s">
        <v>249</v>
      </c>
      <c r="C31">
        <v>4.0483239793215597</v>
      </c>
      <c r="D31">
        <v>0</v>
      </c>
      <c r="E31">
        <v>0</v>
      </c>
      <c r="F31" t="str">
        <f>"68/151"</f>
        <v>68/151</v>
      </c>
      <c r="G31" s="10">
        <v>0.19350000000000001</v>
      </c>
    </row>
    <row r="32" spans="1:7" x14ac:dyDescent="0.2">
      <c r="A32" s="1" t="s">
        <v>146</v>
      </c>
      <c r="B32" t="s">
        <v>530</v>
      </c>
      <c r="C32">
        <v>-4.0040990209414602</v>
      </c>
      <c r="D32">
        <v>0</v>
      </c>
      <c r="E32">
        <v>0</v>
      </c>
      <c r="F32" t="str">
        <f>"37/52"</f>
        <v>37/52</v>
      </c>
      <c r="G32" s="10">
        <v>0.24909999999999999</v>
      </c>
    </row>
    <row r="33" spans="1:7" x14ac:dyDescent="0.2">
      <c r="A33" s="1" t="s">
        <v>146</v>
      </c>
      <c r="B33" t="s">
        <v>176</v>
      </c>
      <c r="C33">
        <v>3.9989894589327299</v>
      </c>
      <c r="D33">
        <v>0</v>
      </c>
      <c r="E33">
        <v>0</v>
      </c>
      <c r="F33" t="str">
        <f>"57/103"</f>
        <v>57/103</v>
      </c>
      <c r="G33" s="10">
        <v>0.222</v>
      </c>
    </row>
    <row r="34" spans="1:7" x14ac:dyDescent="0.2">
      <c r="A34" s="1" t="s">
        <v>146</v>
      </c>
      <c r="B34" t="s">
        <v>531</v>
      </c>
      <c r="C34">
        <v>-3.9673407809071701</v>
      </c>
      <c r="D34">
        <v>0</v>
      </c>
      <c r="E34">
        <v>0</v>
      </c>
      <c r="F34" t="str">
        <f>"21/26"</f>
        <v>21/26</v>
      </c>
      <c r="G34" s="10">
        <v>0.186</v>
      </c>
    </row>
    <row r="35" spans="1:7" x14ac:dyDescent="0.2">
      <c r="A35" s="1" t="s">
        <v>146</v>
      </c>
      <c r="B35" t="s">
        <v>532</v>
      </c>
      <c r="C35">
        <v>-3.9246767192371799</v>
      </c>
      <c r="D35">
        <v>0</v>
      </c>
      <c r="E35">
        <v>0</v>
      </c>
      <c r="F35" t="str">
        <f>"25/32"</f>
        <v>25/32</v>
      </c>
      <c r="G35" s="10">
        <v>0.22009999999999999</v>
      </c>
    </row>
    <row r="36" spans="1:7" x14ac:dyDescent="0.2">
      <c r="A36" s="1" t="s">
        <v>146</v>
      </c>
      <c r="B36" t="s">
        <v>533</v>
      </c>
      <c r="C36">
        <v>-3.8989930406519</v>
      </c>
      <c r="D36">
        <v>0</v>
      </c>
      <c r="E36">
        <v>0</v>
      </c>
      <c r="F36" t="str">
        <f>"106/174"</f>
        <v>106/174</v>
      </c>
      <c r="G36" s="10">
        <v>0.36320000000000002</v>
      </c>
    </row>
    <row r="37" spans="1:7" x14ac:dyDescent="0.2">
      <c r="A37" s="1" t="s">
        <v>146</v>
      </c>
      <c r="B37" t="s">
        <v>534</v>
      </c>
      <c r="C37">
        <v>-3.8971670928232802</v>
      </c>
      <c r="D37">
        <v>0</v>
      </c>
      <c r="E37">
        <v>0</v>
      </c>
      <c r="F37" t="str">
        <f>"23/36"</f>
        <v>23/36</v>
      </c>
      <c r="G37" s="10">
        <v>0.1389</v>
      </c>
    </row>
    <row r="38" spans="1:7" x14ac:dyDescent="0.2">
      <c r="A38" s="1" t="s">
        <v>146</v>
      </c>
      <c r="B38" t="s">
        <v>535</v>
      </c>
      <c r="C38">
        <v>3.8802757500035998</v>
      </c>
      <c r="D38">
        <v>0</v>
      </c>
      <c r="E38">
        <v>0</v>
      </c>
      <c r="F38" t="str">
        <f>"101/125"</f>
        <v>101/125</v>
      </c>
      <c r="G38" s="10">
        <v>0.52239999999999998</v>
      </c>
    </row>
    <row r="39" spans="1:7" x14ac:dyDescent="0.2">
      <c r="A39" s="1" t="s">
        <v>146</v>
      </c>
      <c r="B39" t="s">
        <v>536</v>
      </c>
      <c r="C39">
        <v>-3.8761054147181699</v>
      </c>
      <c r="D39">
        <v>0</v>
      </c>
      <c r="E39">
        <v>0</v>
      </c>
      <c r="F39" t="str">
        <f>"91/178"</f>
        <v>91/178</v>
      </c>
      <c r="G39" s="10">
        <v>0.26800000000000002</v>
      </c>
    </row>
    <row r="40" spans="1:7" x14ac:dyDescent="0.2">
      <c r="A40" s="1" t="s">
        <v>146</v>
      </c>
      <c r="B40" t="s">
        <v>537</v>
      </c>
      <c r="C40">
        <v>-3.87072147737815</v>
      </c>
      <c r="D40">
        <v>0</v>
      </c>
      <c r="E40">
        <v>0</v>
      </c>
      <c r="F40" t="str">
        <f>"37/43"</f>
        <v>37/43</v>
      </c>
      <c r="G40" s="10">
        <v>0.37269999999999998</v>
      </c>
    </row>
    <row r="41" spans="1:7" x14ac:dyDescent="0.2">
      <c r="A41" s="1" t="s">
        <v>146</v>
      </c>
      <c r="B41" t="s">
        <v>333</v>
      </c>
      <c r="C41">
        <v>-3.8254056995768502</v>
      </c>
      <c r="D41">
        <v>0</v>
      </c>
      <c r="E41">
        <v>0</v>
      </c>
      <c r="F41" t="str">
        <f>"39/56"</f>
        <v>39/56</v>
      </c>
      <c r="G41" s="10">
        <v>0.25679999999999997</v>
      </c>
    </row>
    <row r="42" spans="1:7" x14ac:dyDescent="0.2">
      <c r="A42" s="1" t="s">
        <v>146</v>
      </c>
      <c r="B42" t="s">
        <v>538</v>
      </c>
      <c r="C42">
        <v>-3.8025725855971002</v>
      </c>
      <c r="D42">
        <v>0</v>
      </c>
      <c r="E42">
        <v>0</v>
      </c>
      <c r="F42" t="str">
        <f>"52/72"</f>
        <v>52/72</v>
      </c>
      <c r="G42" s="10">
        <v>0.35880000000000001</v>
      </c>
    </row>
    <row r="43" spans="1:7" x14ac:dyDescent="0.2">
      <c r="A43" s="1" t="s">
        <v>146</v>
      </c>
      <c r="B43" t="s">
        <v>539</v>
      </c>
      <c r="C43">
        <v>3.80194684693357</v>
      </c>
      <c r="D43">
        <v>0</v>
      </c>
      <c r="E43">
        <v>0</v>
      </c>
      <c r="F43" t="str">
        <f>"262/295"</f>
        <v>262/295</v>
      </c>
      <c r="G43" s="10">
        <v>0.68740000000000001</v>
      </c>
    </row>
    <row r="44" spans="1:7" x14ac:dyDescent="0.2">
      <c r="A44" s="1" t="s">
        <v>146</v>
      </c>
      <c r="B44" t="s">
        <v>540</v>
      </c>
      <c r="C44">
        <v>3.8018998803782398</v>
      </c>
      <c r="D44">
        <v>0</v>
      </c>
      <c r="E44">
        <v>0</v>
      </c>
      <c r="F44" t="str">
        <f>"54/111"</f>
        <v>54/111</v>
      </c>
      <c r="G44" s="10">
        <v>0.1754</v>
      </c>
    </row>
    <row r="45" spans="1:7" x14ac:dyDescent="0.2">
      <c r="A45" s="1" t="s">
        <v>146</v>
      </c>
      <c r="B45" t="s">
        <v>541</v>
      </c>
      <c r="C45">
        <v>3.76781762436937</v>
      </c>
      <c r="D45">
        <v>0</v>
      </c>
      <c r="E45">
        <v>0</v>
      </c>
      <c r="F45" t="str">
        <f>"35/72"</f>
        <v>35/72</v>
      </c>
      <c r="G45" s="10">
        <v>0.14749999999999999</v>
      </c>
    </row>
    <row r="46" spans="1:7" x14ac:dyDescent="0.2">
      <c r="A46" s="1" t="s">
        <v>146</v>
      </c>
      <c r="B46" t="s">
        <v>542</v>
      </c>
      <c r="C46">
        <v>3.7470542422341202</v>
      </c>
      <c r="D46">
        <v>0</v>
      </c>
      <c r="E46">
        <v>0</v>
      </c>
      <c r="F46" t="str">
        <f>"277/323"</f>
        <v>277/323</v>
      </c>
      <c r="G46" s="10">
        <v>0.66890000000000005</v>
      </c>
    </row>
    <row r="47" spans="1:7" x14ac:dyDescent="0.2">
      <c r="A47" s="1" t="s">
        <v>146</v>
      </c>
      <c r="B47" t="s">
        <v>543</v>
      </c>
      <c r="C47">
        <v>3.7398317755153601</v>
      </c>
      <c r="D47">
        <v>0</v>
      </c>
      <c r="E47">
        <v>0</v>
      </c>
      <c r="F47" t="str">
        <f>"33/59"</f>
        <v>33/59</v>
      </c>
      <c r="G47" s="10">
        <v>0.12920000000000001</v>
      </c>
    </row>
    <row r="48" spans="1:7" x14ac:dyDescent="0.2">
      <c r="A48" s="1" t="s">
        <v>146</v>
      </c>
      <c r="B48" t="s">
        <v>251</v>
      </c>
      <c r="C48">
        <v>3.7272494056560199</v>
      </c>
      <c r="D48">
        <v>0</v>
      </c>
      <c r="E48">
        <v>0</v>
      </c>
      <c r="F48" t="str">
        <f>"42/72"</f>
        <v>42/72</v>
      </c>
      <c r="G48" s="10">
        <v>0.1996</v>
      </c>
    </row>
    <row r="49" spans="1:7" x14ac:dyDescent="0.2">
      <c r="A49" s="1" t="s">
        <v>146</v>
      </c>
      <c r="B49" t="s">
        <v>30</v>
      </c>
      <c r="C49">
        <v>3.7228910829207602</v>
      </c>
      <c r="D49">
        <v>0</v>
      </c>
      <c r="E49">
        <v>0</v>
      </c>
      <c r="F49" t="str">
        <f>"44/65"</f>
        <v>44/65</v>
      </c>
      <c r="G49" s="10">
        <v>0.2838</v>
      </c>
    </row>
    <row r="50" spans="1:7" x14ac:dyDescent="0.2">
      <c r="A50" s="1" t="s">
        <v>146</v>
      </c>
      <c r="B50" t="s">
        <v>544</v>
      </c>
      <c r="C50">
        <v>3.71147816919671</v>
      </c>
      <c r="D50">
        <v>0</v>
      </c>
      <c r="E50">
        <v>0</v>
      </c>
      <c r="F50" t="str">
        <f>"46/64"</f>
        <v>46/64</v>
      </c>
      <c r="G50" s="10">
        <v>0.29670000000000002</v>
      </c>
    </row>
    <row r="51" spans="1:7" x14ac:dyDescent="0.2">
      <c r="A51" s="1" t="s">
        <v>146</v>
      </c>
      <c r="B51" t="s">
        <v>545</v>
      </c>
      <c r="C51">
        <v>3.7101067441523301</v>
      </c>
      <c r="D51">
        <v>0</v>
      </c>
      <c r="E51">
        <v>0</v>
      </c>
      <c r="F51" t="str">
        <f>"79/92"</f>
        <v>79/92</v>
      </c>
      <c r="G51" s="10">
        <v>0.5343</v>
      </c>
    </row>
    <row r="52" spans="1:7" x14ac:dyDescent="0.2">
      <c r="A52" s="1" t="s">
        <v>146</v>
      </c>
      <c r="B52" t="s">
        <v>546</v>
      </c>
      <c r="C52">
        <v>3.7033370303328801</v>
      </c>
      <c r="D52">
        <v>0</v>
      </c>
      <c r="E52">
        <v>0</v>
      </c>
      <c r="F52" t="str">
        <f>"173/179"</f>
        <v>173/179</v>
      </c>
      <c r="G52" s="10">
        <v>0.73399999999999999</v>
      </c>
    </row>
    <row r="53" spans="1:7" x14ac:dyDescent="0.2">
      <c r="A53" s="1" t="s">
        <v>146</v>
      </c>
      <c r="B53" t="s">
        <v>547</v>
      </c>
      <c r="C53">
        <v>-3.6942481935555298</v>
      </c>
      <c r="D53">
        <v>0</v>
      </c>
      <c r="E53">
        <v>0</v>
      </c>
      <c r="F53" t="str">
        <f>"137/198"</f>
        <v>137/198</v>
      </c>
      <c r="G53" s="10">
        <v>0.46160000000000001</v>
      </c>
    </row>
    <row r="54" spans="1:7" x14ac:dyDescent="0.2">
      <c r="A54" s="1" t="s">
        <v>146</v>
      </c>
      <c r="B54" t="s">
        <v>548</v>
      </c>
      <c r="C54">
        <v>-3.6909781973689801</v>
      </c>
      <c r="D54">
        <v>0</v>
      </c>
      <c r="E54">
        <v>0</v>
      </c>
      <c r="F54" t="str">
        <f>"60/105"</f>
        <v>60/105</v>
      </c>
      <c r="G54" s="10">
        <v>0.28470000000000001</v>
      </c>
    </row>
    <row r="55" spans="1:7" x14ac:dyDescent="0.2">
      <c r="A55" s="1" t="s">
        <v>146</v>
      </c>
      <c r="B55" t="s">
        <v>304</v>
      </c>
      <c r="C55">
        <v>-3.6671191876110298</v>
      </c>
      <c r="D55">
        <v>0</v>
      </c>
      <c r="E55">
        <v>0</v>
      </c>
      <c r="F55" t="str">
        <f>"70/127"</f>
        <v>70/127</v>
      </c>
      <c r="G55" s="10">
        <v>0.28470000000000001</v>
      </c>
    </row>
    <row r="56" spans="1:7" x14ac:dyDescent="0.2">
      <c r="A56" s="1" t="s">
        <v>146</v>
      </c>
      <c r="B56" t="s">
        <v>549</v>
      </c>
      <c r="C56">
        <v>-3.6602920728822501</v>
      </c>
      <c r="D56">
        <v>0</v>
      </c>
      <c r="E56">
        <v>0</v>
      </c>
      <c r="F56" t="str">
        <f>"22/28"</f>
        <v>22/28</v>
      </c>
      <c r="G56" s="10">
        <v>0.22009999999999999</v>
      </c>
    </row>
    <row r="57" spans="1:7" x14ac:dyDescent="0.2">
      <c r="A57" s="1" t="s">
        <v>146</v>
      </c>
      <c r="B57" t="s">
        <v>550</v>
      </c>
      <c r="C57">
        <v>3.64415568481015</v>
      </c>
      <c r="D57">
        <v>0</v>
      </c>
      <c r="E57">
        <v>0</v>
      </c>
      <c r="F57" t="str">
        <f>"86/101"</f>
        <v>86/101</v>
      </c>
      <c r="G57" s="10">
        <v>0.5343</v>
      </c>
    </row>
    <row r="58" spans="1:7" x14ac:dyDescent="0.2">
      <c r="A58" s="1" t="s">
        <v>146</v>
      </c>
      <c r="B58" t="s">
        <v>551</v>
      </c>
      <c r="C58">
        <v>3.6233405758230699</v>
      </c>
      <c r="D58">
        <v>0</v>
      </c>
      <c r="E58">
        <v>0</v>
      </c>
      <c r="F58" t="str">
        <f>"75/86"</f>
        <v>75/86</v>
      </c>
      <c r="G58" s="10">
        <v>0.5343</v>
      </c>
    </row>
    <row r="59" spans="1:7" x14ac:dyDescent="0.2">
      <c r="A59" s="1" t="s">
        <v>146</v>
      </c>
      <c r="B59" t="s">
        <v>552</v>
      </c>
      <c r="C59">
        <v>3.60077667814208</v>
      </c>
      <c r="D59">
        <v>0</v>
      </c>
      <c r="E59">
        <v>0</v>
      </c>
      <c r="F59" t="str">
        <f>"74/86"</f>
        <v>74/86</v>
      </c>
      <c r="G59" s="10">
        <v>0.5343</v>
      </c>
    </row>
    <row r="60" spans="1:7" x14ac:dyDescent="0.2">
      <c r="A60" s="1" t="s">
        <v>146</v>
      </c>
      <c r="B60" t="s">
        <v>553</v>
      </c>
      <c r="C60">
        <v>-3.5888501553147001</v>
      </c>
      <c r="D60">
        <v>0</v>
      </c>
      <c r="E60">
        <v>0</v>
      </c>
      <c r="F60" t="str">
        <f>"20/26"</f>
        <v>20/26</v>
      </c>
      <c r="G60" s="10">
        <v>0.1585</v>
      </c>
    </row>
    <row r="61" spans="1:7" x14ac:dyDescent="0.2">
      <c r="A61" s="1" t="s">
        <v>146</v>
      </c>
      <c r="B61" t="s">
        <v>40</v>
      </c>
      <c r="C61">
        <v>3.5830138067302402</v>
      </c>
      <c r="D61">
        <v>0</v>
      </c>
      <c r="E61">
        <v>0</v>
      </c>
      <c r="F61" t="str">
        <f>"24/37"</f>
        <v>24/37</v>
      </c>
      <c r="G61" s="10">
        <v>0.18029999999999999</v>
      </c>
    </row>
    <row r="62" spans="1:7" x14ac:dyDescent="0.2">
      <c r="A62" s="1" t="s">
        <v>146</v>
      </c>
      <c r="B62" t="s">
        <v>554</v>
      </c>
      <c r="C62">
        <v>3.5229276938876102</v>
      </c>
      <c r="D62">
        <v>0</v>
      </c>
      <c r="E62">
        <v>0</v>
      </c>
      <c r="F62" t="str">
        <f>"183/188"</f>
        <v>183/188</v>
      </c>
      <c r="G62" s="10">
        <v>0.74650000000000005</v>
      </c>
    </row>
    <row r="63" spans="1:7" x14ac:dyDescent="0.2">
      <c r="A63" s="1" t="s">
        <v>146</v>
      </c>
      <c r="B63" t="s">
        <v>555</v>
      </c>
      <c r="C63">
        <v>3.5114623737954598</v>
      </c>
      <c r="D63">
        <v>0</v>
      </c>
      <c r="E63">
        <v>0</v>
      </c>
      <c r="F63" t="str">
        <f>"67/79"</f>
        <v>67/79</v>
      </c>
      <c r="G63" s="10">
        <v>0.52239999999999998</v>
      </c>
    </row>
    <row r="64" spans="1:7" x14ac:dyDescent="0.2">
      <c r="A64" s="1" t="s">
        <v>146</v>
      </c>
      <c r="B64" t="s">
        <v>185</v>
      </c>
      <c r="C64">
        <v>3.5079607223369802</v>
      </c>
      <c r="D64">
        <v>0</v>
      </c>
      <c r="E64">
        <v>0</v>
      </c>
      <c r="F64" t="str">
        <f>"58/73"</f>
        <v>58/73</v>
      </c>
      <c r="G64" s="10">
        <v>0.45989999999999998</v>
      </c>
    </row>
    <row r="65" spans="1:7" x14ac:dyDescent="0.2">
      <c r="A65" s="1" t="s">
        <v>146</v>
      </c>
      <c r="B65" t="s">
        <v>556</v>
      </c>
      <c r="C65">
        <v>-3.4961052300888298</v>
      </c>
      <c r="D65">
        <v>0</v>
      </c>
      <c r="E65">
        <v>0</v>
      </c>
      <c r="F65" t="str">
        <f>"78/123"</f>
        <v>78/123</v>
      </c>
      <c r="G65" s="10">
        <v>0.36599999999999999</v>
      </c>
    </row>
    <row r="66" spans="1:7" x14ac:dyDescent="0.2">
      <c r="A66" s="1" t="s">
        <v>146</v>
      </c>
      <c r="B66" t="s">
        <v>557</v>
      </c>
      <c r="C66">
        <v>-3.4788026297942798</v>
      </c>
      <c r="D66">
        <v>0</v>
      </c>
      <c r="E66">
        <v>0</v>
      </c>
      <c r="F66" t="str">
        <f>"26/31"</f>
        <v>26/31</v>
      </c>
      <c r="G66" s="10">
        <v>0.29449999999999998</v>
      </c>
    </row>
    <row r="67" spans="1:7" x14ac:dyDescent="0.2">
      <c r="A67" s="1" t="s">
        <v>146</v>
      </c>
      <c r="B67" t="s">
        <v>558</v>
      </c>
      <c r="C67">
        <v>-3.4768797589297198</v>
      </c>
      <c r="D67">
        <v>0</v>
      </c>
      <c r="E67">
        <v>0</v>
      </c>
      <c r="F67" t="str">
        <f>"69/107"</f>
        <v>69/107</v>
      </c>
      <c r="G67" s="10">
        <v>0.37869999999999998</v>
      </c>
    </row>
    <row r="68" spans="1:7" x14ac:dyDescent="0.2">
      <c r="A68" s="1" t="s">
        <v>146</v>
      </c>
      <c r="B68" t="s">
        <v>559</v>
      </c>
      <c r="C68">
        <v>3.4727186034098598</v>
      </c>
      <c r="D68">
        <v>0</v>
      </c>
      <c r="E68">
        <v>0</v>
      </c>
      <c r="F68" t="str">
        <f>"53/58"</f>
        <v>53/58</v>
      </c>
      <c r="G68" s="10">
        <v>0.55610000000000004</v>
      </c>
    </row>
    <row r="69" spans="1:7" x14ac:dyDescent="0.2">
      <c r="A69" s="1" t="s">
        <v>146</v>
      </c>
      <c r="B69" t="s">
        <v>560</v>
      </c>
      <c r="C69">
        <v>-3.4615433543652299</v>
      </c>
      <c r="D69">
        <v>0</v>
      </c>
      <c r="E69">
        <v>0</v>
      </c>
      <c r="F69" t="str">
        <f>"59/93"</f>
        <v>59/93</v>
      </c>
      <c r="G69" s="10">
        <v>0.36320000000000002</v>
      </c>
    </row>
    <row r="70" spans="1:7" x14ac:dyDescent="0.2">
      <c r="A70" s="1" t="s">
        <v>146</v>
      </c>
      <c r="B70" t="s">
        <v>561</v>
      </c>
      <c r="C70">
        <v>3.4491442028002099</v>
      </c>
      <c r="D70">
        <v>0</v>
      </c>
      <c r="E70">
        <v>0</v>
      </c>
      <c r="F70" t="str">
        <f>"96/111"</f>
        <v>96/111</v>
      </c>
      <c r="G70" s="10">
        <v>0.59870000000000001</v>
      </c>
    </row>
    <row r="71" spans="1:7" x14ac:dyDescent="0.2">
      <c r="A71" s="1" t="s">
        <v>146</v>
      </c>
      <c r="B71" t="s">
        <v>562</v>
      </c>
      <c r="C71">
        <v>3.4419196672628698</v>
      </c>
      <c r="D71">
        <v>0</v>
      </c>
      <c r="E71">
        <v>0</v>
      </c>
      <c r="F71" t="str">
        <f>"90/95"</f>
        <v>90/95</v>
      </c>
      <c r="G71" s="10">
        <v>0.65490000000000004</v>
      </c>
    </row>
    <row r="72" spans="1:7" x14ac:dyDescent="0.2">
      <c r="A72" s="1" t="s">
        <v>146</v>
      </c>
      <c r="B72" t="s">
        <v>563</v>
      </c>
      <c r="C72">
        <v>-3.4347059894848901</v>
      </c>
      <c r="D72">
        <v>0</v>
      </c>
      <c r="E72">
        <v>0</v>
      </c>
      <c r="F72" t="str">
        <f>"31/45"</f>
        <v>31/45</v>
      </c>
      <c r="G72" s="10">
        <v>0.25679999999999997</v>
      </c>
    </row>
    <row r="73" spans="1:7" x14ac:dyDescent="0.2">
      <c r="A73" s="1" t="s">
        <v>146</v>
      </c>
      <c r="B73" t="s">
        <v>564</v>
      </c>
      <c r="C73">
        <v>3.42395908054162</v>
      </c>
      <c r="D73">
        <v>0</v>
      </c>
      <c r="E73">
        <v>0</v>
      </c>
      <c r="F73" t="str">
        <f>"26/41"</f>
        <v>26/41</v>
      </c>
      <c r="G73" s="10">
        <v>0.1918</v>
      </c>
    </row>
    <row r="74" spans="1:7" x14ac:dyDescent="0.2">
      <c r="A74" s="1" t="s">
        <v>146</v>
      </c>
      <c r="B74" t="s">
        <v>565</v>
      </c>
      <c r="C74">
        <v>3.4229868120015698</v>
      </c>
      <c r="D74">
        <v>0</v>
      </c>
      <c r="E74">
        <v>0</v>
      </c>
      <c r="F74" t="str">
        <f>"40/97"</f>
        <v>40/97</v>
      </c>
      <c r="G74" s="10">
        <v>0.13789999999999999</v>
      </c>
    </row>
    <row r="75" spans="1:7" x14ac:dyDescent="0.2">
      <c r="A75" s="1" t="s">
        <v>146</v>
      </c>
      <c r="B75" t="s">
        <v>22</v>
      </c>
      <c r="C75">
        <v>3.4218533513338598</v>
      </c>
      <c r="D75">
        <v>0</v>
      </c>
      <c r="E75">
        <v>0</v>
      </c>
      <c r="F75" t="str">
        <f>"20/31"</f>
        <v>20/31</v>
      </c>
      <c r="G75" s="10">
        <v>0.18029999999999999</v>
      </c>
    </row>
    <row r="76" spans="1:7" x14ac:dyDescent="0.2">
      <c r="A76" s="1" t="s">
        <v>146</v>
      </c>
      <c r="B76" t="s">
        <v>566</v>
      </c>
      <c r="C76">
        <v>-3.4203500191037399</v>
      </c>
      <c r="D76">
        <v>0</v>
      </c>
      <c r="E76">
        <v>0</v>
      </c>
      <c r="F76" t="str">
        <f>"121/206"</f>
        <v>121/206</v>
      </c>
      <c r="G76" s="10">
        <v>0.3856</v>
      </c>
    </row>
    <row r="77" spans="1:7" x14ac:dyDescent="0.2">
      <c r="A77" s="1" t="s">
        <v>146</v>
      </c>
      <c r="B77" t="s">
        <v>32</v>
      </c>
      <c r="C77">
        <v>3.4115817567949902</v>
      </c>
      <c r="D77">
        <v>0</v>
      </c>
      <c r="E77">
        <v>0</v>
      </c>
      <c r="F77" t="str">
        <f>"42/66"</f>
        <v>42/66</v>
      </c>
      <c r="G77" s="10">
        <v>0.2838</v>
      </c>
    </row>
    <row r="78" spans="1:7" x14ac:dyDescent="0.2">
      <c r="A78" s="1" t="s">
        <v>146</v>
      </c>
      <c r="B78" t="s">
        <v>567</v>
      </c>
      <c r="C78">
        <v>3.40785830127159</v>
      </c>
      <c r="D78">
        <v>0</v>
      </c>
      <c r="E78">
        <v>0</v>
      </c>
      <c r="F78" t="str">
        <f>"166/169"</f>
        <v>166/169</v>
      </c>
      <c r="G78" s="10">
        <v>0.74650000000000005</v>
      </c>
    </row>
    <row r="79" spans="1:7" x14ac:dyDescent="0.2">
      <c r="A79" s="1" t="s">
        <v>146</v>
      </c>
      <c r="B79" t="s">
        <v>568</v>
      </c>
      <c r="C79">
        <v>-3.3863357370100799</v>
      </c>
      <c r="D79">
        <v>0</v>
      </c>
      <c r="E79">
        <v>0</v>
      </c>
      <c r="F79" t="str">
        <f>"43/70"</f>
        <v>43/70</v>
      </c>
      <c r="G79" s="10">
        <v>0.26250000000000001</v>
      </c>
    </row>
    <row r="80" spans="1:7" x14ac:dyDescent="0.2">
      <c r="A80" s="1" t="s">
        <v>146</v>
      </c>
      <c r="B80" t="s">
        <v>569</v>
      </c>
      <c r="C80">
        <v>3.38278129888177</v>
      </c>
      <c r="D80">
        <v>0</v>
      </c>
      <c r="E80">
        <v>0</v>
      </c>
      <c r="F80" t="str">
        <f>"93/98"</f>
        <v>93/98</v>
      </c>
      <c r="G80" s="10">
        <v>0.65490000000000004</v>
      </c>
    </row>
    <row r="81" spans="1:7" x14ac:dyDescent="0.2">
      <c r="A81" s="1" t="s">
        <v>146</v>
      </c>
      <c r="B81" t="s">
        <v>570</v>
      </c>
      <c r="C81">
        <v>-3.3701823113815998</v>
      </c>
      <c r="D81">
        <v>0</v>
      </c>
      <c r="E81">
        <v>0</v>
      </c>
      <c r="F81" t="str">
        <f>"29/44"</f>
        <v>29/44</v>
      </c>
      <c r="G81" s="10">
        <v>0.23649999999999999</v>
      </c>
    </row>
    <row r="82" spans="1:7" x14ac:dyDescent="0.2">
      <c r="A82" s="1" t="s">
        <v>146</v>
      </c>
      <c r="B82" t="s">
        <v>230</v>
      </c>
      <c r="C82">
        <v>3.3645470242623201</v>
      </c>
      <c r="D82">
        <v>0</v>
      </c>
      <c r="E82">
        <v>0</v>
      </c>
      <c r="F82" t="str">
        <f>"154/387"</f>
        <v>154/387</v>
      </c>
      <c r="G82" s="10">
        <v>0.26500000000000001</v>
      </c>
    </row>
    <row r="83" spans="1:7" x14ac:dyDescent="0.2">
      <c r="A83" s="1" t="s">
        <v>146</v>
      </c>
      <c r="B83" t="s">
        <v>571</v>
      </c>
      <c r="C83">
        <v>3.35765829334929</v>
      </c>
      <c r="D83">
        <v>0</v>
      </c>
      <c r="E83">
        <v>0</v>
      </c>
      <c r="F83" t="str">
        <f>"180/184"</f>
        <v>180/184</v>
      </c>
      <c r="G83" s="10">
        <v>0.74650000000000005</v>
      </c>
    </row>
    <row r="84" spans="1:7" x14ac:dyDescent="0.2">
      <c r="A84" s="1" t="s">
        <v>146</v>
      </c>
      <c r="B84" t="s">
        <v>572</v>
      </c>
      <c r="C84">
        <v>-3.35452590896847</v>
      </c>
      <c r="D84">
        <v>0</v>
      </c>
      <c r="E84">
        <v>0</v>
      </c>
      <c r="F84" t="str">
        <f>"31/47"</f>
        <v>31/47</v>
      </c>
      <c r="G84" s="10">
        <v>0.23649999999999999</v>
      </c>
    </row>
    <row r="85" spans="1:7" x14ac:dyDescent="0.2">
      <c r="A85" s="1" t="s">
        <v>146</v>
      </c>
      <c r="B85" t="s">
        <v>573</v>
      </c>
      <c r="C85">
        <v>-3.3537359197769798</v>
      </c>
      <c r="D85">
        <v>0</v>
      </c>
      <c r="E85">
        <v>0</v>
      </c>
      <c r="F85" t="str">
        <f>"53/69"</f>
        <v>53/69</v>
      </c>
      <c r="G85" s="10">
        <v>0.42330000000000001</v>
      </c>
    </row>
    <row r="86" spans="1:7" x14ac:dyDescent="0.2">
      <c r="A86" s="1" t="s">
        <v>146</v>
      </c>
      <c r="B86" t="s">
        <v>574</v>
      </c>
      <c r="C86">
        <v>-3.34234817589115</v>
      </c>
      <c r="D86">
        <v>0</v>
      </c>
      <c r="E86">
        <v>0</v>
      </c>
      <c r="F86" t="str">
        <f>"81/138"</f>
        <v>81/138</v>
      </c>
      <c r="G86" s="10">
        <v>0.34460000000000002</v>
      </c>
    </row>
    <row r="87" spans="1:7" x14ac:dyDescent="0.2">
      <c r="A87" s="1" t="s">
        <v>146</v>
      </c>
      <c r="B87" t="s">
        <v>575</v>
      </c>
      <c r="C87">
        <v>3.3339588966377001</v>
      </c>
      <c r="D87">
        <v>0</v>
      </c>
      <c r="E87">
        <v>0</v>
      </c>
      <c r="F87" t="str">
        <f>"235/276"</f>
        <v>235/276</v>
      </c>
      <c r="G87" s="10">
        <v>0.67169999999999996</v>
      </c>
    </row>
    <row r="88" spans="1:7" x14ac:dyDescent="0.2">
      <c r="A88" s="1" t="s">
        <v>146</v>
      </c>
      <c r="B88" t="s">
        <v>368</v>
      </c>
      <c r="C88">
        <v>-3.3316664261121098</v>
      </c>
      <c r="D88">
        <v>0</v>
      </c>
      <c r="E88">
        <v>0</v>
      </c>
      <c r="F88" t="str">
        <f>"40/65"</f>
        <v>40/65</v>
      </c>
      <c r="G88" s="10">
        <v>0.28389999999999999</v>
      </c>
    </row>
    <row r="89" spans="1:7" x14ac:dyDescent="0.2">
      <c r="A89" s="1" t="s">
        <v>146</v>
      </c>
      <c r="B89" t="s">
        <v>576</v>
      </c>
      <c r="C89">
        <v>3.3266056010243998</v>
      </c>
      <c r="D89">
        <v>0</v>
      </c>
      <c r="E89">
        <v>0</v>
      </c>
      <c r="F89" t="str">
        <f>"78/125"</f>
        <v>78/125</v>
      </c>
      <c r="G89" s="10">
        <v>0.38300000000000001</v>
      </c>
    </row>
    <row r="90" spans="1:7" x14ac:dyDescent="0.2">
      <c r="A90" s="1" t="s">
        <v>146</v>
      </c>
      <c r="B90" t="s">
        <v>184</v>
      </c>
      <c r="C90">
        <v>3.31525964859952</v>
      </c>
      <c r="D90">
        <v>0</v>
      </c>
      <c r="E90">
        <v>0</v>
      </c>
      <c r="F90" t="str">
        <f>"53/68"</f>
        <v>53/68</v>
      </c>
      <c r="G90" s="10">
        <v>0.45989999999999998</v>
      </c>
    </row>
    <row r="91" spans="1:7" x14ac:dyDescent="0.2">
      <c r="A91" s="1" t="s">
        <v>146</v>
      </c>
      <c r="B91" t="s">
        <v>577</v>
      </c>
      <c r="C91">
        <v>3.2997782989320101</v>
      </c>
      <c r="D91">
        <v>0</v>
      </c>
      <c r="E91">
        <v>0</v>
      </c>
      <c r="F91" t="str">
        <f>"103/203"</f>
        <v>103/203</v>
      </c>
      <c r="G91" s="10">
        <v>0.30030000000000001</v>
      </c>
    </row>
    <row r="92" spans="1:7" x14ac:dyDescent="0.2">
      <c r="A92" s="1" t="s">
        <v>146</v>
      </c>
      <c r="B92" t="s">
        <v>578</v>
      </c>
      <c r="C92">
        <v>3.2945428324169899</v>
      </c>
      <c r="D92">
        <v>0</v>
      </c>
      <c r="E92">
        <v>0</v>
      </c>
      <c r="F92" t="str">
        <f>"182/189"</f>
        <v>182/189</v>
      </c>
      <c r="G92" s="10">
        <v>0.75590000000000002</v>
      </c>
    </row>
    <row r="93" spans="1:7" x14ac:dyDescent="0.2">
      <c r="A93" s="1" t="s">
        <v>146</v>
      </c>
      <c r="B93" t="s">
        <v>579</v>
      </c>
      <c r="C93">
        <v>3.2867455417553701</v>
      </c>
      <c r="D93">
        <v>0</v>
      </c>
      <c r="E93">
        <v>0</v>
      </c>
      <c r="F93" t="str">
        <f>"29/49"</f>
        <v>29/49</v>
      </c>
      <c r="G93" s="10">
        <v>0.1996</v>
      </c>
    </row>
    <row r="94" spans="1:7" x14ac:dyDescent="0.2">
      <c r="A94" s="1" t="s">
        <v>146</v>
      </c>
      <c r="B94" t="s">
        <v>580</v>
      </c>
      <c r="C94">
        <v>-3.2788037057747998</v>
      </c>
      <c r="D94">
        <v>0</v>
      </c>
      <c r="E94">
        <v>0</v>
      </c>
      <c r="F94" t="str">
        <f>"74/151"</f>
        <v>74/151</v>
      </c>
      <c r="G94" s="10">
        <v>0.26790000000000003</v>
      </c>
    </row>
    <row r="95" spans="1:7" x14ac:dyDescent="0.2">
      <c r="A95" s="1" t="s">
        <v>146</v>
      </c>
      <c r="B95" t="s">
        <v>38</v>
      </c>
      <c r="C95">
        <v>3.2703274454579598</v>
      </c>
      <c r="D95">
        <v>0</v>
      </c>
      <c r="E95">
        <v>0</v>
      </c>
      <c r="F95" t="str">
        <f>"41/55"</f>
        <v>41/55</v>
      </c>
      <c r="G95" s="10">
        <v>0.35870000000000002</v>
      </c>
    </row>
    <row r="96" spans="1:7" x14ac:dyDescent="0.2">
      <c r="A96" s="1" t="s">
        <v>146</v>
      </c>
      <c r="B96" t="s">
        <v>581</v>
      </c>
      <c r="C96">
        <v>3.2701666077498301</v>
      </c>
      <c r="D96">
        <v>0</v>
      </c>
      <c r="E96">
        <v>0</v>
      </c>
      <c r="F96" t="str">
        <f>"18/25"</f>
        <v>18/25</v>
      </c>
      <c r="G96" s="10">
        <v>0.19350000000000001</v>
      </c>
    </row>
    <row r="97" spans="1:7" x14ac:dyDescent="0.2">
      <c r="A97" s="1" t="s">
        <v>146</v>
      </c>
      <c r="B97" t="s">
        <v>582</v>
      </c>
      <c r="C97">
        <v>-3.2680996015936801</v>
      </c>
      <c r="D97">
        <v>0</v>
      </c>
      <c r="E97">
        <v>0</v>
      </c>
      <c r="F97" t="str">
        <f>"38/42"</f>
        <v>38/42</v>
      </c>
      <c r="G97" s="10">
        <v>0.50249999999999995</v>
      </c>
    </row>
    <row r="98" spans="1:7" x14ac:dyDescent="0.2">
      <c r="A98" s="1" t="s">
        <v>146</v>
      </c>
      <c r="B98" t="s">
        <v>317</v>
      </c>
      <c r="C98">
        <v>-3.2647857932835498</v>
      </c>
      <c r="D98">
        <v>0</v>
      </c>
      <c r="E98">
        <v>0</v>
      </c>
      <c r="F98" t="str">
        <f>"35/44"</f>
        <v>35/44</v>
      </c>
      <c r="G98" s="10">
        <v>0.4118</v>
      </c>
    </row>
    <row r="99" spans="1:7" x14ac:dyDescent="0.2">
      <c r="A99" s="1" t="s">
        <v>146</v>
      </c>
      <c r="B99" t="s">
        <v>583</v>
      </c>
      <c r="C99">
        <v>-3.2499619200960299</v>
      </c>
      <c r="D99">
        <v>0</v>
      </c>
      <c r="E99">
        <v>0</v>
      </c>
      <c r="F99" t="str">
        <f>"24/35"</f>
        <v>24/35</v>
      </c>
      <c r="G99" s="10">
        <v>0.2263</v>
      </c>
    </row>
    <row r="100" spans="1:7" x14ac:dyDescent="0.2">
      <c r="A100" s="1" t="s">
        <v>146</v>
      </c>
      <c r="B100" t="s">
        <v>41</v>
      </c>
      <c r="C100">
        <v>3.24288099861442</v>
      </c>
      <c r="D100">
        <v>0</v>
      </c>
      <c r="E100">
        <v>0</v>
      </c>
      <c r="F100" t="str">
        <f>"123/280"</f>
        <v>123/280</v>
      </c>
      <c r="G100" s="10">
        <v>0.27960000000000002</v>
      </c>
    </row>
    <row r="101" spans="1:7" x14ac:dyDescent="0.2">
      <c r="A101" s="1" t="s">
        <v>146</v>
      </c>
      <c r="B101" t="s">
        <v>584</v>
      </c>
      <c r="C101">
        <v>3.2366836099911902</v>
      </c>
      <c r="D101">
        <v>0</v>
      </c>
      <c r="E101">
        <v>0</v>
      </c>
      <c r="F101" t="str">
        <f>"91/106"</f>
        <v>91/106</v>
      </c>
      <c r="G101" s="10">
        <v>0.58860000000000001</v>
      </c>
    </row>
    <row r="102" spans="1:7" x14ac:dyDescent="0.2">
      <c r="A102" s="1" t="s">
        <v>146</v>
      </c>
      <c r="B102" t="s">
        <v>585</v>
      </c>
      <c r="C102">
        <v>3.2344525634247301</v>
      </c>
      <c r="D102">
        <v>0</v>
      </c>
      <c r="E102">
        <v>0</v>
      </c>
      <c r="F102" t="str">
        <f>"83/100"</f>
        <v>83/100</v>
      </c>
      <c r="G102" s="10">
        <v>0.5343</v>
      </c>
    </row>
    <row r="103" spans="1:7" x14ac:dyDescent="0.2">
      <c r="A103" s="1" t="s">
        <v>146</v>
      </c>
      <c r="B103" t="s">
        <v>308</v>
      </c>
      <c r="C103">
        <v>-3.2337597730269598</v>
      </c>
      <c r="D103">
        <v>0</v>
      </c>
      <c r="E103">
        <v>0</v>
      </c>
      <c r="F103" t="str">
        <f>"23/27"</f>
        <v>23/27</v>
      </c>
      <c r="G103" s="10">
        <v>0.34350000000000003</v>
      </c>
    </row>
    <row r="104" spans="1:7" x14ac:dyDescent="0.2">
      <c r="A104" s="1" t="s">
        <v>146</v>
      </c>
      <c r="B104" t="s">
        <v>586</v>
      </c>
      <c r="C104">
        <v>3.2281521346269502</v>
      </c>
      <c r="D104">
        <v>0</v>
      </c>
      <c r="E104">
        <v>0</v>
      </c>
      <c r="F104" t="str">
        <f>"87/92"</f>
        <v>87/92</v>
      </c>
      <c r="G104" s="10">
        <v>0.65490000000000004</v>
      </c>
    </row>
    <row r="105" spans="1:7" x14ac:dyDescent="0.2">
      <c r="A105" s="1" t="s">
        <v>146</v>
      </c>
      <c r="B105" t="s">
        <v>587</v>
      </c>
      <c r="C105">
        <v>3.2164139942131902</v>
      </c>
      <c r="D105">
        <v>0</v>
      </c>
      <c r="E105">
        <v>0</v>
      </c>
      <c r="F105" t="str">
        <f>"131/141"</f>
        <v>131/141</v>
      </c>
      <c r="G105" s="10">
        <v>0.70109999999999995</v>
      </c>
    </row>
    <row r="106" spans="1:7" x14ac:dyDescent="0.2">
      <c r="A106" s="1" t="s">
        <v>146</v>
      </c>
      <c r="B106" t="s">
        <v>588</v>
      </c>
      <c r="C106">
        <v>3.1977690130614902</v>
      </c>
      <c r="D106">
        <v>0</v>
      </c>
      <c r="E106">
        <v>0</v>
      </c>
      <c r="F106" t="str">
        <f>"60/71"</f>
        <v>60/71</v>
      </c>
      <c r="G106" s="10">
        <v>0.53110000000000002</v>
      </c>
    </row>
    <row r="107" spans="1:7" x14ac:dyDescent="0.2">
      <c r="A107" s="1" t="s">
        <v>146</v>
      </c>
      <c r="B107" t="s">
        <v>589</v>
      </c>
      <c r="C107">
        <v>-3.1839208672589701</v>
      </c>
      <c r="D107">
        <v>0</v>
      </c>
      <c r="E107">
        <v>0</v>
      </c>
      <c r="F107" t="str">
        <f>"36/51"</f>
        <v>36/51</v>
      </c>
      <c r="G107" s="10">
        <v>0.38190000000000002</v>
      </c>
    </row>
    <row r="108" spans="1:7" x14ac:dyDescent="0.2">
      <c r="A108" s="1" t="s">
        <v>146</v>
      </c>
      <c r="B108" t="s">
        <v>590</v>
      </c>
      <c r="C108">
        <v>3.18279927227228</v>
      </c>
      <c r="D108">
        <v>0</v>
      </c>
      <c r="E108">
        <v>0</v>
      </c>
      <c r="F108" t="str">
        <f>"53/124"</f>
        <v>53/124</v>
      </c>
      <c r="G108" s="10">
        <v>0.19209999999999999</v>
      </c>
    </row>
    <row r="109" spans="1:7" x14ac:dyDescent="0.2">
      <c r="A109" s="1" t="s">
        <v>146</v>
      </c>
      <c r="B109" t="s">
        <v>242</v>
      </c>
      <c r="C109">
        <v>3.1770888131504198</v>
      </c>
      <c r="D109">
        <v>0</v>
      </c>
      <c r="E109">
        <v>0</v>
      </c>
      <c r="F109" t="str">
        <f>"24/36"</f>
        <v>24/36</v>
      </c>
      <c r="G109" s="10">
        <v>0.19350000000000001</v>
      </c>
    </row>
    <row r="110" spans="1:7" x14ac:dyDescent="0.2">
      <c r="A110" s="1" t="s">
        <v>146</v>
      </c>
      <c r="B110" t="s">
        <v>34</v>
      </c>
      <c r="C110">
        <v>3.17492401813421</v>
      </c>
      <c r="D110">
        <v>0</v>
      </c>
      <c r="E110">
        <v>0</v>
      </c>
      <c r="F110" t="str">
        <f>"69/180"</f>
        <v>69/180</v>
      </c>
      <c r="G110" s="10">
        <v>0.19500000000000001</v>
      </c>
    </row>
    <row r="111" spans="1:7" x14ac:dyDescent="0.2">
      <c r="A111" s="1" t="s">
        <v>146</v>
      </c>
      <c r="B111" t="s">
        <v>591</v>
      </c>
      <c r="C111">
        <v>3.1704317784140401</v>
      </c>
      <c r="D111">
        <v>0</v>
      </c>
      <c r="E111">
        <v>0</v>
      </c>
      <c r="F111" t="str">
        <f>"16/17"</f>
        <v>16/17</v>
      </c>
      <c r="G111" s="10">
        <v>0.2838</v>
      </c>
    </row>
    <row r="112" spans="1:7" x14ac:dyDescent="0.2">
      <c r="A112" s="1" t="s">
        <v>146</v>
      </c>
      <c r="B112" t="s">
        <v>592</v>
      </c>
      <c r="C112">
        <v>-3.1603835008344601</v>
      </c>
      <c r="D112">
        <v>0</v>
      </c>
      <c r="E112">
        <v>0</v>
      </c>
      <c r="F112" t="str">
        <f>"73/157"</f>
        <v>73/157</v>
      </c>
      <c r="G112" s="10">
        <v>0.2505</v>
      </c>
    </row>
    <row r="113" spans="1:7" x14ac:dyDescent="0.2">
      <c r="A113" s="1" t="s">
        <v>146</v>
      </c>
      <c r="B113" t="s">
        <v>593</v>
      </c>
      <c r="C113">
        <v>-3.1596079382180999</v>
      </c>
      <c r="D113">
        <v>0</v>
      </c>
      <c r="E113">
        <v>0</v>
      </c>
      <c r="F113" t="str">
        <f>"92/94"</f>
        <v>92/94</v>
      </c>
      <c r="G113" s="10">
        <v>0.69340000000000002</v>
      </c>
    </row>
    <row r="114" spans="1:7" x14ac:dyDescent="0.2">
      <c r="A114" s="1" t="s">
        <v>146</v>
      </c>
      <c r="B114" t="s">
        <v>594</v>
      </c>
      <c r="C114">
        <v>3.1513124470003002</v>
      </c>
      <c r="D114">
        <v>0</v>
      </c>
      <c r="E114">
        <v>0</v>
      </c>
      <c r="F114" t="str">
        <f>"288/331"</f>
        <v>288/331</v>
      </c>
      <c r="G114" s="10">
        <v>0.72789999999999999</v>
      </c>
    </row>
    <row r="115" spans="1:7" x14ac:dyDescent="0.2">
      <c r="A115" s="1" t="s">
        <v>146</v>
      </c>
      <c r="B115" t="s">
        <v>595</v>
      </c>
      <c r="C115">
        <v>-3.1396692277012899</v>
      </c>
      <c r="D115">
        <v>0</v>
      </c>
      <c r="E115">
        <v>0</v>
      </c>
      <c r="F115" t="str">
        <f>"38/49"</f>
        <v>38/49</v>
      </c>
      <c r="G115" s="10">
        <v>0.39779999999999999</v>
      </c>
    </row>
    <row r="116" spans="1:7" x14ac:dyDescent="0.2">
      <c r="A116" s="1" t="s">
        <v>146</v>
      </c>
      <c r="B116" t="s">
        <v>596</v>
      </c>
      <c r="C116">
        <v>3.1371670667459801</v>
      </c>
      <c r="D116">
        <v>0</v>
      </c>
      <c r="E116">
        <v>0</v>
      </c>
      <c r="F116" t="str">
        <f>"152/156"</f>
        <v>152/156</v>
      </c>
      <c r="G116" s="10">
        <v>0.74650000000000005</v>
      </c>
    </row>
    <row r="117" spans="1:7" x14ac:dyDescent="0.2">
      <c r="A117" s="1" t="s">
        <v>146</v>
      </c>
      <c r="B117" t="s">
        <v>597</v>
      </c>
      <c r="C117">
        <v>-3.1358483223957601</v>
      </c>
      <c r="D117">
        <v>0</v>
      </c>
      <c r="E117">
        <v>0</v>
      </c>
      <c r="F117" t="str">
        <f>"29/40"</f>
        <v>29/40</v>
      </c>
      <c r="G117" s="10">
        <v>0.28570000000000001</v>
      </c>
    </row>
    <row r="118" spans="1:7" x14ac:dyDescent="0.2">
      <c r="A118" s="1" t="s">
        <v>146</v>
      </c>
      <c r="B118" t="s">
        <v>598</v>
      </c>
      <c r="C118">
        <v>-3.1272230919628998</v>
      </c>
      <c r="D118">
        <v>0</v>
      </c>
      <c r="E118">
        <v>0</v>
      </c>
      <c r="F118" t="str">
        <f>"36/56"</f>
        <v>36/56</v>
      </c>
      <c r="G118" s="10">
        <v>0.25679999999999997</v>
      </c>
    </row>
    <row r="119" spans="1:7" x14ac:dyDescent="0.2">
      <c r="A119" s="1" t="s">
        <v>146</v>
      </c>
      <c r="B119" t="s">
        <v>599</v>
      </c>
      <c r="C119">
        <v>3.1233015901480199</v>
      </c>
      <c r="D119">
        <v>0</v>
      </c>
      <c r="E119">
        <v>0</v>
      </c>
      <c r="F119" t="str">
        <f>"139/149"</f>
        <v>139/149</v>
      </c>
      <c r="G119" s="10">
        <v>0.71889999999999998</v>
      </c>
    </row>
    <row r="120" spans="1:7" x14ac:dyDescent="0.2">
      <c r="A120" s="1" t="s">
        <v>146</v>
      </c>
      <c r="B120" t="s">
        <v>600</v>
      </c>
      <c r="C120">
        <v>3.0830350034821001</v>
      </c>
      <c r="D120">
        <v>0</v>
      </c>
      <c r="E120">
        <v>0</v>
      </c>
      <c r="F120" t="str">
        <f>"67/79"</f>
        <v>67/79</v>
      </c>
      <c r="G120" s="10">
        <v>0.55969999999999998</v>
      </c>
    </row>
    <row r="121" spans="1:7" x14ac:dyDescent="0.2">
      <c r="A121" s="1" t="s">
        <v>146</v>
      </c>
      <c r="B121" t="s">
        <v>601</v>
      </c>
      <c r="C121">
        <v>3.0736508373340699</v>
      </c>
      <c r="D121">
        <v>0</v>
      </c>
      <c r="E121">
        <v>0</v>
      </c>
      <c r="F121" t="str">
        <f>"32/47"</f>
        <v>32/47</v>
      </c>
      <c r="G121" s="10">
        <v>0.2954</v>
      </c>
    </row>
    <row r="122" spans="1:7" x14ac:dyDescent="0.2">
      <c r="A122" s="1" t="s">
        <v>146</v>
      </c>
      <c r="B122" t="s">
        <v>602</v>
      </c>
      <c r="C122">
        <v>-3.0695627436031501</v>
      </c>
      <c r="D122">
        <v>0</v>
      </c>
      <c r="E122">
        <v>0</v>
      </c>
      <c r="F122" t="str">
        <f>"66/104"</f>
        <v>66/104</v>
      </c>
      <c r="G122" s="10">
        <v>0.372</v>
      </c>
    </row>
    <row r="123" spans="1:7" x14ac:dyDescent="0.2">
      <c r="A123" s="1" t="s">
        <v>146</v>
      </c>
      <c r="B123" t="s">
        <v>28</v>
      </c>
      <c r="C123">
        <v>3.0588058222303198</v>
      </c>
      <c r="D123">
        <v>0</v>
      </c>
      <c r="E123">
        <v>0</v>
      </c>
      <c r="F123" t="str">
        <f>"33/59"</f>
        <v>33/59</v>
      </c>
      <c r="G123" s="10">
        <v>0.20780000000000001</v>
      </c>
    </row>
    <row r="124" spans="1:7" x14ac:dyDescent="0.2">
      <c r="A124" s="1" t="s">
        <v>146</v>
      </c>
      <c r="B124" t="s">
        <v>603</v>
      </c>
      <c r="C124">
        <v>3.0580547862994099</v>
      </c>
      <c r="D124">
        <v>0</v>
      </c>
      <c r="E124">
        <v>0</v>
      </c>
      <c r="F124" t="str">
        <f>"17/23"</f>
        <v>17/23</v>
      </c>
      <c r="G124" s="10">
        <v>0.1983</v>
      </c>
    </row>
    <row r="125" spans="1:7" x14ac:dyDescent="0.2">
      <c r="A125" s="1" t="s">
        <v>146</v>
      </c>
      <c r="B125" t="s">
        <v>604</v>
      </c>
      <c r="C125">
        <v>3.0578804267607902</v>
      </c>
      <c r="D125">
        <v>0</v>
      </c>
      <c r="E125">
        <v>0</v>
      </c>
      <c r="F125" t="str">
        <f>"89/96"</f>
        <v>89/96</v>
      </c>
      <c r="G125" s="10">
        <v>0.65490000000000004</v>
      </c>
    </row>
    <row r="126" spans="1:7" x14ac:dyDescent="0.2">
      <c r="A126" s="1" t="s">
        <v>146</v>
      </c>
      <c r="B126" t="s">
        <v>605</v>
      </c>
      <c r="C126">
        <v>3.0554801767007298</v>
      </c>
      <c r="D126">
        <v>0</v>
      </c>
      <c r="E126">
        <v>0</v>
      </c>
      <c r="F126" t="str">
        <f>"176/241"</f>
        <v>176/241</v>
      </c>
      <c r="G126" s="10">
        <v>0.57320000000000004</v>
      </c>
    </row>
    <row r="127" spans="1:7" x14ac:dyDescent="0.2">
      <c r="A127" s="1" t="s">
        <v>146</v>
      </c>
      <c r="B127" t="s">
        <v>606</v>
      </c>
      <c r="C127">
        <v>3.0483057891415601</v>
      </c>
      <c r="D127">
        <v>0</v>
      </c>
      <c r="E127">
        <v>0</v>
      </c>
      <c r="F127" t="str">
        <f>"102/149"</f>
        <v>102/149</v>
      </c>
      <c r="G127" s="10">
        <v>0.4783</v>
      </c>
    </row>
    <row r="128" spans="1:7" x14ac:dyDescent="0.2">
      <c r="A128" s="1" t="s">
        <v>146</v>
      </c>
      <c r="B128" t="s">
        <v>607</v>
      </c>
      <c r="C128">
        <v>3.0469253977780899</v>
      </c>
      <c r="D128">
        <v>0</v>
      </c>
      <c r="E128">
        <v>0</v>
      </c>
      <c r="F128" t="str">
        <f>"20/41"</f>
        <v>20/41</v>
      </c>
      <c r="G128" s="10">
        <v>0.1193</v>
      </c>
    </row>
    <row r="129" spans="1:7" x14ac:dyDescent="0.2">
      <c r="A129" s="1" t="s">
        <v>146</v>
      </c>
      <c r="B129" t="s">
        <v>608</v>
      </c>
      <c r="C129">
        <v>-3.0356114524506199</v>
      </c>
      <c r="D129">
        <v>0</v>
      </c>
      <c r="E129">
        <v>0</v>
      </c>
      <c r="F129" t="str">
        <f>"39/53"</f>
        <v>39/53</v>
      </c>
      <c r="G129" s="10">
        <v>0.37390000000000001</v>
      </c>
    </row>
    <row r="130" spans="1:7" x14ac:dyDescent="0.2">
      <c r="A130" s="1" t="s">
        <v>146</v>
      </c>
      <c r="B130" t="s">
        <v>609</v>
      </c>
      <c r="C130">
        <v>3.0304631838871701</v>
      </c>
      <c r="D130">
        <v>0</v>
      </c>
      <c r="E130">
        <v>0</v>
      </c>
      <c r="F130" t="str">
        <f>"50/61"</f>
        <v>50/61</v>
      </c>
      <c r="G130" s="10">
        <v>0.50549999999999995</v>
      </c>
    </row>
    <row r="131" spans="1:7" x14ac:dyDescent="0.2">
      <c r="A131" s="1" t="s">
        <v>146</v>
      </c>
      <c r="B131" t="s">
        <v>610</v>
      </c>
      <c r="C131">
        <v>3.0094504526660399</v>
      </c>
      <c r="D131">
        <v>0</v>
      </c>
      <c r="E131">
        <v>0</v>
      </c>
      <c r="F131" t="str">
        <f>"18/25"</f>
        <v>18/25</v>
      </c>
      <c r="G131" s="10">
        <v>0.18229999999999999</v>
      </c>
    </row>
    <row r="132" spans="1:7" x14ac:dyDescent="0.2">
      <c r="A132" s="1" t="s">
        <v>146</v>
      </c>
      <c r="B132" t="s">
        <v>282</v>
      </c>
      <c r="C132">
        <v>3.0089843919846202</v>
      </c>
      <c r="D132">
        <v>0</v>
      </c>
      <c r="E132">
        <v>0</v>
      </c>
      <c r="F132" t="str">
        <f>"79/108"</f>
        <v>79/108</v>
      </c>
      <c r="G132" s="10">
        <v>0.4753</v>
      </c>
    </row>
    <row r="133" spans="1:7" x14ac:dyDescent="0.2">
      <c r="A133" s="1" t="s">
        <v>146</v>
      </c>
      <c r="B133" t="s">
        <v>611</v>
      </c>
      <c r="C133">
        <v>-3.0071630571630799</v>
      </c>
      <c r="D133">
        <v>0</v>
      </c>
      <c r="E133">
        <v>0</v>
      </c>
      <c r="F133" t="str">
        <f>"16/19"</f>
        <v>16/19</v>
      </c>
      <c r="G133" s="10">
        <v>0.29449999999999998</v>
      </c>
    </row>
    <row r="134" spans="1:7" x14ac:dyDescent="0.2">
      <c r="A134" s="1" t="s">
        <v>146</v>
      </c>
      <c r="B134" t="s">
        <v>612</v>
      </c>
      <c r="C134">
        <v>3.0035445177081099</v>
      </c>
      <c r="D134">
        <v>0</v>
      </c>
      <c r="E134">
        <v>0</v>
      </c>
      <c r="F134" t="str">
        <f>"23/32"</f>
        <v>23/32</v>
      </c>
      <c r="G134" s="10">
        <v>0.25330000000000003</v>
      </c>
    </row>
    <row r="135" spans="1:7" x14ac:dyDescent="0.2">
      <c r="A135" s="1" t="s">
        <v>146</v>
      </c>
      <c r="B135" t="s">
        <v>613</v>
      </c>
      <c r="C135">
        <v>-2.9933480809389499</v>
      </c>
      <c r="D135">
        <v>0</v>
      </c>
      <c r="E135">
        <v>0</v>
      </c>
      <c r="F135" t="str">
        <f>"14/16"</f>
        <v>14/16</v>
      </c>
      <c r="G135" s="10">
        <v>0.29470000000000002</v>
      </c>
    </row>
    <row r="136" spans="1:7" x14ac:dyDescent="0.2">
      <c r="A136" s="1" t="s">
        <v>146</v>
      </c>
      <c r="B136" t="s">
        <v>614</v>
      </c>
      <c r="C136">
        <v>-2.9932947235783902</v>
      </c>
      <c r="D136">
        <v>0</v>
      </c>
      <c r="E136">
        <v>0</v>
      </c>
      <c r="F136" t="str">
        <f>"28/36"</f>
        <v>28/36</v>
      </c>
      <c r="G136" s="10">
        <v>0.35780000000000001</v>
      </c>
    </row>
    <row r="137" spans="1:7" x14ac:dyDescent="0.2">
      <c r="A137" s="1" t="s">
        <v>146</v>
      </c>
      <c r="B137" t="s">
        <v>615</v>
      </c>
      <c r="C137">
        <v>2.9823676628028601</v>
      </c>
      <c r="D137">
        <v>0</v>
      </c>
      <c r="E137">
        <v>0</v>
      </c>
      <c r="F137" t="str">
        <f>"17/27"</f>
        <v>17/27</v>
      </c>
      <c r="G137" s="10">
        <v>0.19350000000000001</v>
      </c>
    </row>
    <row r="138" spans="1:7" x14ac:dyDescent="0.2">
      <c r="A138" s="1" t="s">
        <v>146</v>
      </c>
      <c r="B138" t="s">
        <v>616</v>
      </c>
      <c r="C138">
        <v>-2.9821711660372898</v>
      </c>
      <c r="D138">
        <v>0</v>
      </c>
      <c r="E138">
        <v>0</v>
      </c>
      <c r="F138" t="str">
        <f>"119/214"</f>
        <v>119/214</v>
      </c>
      <c r="G138" s="10">
        <v>0.38190000000000002</v>
      </c>
    </row>
    <row r="139" spans="1:7" x14ac:dyDescent="0.2">
      <c r="A139" s="1" t="s">
        <v>146</v>
      </c>
      <c r="B139" t="s">
        <v>617</v>
      </c>
      <c r="C139">
        <v>2.9716198444114998</v>
      </c>
      <c r="D139">
        <v>0</v>
      </c>
      <c r="E139">
        <v>0</v>
      </c>
      <c r="F139" t="str">
        <f>"142/161"</f>
        <v>142/161</v>
      </c>
      <c r="G139" s="10">
        <v>0.67949999999999999</v>
      </c>
    </row>
    <row r="140" spans="1:7" x14ac:dyDescent="0.2">
      <c r="A140" s="1" t="s">
        <v>146</v>
      </c>
      <c r="B140" t="s">
        <v>618</v>
      </c>
      <c r="C140">
        <v>2.9630275972886801</v>
      </c>
      <c r="D140">
        <v>0</v>
      </c>
      <c r="E140">
        <v>0</v>
      </c>
      <c r="F140" t="str">
        <f>"405/449"</f>
        <v>405/449</v>
      </c>
      <c r="G140" s="10">
        <v>0.77969999999999995</v>
      </c>
    </row>
    <row r="141" spans="1:7" x14ac:dyDescent="0.2">
      <c r="A141" s="1" t="s">
        <v>146</v>
      </c>
      <c r="B141" t="s">
        <v>619</v>
      </c>
      <c r="C141">
        <v>2.9615378096050899</v>
      </c>
      <c r="D141">
        <v>0</v>
      </c>
      <c r="E141">
        <v>0</v>
      </c>
      <c r="F141" t="str">
        <f>"24/46"</f>
        <v>24/46</v>
      </c>
      <c r="G141" s="10">
        <v>0.13930000000000001</v>
      </c>
    </row>
    <row r="142" spans="1:7" x14ac:dyDescent="0.2">
      <c r="A142" s="1" t="s">
        <v>146</v>
      </c>
      <c r="B142" t="s">
        <v>620</v>
      </c>
      <c r="C142">
        <v>-2.96084638985386</v>
      </c>
      <c r="D142">
        <v>0</v>
      </c>
      <c r="E142">
        <v>0</v>
      </c>
      <c r="F142" t="str">
        <f>"28/62"</f>
        <v>28/62</v>
      </c>
      <c r="G142" s="10">
        <v>0.13009999999999999</v>
      </c>
    </row>
    <row r="143" spans="1:7" x14ac:dyDescent="0.2">
      <c r="A143" s="1" t="s">
        <v>146</v>
      </c>
      <c r="B143" t="s">
        <v>621</v>
      </c>
      <c r="C143">
        <v>2.9584629548298902</v>
      </c>
      <c r="D143">
        <v>0</v>
      </c>
      <c r="E143">
        <v>0</v>
      </c>
      <c r="F143" t="str">
        <f>"27/61"</f>
        <v>27/61</v>
      </c>
      <c r="G143" s="10">
        <v>0.13569999999999999</v>
      </c>
    </row>
    <row r="144" spans="1:7" x14ac:dyDescent="0.2">
      <c r="A144" s="1" t="s">
        <v>146</v>
      </c>
      <c r="B144" t="s">
        <v>622</v>
      </c>
      <c r="C144">
        <v>2.95621615628469</v>
      </c>
      <c r="D144">
        <v>0</v>
      </c>
      <c r="E144">
        <v>0</v>
      </c>
      <c r="F144" t="str">
        <f>"268/300"</f>
        <v>268/300</v>
      </c>
      <c r="G144" s="10">
        <v>0.74950000000000006</v>
      </c>
    </row>
    <row r="145" spans="1:7" x14ac:dyDescent="0.2">
      <c r="A145" s="1" t="s">
        <v>146</v>
      </c>
      <c r="B145" t="s">
        <v>623</v>
      </c>
      <c r="C145">
        <v>2.94903481973396</v>
      </c>
      <c r="D145">
        <v>0</v>
      </c>
      <c r="E145">
        <v>0</v>
      </c>
      <c r="F145" t="str">
        <f>"74/86"</f>
        <v>74/86</v>
      </c>
      <c r="G145" s="10">
        <v>0.57920000000000005</v>
      </c>
    </row>
    <row r="146" spans="1:7" x14ac:dyDescent="0.2">
      <c r="A146" s="1" t="s">
        <v>146</v>
      </c>
      <c r="B146" t="s">
        <v>26</v>
      </c>
      <c r="C146">
        <v>2.9481797645862202</v>
      </c>
      <c r="D146">
        <v>0</v>
      </c>
      <c r="E146">
        <v>0</v>
      </c>
      <c r="F146" t="str">
        <f>"15/22"</f>
        <v>15/22</v>
      </c>
      <c r="G146" s="10">
        <v>0.18029999999999999</v>
      </c>
    </row>
    <row r="147" spans="1:7" x14ac:dyDescent="0.2">
      <c r="A147" s="1" t="s">
        <v>146</v>
      </c>
      <c r="B147" t="s">
        <v>624</v>
      </c>
      <c r="C147">
        <v>-2.9405689409617599</v>
      </c>
      <c r="D147">
        <v>0</v>
      </c>
      <c r="E147">
        <v>0</v>
      </c>
      <c r="F147" t="str">
        <f>"65/101"</f>
        <v>65/101</v>
      </c>
      <c r="G147" s="10">
        <v>0.38319999999999999</v>
      </c>
    </row>
    <row r="148" spans="1:7" x14ac:dyDescent="0.2">
      <c r="A148" s="1" t="s">
        <v>146</v>
      </c>
      <c r="B148" t="s">
        <v>625</v>
      </c>
      <c r="C148">
        <v>2.9348492807928501</v>
      </c>
      <c r="D148">
        <v>0</v>
      </c>
      <c r="E148">
        <v>0</v>
      </c>
      <c r="F148" t="str">
        <f>"302/349"</f>
        <v>302/349</v>
      </c>
      <c r="G148" s="10">
        <v>0.73060000000000003</v>
      </c>
    </row>
    <row r="149" spans="1:7" x14ac:dyDescent="0.2">
      <c r="A149" s="1" t="s">
        <v>146</v>
      </c>
      <c r="B149" t="s">
        <v>626</v>
      </c>
      <c r="C149">
        <v>2.93235397613799</v>
      </c>
      <c r="D149">
        <v>0</v>
      </c>
      <c r="E149">
        <v>0</v>
      </c>
      <c r="F149" t="str">
        <f>"81/97"</f>
        <v>81/97</v>
      </c>
      <c r="G149" s="10">
        <v>0.56630000000000003</v>
      </c>
    </row>
    <row r="150" spans="1:7" x14ac:dyDescent="0.2">
      <c r="A150" s="1" t="s">
        <v>146</v>
      </c>
      <c r="B150" t="s">
        <v>627</v>
      </c>
      <c r="C150">
        <v>2.93235397613799</v>
      </c>
      <c r="D150">
        <v>0</v>
      </c>
      <c r="E150">
        <v>0</v>
      </c>
      <c r="F150" t="str">
        <f>"81/97"</f>
        <v>81/97</v>
      </c>
      <c r="G150" s="10">
        <v>0.56630000000000003</v>
      </c>
    </row>
    <row r="151" spans="1:7" x14ac:dyDescent="0.2">
      <c r="A151" s="1" t="s">
        <v>146</v>
      </c>
      <c r="B151" t="s">
        <v>628</v>
      </c>
      <c r="C151">
        <v>2.9224174619228198</v>
      </c>
      <c r="D151">
        <v>0</v>
      </c>
      <c r="E151">
        <v>0</v>
      </c>
      <c r="F151" t="str">
        <f>"83/107"</f>
        <v>83/107</v>
      </c>
      <c r="G151" s="10">
        <v>0.52239999999999998</v>
      </c>
    </row>
    <row r="152" spans="1:7" x14ac:dyDescent="0.2">
      <c r="A152" s="1" t="s">
        <v>146</v>
      </c>
      <c r="B152" t="s">
        <v>629</v>
      </c>
      <c r="C152">
        <v>2.91585478215698</v>
      </c>
      <c r="D152">
        <v>0</v>
      </c>
      <c r="E152">
        <v>0</v>
      </c>
      <c r="F152" t="str">
        <f>"172/230"</f>
        <v>172/230</v>
      </c>
      <c r="G152" s="10">
        <v>0.59260000000000002</v>
      </c>
    </row>
    <row r="153" spans="1:7" x14ac:dyDescent="0.2">
      <c r="A153" s="1" t="s">
        <v>146</v>
      </c>
      <c r="B153" t="s">
        <v>312</v>
      </c>
      <c r="C153">
        <v>-2.91518220010254</v>
      </c>
      <c r="D153">
        <v>0</v>
      </c>
      <c r="E153">
        <v>0</v>
      </c>
      <c r="F153" t="str">
        <f>"22/32"</f>
        <v>22/32</v>
      </c>
      <c r="G153" s="10">
        <v>0.2402</v>
      </c>
    </row>
    <row r="154" spans="1:7" x14ac:dyDescent="0.2">
      <c r="A154" s="1" t="s">
        <v>146</v>
      </c>
      <c r="B154" t="s">
        <v>630</v>
      </c>
      <c r="C154">
        <v>-2.9092044797140502</v>
      </c>
      <c r="D154">
        <v>0</v>
      </c>
      <c r="E154">
        <v>0</v>
      </c>
      <c r="F154" t="str">
        <f>"34/49"</f>
        <v>34/49</v>
      </c>
      <c r="G154" s="10">
        <v>0.36130000000000001</v>
      </c>
    </row>
    <row r="155" spans="1:7" x14ac:dyDescent="0.2">
      <c r="A155" s="1" t="s">
        <v>146</v>
      </c>
      <c r="B155" t="s">
        <v>631</v>
      </c>
      <c r="C155">
        <v>2.9073286627641601</v>
      </c>
      <c r="D155">
        <v>0</v>
      </c>
      <c r="E155">
        <v>0</v>
      </c>
      <c r="F155" t="str">
        <f>"103/116"</f>
        <v>103/116</v>
      </c>
      <c r="G155" s="10">
        <v>0.67979999999999996</v>
      </c>
    </row>
    <row r="156" spans="1:7" x14ac:dyDescent="0.2">
      <c r="A156" s="1" t="s">
        <v>146</v>
      </c>
      <c r="B156" t="s">
        <v>632</v>
      </c>
      <c r="C156">
        <v>-2.9029904257482801</v>
      </c>
      <c r="D156">
        <v>0</v>
      </c>
      <c r="E156">
        <v>0</v>
      </c>
      <c r="F156" t="str">
        <f>"126/211"</f>
        <v>126/211</v>
      </c>
      <c r="G156" s="10">
        <v>0.43080000000000002</v>
      </c>
    </row>
    <row r="157" spans="1:7" x14ac:dyDescent="0.2">
      <c r="A157" s="1" t="s">
        <v>146</v>
      </c>
      <c r="B157" t="s">
        <v>633</v>
      </c>
      <c r="C157">
        <v>-2.8995851178629599</v>
      </c>
      <c r="D157">
        <v>0</v>
      </c>
      <c r="E157">
        <v>0</v>
      </c>
      <c r="F157" t="str">
        <f>"24/42"</f>
        <v>24/42</v>
      </c>
      <c r="G157" s="10">
        <v>0.17330000000000001</v>
      </c>
    </row>
    <row r="158" spans="1:7" x14ac:dyDescent="0.2">
      <c r="A158" s="1" t="s">
        <v>146</v>
      </c>
      <c r="B158" t="s">
        <v>634</v>
      </c>
      <c r="C158">
        <v>2.8950217133243501</v>
      </c>
      <c r="D158">
        <v>0</v>
      </c>
      <c r="E158">
        <v>0</v>
      </c>
      <c r="F158" t="str">
        <f>"83/108"</f>
        <v>83/108</v>
      </c>
      <c r="G158" s="10">
        <v>0.52239999999999998</v>
      </c>
    </row>
    <row r="159" spans="1:7" x14ac:dyDescent="0.2">
      <c r="A159" s="1" t="s">
        <v>146</v>
      </c>
      <c r="B159" t="s">
        <v>635</v>
      </c>
      <c r="C159">
        <v>-2.89236361039071</v>
      </c>
      <c r="D159">
        <v>0</v>
      </c>
      <c r="E159">
        <v>0</v>
      </c>
      <c r="F159" t="str">
        <f>"57/83"</f>
        <v>57/83</v>
      </c>
      <c r="G159" s="10">
        <v>0.40799999999999997</v>
      </c>
    </row>
    <row r="160" spans="1:7" x14ac:dyDescent="0.2">
      <c r="A160" s="1" t="s">
        <v>146</v>
      </c>
      <c r="B160" t="s">
        <v>636</v>
      </c>
      <c r="C160">
        <v>-2.8911244604254498</v>
      </c>
      <c r="D160">
        <v>0</v>
      </c>
      <c r="E160">
        <v>0</v>
      </c>
      <c r="F160" t="str">
        <f>"154/227"</f>
        <v>154/227</v>
      </c>
      <c r="G160" s="10">
        <v>0.5101</v>
      </c>
    </row>
    <row r="161" spans="1:7" x14ac:dyDescent="0.2">
      <c r="A161" s="1" t="s">
        <v>146</v>
      </c>
      <c r="B161" t="s">
        <v>637</v>
      </c>
      <c r="C161">
        <v>-2.8881151847356898</v>
      </c>
      <c r="D161">
        <v>0</v>
      </c>
      <c r="E161">
        <v>0</v>
      </c>
      <c r="F161" t="str">
        <f>"53/83"</f>
        <v>53/83</v>
      </c>
      <c r="G161" s="10">
        <v>0.37330000000000002</v>
      </c>
    </row>
    <row r="162" spans="1:7" x14ac:dyDescent="0.2">
      <c r="A162" s="1" t="s">
        <v>146</v>
      </c>
      <c r="B162" t="s">
        <v>638</v>
      </c>
      <c r="C162">
        <v>2.8812883379947798</v>
      </c>
      <c r="D162">
        <v>0</v>
      </c>
      <c r="E162">
        <v>0</v>
      </c>
      <c r="F162" t="str">
        <f>"83/100"</f>
        <v>83/100</v>
      </c>
      <c r="G162" s="10">
        <v>0.56630000000000003</v>
      </c>
    </row>
    <row r="163" spans="1:7" x14ac:dyDescent="0.2">
      <c r="A163" s="1" t="s">
        <v>146</v>
      </c>
      <c r="B163" t="s">
        <v>639</v>
      </c>
      <c r="C163">
        <v>2.8762046592971</v>
      </c>
      <c r="D163">
        <v>0</v>
      </c>
      <c r="E163">
        <v>0</v>
      </c>
      <c r="F163" t="str">
        <f>"157/164"</f>
        <v>157/164</v>
      </c>
      <c r="G163" s="10">
        <v>0.75600000000000001</v>
      </c>
    </row>
    <row r="164" spans="1:7" x14ac:dyDescent="0.2">
      <c r="A164" s="1" t="s">
        <v>146</v>
      </c>
      <c r="B164" t="s">
        <v>640</v>
      </c>
      <c r="C164">
        <v>-2.8760604011431798</v>
      </c>
      <c r="D164">
        <v>0</v>
      </c>
      <c r="E164">
        <v>0</v>
      </c>
      <c r="F164" t="str">
        <f>"19/26"</f>
        <v>19/26</v>
      </c>
      <c r="G164" s="10">
        <v>0.2505</v>
      </c>
    </row>
    <row r="165" spans="1:7" x14ac:dyDescent="0.2">
      <c r="A165" s="1" t="s">
        <v>146</v>
      </c>
      <c r="B165" t="s">
        <v>641</v>
      </c>
      <c r="C165">
        <v>2.8749764824733499</v>
      </c>
      <c r="D165">
        <v>0</v>
      </c>
      <c r="E165">
        <v>0</v>
      </c>
      <c r="F165" t="str">
        <f>"129/146"</f>
        <v>129/146</v>
      </c>
      <c r="G165" s="10">
        <v>0.67920000000000003</v>
      </c>
    </row>
    <row r="166" spans="1:7" x14ac:dyDescent="0.2">
      <c r="A166" s="1" t="s">
        <v>146</v>
      </c>
      <c r="B166" t="s">
        <v>642</v>
      </c>
      <c r="C166">
        <v>-2.87422030666418</v>
      </c>
      <c r="D166">
        <v>0</v>
      </c>
      <c r="E166">
        <v>0</v>
      </c>
      <c r="F166" t="str">
        <f>"87/90"</f>
        <v>87/90</v>
      </c>
      <c r="G166" s="10">
        <v>0.69340000000000002</v>
      </c>
    </row>
    <row r="167" spans="1:7" x14ac:dyDescent="0.2">
      <c r="A167" s="1" t="s">
        <v>146</v>
      </c>
      <c r="B167" t="s">
        <v>643</v>
      </c>
      <c r="C167">
        <v>-2.8696423102561801</v>
      </c>
      <c r="D167">
        <v>0</v>
      </c>
      <c r="E167">
        <v>0</v>
      </c>
      <c r="F167" t="str">
        <f>"15/18"</f>
        <v>15/18</v>
      </c>
      <c r="G167" s="10">
        <v>0.29470000000000002</v>
      </c>
    </row>
    <row r="168" spans="1:7" x14ac:dyDescent="0.2">
      <c r="A168" s="1" t="s">
        <v>146</v>
      </c>
      <c r="B168" t="s">
        <v>644</v>
      </c>
      <c r="C168">
        <v>-2.8550835504249998</v>
      </c>
      <c r="D168">
        <v>0</v>
      </c>
      <c r="E168">
        <v>0</v>
      </c>
      <c r="F168" t="str">
        <f>"30/56"</f>
        <v>30/56</v>
      </c>
      <c r="G168" s="10">
        <v>0.2535</v>
      </c>
    </row>
    <row r="169" spans="1:7" x14ac:dyDescent="0.2">
      <c r="A169" s="1" t="s">
        <v>146</v>
      </c>
      <c r="B169" t="s">
        <v>645</v>
      </c>
      <c r="C169">
        <v>2.8539446702552098</v>
      </c>
      <c r="D169">
        <v>0</v>
      </c>
      <c r="E169">
        <v>0</v>
      </c>
      <c r="F169" t="str">
        <f>"114/126"</f>
        <v>114/126</v>
      </c>
      <c r="G169" s="10">
        <v>0.69620000000000004</v>
      </c>
    </row>
    <row r="170" spans="1:7" x14ac:dyDescent="0.2">
      <c r="A170" s="1" t="s">
        <v>146</v>
      </c>
      <c r="B170" t="s">
        <v>646</v>
      </c>
      <c r="C170">
        <v>-2.85334422375406</v>
      </c>
      <c r="D170">
        <v>0</v>
      </c>
      <c r="E170">
        <v>0</v>
      </c>
      <c r="F170" t="str">
        <f>"50/77"</f>
        <v>50/77</v>
      </c>
      <c r="G170" s="10">
        <v>0.36880000000000002</v>
      </c>
    </row>
    <row r="171" spans="1:7" x14ac:dyDescent="0.2">
      <c r="A171" s="1" t="s">
        <v>146</v>
      </c>
      <c r="B171" t="s">
        <v>647</v>
      </c>
      <c r="C171">
        <v>-2.8458688381708899</v>
      </c>
      <c r="D171">
        <v>0</v>
      </c>
      <c r="E171">
        <v>0</v>
      </c>
      <c r="F171" t="str">
        <f>"11/15"</f>
        <v>11/15</v>
      </c>
      <c r="G171" s="10">
        <v>0.1663</v>
      </c>
    </row>
    <row r="172" spans="1:7" x14ac:dyDescent="0.2">
      <c r="A172" s="1" t="s">
        <v>146</v>
      </c>
      <c r="B172" t="s">
        <v>648</v>
      </c>
      <c r="C172">
        <v>-2.8450750062910002</v>
      </c>
      <c r="D172">
        <v>0</v>
      </c>
      <c r="E172">
        <v>0</v>
      </c>
      <c r="F172" t="str">
        <f>"14/18"</f>
        <v>14/18</v>
      </c>
      <c r="G172" s="10">
        <v>0.2402</v>
      </c>
    </row>
    <row r="173" spans="1:7" x14ac:dyDescent="0.2">
      <c r="A173" s="1" t="s">
        <v>146</v>
      </c>
      <c r="B173" t="s">
        <v>649</v>
      </c>
      <c r="C173">
        <v>-2.8434092520539802</v>
      </c>
      <c r="D173">
        <v>0</v>
      </c>
      <c r="E173">
        <v>0</v>
      </c>
      <c r="F173" t="str">
        <f>"44/60"</f>
        <v>44/60</v>
      </c>
      <c r="G173" s="10">
        <v>0.40620000000000001</v>
      </c>
    </row>
    <row r="174" spans="1:7" x14ac:dyDescent="0.2">
      <c r="A174" s="1" t="s">
        <v>146</v>
      </c>
      <c r="B174" t="s">
        <v>650</v>
      </c>
      <c r="C174">
        <v>2.83967695672301</v>
      </c>
      <c r="D174">
        <v>0</v>
      </c>
      <c r="E174">
        <v>0</v>
      </c>
      <c r="F174" t="str">
        <f>"61/71"</f>
        <v>61/71</v>
      </c>
      <c r="G174" s="10">
        <v>0.55969999999999998</v>
      </c>
    </row>
    <row r="175" spans="1:7" x14ac:dyDescent="0.2">
      <c r="A175" s="1" t="s">
        <v>146</v>
      </c>
      <c r="B175" t="s">
        <v>651</v>
      </c>
      <c r="C175">
        <v>-2.8371201903203902</v>
      </c>
      <c r="D175">
        <v>0</v>
      </c>
      <c r="E175">
        <v>0</v>
      </c>
      <c r="F175" t="str">
        <f>"62/94"</f>
        <v>62/94</v>
      </c>
      <c r="G175" s="10">
        <v>0.39889999999999998</v>
      </c>
    </row>
    <row r="176" spans="1:7" x14ac:dyDescent="0.2">
      <c r="A176" s="1" t="s">
        <v>146</v>
      </c>
      <c r="B176" t="s">
        <v>652</v>
      </c>
      <c r="C176">
        <v>-2.8315030986940899</v>
      </c>
      <c r="D176">
        <v>0</v>
      </c>
      <c r="E176">
        <v>0</v>
      </c>
      <c r="F176" t="str">
        <f>"85/197"</f>
        <v>85/197</v>
      </c>
      <c r="G176" s="10">
        <v>0.26790000000000003</v>
      </c>
    </row>
    <row r="177" spans="1:7" x14ac:dyDescent="0.2">
      <c r="A177" s="1" t="s">
        <v>146</v>
      </c>
      <c r="B177" t="s">
        <v>653</v>
      </c>
      <c r="C177">
        <v>2.8283504440603902</v>
      </c>
      <c r="D177">
        <v>0</v>
      </c>
      <c r="E177">
        <v>0</v>
      </c>
      <c r="F177" t="str">
        <f>"14/22"</f>
        <v>14/22</v>
      </c>
      <c r="G177" s="10">
        <v>0.1434</v>
      </c>
    </row>
    <row r="178" spans="1:7" x14ac:dyDescent="0.2">
      <c r="A178" s="1" t="s">
        <v>146</v>
      </c>
      <c r="B178" t="s">
        <v>654</v>
      </c>
      <c r="C178">
        <v>-2.8250117110689099</v>
      </c>
      <c r="D178">
        <v>0</v>
      </c>
      <c r="E178">
        <v>0</v>
      </c>
      <c r="F178" t="str">
        <f>"23/35"</f>
        <v>23/35</v>
      </c>
      <c r="G178" s="10">
        <v>0.26450000000000001</v>
      </c>
    </row>
    <row r="179" spans="1:7" x14ac:dyDescent="0.2">
      <c r="A179" s="1" t="s">
        <v>146</v>
      </c>
      <c r="B179" t="s">
        <v>306</v>
      </c>
      <c r="C179">
        <v>-2.8177294558199799</v>
      </c>
      <c r="D179">
        <v>0</v>
      </c>
      <c r="E179">
        <v>0</v>
      </c>
      <c r="F179" t="str">
        <f>"19/22"</f>
        <v>19/22</v>
      </c>
      <c r="G179" s="10">
        <v>0.38190000000000002</v>
      </c>
    </row>
    <row r="180" spans="1:7" x14ac:dyDescent="0.2">
      <c r="A180" s="1" t="s">
        <v>146</v>
      </c>
      <c r="B180" t="s">
        <v>655</v>
      </c>
      <c r="C180">
        <v>-2.8099025612134998</v>
      </c>
      <c r="D180">
        <v>0</v>
      </c>
      <c r="E180">
        <v>0</v>
      </c>
      <c r="F180" t="str">
        <f>"20/27"</f>
        <v>20/27</v>
      </c>
      <c r="G180" s="10">
        <v>0.2656</v>
      </c>
    </row>
    <row r="181" spans="1:7" x14ac:dyDescent="0.2">
      <c r="A181" s="1" t="s">
        <v>146</v>
      </c>
      <c r="B181" t="s">
        <v>656</v>
      </c>
      <c r="C181">
        <v>2.8087773935551699</v>
      </c>
      <c r="D181">
        <v>0</v>
      </c>
      <c r="E181">
        <v>0</v>
      </c>
      <c r="F181" t="str">
        <f>"17/23"</f>
        <v>17/23</v>
      </c>
      <c r="G181" s="10">
        <v>0.2838</v>
      </c>
    </row>
    <row r="182" spans="1:7" x14ac:dyDescent="0.2">
      <c r="A182" s="1" t="s">
        <v>146</v>
      </c>
      <c r="B182" t="s">
        <v>87</v>
      </c>
      <c r="C182">
        <v>2.8034510199378699</v>
      </c>
      <c r="D182">
        <v>0</v>
      </c>
      <c r="E182">
        <v>0</v>
      </c>
      <c r="F182" t="str">
        <f>"25/38"</f>
        <v>25/38</v>
      </c>
      <c r="G182" s="10">
        <v>0.28239999999999998</v>
      </c>
    </row>
    <row r="183" spans="1:7" x14ac:dyDescent="0.2">
      <c r="A183" s="1" t="s">
        <v>146</v>
      </c>
      <c r="B183" t="s">
        <v>657</v>
      </c>
      <c r="C183">
        <v>-2.7989440885038199</v>
      </c>
      <c r="D183">
        <v>0</v>
      </c>
      <c r="E183">
        <v>1.3227961158473E-4</v>
      </c>
      <c r="F183" t="str">
        <f>"35/48"</f>
        <v>35/48</v>
      </c>
      <c r="G183" s="10">
        <v>0.38190000000000002</v>
      </c>
    </row>
    <row r="184" spans="1:7" x14ac:dyDescent="0.2">
      <c r="A184" s="1" t="s">
        <v>146</v>
      </c>
      <c r="B184" t="s">
        <v>658</v>
      </c>
      <c r="C184">
        <v>-2.7922177855417898</v>
      </c>
      <c r="D184">
        <v>0</v>
      </c>
      <c r="E184">
        <v>1.3064652996022799E-4</v>
      </c>
      <c r="F184" t="str">
        <f>"59/96"</f>
        <v>59/96</v>
      </c>
      <c r="G184" s="10">
        <v>0.36599999999999999</v>
      </c>
    </row>
    <row r="185" spans="1:7" x14ac:dyDescent="0.2">
      <c r="A185" s="1" t="s">
        <v>146</v>
      </c>
      <c r="B185" t="s">
        <v>659</v>
      </c>
      <c r="C185">
        <v>-2.7915935954640498</v>
      </c>
      <c r="D185">
        <v>0</v>
      </c>
      <c r="E185">
        <v>1.29053279594859E-4</v>
      </c>
      <c r="F185" t="str">
        <f>"13/15"</f>
        <v>13/15</v>
      </c>
      <c r="G185" s="10">
        <v>0.29470000000000002</v>
      </c>
    </row>
    <row r="186" spans="1:7" x14ac:dyDescent="0.2">
      <c r="A186" s="1" t="s">
        <v>146</v>
      </c>
      <c r="B186" t="s">
        <v>660</v>
      </c>
      <c r="C186">
        <v>2.7908988184057901</v>
      </c>
      <c r="D186">
        <v>0</v>
      </c>
      <c r="E186">
        <v>0</v>
      </c>
      <c r="F186" t="str">
        <f>"15/24"</f>
        <v>15/24</v>
      </c>
      <c r="G186" s="10">
        <v>0.1434</v>
      </c>
    </row>
    <row r="187" spans="1:7" x14ac:dyDescent="0.2">
      <c r="A187" s="1" t="s">
        <v>146</v>
      </c>
      <c r="B187" t="s">
        <v>661</v>
      </c>
      <c r="C187">
        <v>2.79052508092802</v>
      </c>
      <c r="D187">
        <v>0</v>
      </c>
      <c r="E187">
        <v>0</v>
      </c>
      <c r="F187" t="str">
        <f>"32/34"</f>
        <v>32/34</v>
      </c>
      <c r="G187" s="10">
        <v>0.54669999999999996</v>
      </c>
    </row>
    <row r="188" spans="1:7" x14ac:dyDescent="0.2">
      <c r="A188" s="1" t="s">
        <v>146</v>
      </c>
      <c r="B188" t="s">
        <v>662</v>
      </c>
      <c r="C188">
        <v>-2.7901786814696301</v>
      </c>
      <c r="D188">
        <v>0</v>
      </c>
      <c r="E188">
        <v>1.2749842080455901E-4</v>
      </c>
      <c r="F188" t="str">
        <f>"50/105"</f>
        <v>50/105</v>
      </c>
      <c r="G188" s="10">
        <v>0.26250000000000001</v>
      </c>
    </row>
    <row r="189" spans="1:7" x14ac:dyDescent="0.2">
      <c r="A189" s="1" t="s">
        <v>146</v>
      </c>
      <c r="B189" t="s">
        <v>663</v>
      </c>
      <c r="C189">
        <v>-2.7876338168172898</v>
      </c>
      <c r="D189">
        <v>0</v>
      </c>
      <c r="E189">
        <v>1.2598058246164799E-4</v>
      </c>
      <c r="F189" t="str">
        <f>"28/43"</f>
        <v>28/43</v>
      </c>
      <c r="G189" s="10">
        <v>0.29449999999999998</v>
      </c>
    </row>
    <row r="190" spans="1:7" x14ac:dyDescent="0.2">
      <c r="A190" s="1" t="s">
        <v>146</v>
      </c>
      <c r="B190" t="s">
        <v>664</v>
      </c>
      <c r="C190">
        <v>-2.78734571968829</v>
      </c>
      <c r="D190">
        <v>0</v>
      </c>
      <c r="E190">
        <v>1.24498457962099E-4</v>
      </c>
      <c r="F190" t="str">
        <f>"16/18"</f>
        <v>16/18</v>
      </c>
      <c r="G190" s="10">
        <v>0.33300000000000002</v>
      </c>
    </row>
    <row r="191" spans="1:7" x14ac:dyDescent="0.2">
      <c r="A191" s="1" t="s">
        <v>146</v>
      </c>
      <c r="B191" t="s">
        <v>52</v>
      </c>
      <c r="C191">
        <v>2.7817924082287799</v>
      </c>
      <c r="D191">
        <v>0</v>
      </c>
      <c r="E191">
        <v>0</v>
      </c>
      <c r="F191" t="str">
        <f>"15/34"</f>
        <v>15/34</v>
      </c>
      <c r="G191" s="10">
        <v>6.0100000000000001E-2</v>
      </c>
    </row>
    <row r="192" spans="1:7" x14ac:dyDescent="0.2">
      <c r="A192" s="1" t="s">
        <v>146</v>
      </c>
      <c r="B192" t="s">
        <v>665</v>
      </c>
      <c r="C192">
        <v>-2.7798534976964202</v>
      </c>
      <c r="D192">
        <v>0</v>
      </c>
      <c r="E192">
        <v>1.2305080147416799E-4</v>
      </c>
      <c r="F192" t="str">
        <f>"11/16"</f>
        <v>11/16</v>
      </c>
      <c r="G192" s="10">
        <v>0.10680000000000001</v>
      </c>
    </row>
    <row r="193" spans="1:7" x14ac:dyDescent="0.2">
      <c r="A193" s="1" t="s">
        <v>146</v>
      </c>
      <c r="B193" t="s">
        <v>666</v>
      </c>
      <c r="C193">
        <v>2.7776794590580298</v>
      </c>
      <c r="D193">
        <v>0</v>
      </c>
      <c r="E193">
        <v>0</v>
      </c>
      <c r="F193" t="str">
        <f>"85/94"</f>
        <v>85/94</v>
      </c>
      <c r="G193" s="10">
        <v>0.66600000000000004</v>
      </c>
    </row>
    <row r="194" spans="1:7" x14ac:dyDescent="0.2">
      <c r="A194" s="1" t="s">
        <v>146</v>
      </c>
      <c r="B194" t="s">
        <v>667</v>
      </c>
      <c r="C194">
        <v>-2.7675366723627102</v>
      </c>
      <c r="D194">
        <v>0</v>
      </c>
      <c r="E194">
        <v>1.21636424445729E-4</v>
      </c>
      <c r="F194" t="str">
        <f>"27/33"</f>
        <v>27/33</v>
      </c>
      <c r="G194" s="10">
        <v>0.44340000000000002</v>
      </c>
    </row>
    <row r="195" spans="1:7" x14ac:dyDescent="0.2">
      <c r="A195" s="1" t="s">
        <v>146</v>
      </c>
      <c r="B195" t="s">
        <v>668</v>
      </c>
      <c r="C195">
        <v>2.7580079407759599</v>
      </c>
      <c r="D195">
        <v>0</v>
      </c>
      <c r="E195">
        <v>0</v>
      </c>
      <c r="F195" t="str">
        <f>"42/48"</f>
        <v>42/48</v>
      </c>
      <c r="G195" s="10">
        <v>0.54990000000000006</v>
      </c>
    </row>
    <row r="196" spans="1:7" x14ac:dyDescent="0.2">
      <c r="A196" s="1" t="s">
        <v>146</v>
      </c>
      <c r="B196" t="s">
        <v>669</v>
      </c>
      <c r="C196">
        <v>2.7580079407759599</v>
      </c>
      <c r="D196">
        <v>0</v>
      </c>
      <c r="E196">
        <v>0</v>
      </c>
      <c r="F196" t="str">
        <f>"42/48"</f>
        <v>42/48</v>
      </c>
      <c r="G196" s="10">
        <v>0.54990000000000006</v>
      </c>
    </row>
    <row r="197" spans="1:7" x14ac:dyDescent="0.2">
      <c r="A197" s="1" t="s">
        <v>146</v>
      </c>
      <c r="B197" t="s">
        <v>670</v>
      </c>
      <c r="C197">
        <v>-2.7543679580968301</v>
      </c>
      <c r="D197">
        <v>0</v>
      </c>
      <c r="E197">
        <v>1.20254192349755E-4</v>
      </c>
      <c r="F197" t="str">
        <f>"39/63"</f>
        <v>39/63</v>
      </c>
      <c r="G197" s="10">
        <v>0.32269999999999999</v>
      </c>
    </row>
    <row r="198" spans="1:7" x14ac:dyDescent="0.2">
      <c r="A198" s="1" t="s">
        <v>146</v>
      </c>
      <c r="B198" t="s">
        <v>270</v>
      </c>
      <c r="C198">
        <v>2.7541648262445602</v>
      </c>
      <c r="D198">
        <v>0</v>
      </c>
      <c r="E198">
        <v>0</v>
      </c>
      <c r="F198" t="str">
        <f>"12/23"</f>
        <v>12/23</v>
      </c>
      <c r="G198" s="10">
        <v>0.11169999999999999</v>
      </c>
    </row>
    <row r="199" spans="1:7" x14ac:dyDescent="0.2">
      <c r="A199" s="1" t="s">
        <v>146</v>
      </c>
      <c r="B199" t="s">
        <v>260</v>
      </c>
      <c r="C199">
        <v>2.7359447858297199</v>
      </c>
      <c r="D199">
        <v>0</v>
      </c>
      <c r="E199">
        <v>0</v>
      </c>
      <c r="F199" t="str">
        <f>"15/33"</f>
        <v>15/33</v>
      </c>
      <c r="G199" s="10">
        <v>6.0400000000000002E-2</v>
      </c>
    </row>
    <row r="200" spans="1:7" x14ac:dyDescent="0.2">
      <c r="A200" s="1" t="s">
        <v>146</v>
      </c>
      <c r="B200" t="s">
        <v>671</v>
      </c>
      <c r="C200">
        <v>2.7331813259431099</v>
      </c>
      <c r="D200">
        <v>0</v>
      </c>
      <c r="E200">
        <v>0</v>
      </c>
      <c r="F200" t="str">
        <f>"30/32"</f>
        <v>30/32</v>
      </c>
      <c r="G200" s="10">
        <v>0.54669999999999996</v>
      </c>
    </row>
    <row r="201" spans="1:7" x14ac:dyDescent="0.2">
      <c r="A201" s="1" t="s">
        <v>146</v>
      </c>
      <c r="B201" t="s">
        <v>672</v>
      </c>
      <c r="C201">
        <v>2.7331813259431099</v>
      </c>
      <c r="D201">
        <v>0</v>
      </c>
      <c r="E201">
        <v>0</v>
      </c>
      <c r="F201" t="str">
        <f>"30/32"</f>
        <v>30/32</v>
      </c>
      <c r="G201" s="10">
        <v>0.54669999999999996</v>
      </c>
    </row>
    <row r="202" spans="1:7" x14ac:dyDescent="0.2">
      <c r="A202" s="1" t="s">
        <v>146</v>
      </c>
      <c r="B202" t="s">
        <v>673</v>
      </c>
      <c r="C202">
        <v>2.7256434150814002</v>
      </c>
      <c r="D202">
        <v>0</v>
      </c>
      <c r="E202">
        <v>0</v>
      </c>
      <c r="F202" t="str">
        <f>"61/134"</f>
        <v>61/134</v>
      </c>
      <c r="G202" s="10">
        <v>0.26419999999999999</v>
      </c>
    </row>
    <row r="203" spans="1:7" x14ac:dyDescent="0.2">
      <c r="A203" s="1" t="s">
        <v>146</v>
      </c>
      <c r="B203" t="s">
        <v>674</v>
      </c>
      <c r="C203">
        <v>2.7252899042848102</v>
      </c>
      <c r="D203">
        <v>0</v>
      </c>
      <c r="E203">
        <v>0</v>
      </c>
      <c r="F203" t="str">
        <f>"224/292"</f>
        <v>224/292</v>
      </c>
      <c r="G203" s="10">
        <v>0.63060000000000005</v>
      </c>
    </row>
    <row r="204" spans="1:7" x14ac:dyDescent="0.2">
      <c r="A204" s="1" t="s">
        <v>146</v>
      </c>
      <c r="B204" t="s">
        <v>675</v>
      </c>
      <c r="C204">
        <v>-2.7243701124299902</v>
      </c>
      <c r="D204">
        <v>0</v>
      </c>
      <c r="E204">
        <v>1.18903021649196E-4</v>
      </c>
      <c r="F204" t="str">
        <f>"25/38"</f>
        <v>25/38</v>
      </c>
      <c r="G204" s="10">
        <v>0.29470000000000002</v>
      </c>
    </row>
    <row r="205" spans="1:7" x14ac:dyDescent="0.2">
      <c r="A205" s="1" t="s">
        <v>146</v>
      </c>
      <c r="B205" t="s">
        <v>676</v>
      </c>
      <c r="C205">
        <v>-2.7223139863526602</v>
      </c>
      <c r="D205">
        <v>0</v>
      </c>
      <c r="E205">
        <v>1.17581876964205E-4</v>
      </c>
      <c r="F205" t="str">
        <f>"95/102"</f>
        <v>95/102</v>
      </c>
      <c r="G205" s="10">
        <v>0.69340000000000002</v>
      </c>
    </row>
    <row r="206" spans="1:7" x14ac:dyDescent="0.2">
      <c r="A206" s="1" t="s">
        <v>146</v>
      </c>
      <c r="B206" t="s">
        <v>677</v>
      </c>
      <c r="C206">
        <v>-2.7198300823314998</v>
      </c>
      <c r="D206">
        <v>0</v>
      </c>
      <c r="E206">
        <v>1.16289768426137E-4</v>
      </c>
      <c r="F206" t="str">
        <f>"11/17"</f>
        <v>11/17</v>
      </c>
      <c r="G206" s="10">
        <v>0.1295</v>
      </c>
    </row>
    <row r="207" spans="1:7" x14ac:dyDescent="0.2">
      <c r="A207" s="1" t="s">
        <v>146</v>
      </c>
      <c r="B207" t="s">
        <v>678</v>
      </c>
      <c r="C207">
        <v>-2.7187812253472501</v>
      </c>
      <c r="D207">
        <v>0</v>
      </c>
      <c r="E207">
        <v>1.1502574920411301E-4</v>
      </c>
      <c r="F207" t="str">
        <f>"12/19"</f>
        <v>12/19</v>
      </c>
      <c r="G207" s="10">
        <v>0.1197</v>
      </c>
    </row>
    <row r="208" spans="1:7" x14ac:dyDescent="0.2">
      <c r="A208" s="1" t="s">
        <v>146</v>
      </c>
      <c r="B208" t="s">
        <v>679</v>
      </c>
      <c r="C208">
        <v>-2.7178752597040501</v>
      </c>
      <c r="D208">
        <v>0</v>
      </c>
      <c r="E208">
        <v>1.13788913191166E-4</v>
      </c>
      <c r="F208" t="str">
        <f>"20/29"</f>
        <v>20/29</v>
      </c>
      <c r="G208" s="10">
        <v>0.26450000000000001</v>
      </c>
    </row>
    <row r="209" spans="1:7" x14ac:dyDescent="0.2">
      <c r="A209" s="1" t="s">
        <v>146</v>
      </c>
      <c r="B209" t="s">
        <v>680</v>
      </c>
      <c r="C209">
        <v>-2.7165224909506298</v>
      </c>
      <c r="D209">
        <v>0</v>
      </c>
      <c r="E209">
        <v>1.12578392838068E-4</v>
      </c>
      <c r="F209" t="str">
        <f>"19/27"</f>
        <v>19/27</v>
      </c>
      <c r="G209" s="10">
        <v>0.2656</v>
      </c>
    </row>
    <row r="210" spans="1:7" x14ac:dyDescent="0.2">
      <c r="A210" s="1" t="s">
        <v>146</v>
      </c>
      <c r="B210" t="s">
        <v>681</v>
      </c>
      <c r="C210">
        <v>-2.7142751453882199</v>
      </c>
      <c r="D210">
        <v>0</v>
      </c>
      <c r="E210">
        <v>1.11393357123983E-4</v>
      </c>
      <c r="F210" t="str">
        <f>"46/63"</f>
        <v>46/63</v>
      </c>
      <c r="G210" s="10">
        <v>0.42830000000000001</v>
      </c>
    </row>
    <row r="211" spans="1:7" x14ac:dyDescent="0.2">
      <c r="A211" s="1" t="s">
        <v>146</v>
      </c>
      <c r="B211" t="s">
        <v>682</v>
      </c>
      <c r="C211">
        <v>-2.71405623065146</v>
      </c>
      <c r="D211">
        <v>0</v>
      </c>
      <c r="E211">
        <v>1.1023300965394201E-4</v>
      </c>
      <c r="F211" t="str">
        <f>"59/103"</f>
        <v>59/103</v>
      </c>
      <c r="G211" s="10">
        <v>0.32619999999999999</v>
      </c>
    </row>
    <row r="212" spans="1:7" x14ac:dyDescent="0.2">
      <c r="A212" s="1" t="s">
        <v>146</v>
      </c>
      <c r="B212" t="s">
        <v>683</v>
      </c>
      <c r="C212">
        <v>2.70866001888532</v>
      </c>
      <c r="D212">
        <v>0</v>
      </c>
      <c r="E212">
        <v>0</v>
      </c>
      <c r="F212" t="str">
        <f>"67/90"</f>
        <v>67/90</v>
      </c>
      <c r="G212" s="10">
        <v>0.5071</v>
      </c>
    </row>
    <row r="213" spans="1:7" x14ac:dyDescent="0.2">
      <c r="A213" s="1" t="s">
        <v>146</v>
      </c>
      <c r="B213" t="s">
        <v>684</v>
      </c>
      <c r="C213">
        <v>-2.7055913347684499</v>
      </c>
      <c r="D213">
        <v>0</v>
      </c>
      <c r="E213">
        <v>1.09096586874004E-4</v>
      </c>
      <c r="F213" t="str">
        <f>"58/87"</f>
        <v>58/87</v>
      </c>
      <c r="G213" s="10">
        <v>0.39439999999999997</v>
      </c>
    </row>
    <row r="214" spans="1:7" x14ac:dyDescent="0.2">
      <c r="A214" s="1" t="s">
        <v>146</v>
      </c>
      <c r="B214" t="s">
        <v>685</v>
      </c>
      <c r="C214">
        <v>2.7049107321163501</v>
      </c>
      <c r="D214">
        <v>0</v>
      </c>
      <c r="E214">
        <v>0</v>
      </c>
      <c r="F214" t="str">
        <f>"42/47"</f>
        <v>42/47</v>
      </c>
      <c r="G214" s="10">
        <v>0.56989999999999996</v>
      </c>
    </row>
    <row r="215" spans="1:7" x14ac:dyDescent="0.2">
      <c r="A215" s="1" t="s">
        <v>146</v>
      </c>
      <c r="B215" t="s">
        <v>686</v>
      </c>
      <c r="C215">
        <v>2.6957502275318999</v>
      </c>
      <c r="D215">
        <v>0</v>
      </c>
      <c r="E215">
        <v>0</v>
      </c>
      <c r="F215" t="str">
        <f>"13/19"</f>
        <v>13/19</v>
      </c>
      <c r="G215" s="10">
        <v>0.1678</v>
      </c>
    </row>
    <row r="216" spans="1:7" x14ac:dyDescent="0.2">
      <c r="A216" s="1" t="s">
        <v>146</v>
      </c>
      <c r="B216" t="s">
        <v>687</v>
      </c>
      <c r="C216">
        <v>2.6919784348022699</v>
      </c>
      <c r="D216">
        <v>0</v>
      </c>
      <c r="E216">
        <v>0</v>
      </c>
      <c r="F216" t="str">
        <f>"29/49"</f>
        <v>29/49</v>
      </c>
      <c r="G216" s="10">
        <v>0.2787</v>
      </c>
    </row>
    <row r="217" spans="1:7" x14ac:dyDescent="0.2">
      <c r="A217" s="1" t="s">
        <v>146</v>
      </c>
      <c r="B217" t="s">
        <v>688</v>
      </c>
      <c r="C217">
        <v>2.6900197171181102</v>
      </c>
      <c r="D217">
        <v>0</v>
      </c>
      <c r="E217">
        <v>0</v>
      </c>
      <c r="F217" t="str">
        <f>"33/36"</f>
        <v>33/36</v>
      </c>
      <c r="G217" s="10">
        <v>0.54669999999999996</v>
      </c>
    </row>
    <row r="218" spans="1:7" x14ac:dyDescent="0.2">
      <c r="A218" s="1" t="s">
        <v>146</v>
      </c>
      <c r="B218" t="s">
        <v>259</v>
      </c>
      <c r="C218">
        <v>2.6859420981627702</v>
      </c>
      <c r="D218">
        <v>0</v>
      </c>
      <c r="E218">
        <v>0</v>
      </c>
      <c r="F218" t="str">
        <f>"14/31"</f>
        <v>14/31</v>
      </c>
      <c r="G218" s="10">
        <v>6.0400000000000002E-2</v>
      </c>
    </row>
    <row r="219" spans="1:7" x14ac:dyDescent="0.2">
      <c r="A219" s="1" t="s">
        <v>146</v>
      </c>
      <c r="B219" t="s">
        <v>689</v>
      </c>
      <c r="C219">
        <v>2.6807064910034399</v>
      </c>
      <c r="D219">
        <v>0</v>
      </c>
      <c r="E219">
        <v>0</v>
      </c>
      <c r="F219" t="str">
        <f>"169/200"</f>
        <v>169/200</v>
      </c>
      <c r="G219" s="10">
        <v>0.67589999999999995</v>
      </c>
    </row>
    <row r="220" spans="1:7" x14ac:dyDescent="0.2">
      <c r="A220" s="1" t="s">
        <v>146</v>
      </c>
      <c r="B220" t="s">
        <v>690</v>
      </c>
      <c r="C220">
        <v>-2.6726313023918</v>
      </c>
      <c r="D220">
        <v>0</v>
      </c>
      <c r="E220">
        <v>6.4790013837419196E-4</v>
      </c>
      <c r="F220" t="str">
        <f>"10/16"</f>
        <v>10/16</v>
      </c>
      <c r="G220" s="10">
        <v>0.1295</v>
      </c>
    </row>
    <row r="221" spans="1:7" x14ac:dyDescent="0.2">
      <c r="A221" s="1" t="s">
        <v>146</v>
      </c>
      <c r="B221" t="s">
        <v>691</v>
      </c>
      <c r="C221">
        <v>-2.6724807497651599</v>
      </c>
      <c r="D221">
        <v>0</v>
      </c>
      <c r="E221">
        <v>6.4135569253202795E-4</v>
      </c>
      <c r="F221" t="str">
        <f>"22/33"</f>
        <v>22/33</v>
      </c>
      <c r="G221" s="10">
        <v>0.2656</v>
      </c>
    </row>
    <row r="222" spans="1:7" x14ac:dyDescent="0.2">
      <c r="A222" s="1" t="s">
        <v>146</v>
      </c>
      <c r="B222" t="s">
        <v>692</v>
      </c>
      <c r="C222">
        <v>-2.6639512930474698</v>
      </c>
      <c r="D222">
        <v>0</v>
      </c>
      <c r="E222">
        <v>6.3494213560670804E-4</v>
      </c>
      <c r="F222" t="str">
        <f>"27/34"</f>
        <v>27/34</v>
      </c>
      <c r="G222" s="10">
        <v>0.39889999999999998</v>
      </c>
    </row>
    <row r="223" spans="1:7" x14ac:dyDescent="0.2">
      <c r="A223" s="1" t="s">
        <v>146</v>
      </c>
      <c r="B223" t="s">
        <v>693</v>
      </c>
      <c r="C223">
        <v>2.66103391545473</v>
      </c>
      <c r="D223">
        <v>0</v>
      </c>
      <c r="E223" s="2">
        <v>7.8524346051222599E-5</v>
      </c>
      <c r="F223" t="str">
        <f>"21/30"</f>
        <v>21/30</v>
      </c>
      <c r="G223" s="10">
        <v>0.2954</v>
      </c>
    </row>
    <row r="224" spans="1:7" x14ac:dyDescent="0.2">
      <c r="A224" s="1" t="s">
        <v>146</v>
      </c>
      <c r="B224" t="s">
        <v>694</v>
      </c>
      <c r="C224">
        <v>-2.6576941111383099</v>
      </c>
      <c r="D224">
        <v>0</v>
      </c>
      <c r="E224">
        <v>6.28655579808622E-4</v>
      </c>
      <c r="F224" t="str">
        <f>"84/93"</f>
        <v>84/93</v>
      </c>
      <c r="G224" s="10">
        <v>0.66400000000000003</v>
      </c>
    </row>
    <row r="225" spans="1:7" x14ac:dyDescent="0.2">
      <c r="A225" s="1" t="s">
        <v>146</v>
      </c>
      <c r="B225" t="s">
        <v>695</v>
      </c>
      <c r="C225">
        <v>2.6558204821064901</v>
      </c>
      <c r="D225">
        <v>0</v>
      </c>
      <c r="E225" s="2">
        <v>7.7880703870474905E-5</v>
      </c>
      <c r="F225" t="str">
        <f>"64/96"</f>
        <v>64/96</v>
      </c>
      <c r="G225" s="10">
        <v>0.43309999999999998</v>
      </c>
    </row>
    <row r="226" spans="1:7" x14ac:dyDescent="0.2">
      <c r="A226" s="1" t="s">
        <v>146</v>
      </c>
      <c r="B226" t="s">
        <v>696</v>
      </c>
      <c r="C226">
        <v>2.6546331413639099</v>
      </c>
      <c r="D226">
        <v>0</v>
      </c>
      <c r="E226" s="2">
        <v>7.7247527416243397E-5</v>
      </c>
      <c r="F226" t="str">
        <f>"76/162"</f>
        <v>76/162</v>
      </c>
      <c r="G226" s="10">
        <v>0.29360000000000003</v>
      </c>
    </row>
    <row r="227" spans="1:7" x14ac:dyDescent="0.2">
      <c r="A227" s="1" t="s">
        <v>146</v>
      </c>
      <c r="B227" t="s">
        <v>697</v>
      </c>
      <c r="C227">
        <v>-2.6449458152915599</v>
      </c>
      <c r="D227">
        <v>0</v>
      </c>
      <c r="E227">
        <v>7.26241004778914E-4</v>
      </c>
      <c r="F227" t="str">
        <f>"93/110"</f>
        <v>93/110</v>
      </c>
      <c r="G227" s="10">
        <v>0.61750000000000005</v>
      </c>
    </row>
    <row r="228" spans="1:7" x14ac:dyDescent="0.2">
      <c r="A228" s="1" t="s">
        <v>146</v>
      </c>
      <c r="B228" t="s">
        <v>698</v>
      </c>
      <c r="C228">
        <v>-2.6438372027703698</v>
      </c>
      <c r="D228">
        <v>0</v>
      </c>
      <c r="E228">
        <v>7.1919012123737103E-4</v>
      </c>
      <c r="F228" t="str">
        <f>"107/147"</f>
        <v>107/147</v>
      </c>
      <c r="G228" s="10">
        <v>0.54079999999999995</v>
      </c>
    </row>
    <row r="229" spans="1:7" x14ac:dyDescent="0.2">
      <c r="A229" s="1" t="s">
        <v>146</v>
      </c>
      <c r="B229" t="s">
        <v>699</v>
      </c>
      <c r="C229">
        <v>2.6430406376635598</v>
      </c>
      <c r="D229">
        <v>0</v>
      </c>
      <c r="E229" s="2">
        <v>7.6624563485467207E-5</v>
      </c>
      <c r="F229" t="str">
        <f>"66/70"</f>
        <v>66/70</v>
      </c>
      <c r="G229" s="10">
        <v>0.68269999999999997</v>
      </c>
    </row>
    <row r="230" spans="1:7" x14ac:dyDescent="0.2">
      <c r="A230" s="1" t="s">
        <v>146</v>
      </c>
      <c r="B230" t="s">
        <v>700</v>
      </c>
      <c r="C230">
        <v>2.638695190959</v>
      </c>
      <c r="D230">
        <v>0</v>
      </c>
      <c r="E230" s="2">
        <v>7.6011566977583496E-5</v>
      </c>
      <c r="F230" t="str">
        <f>"40/46"</f>
        <v>40/46</v>
      </c>
      <c r="G230" s="10">
        <v>0.55969999999999998</v>
      </c>
    </row>
    <row r="231" spans="1:7" x14ac:dyDescent="0.2">
      <c r="A231" s="1" t="s">
        <v>146</v>
      </c>
      <c r="B231" t="s">
        <v>701</v>
      </c>
      <c r="C231">
        <v>2.63445284073424</v>
      </c>
      <c r="D231">
        <v>0</v>
      </c>
      <c r="E231">
        <v>1.5081660114599899E-4</v>
      </c>
      <c r="F231" t="str">
        <f>"44/52"</f>
        <v>44/52</v>
      </c>
      <c r="G231" s="10">
        <v>0.55969999999999998</v>
      </c>
    </row>
    <row r="232" spans="1:7" x14ac:dyDescent="0.2">
      <c r="A232" s="1" t="s">
        <v>146</v>
      </c>
      <c r="B232" t="s">
        <v>702</v>
      </c>
      <c r="C232">
        <v>-2.63096815638362</v>
      </c>
      <c r="D232">
        <v>0</v>
      </c>
      <c r="E232">
        <v>8.1402837898295901E-4</v>
      </c>
      <c r="F232" t="str">
        <f>"16/23"</f>
        <v>16/23</v>
      </c>
      <c r="G232" s="10">
        <v>0.21099999999999999</v>
      </c>
    </row>
    <row r="233" spans="1:7" x14ac:dyDescent="0.2">
      <c r="A233" s="1" t="s">
        <v>146</v>
      </c>
      <c r="B233" t="s">
        <v>703</v>
      </c>
      <c r="C233">
        <v>-2.6276803234629602</v>
      </c>
      <c r="D233">
        <v>0</v>
      </c>
      <c r="E233">
        <v>8.0627572775455005E-4</v>
      </c>
      <c r="F233" t="str">
        <f>"33/56"</f>
        <v>33/56</v>
      </c>
      <c r="G233" s="10">
        <v>0.30590000000000001</v>
      </c>
    </row>
    <row r="234" spans="1:7" x14ac:dyDescent="0.2">
      <c r="A234" s="1" t="s">
        <v>146</v>
      </c>
      <c r="B234" t="s">
        <v>704</v>
      </c>
      <c r="C234">
        <v>2.6272834785330201</v>
      </c>
      <c r="D234">
        <v>0</v>
      </c>
      <c r="E234">
        <v>2.24443603280266E-4</v>
      </c>
      <c r="F234" t="str">
        <f>"43/49"</f>
        <v>43/49</v>
      </c>
      <c r="G234" s="10">
        <v>0.56989999999999996</v>
      </c>
    </row>
    <row r="235" spans="1:7" x14ac:dyDescent="0.2">
      <c r="A235" s="1" t="s">
        <v>146</v>
      </c>
      <c r="B235" t="s">
        <v>47</v>
      </c>
      <c r="C235">
        <v>2.6223446336683698</v>
      </c>
      <c r="D235">
        <v>0</v>
      </c>
      <c r="E235">
        <v>2.2269013762963899E-4</v>
      </c>
      <c r="F235" t="str">
        <f>"48/95"</f>
        <v>48/95</v>
      </c>
      <c r="G235" s="10">
        <v>0.27960000000000002</v>
      </c>
    </row>
    <row r="236" spans="1:7" x14ac:dyDescent="0.2">
      <c r="A236" s="1" t="s">
        <v>146</v>
      </c>
      <c r="B236" t="s">
        <v>705</v>
      </c>
      <c r="C236">
        <v>-2.6157123548878398</v>
      </c>
      <c r="D236">
        <v>0</v>
      </c>
      <c r="E236">
        <v>7.9866935296441302E-4</v>
      </c>
      <c r="F236" t="str">
        <f>"19/22"</f>
        <v>19/22</v>
      </c>
      <c r="G236" s="10">
        <v>0.42120000000000002</v>
      </c>
    </row>
    <row r="237" spans="1:7" x14ac:dyDescent="0.2">
      <c r="A237" s="1" t="s">
        <v>146</v>
      </c>
      <c r="B237" t="s">
        <v>706</v>
      </c>
      <c r="C237">
        <v>2.6121079401349001</v>
      </c>
      <c r="D237">
        <v>0</v>
      </c>
      <c r="E237">
        <v>2.20963857492975E-4</v>
      </c>
      <c r="F237" t="str">
        <f>"58/61"</f>
        <v>58/61</v>
      </c>
      <c r="G237" s="10">
        <v>0.65490000000000004</v>
      </c>
    </row>
    <row r="238" spans="1:7" x14ac:dyDescent="0.2">
      <c r="A238" s="1" t="s">
        <v>146</v>
      </c>
      <c r="B238" t="s">
        <v>707</v>
      </c>
      <c r="C238">
        <v>2.6104863258161002</v>
      </c>
      <c r="D238">
        <v>0</v>
      </c>
      <c r="E238">
        <v>2.1926413551225999E-4</v>
      </c>
      <c r="F238" t="str">
        <f>"45/58"</f>
        <v>45/58</v>
      </c>
      <c r="G238" s="10">
        <v>0.49020000000000002</v>
      </c>
    </row>
    <row r="239" spans="1:7" x14ac:dyDescent="0.2">
      <c r="A239" s="1" t="s">
        <v>146</v>
      </c>
      <c r="B239" t="s">
        <v>708</v>
      </c>
      <c r="C239">
        <v>-2.60932858120171</v>
      </c>
      <c r="D239">
        <v>0</v>
      </c>
      <c r="E239">
        <v>1.0879070859304901E-3</v>
      </c>
      <c r="F239" t="str">
        <f>"25/44"</f>
        <v>25/44</v>
      </c>
      <c r="G239" s="10">
        <v>0.2172</v>
      </c>
    </row>
    <row r="240" spans="1:7" x14ac:dyDescent="0.2">
      <c r="A240" s="1" t="s">
        <v>146</v>
      </c>
      <c r="B240" t="s">
        <v>709</v>
      </c>
      <c r="C240">
        <v>-2.6075852790231799</v>
      </c>
      <c r="D240">
        <v>0</v>
      </c>
      <c r="E240">
        <v>1.0778338721718799E-3</v>
      </c>
      <c r="F240" t="str">
        <f>"27/39"</f>
        <v>27/39</v>
      </c>
      <c r="G240" s="10">
        <v>0.35880000000000001</v>
      </c>
    </row>
    <row r="241" spans="1:7" x14ac:dyDescent="0.2">
      <c r="A241" s="1" t="s">
        <v>146</v>
      </c>
      <c r="B241" t="s">
        <v>710</v>
      </c>
      <c r="C241">
        <v>2.6035539715230098</v>
      </c>
      <c r="D241">
        <v>0</v>
      </c>
      <c r="E241">
        <v>2.17590363485449E-4</v>
      </c>
      <c r="F241" t="str">
        <f>"19/31"</f>
        <v>19/31</v>
      </c>
      <c r="G241" s="10">
        <v>0.23519999999999999</v>
      </c>
    </row>
    <row r="242" spans="1:7" x14ac:dyDescent="0.2">
      <c r="A242" s="1" t="s">
        <v>146</v>
      </c>
      <c r="B242" t="s">
        <v>711</v>
      </c>
      <c r="C242">
        <v>2.60243917252313</v>
      </c>
      <c r="D242">
        <v>0</v>
      </c>
      <c r="E242">
        <v>2.1594195164086199E-4</v>
      </c>
      <c r="F242" t="str">
        <f>"64/90"</f>
        <v>64/90</v>
      </c>
      <c r="G242" s="10">
        <v>0.4753</v>
      </c>
    </row>
    <row r="243" spans="1:7" x14ac:dyDescent="0.2">
      <c r="A243" s="1" t="s">
        <v>146</v>
      </c>
      <c r="B243" t="s">
        <v>712</v>
      </c>
      <c r="C243">
        <v>2.6022841856580801</v>
      </c>
      <c r="D243">
        <v>0</v>
      </c>
      <c r="E243">
        <v>2.14318327944314E-4</v>
      </c>
      <c r="F243" t="str">
        <f>"12/18"</f>
        <v>12/18</v>
      </c>
      <c r="G243" s="10">
        <v>0.17169999999999999</v>
      </c>
    </row>
    <row r="244" spans="1:7" x14ac:dyDescent="0.2">
      <c r="A244" s="1" t="s">
        <v>146</v>
      </c>
      <c r="B244" t="s">
        <v>713</v>
      </c>
      <c r="C244">
        <v>-2.59974296622504</v>
      </c>
      <c r="D244">
        <v>0</v>
      </c>
      <c r="E244">
        <v>1.0679454880235101E-3</v>
      </c>
      <c r="F244" t="str">
        <f>"116/365"</f>
        <v>116/365</v>
      </c>
      <c r="G244" s="10">
        <v>0.2069</v>
      </c>
    </row>
    <row r="245" spans="1:7" x14ac:dyDescent="0.2">
      <c r="A245" s="1" t="s">
        <v>146</v>
      </c>
      <c r="B245" t="s">
        <v>714</v>
      </c>
      <c r="C245">
        <v>2.59139950865681</v>
      </c>
      <c r="D245">
        <v>0</v>
      </c>
      <c r="E245">
        <v>2.1114324160439801E-4</v>
      </c>
      <c r="F245" t="str">
        <f>"50/55"</f>
        <v>50/55</v>
      </c>
      <c r="G245" s="10">
        <v>0.60829999999999995</v>
      </c>
    </row>
    <row r="246" spans="1:7" x14ac:dyDescent="0.2">
      <c r="A246" s="1" t="s">
        <v>146</v>
      </c>
      <c r="B246" t="s">
        <v>715</v>
      </c>
      <c r="C246">
        <v>2.59139950865681</v>
      </c>
      <c r="D246">
        <v>0</v>
      </c>
      <c r="E246">
        <v>2.1114324160439801E-4</v>
      </c>
      <c r="F246" t="str">
        <f>"50/55"</f>
        <v>50/55</v>
      </c>
      <c r="G246" s="10">
        <v>0.60829999999999995</v>
      </c>
    </row>
    <row r="247" spans="1:7" x14ac:dyDescent="0.2">
      <c r="A247" s="1" t="s">
        <v>146</v>
      </c>
      <c r="B247" t="s">
        <v>716</v>
      </c>
      <c r="C247">
        <v>-2.5913589364320302</v>
      </c>
      <c r="D247">
        <v>0</v>
      </c>
      <c r="E247">
        <v>1.25064360043745E-3</v>
      </c>
      <c r="F247" t="str">
        <f>"79/134"</f>
        <v>79/134</v>
      </c>
      <c r="G247" s="10">
        <v>0.39929999999999999</v>
      </c>
    </row>
    <row r="248" spans="1:7" x14ac:dyDescent="0.2">
      <c r="A248" s="1" t="s">
        <v>146</v>
      </c>
      <c r="B248" t="s">
        <v>717</v>
      </c>
      <c r="C248">
        <v>-2.5845261952010699</v>
      </c>
      <c r="D248">
        <v>0</v>
      </c>
      <c r="E248">
        <v>1.33471319797205E-3</v>
      </c>
      <c r="F248" t="str">
        <f>"33/54"</f>
        <v>33/54</v>
      </c>
      <c r="G248" s="10">
        <v>0.29449999999999998</v>
      </c>
    </row>
    <row r="249" spans="1:7" x14ac:dyDescent="0.2">
      <c r="A249" s="1" t="s">
        <v>146</v>
      </c>
      <c r="B249" t="s">
        <v>718</v>
      </c>
      <c r="C249">
        <v>2.5797379058671899</v>
      </c>
      <c r="D249">
        <v>0</v>
      </c>
      <c r="E249">
        <v>2.7945429035876302E-4</v>
      </c>
      <c r="F249" t="str">
        <f>"56/69"</f>
        <v>56/69</v>
      </c>
      <c r="G249" s="10">
        <v>0.55779999999999996</v>
      </c>
    </row>
    <row r="250" spans="1:7" x14ac:dyDescent="0.2">
      <c r="A250" s="1" t="s">
        <v>146</v>
      </c>
      <c r="B250" t="s">
        <v>65</v>
      </c>
      <c r="C250">
        <v>2.5747950335015801</v>
      </c>
      <c r="D250">
        <v>0</v>
      </c>
      <c r="E250">
        <v>4.1612171703056598E-4</v>
      </c>
      <c r="F250" t="str">
        <f>"17/27"</f>
        <v>17/27</v>
      </c>
      <c r="G250" s="10">
        <v>0.21920000000000001</v>
      </c>
    </row>
    <row r="251" spans="1:7" x14ac:dyDescent="0.2">
      <c r="A251" s="1" t="s">
        <v>146</v>
      </c>
      <c r="B251" t="s">
        <v>314</v>
      </c>
      <c r="C251">
        <v>-2.57427049870561</v>
      </c>
      <c r="D251">
        <v>0</v>
      </c>
      <c r="E251">
        <v>1.4172815526935401E-3</v>
      </c>
      <c r="F251" t="str">
        <f>"28/33"</f>
        <v>28/33</v>
      </c>
      <c r="G251" s="10">
        <v>0.48770000000000002</v>
      </c>
    </row>
    <row r="252" spans="1:7" x14ac:dyDescent="0.2">
      <c r="A252" s="1" t="s">
        <v>146</v>
      </c>
      <c r="B252" t="s">
        <v>719</v>
      </c>
      <c r="C252">
        <v>-2.5729794915954698</v>
      </c>
      <c r="D252">
        <v>0</v>
      </c>
      <c r="E252">
        <v>1.4047392380679301E-3</v>
      </c>
      <c r="F252" t="str">
        <f>"49/71"</f>
        <v>49/71</v>
      </c>
      <c r="G252" s="10">
        <v>0.4249</v>
      </c>
    </row>
    <row r="253" spans="1:7" x14ac:dyDescent="0.2">
      <c r="A253" s="1" t="s">
        <v>146</v>
      </c>
      <c r="B253" t="s">
        <v>720</v>
      </c>
      <c r="C253">
        <v>2.5723644172539801</v>
      </c>
      <c r="D253">
        <v>0</v>
      </c>
      <c r="E253">
        <v>4.8195739931438801E-4</v>
      </c>
      <c r="F253" t="str">
        <f>"26/61"</f>
        <v>26/61</v>
      </c>
      <c r="G253" s="10">
        <v>0.13569999999999999</v>
      </c>
    </row>
    <row r="254" spans="1:7" x14ac:dyDescent="0.2">
      <c r="A254" s="1" t="s">
        <v>146</v>
      </c>
      <c r="B254" t="s">
        <v>721</v>
      </c>
      <c r="C254">
        <v>2.57007135703395</v>
      </c>
      <c r="D254">
        <v>0</v>
      </c>
      <c r="E254">
        <v>5.4684580559412603E-4</v>
      </c>
      <c r="F254" t="str">
        <f>"138/145"</f>
        <v>138/145</v>
      </c>
      <c r="G254" s="10">
        <v>0.76100000000000001</v>
      </c>
    </row>
    <row r="255" spans="1:7" x14ac:dyDescent="0.2">
      <c r="A255" s="1" t="s">
        <v>146</v>
      </c>
      <c r="B255" t="s">
        <v>315</v>
      </c>
      <c r="C255">
        <v>-2.5692616075213501</v>
      </c>
      <c r="D255">
        <v>0</v>
      </c>
      <c r="E255">
        <v>1.4852447616531101E-3</v>
      </c>
      <c r="F255" t="str">
        <f>"27/39"</f>
        <v>27/39</v>
      </c>
      <c r="G255" s="10">
        <v>0.3498</v>
      </c>
    </row>
    <row r="256" spans="1:7" x14ac:dyDescent="0.2">
      <c r="A256" s="1" t="s">
        <v>146</v>
      </c>
      <c r="B256" t="s">
        <v>722</v>
      </c>
      <c r="C256">
        <v>2.5673666466697602</v>
      </c>
      <c r="D256">
        <v>0</v>
      </c>
      <c r="E256">
        <v>5.4293976412559601E-4</v>
      </c>
      <c r="F256" t="str">
        <f>"25/35"</f>
        <v>25/35</v>
      </c>
      <c r="G256" s="10">
        <v>0.37559999999999999</v>
      </c>
    </row>
    <row r="257" spans="1:7" x14ac:dyDescent="0.2">
      <c r="A257" s="1" t="s">
        <v>146</v>
      </c>
      <c r="B257" t="s">
        <v>723</v>
      </c>
      <c r="C257">
        <v>-2.56616932356917</v>
      </c>
      <c r="D257">
        <v>0</v>
      </c>
      <c r="E257">
        <v>1.47232958981265E-3</v>
      </c>
      <c r="F257" t="str">
        <f>"79/105"</f>
        <v>79/105</v>
      </c>
      <c r="G257" s="10">
        <v>0.53410000000000002</v>
      </c>
    </row>
    <row r="258" spans="1:7" x14ac:dyDescent="0.2">
      <c r="A258" s="1" t="s">
        <v>146</v>
      </c>
      <c r="B258" t="s">
        <v>724</v>
      </c>
      <c r="C258">
        <v>2.5651768707199798</v>
      </c>
      <c r="D258">
        <v>0</v>
      </c>
      <c r="E258">
        <v>5.3908912750059198E-4</v>
      </c>
      <c r="F258" t="str">
        <f>"34/39"</f>
        <v>34/39</v>
      </c>
      <c r="G258" s="10">
        <v>0.5343</v>
      </c>
    </row>
    <row r="259" spans="1:7" x14ac:dyDescent="0.2">
      <c r="A259" s="1" t="s">
        <v>146</v>
      </c>
      <c r="B259" t="s">
        <v>725</v>
      </c>
      <c r="C259">
        <v>2.56515587223626</v>
      </c>
      <c r="D259">
        <v>0</v>
      </c>
      <c r="E259">
        <v>5.3529272519424996E-4</v>
      </c>
      <c r="F259" t="str">
        <f>"18/36"</f>
        <v>18/36</v>
      </c>
      <c r="G259" s="10">
        <v>0.1434</v>
      </c>
    </row>
    <row r="260" spans="1:7" x14ac:dyDescent="0.2">
      <c r="A260" s="1" t="s">
        <v>146</v>
      </c>
      <c r="B260" t="s">
        <v>726</v>
      </c>
      <c r="C260">
        <v>2.5633804059225902</v>
      </c>
      <c r="D260">
        <v>0</v>
      </c>
      <c r="E260">
        <v>5.3154941942366103E-4</v>
      </c>
      <c r="F260" t="str">
        <f>"16/19"</f>
        <v>16/19</v>
      </c>
      <c r="G260" s="10">
        <v>0.32779999999999998</v>
      </c>
    </row>
    <row r="261" spans="1:7" x14ac:dyDescent="0.2">
      <c r="A261" s="1" t="s">
        <v>146</v>
      </c>
      <c r="B261" t="s">
        <v>727</v>
      </c>
      <c r="C261">
        <v>-2.5609285752331301</v>
      </c>
      <c r="D261">
        <v>0</v>
      </c>
      <c r="E261">
        <v>1.55086441168305E-3</v>
      </c>
      <c r="F261" t="str">
        <f>"54/88"</f>
        <v>54/88</v>
      </c>
      <c r="G261" s="10">
        <v>0.3856</v>
      </c>
    </row>
    <row r="262" spans="1:7" x14ac:dyDescent="0.2">
      <c r="A262" s="1" t="s">
        <v>146</v>
      </c>
      <c r="B262" t="s">
        <v>728</v>
      </c>
      <c r="C262">
        <v>2.5607182912240898</v>
      </c>
      <c r="D262">
        <v>0</v>
      </c>
      <c r="E262">
        <v>5.9384036701237101E-4</v>
      </c>
      <c r="F262" t="str">
        <f>"109/123"</f>
        <v>109/123</v>
      </c>
      <c r="G262" s="10">
        <v>0.68269999999999997</v>
      </c>
    </row>
    <row r="263" spans="1:7" x14ac:dyDescent="0.2">
      <c r="A263" s="1" t="s">
        <v>146</v>
      </c>
      <c r="B263" t="s">
        <v>729</v>
      </c>
      <c r="C263">
        <v>-2.5599727626822499</v>
      </c>
      <c r="D263">
        <v>0</v>
      </c>
      <c r="E263">
        <v>1.5376091603011401E-3</v>
      </c>
      <c r="F263" t="str">
        <f>"16/23"</f>
        <v>16/23</v>
      </c>
      <c r="G263" s="10">
        <v>0.26450000000000001</v>
      </c>
    </row>
    <row r="264" spans="1:7" x14ac:dyDescent="0.2">
      <c r="A264" s="1" t="s">
        <v>146</v>
      </c>
      <c r="B264" t="s">
        <v>730</v>
      </c>
      <c r="C264">
        <v>-2.5548256445389801</v>
      </c>
      <c r="D264">
        <v>0</v>
      </c>
      <c r="E264">
        <v>1.5245785741968901E-3</v>
      </c>
      <c r="F264" t="str">
        <f>"17/36"</f>
        <v>17/36</v>
      </c>
      <c r="G264" s="10">
        <v>0.10639999999999999</v>
      </c>
    </row>
    <row r="265" spans="1:7" x14ac:dyDescent="0.2">
      <c r="A265" s="1" t="s">
        <v>146</v>
      </c>
      <c r="B265" t="s">
        <v>731</v>
      </c>
      <c r="C265">
        <v>-2.5491846613519602</v>
      </c>
      <c r="D265">
        <v>0</v>
      </c>
      <c r="E265">
        <v>1.5117669895397801E-3</v>
      </c>
      <c r="F265" t="str">
        <f>"14/18"</f>
        <v>14/18</v>
      </c>
      <c r="G265" s="10">
        <v>0.29160000000000003</v>
      </c>
    </row>
    <row r="266" spans="1:7" x14ac:dyDescent="0.2">
      <c r="A266" s="1" t="s">
        <v>146</v>
      </c>
      <c r="B266" t="s">
        <v>732</v>
      </c>
      <c r="C266">
        <v>-2.54339299878351</v>
      </c>
      <c r="D266">
        <v>0</v>
      </c>
      <c r="E266">
        <v>1.4991689312936101E-3</v>
      </c>
      <c r="F266" t="str">
        <f>"20/30"</f>
        <v>20/30</v>
      </c>
      <c r="G266" s="10">
        <v>0.26450000000000001</v>
      </c>
    </row>
    <row r="267" spans="1:7" x14ac:dyDescent="0.2">
      <c r="A267" s="1" t="s">
        <v>146</v>
      </c>
      <c r="B267" t="s">
        <v>733</v>
      </c>
      <c r="C267">
        <v>-2.5391834867858698</v>
      </c>
      <c r="D267">
        <v>0</v>
      </c>
      <c r="E267">
        <v>1.57423669985134E-3</v>
      </c>
      <c r="F267" t="str">
        <f>"20/21"</f>
        <v>20/21</v>
      </c>
      <c r="G267" s="10">
        <v>0.49299999999999999</v>
      </c>
    </row>
    <row r="268" spans="1:7" x14ac:dyDescent="0.2">
      <c r="A268" s="1" t="s">
        <v>146</v>
      </c>
      <c r="B268" t="s">
        <v>734</v>
      </c>
      <c r="C268">
        <v>-2.5381518573514001</v>
      </c>
      <c r="D268">
        <v>0</v>
      </c>
      <c r="E268">
        <v>1.5613331203443599E-3</v>
      </c>
      <c r="F268" t="str">
        <f>"30/41"</f>
        <v>30/41</v>
      </c>
      <c r="G268" s="10">
        <v>0.38200000000000001</v>
      </c>
    </row>
    <row r="269" spans="1:7" x14ac:dyDescent="0.2">
      <c r="A269" s="1" t="s">
        <v>146</v>
      </c>
      <c r="B269" t="s">
        <v>735</v>
      </c>
      <c r="C269">
        <v>-2.53158990104808</v>
      </c>
      <c r="D269">
        <v>0</v>
      </c>
      <c r="E269">
        <v>1.5486393551383099E-3</v>
      </c>
      <c r="F269" t="str">
        <f>"31/39"</f>
        <v>31/39</v>
      </c>
      <c r="G269" s="10">
        <v>0.4385</v>
      </c>
    </row>
    <row r="270" spans="1:7" x14ac:dyDescent="0.2">
      <c r="A270" s="1" t="s">
        <v>146</v>
      </c>
      <c r="B270" t="s">
        <v>736</v>
      </c>
      <c r="C270">
        <v>-2.5310325382581902</v>
      </c>
      <c r="D270">
        <v>0</v>
      </c>
      <c r="E270">
        <v>1.5361503280807401E-3</v>
      </c>
      <c r="F270" t="str">
        <f>"24/34"</f>
        <v>24/34</v>
      </c>
      <c r="G270" s="10">
        <v>0.3296</v>
      </c>
    </row>
    <row r="271" spans="1:7" x14ac:dyDescent="0.2">
      <c r="A271" s="1" t="s">
        <v>146</v>
      </c>
      <c r="B271" t="s">
        <v>737</v>
      </c>
      <c r="C271">
        <v>-2.5277464610571698</v>
      </c>
      <c r="D271">
        <v>0</v>
      </c>
      <c r="E271">
        <v>1.5238611254561E-3</v>
      </c>
      <c r="F271" t="str">
        <f>"10/15"</f>
        <v>10/15</v>
      </c>
      <c r="G271" s="10">
        <v>0.10349999999999999</v>
      </c>
    </row>
    <row r="272" spans="1:7" x14ac:dyDescent="0.2">
      <c r="A272" s="1" t="s">
        <v>146</v>
      </c>
      <c r="B272" t="s">
        <v>738</v>
      </c>
      <c r="C272">
        <v>2.5254836674022698</v>
      </c>
      <c r="D272">
        <v>0</v>
      </c>
      <c r="E272">
        <v>7.2079934202880897E-4</v>
      </c>
      <c r="F272" t="str">
        <f>"92/104"</f>
        <v>92/104</v>
      </c>
      <c r="G272" s="10">
        <v>0.66969999999999996</v>
      </c>
    </row>
    <row r="273" spans="1:7" x14ac:dyDescent="0.2">
      <c r="A273" s="1" t="s">
        <v>146</v>
      </c>
      <c r="B273" t="s">
        <v>739</v>
      </c>
      <c r="C273">
        <v>2.52379202163507</v>
      </c>
      <c r="D273">
        <v>0</v>
      </c>
      <c r="E273">
        <v>7.1586236023409098E-4</v>
      </c>
      <c r="F273" t="str">
        <f>"29/112"</f>
        <v>29/112</v>
      </c>
      <c r="G273" s="10">
        <v>6.9699999999999998E-2</v>
      </c>
    </row>
    <row r="274" spans="1:7" x14ac:dyDescent="0.2">
      <c r="A274" s="1" t="s">
        <v>146</v>
      </c>
      <c r="B274" t="s">
        <v>740</v>
      </c>
      <c r="C274">
        <v>-2.5229795471269201</v>
      </c>
      <c r="D274">
        <v>0</v>
      </c>
      <c r="E274">
        <v>1.5117669895397801E-3</v>
      </c>
      <c r="F274" t="str">
        <f>"21/34"</f>
        <v>21/34</v>
      </c>
      <c r="G274" s="10">
        <v>0.26450000000000001</v>
      </c>
    </row>
    <row r="275" spans="1:7" x14ac:dyDescent="0.2">
      <c r="A275" s="1" t="s">
        <v>146</v>
      </c>
      <c r="B275" t="s">
        <v>741</v>
      </c>
      <c r="C275">
        <v>-2.51833353828262</v>
      </c>
      <c r="D275">
        <v>0</v>
      </c>
      <c r="E275">
        <v>1.5831890520377201E-3</v>
      </c>
      <c r="F275" t="str">
        <f>"14/25"</f>
        <v>14/25</v>
      </c>
      <c r="G275" s="10">
        <v>0.17519999999999999</v>
      </c>
    </row>
    <row r="276" spans="1:7" x14ac:dyDescent="0.2">
      <c r="A276" s="1" t="s">
        <v>146</v>
      </c>
      <c r="B276" t="s">
        <v>55</v>
      </c>
      <c r="C276">
        <v>2.5179051375197501</v>
      </c>
      <c r="D276">
        <v>0</v>
      </c>
      <c r="E276">
        <v>7.7562823446513795E-4</v>
      </c>
      <c r="F276" t="str">
        <f>"15/37"</f>
        <v>15/37</v>
      </c>
      <c r="G276" s="10">
        <v>6.0100000000000001E-2</v>
      </c>
    </row>
    <row r="277" spans="1:7" x14ac:dyDescent="0.2">
      <c r="A277" s="1" t="s">
        <v>146</v>
      </c>
      <c r="B277" t="s">
        <v>742</v>
      </c>
      <c r="C277">
        <v>2.5160409290864099</v>
      </c>
      <c r="D277">
        <v>0</v>
      </c>
      <c r="E277">
        <v>8.3458646174711603E-4</v>
      </c>
      <c r="F277" t="str">
        <f>"72/74"</f>
        <v>72/74</v>
      </c>
      <c r="G277" s="10">
        <v>0.70730000000000004</v>
      </c>
    </row>
    <row r="278" spans="1:7" x14ac:dyDescent="0.2">
      <c r="A278" s="1" t="s">
        <v>146</v>
      </c>
      <c r="B278" t="s">
        <v>743</v>
      </c>
      <c r="C278">
        <v>-2.5142659178382298</v>
      </c>
      <c r="D278">
        <v>0</v>
      </c>
      <c r="E278">
        <v>1.57082038756867E-3</v>
      </c>
      <c r="F278" t="str">
        <f>"18/31"</f>
        <v>18/31</v>
      </c>
      <c r="G278" s="10">
        <v>0.1933</v>
      </c>
    </row>
    <row r="279" spans="1:7" x14ac:dyDescent="0.2">
      <c r="A279" s="1" t="s">
        <v>146</v>
      </c>
      <c r="B279" t="s">
        <v>744</v>
      </c>
      <c r="C279">
        <v>2.5139070071081702</v>
      </c>
      <c r="D279">
        <v>0</v>
      </c>
      <c r="E279">
        <v>8.2898521032599498E-4</v>
      </c>
      <c r="F279" t="str">
        <f>"39/47"</f>
        <v>39/47</v>
      </c>
      <c r="G279" s="10">
        <v>0.51519999999999999</v>
      </c>
    </row>
    <row r="280" spans="1:7" x14ac:dyDescent="0.2">
      <c r="A280" s="1" t="s">
        <v>146</v>
      </c>
      <c r="B280" t="s">
        <v>745</v>
      </c>
      <c r="C280">
        <v>-2.5136481087903801</v>
      </c>
      <c r="D280">
        <v>0</v>
      </c>
      <c r="E280">
        <v>1.55864348533946E-3</v>
      </c>
      <c r="F280" t="str">
        <f>"51/76"</f>
        <v>51/76</v>
      </c>
      <c r="G280" s="10">
        <v>0.41249999999999998</v>
      </c>
    </row>
    <row r="281" spans="1:7" x14ac:dyDescent="0.2">
      <c r="A281" s="1" t="s">
        <v>146</v>
      </c>
      <c r="B281" t="s">
        <v>746</v>
      </c>
      <c r="C281">
        <v>-2.5119636910426801</v>
      </c>
      <c r="D281">
        <v>0</v>
      </c>
      <c r="E281">
        <v>1.54665392006762E-3</v>
      </c>
      <c r="F281" t="str">
        <f>"25/32"</f>
        <v>25/32</v>
      </c>
      <c r="G281" s="10">
        <v>0.3982</v>
      </c>
    </row>
    <row r="282" spans="1:7" x14ac:dyDescent="0.2">
      <c r="A282" s="1" t="s">
        <v>146</v>
      </c>
      <c r="B282" t="s">
        <v>747</v>
      </c>
      <c r="C282">
        <v>2.5110438084095201</v>
      </c>
      <c r="D282">
        <v>0</v>
      </c>
      <c r="E282">
        <v>8.2345864225715501E-4</v>
      </c>
      <c r="F282" t="str">
        <f>"14/21"</f>
        <v>14/21</v>
      </c>
      <c r="G282" s="10">
        <v>0.19350000000000001</v>
      </c>
    </row>
    <row r="283" spans="1:7" x14ac:dyDescent="0.2">
      <c r="A283" s="1" t="s">
        <v>146</v>
      </c>
      <c r="B283" t="s">
        <v>748</v>
      </c>
      <c r="C283">
        <v>-2.5101884940994501</v>
      </c>
      <c r="D283">
        <v>0</v>
      </c>
      <c r="E283">
        <v>1.61562884378297E-3</v>
      </c>
      <c r="F283" t="str">
        <f>"52/75"</f>
        <v>52/75</v>
      </c>
      <c r="G283" s="10">
        <v>0.45600000000000002</v>
      </c>
    </row>
    <row r="284" spans="1:7" x14ac:dyDescent="0.2">
      <c r="A284" s="1" t="s">
        <v>146</v>
      </c>
      <c r="B284" t="s">
        <v>749</v>
      </c>
      <c r="C284">
        <v>-2.5092990339874399</v>
      </c>
      <c r="D284">
        <v>0</v>
      </c>
      <c r="E284">
        <v>1.6033892313300701E-3</v>
      </c>
      <c r="F284" t="str">
        <f>"15/18"</f>
        <v>15/18</v>
      </c>
      <c r="G284" s="10">
        <v>0.33510000000000001</v>
      </c>
    </row>
    <row r="285" spans="1:7" x14ac:dyDescent="0.2">
      <c r="A285" s="1" t="s">
        <v>146</v>
      </c>
      <c r="B285" t="s">
        <v>750</v>
      </c>
      <c r="C285">
        <v>-2.5050098846020998</v>
      </c>
      <c r="D285">
        <v>0</v>
      </c>
      <c r="E285">
        <v>1.67090035685975E-3</v>
      </c>
      <c r="F285" t="str">
        <f>"28/44"</f>
        <v>28/44</v>
      </c>
      <c r="G285" s="10">
        <v>0.29449999999999998</v>
      </c>
    </row>
    <row r="286" spans="1:7" x14ac:dyDescent="0.2">
      <c r="A286" s="1" t="s">
        <v>146</v>
      </c>
      <c r="B286" t="s">
        <v>301</v>
      </c>
      <c r="C286">
        <v>-2.4982838070738702</v>
      </c>
      <c r="D286">
        <v>0</v>
      </c>
      <c r="E286">
        <v>1.73740385365019E-3</v>
      </c>
      <c r="F286" t="str">
        <f>"75/114"</f>
        <v>75/114</v>
      </c>
      <c r="G286" s="10">
        <v>0.44900000000000001</v>
      </c>
    </row>
    <row r="287" spans="1:7" x14ac:dyDescent="0.2">
      <c r="A287" s="1" t="s">
        <v>146</v>
      </c>
      <c r="B287" t="s">
        <v>751</v>
      </c>
      <c r="C287">
        <v>2.49213550994943</v>
      </c>
      <c r="D287">
        <v>0</v>
      </c>
      <c r="E287">
        <v>1.0696992041547299E-3</v>
      </c>
      <c r="F287" t="str">
        <f>"64/91"</f>
        <v>64/91</v>
      </c>
      <c r="G287" s="10">
        <v>0.4783</v>
      </c>
    </row>
    <row r="288" spans="1:7" x14ac:dyDescent="0.2">
      <c r="A288" s="1" t="s">
        <v>146</v>
      </c>
      <c r="B288" t="s">
        <v>752</v>
      </c>
      <c r="C288">
        <v>2.4909809548936499</v>
      </c>
      <c r="D288">
        <v>0</v>
      </c>
      <c r="E288">
        <v>1.0626617093905499E-3</v>
      </c>
      <c r="F288" t="str">
        <f>"37/39"</f>
        <v>37/39</v>
      </c>
      <c r="G288" s="10">
        <v>0.60829999999999995</v>
      </c>
    </row>
    <row r="289" spans="1:7" x14ac:dyDescent="0.2">
      <c r="A289" s="1" t="s">
        <v>146</v>
      </c>
      <c r="B289" t="s">
        <v>753</v>
      </c>
      <c r="C289">
        <v>2.48984605503404</v>
      </c>
      <c r="D289">
        <v>0</v>
      </c>
      <c r="E289">
        <v>1.05571620802199E-3</v>
      </c>
      <c r="F289" t="str">
        <f>"35/40"</f>
        <v>35/40</v>
      </c>
      <c r="G289" s="10">
        <v>0.55969999999999998</v>
      </c>
    </row>
    <row r="290" spans="1:7" x14ac:dyDescent="0.2">
      <c r="A290" s="1" t="s">
        <v>146</v>
      </c>
      <c r="B290" t="s">
        <v>754</v>
      </c>
      <c r="C290">
        <v>2.48772933921915</v>
      </c>
      <c r="D290">
        <v>0</v>
      </c>
      <c r="E290">
        <v>1.17225630890753E-3</v>
      </c>
      <c r="F290" t="str">
        <f>"112/165"</f>
        <v>112/165</v>
      </c>
      <c r="G290" s="10">
        <v>0.51270000000000004</v>
      </c>
    </row>
    <row r="291" spans="1:7" x14ac:dyDescent="0.2">
      <c r="A291" s="1" t="s">
        <v>146</v>
      </c>
      <c r="B291" t="s">
        <v>755</v>
      </c>
      <c r="C291">
        <v>2.4859873586521699</v>
      </c>
      <c r="D291">
        <v>0</v>
      </c>
      <c r="E291">
        <v>1.28729266655585E-3</v>
      </c>
      <c r="F291" t="str">
        <f>"13/22"</f>
        <v>13/22</v>
      </c>
      <c r="G291" s="10">
        <v>0.1434</v>
      </c>
    </row>
    <row r="292" spans="1:7" x14ac:dyDescent="0.2">
      <c r="A292" s="1" t="s">
        <v>146</v>
      </c>
      <c r="B292" t="s">
        <v>756</v>
      </c>
      <c r="C292">
        <v>-2.4857711958016799</v>
      </c>
      <c r="D292">
        <v>0</v>
      </c>
      <c r="E292">
        <v>1.7245341954750101E-3</v>
      </c>
      <c r="F292" t="str">
        <f>"17/25"</f>
        <v>17/25</v>
      </c>
      <c r="G292" s="10">
        <v>0.29010000000000002</v>
      </c>
    </row>
    <row r="293" spans="1:7" x14ac:dyDescent="0.2">
      <c r="A293" s="1" t="s">
        <v>146</v>
      </c>
      <c r="B293" t="s">
        <v>757</v>
      </c>
      <c r="C293">
        <v>-2.4804474429232299</v>
      </c>
      <c r="D293">
        <v>0</v>
      </c>
      <c r="E293">
        <v>1.78966533320518E-3</v>
      </c>
      <c r="F293" t="str">
        <f>"51/99"</f>
        <v>51/99</v>
      </c>
      <c r="G293" s="10">
        <v>0.31190000000000001</v>
      </c>
    </row>
    <row r="294" spans="1:7" x14ac:dyDescent="0.2">
      <c r="A294" s="1" t="s">
        <v>146</v>
      </c>
      <c r="B294" t="s">
        <v>196</v>
      </c>
      <c r="C294">
        <v>2.4770040778187301</v>
      </c>
      <c r="D294">
        <v>0</v>
      </c>
      <c r="E294">
        <v>1.4008541991061001E-3</v>
      </c>
      <c r="F294" t="str">
        <f>"12/18"</f>
        <v>12/18</v>
      </c>
      <c r="G294" s="10">
        <v>0.1918</v>
      </c>
    </row>
    <row r="295" spans="1:7" x14ac:dyDescent="0.2">
      <c r="A295" s="1" t="s">
        <v>146</v>
      </c>
      <c r="B295" t="s">
        <v>758</v>
      </c>
      <c r="C295">
        <v>-2.4765880271740999</v>
      </c>
      <c r="D295">
        <v>0</v>
      </c>
      <c r="E295">
        <v>1.77660208259784E-3</v>
      </c>
      <c r="F295" t="str">
        <f>"152/381"</f>
        <v>152/381</v>
      </c>
      <c r="G295" s="10">
        <v>0.28810000000000002</v>
      </c>
    </row>
    <row r="296" spans="1:7" x14ac:dyDescent="0.2">
      <c r="A296" s="1" t="s">
        <v>146</v>
      </c>
      <c r="B296" t="s">
        <v>759</v>
      </c>
      <c r="C296">
        <v>2.4710093429616502</v>
      </c>
      <c r="D296">
        <v>0</v>
      </c>
      <c r="E296">
        <v>1.45245032441242E-3</v>
      </c>
      <c r="F296" t="str">
        <f>"113/133"</f>
        <v>113/133</v>
      </c>
      <c r="G296" s="10">
        <v>0.67979999999999996</v>
      </c>
    </row>
    <row r="297" spans="1:7" x14ac:dyDescent="0.2">
      <c r="A297" s="1" t="s">
        <v>146</v>
      </c>
      <c r="B297" t="s">
        <v>760</v>
      </c>
      <c r="C297">
        <v>2.46823773922269</v>
      </c>
      <c r="D297">
        <v>0</v>
      </c>
      <c r="E297">
        <v>1.44325760084019E-3</v>
      </c>
      <c r="F297" t="str">
        <f>"30/38"</f>
        <v>30/38</v>
      </c>
      <c r="G297" s="10">
        <v>0.47710000000000002</v>
      </c>
    </row>
    <row r="298" spans="1:7" x14ac:dyDescent="0.2">
      <c r="A298" s="1" t="s">
        <v>146</v>
      </c>
      <c r="B298" t="s">
        <v>761</v>
      </c>
      <c r="C298">
        <v>2.46390841517935</v>
      </c>
      <c r="D298">
        <v>0</v>
      </c>
      <c r="E298">
        <v>1.4939380302198E-3</v>
      </c>
      <c r="F298" t="str">
        <f>"19/32"</f>
        <v>19/32</v>
      </c>
      <c r="G298" s="10">
        <v>0.24210000000000001</v>
      </c>
    </row>
    <row r="299" spans="1:7" x14ac:dyDescent="0.2">
      <c r="A299" s="1" t="s">
        <v>146</v>
      </c>
      <c r="B299" t="s">
        <v>762</v>
      </c>
      <c r="C299">
        <v>-2.4629745280683699</v>
      </c>
      <c r="D299">
        <v>0</v>
      </c>
      <c r="E299">
        <v>1.9170958200685601E-3</v>
      </c>
      <c r="F299" t="str">
        <f>"22/35"</f>
        <v>22/35</v>
      </c>
      <c r="G299" s="10">
        <v>0.29870000000000002</v>
      </c>
    </row>
    <row r="300" spans="1:7" x14ac:dyDescent="0.2">
      <c r="A300" s="1" t="s">
        <v>146</v>
      </c>
      <c r="B300" t="s">
        <v>763</v>
      </c>
      <c r="C300">
        <v>-2.4616914936300001</v>
      </c>
      <c r="D300">
        <v>0</v>
      </c>
      <c r="E300">
        <v>1.9033037638090701E-3</v>
      </c>
      <c r="F300" t="str">
        <f>"39/60"</f>
        <v>39/60</v>
      </c>
      <c r="G300" s="10">
        <v>0.37069999999999997</v>
      </c>
    </row>
    <row r="301" spans="1:7" x14ac:dyDescent="0.2">
      <c r="A301" s="1" t="s">
        <v>146</v>
      </c>
      <c r="B301" t="s">
        <v>307</v>
      </c>
      <c r="C301">
        <v>-2.4601426893065099</v>
      </c>
      <c r="D301">
        <v>0</v>
      </c>
      <c r="E301">
        <v>1.88970873692472E-3</v>
      </c>
      <c r="F301" t="str">
        <f>"18/25"</f>
        <v>18/25</v>
      </c>
      <c r="G301" s="10">
        <v>0.29449999999999998</v>
      </c>
    </row>
    <row r="302" spans="1:7" x14ac:dyDescent="0.2">
      <c r="A302" s="1" t="s">
        <v>146</v>
      </c>
      <c r="B302" t="s">
        <v>295</v>
      </c>
      <c r="C302">
        <v>-2.456866096353</v>
      </c>
      <c r="D302">
        <v>0</v>
      </c>
      <c r="E302">
        <v>1.8763065473011401E-3</v>
      </c>
      <c r="F302" t="str">
        <f>"51/90"</f>
        <v>51/90</v>
      </c>
      <c r="G302" s="10">
        <v>0.35060000000000002</v>
      </c>
    </row>
    <row r="303" spans="1:7" x14ac:dyDescent="0.2">
      <c r="A303" s="1" t="s">
        <v>146</v>
      </c>
      <c r="B303" t="s">
        <v>764</v>
      </c>
      <c r="C303">
        <v>2.4537242372351602</v>
      </c>
      <c r="D303">
        <v>0</v>
      </c>
      <c r="E303">
        <v>1.6033689909334E-3</v>
      </c>
      <c r="F303" t="str">
        <f>"62/85"</f>
        <v>62/85</v>
      </c>
      <c r="G303" s="10">
        <v>0.50800000000000001</v>
      </c>
    </row>
    <row r="304" spans="1:7" x14ac:dyDescent="0.2">
      <c r="A304" s="1" t="s">
        <v>146</v>
      </c>
      <c r="B304" t="s">
        <v>765</v>
      </c>
      <c r="C304">
        <v>-2.45367488731037</v>
      </c>
      <c r="D304">
        <v>0</v>
      </c>
      <c r="E304">
        <v>1.9376168457481699E-3</v>
      </c>
      <c r="F304" t="str">
        <f>"26/35"</f>
        <v>26/35</v>
      </c>
      <c r="G304" s="10">
        <v>0.37180000000000002</v>
      </c>
    </row>
    <row r="305" spans="1:7" x14ac:dyDescent="0.2">
      <c r="A305" s="1" t="s">
        <v>146</v>
      </c>
      <c r="B305" t="s">
        <v>766</v>
      </c>
      <c r="C305">
        <v>2.45235133705981</v>
      </c>
      <c r="D305">
        <v>0</v>
      </c>
      <c r="E305">
        <v>1.59341017732512E-3</v>
      </c>
      <c r="F305" t="str">
        <f>"18/34"</f>
        <v>18/34</v>
      </c>
      <c r="G305" s="10">
        <v>0.1678</v>
      </c>
    </row>
    <row r="306" spans="1:7" x14ac:dyDescent="0.2">
      <c r="A306" s="1" t="s">
        <v>146</v>
      </c>
      <c r="B306" t="s">
        <v>767</v>
      </c>
      <c r="C306">
        <v>-2.45019939814933</v>
      </c>
      <c r="D306">
        <v>0</v>
      </c>
      <c r="E306">
        <v>1.99806965750362E-3</v>
      </c>
      <c r="F306" t="str">
        <f>"25/33"</f>
        <v>25/33</v>
      </c>
      <c r="G306" s="10">
        <v>0.38190000000000002</v>
      </c>
    </row>
    <row r="307" spans="1:7" x14ac:dyDescent="0.2">
      <c r="A307" s="1" t="s">
        <v>146</v>
      </c>
      <c r="B307" t="s">
        <v>768</v>
      </c>
      <c r="C307">
        <v>-2.4499105745879</v>
      </c>
      <c r="D307">
        <v>0</v>
      </c>
      <c r="E307">
        <v>1.9841941737709602E-3</v>
      </c>
      <c r="F307" t="str">
        <f>"72/126"</f>
        <v>72/126</v>
      </c>
      <c r="G307" s="10">
        <v>0.38340000000000002</v>
      </c>
    </row>
    <row r="308" spans="1:7" x14ac:dyDescent="0.2">
      <c r="A308" s="1" t="s">
        <v>146</v>
      </c>
      <c r="B308" t="s">
        <v>769</v>
      </c>
      <c r="C308">
        <v>-2.4439890272835298</v>
      </c>
      <c r="D308">
        <v>0</v>
      </c>
      <c r="E308">
        <v>2.1894556400231299E-3</v>
      </c>
      <c r="F308" t="str">
        <f>"11/16"</f>
        <v>11/16</v>
      </c>
      <c r="G308" s="10">
        <v>0.187</v>
      </c>
    </row>
    <row r="309" spans="1:7" x14ac:dyDescent="0.2">
      <c r="A309" s="1" t="s">
        <v>146</v>
      </c>
      <c r="B309" t="s">
        <v>770</v>
      </c>
      <c r="C309">
        <v>2.4409791439838</v>
      </c>
      <c r="D309">
        <v>0</v>
      </c>
      <c r="E309">
        <v>1.7595270133699799E-3</v>
      </c>
      <c r="F309" t="str">
        <f>"170/192"</f>
        <v>170/192</v>
      </c>
      <c r="G309" s="10">
        <v>0.72789999999999999</v>
      </c>
    </row>
    <row r="310" spans="1:7" x14ac:dyDescent="0.2">
      <c r="A310" s="1" t="s">
        <v>146</v>
      </c>
      <c r="B310" t="s">
        <v>771</v>
      </c>
      <c r="C310">
        <v>-2.4406761592463599</v>
      </c>
      <c r="D310">
        <v>0</v>
      </c>
      <c r="E310">
        <v>2.2469413474666602E-3</v>
      </c>
      <c r="F310" t="str">
        <f>"25/51"</f>
        <v>25/51</v>
      </c>
      <c r="G310" s="10">
        <v>0.19320000000000001</v>
      </c>
    </row>
    <row r="311" spans="1:7" x14ac:dyDescent="0.2">
      <c r="A311" s="1" t="s">
        <v>146</v>
      </c>
      <c r="B311" t="s">
        <v>772</v>
      </c>
      <c r="C311">
        <v>-2.4381436737789701</v>
      </c>
      <c r="D311">
        <v>0</v>
      </c>
      <c r="E311">
        <v>2.2316560321777698E-3</v>
      </c>
      <c r="F311" t="str">
        <f>"24/27"</f>
        <v>24/27</v>
      </c>
      <c r="G311" s="10">
        <v>0.51139999999999997</v>
      </c>
    </row>
    <row r="312" spans="1:7" x14ac:dyDescent="0.2">
      <c r="A312" s="1" t="s">
        <v>146</v>
      </c>
      <c r="B312" t="s">
        <v>773</v>
      </c>
      <c r="C312">
        <v>2.43793793121498</v>
      </c>
      <c r="D312">
        <v>0</v>
      </c>
      <c r="E312">
        <v>1.8653145270572599E-3</v>
      </c>
      <c r="F312" t="str">
        <f>"17/22"</f>
        <v>17/22</v>
      </c>
      <c r="G312" s="10">
        <v>0.32950000000000002</v>
      </c>
    </row>
    <row r="313" spans="1:7" x14ac:dyDescent="0.2">
      <c r="A313" s="1" t="s">
        <v>146</v>
      </c>
      <c r="B313" t="s">
        <v>64</v>
      </c>
      <c r="C313">
        <v>2.4344344859767801</v>
      </c>
      <c r="D313">
        <v>0</v>
      </c>
      <c r="E313">
        <v>1.85394065798984E-3</v>
      </c>
      <c r="F313" t="str">
        <f>"55/132"</f>
        <v>55/132</v>
      </c>
      <c r="G313" s="10">
        <v>0.2382</v>
      </c>
    </row>
    <row r="314" spans="1:7" x14ac:dyDescent="0.2">
      <c r="A314" s="1" t="s">
        <v>146</v>
      </c>
      <c r="B314" t="s">
        <v>774</v>
      </c>
      <c r="C314">
        <v>2.4343498726038799</v>
      </c>
      <c r="D314">
        <v>0</v>
      </c>
      <c r="E314">
        <v>1.84270465400202E-3</v>
      </c>
      <c r="F314" t="str">
        <f>"24/24"</f>
        <v>24/24</v>
      </c>
      <c r="G314" s="10">
        <v>0.60460000000000003</v>
      </c>
    </row>
    <row r="315" spans="1:7" x14ac:dyDescent="0.2">
      <c r="A315" s="1" t="s">
        <v>146</v>
      </c>
      <c r="B315" t="s">
        <v>775</v>
      </c>
      <c r="C315">
        <v>2.4332475369672002</v>
      </c>
      <c r="D315">
        <v>0</v>
      </c>
      <c r="E315">
        <v>1.83160402355622E-3</v>
      </c>
      <c r="F315" t="str">
        <f>"28/30"</f>
        <v>28/30</v>
      </c>
      <c r="G315" s="10">
        <v>0.56659999999999999</v>
      </c>
    </row>
    <row r="316" spans="1:7" x14ac:dyDescent="0.2">
      <c r="A316" s="1" t="s">
        <v>146</v>
      </c>
      <c r="B316" t="s">
        <v>776</v>
      </c>
      <c r="C316">
        <v>2.4318424787683099</v>
      </c>
      <c r="D316">
        <v>0</v>
      </c>
      <c r="E316">
        <v>1.8663554391817299E-3</v>
      </c>
      <c r="F316" t="str">
        <f>"14/15"</f>
        <v>14/15</v>
      </c>
      <c r="G316" s="10">
        <v>0.43669999999999998</v>
      </c>
    </row>
    <row r="317" spans="1:7" x14ac:dyDescent="0.2">
      <c r="A317" s="1" t="s">
        <v>146</v>
      </c>
      <c r="B317" t="s">
        <v>777</v>
      </c>
      <c r="C317">
        <v>2.4318424787683099</v>
      </c>
      <c r="D317">
        <v>0</v>
      </c>
      <c r="E317">
        <v>1.8663554391817299E-3</v>
      </c>
      <c r="F317" t="str">
        <f>"14/15"</f>
        <v>14/15</v>
      </c>
      <c r="G317" s="10">
        <v>0.43669999999999998</v>
      </c>
    </row>
    <row r="318" spans="1:7" x14ac:dyDescent="0.2">
      <c r="A318" s="1" t="s">
        <v>146</v>
      </c>
      <c r="B318" t="s">
        <v>778</v>
      </c>
      <c r="C318">
        <v>2.42920896393783</v>
      </c>
      <c r="D318">
        <v>0</v>
      </c>
      <c r="E318">
        <v>1.9115334890812399E-3</v>
      </c>
      <c r="F318" t="str">
        <f>"67/73"</f>
        <v>67/73</v>
      </c>
      <c r="G318" s="10">
        <v>0.66969999999999996</v>
      </c>
    </row>
    <row r="319" spans="1:7" x14ac:dyDescent="0.2">
      <c r="A319" s="1" t="s">
        <v>146</v>
      </c>
      <c r="B319" t="s">
        <v>779</v>
      </c>
      <c r="C319">
        <v>2.4267759612161099</v>
      </c>
      <c r="D319">
        <v>0</v>
      </c>
      <c r="E319">
        <v>1.9002891744395801E-3</v>
      </c>
      <c r="F319" t="str">
        <f>"22/44"</f>
        <v>22/44</v>
      </c>
      <c r="G319" s="10">
        <v>0.19869999999999999</v>
      </c>
    </row>
    <row r="320" spans="1:7" x14ac:dyDescent="0.2">
      <c r="A320" s="1" t="s">
        <v>146</v>
      </c>
      <c r="B320" t="s">
        <v>780</v>
      </c>
      <c r="C320">
        <v>-2.4266052800034799</v>
      </c>
      <c r="D320">
        <v>0</v>
      </c>
      <c r="E320">
        <v>2.3595822607005998E-3</v>
      </c>
      <c r="F320" t="str">
        <f>"59/131"</f>
        <v>59/131</v>
      </c>
      <c r="G320" s="10">
        <v>0.27529999999999999</v>
      </c>
    </row>
    <row r="321" spans="1:7" x14ac:dyDescent="0.2">
      <c r="A321" s="1" t="s">
        <v>146</v>
      </c>
      <c r="B321" t="s">
        <v>781</v>
      </c>
      <c r="C321">
        <v>2.4202631156566001</v>
      </c>
      <c r="D321">
        <v>0</v>
      </c>
      <c r="E321">
        <v>1.9447403831984E-3</v>
      </c>
      <c r="F321" t="str">
        <f>"30/33"</f>
        <v>30/33</v>
      </c>
      <c r="G321" s="10">
        <v>0.55289999999999995</v>
      </c>
    </row>
    <row r="322" spans="1:7" x14ac:dyDescent="0.2">
      <c r="A322" s="1" t="s">
        <v>146</v>
      </c>
      <c r="B322" t="s">
        <v>782</v>
      </c>
      <c r="C322">
        <v>-2.4118830156626001</v>
      </c>
      <c r="D322">
        <v>0</v>
      </c>
      <c r="E322">
        <v>2.6278365791329002E-3</v>
      </c>
      <c r="F322" t="str">
        <f>"42/53"</f>
        <v>42/53</v>
      </c>
      <c r="G322" s="10">
        <v>0.50980000000000003</v>
      </c>
    </row>
    <row r="323" spans="1:7" x14ac:dyDescent="0.2">
      <c r="A323" s="1" t="s">
        <v>146</v>
      </c>
      <c r="B323" t="s">
        <v>783</v>
      </c>
      <c r="C323">
        <v>2.4115141956558999</v>
      </c>
      <c r="D323">
        <v>0</v>
      </c>
      <c r="E323">
        <v>2.0439156818100202E-3</v>
      </c>
      <c r="F323" t="str">
        <f>"10/17"</f>
        <v>10/17</v>
      </c>
      <c r="G323" s="10">
        <v>0.13850000000000001</v>
      </c>
    </row>
    <row r="324" spans="1:7" x14ac:dyDescent="0.2">
      <c r="A324" s="1" t="s">
        <v>146</v>
      </c>
      <c r="B324" t="s">
        <v>784</v>
      </c>
      <c r="C324">
        <v>-2.4108258638998099</v>
      </c>
      <c r="D324">
        <v>0</v>
      </c>
      <c r="E324">
        <v>2.6808667947838798E-3</v>
      </c>
      <c r="F324" t="str">
        <f>"52/80"</f>
        <v>52/80</v>
      </c>
      <c r="G324" s="10">
        <v>0.43859999999999999</v>
      </c>
    </row>
    <row r="325" spans="1:7" x14ac:dyDescent="0.2">
      <c r="A325" s="1" t="s">
        <v>146</v>
      </c>
      <c r="B325" t="s">
        <v>785</v>
      </c>
      <c r="C325">
        <v>-2.41058860135692</v>
      </c>
      <c r="D325">
        <v>0</v>
      </c>
      <c r="E325">
        <v>2.6631127100502101E-3</v>
      </c>
      <c r="F325" t="str">
        <f>"18/23"</f>
        <v>18/23</v>
      </c>
      <c r="G325" s="10">
        <v>0.37590000000000001</v>
      </c>
    </row>
    <row r="326" spans="1:7" x14ac:dyDescent="0.2">
      <c r="A326" s="1" t="s">
        <v>146</v>
      </c>
      <c r="B326" t="s">
        <v>786</v>
      </c>
      <c r="C326">
        <v>2.4071216382870202</v>
      </c>
      <c r="D326">
        <v>0</v>
      </c>
      <c r="E326">
        <v>2.1419444451775699E-3</v>
      </c>
      <c r="F326" t="str">
        <f>"16/31"</f>
        <v>16/31</v>
      </c>
      <c r="G326" s="10">
        <v>0.16309999999999999</v>
      </c>
    </row>
    <row r="327" spans="1:7" x14ac:dyDescent="0.2">
      <c r="A327" s="1" t="s">
        <v>146</v>
      </c>
      <c r="B327" t="s">
        <v>787</v>
      </c>
      <c r="C327">
        <v>2.4067362812594002</v>
      </c>
      <c r="D327">
        <v>0</v>
      </c>
      <c r="E327">
        <v>2.1296344196305699E-3</v>
      </c>
      <c r="F327" t="str">
        <f>"76/81"</f>
        <v>76/81</v>
      </c>
      <c r="G327" s="10">
        <v>0.69720000000000004</v>
      </c>
    </row>
    <row r="328" spans="1:7" x14ac:dyDescent="0.2">
      <c r="A328" s="1" t="s">
        <v>146</v>
      </c>
      <c r="B328" t="s">
        <v>788</v>
      </c>
      <c r="C328">
        <v>2.40355019781081</v>
      </c>
      <c r="D328">
        <v>0</v>
      </c>
      <c r="E328">
        <v>2.1717590565023801E-3</v>
      </c>
      <c r="F328" t="str">
        <f>"85/93"</f>
        <v>85/93</v>
      </c>
      <c r="G328" s="10">
        <v>0.69750000000000001</v>
      </c>
    </row>
    <row r="329" spans="1:7" x14ac:dyDescent="0.2">
      <c r="A329" s="1" t="s">
        <v>146</v>
      </c>
      <c r="B329" t="s">
        <v>789</v>
      </c>
      <c r="C329">
        <v>2.4018957782206098</v>
      </c>
      <c r="D329">
        <v>0</v>
      </c>
      <c r="E329">
        <v>2.2134050043188299E-3</v>
      </c>
      <c r="F329" t="str">
        <f>"40/46"</f>
        <v>40/46</v>
      </c>
      <c r="G329" s="10">
        <v>0.55500000000000005</v>
      </c>
    </row>
    <row r="330" spans="1:7" x14ac:dyDescent="0.2">
      <c r="A330" s="1" t="s">
        <v>146</v>
      </c>
      <c r="B330" t="s">
        <v>45</v>
      </c>
      <c r="C330">
        <v>2.3960187105153401</v>
      </c>
      <c r="D330">
        <v>0</v>
      </c>
      <c r="E330">
        <v>2.41562183191473E-3</v>
      </c>
      <c r="F330" t="str">
        <f>"37/96"</f>
        <v>37/96</v>
      </c>
      <c r="G330" s="10">
        <v>0.1938</v>
      </c>
    </row>
    <row r="331" spans="1:7" x14ac:dyDescent="0.2">
      <c r="A331" s="1" t="s">
        <v>146</v>
      </c>
      <c r="B331" t="s">
        <v>790</v>
      </c>
      <c r="C331">
        <v>2.39563154173806</v>
      </c>
      <c r="D331">
        <v>0</v>
      </c>
      <c r="E331">
        <v>2.45542983214104E-3</v>
      </c>
      <c r="F331" t="str">
        <f>"23/40"</f>
        <v>23/40</v>
      </c>
      <c r="G331" s="10">
        <v>0.26190000000000002</v>
      </c>
    </row>
    <row r="332" spans="1:7" x14ac:dyDescent="0.2">
      <c r="A332" s="1" t="s">
        <v>146</v>
      </c>
      <c r="B332" t="s">
        <v>791</v>
      </c>
      <c r="C332">
        <v>2.3920346161459398</v>
      </c>
      <c r="D332">
        <v>0</v>
      </c>
      <c r="E332">
        <v>2.4947930502419099E-3</v>
      </c>
      <c r="F332" t="str">
        <f>"63/65"</f>
        <v>63/65</v>
      </c>
      <c r="G332" s="10">
        <v>0.72330000000000005</v>
      </c>
    </row>
    <row r="333" spans="1:7" x14ac:dyDescent="0.2">
      <c r="A333" s="1" t="s">
        <v>146</v>
      </c>
      <c r="B333" t="s">
        <v>792</v>
      </c>
      <c r="C333">
        <v>2.3915094872840799</v>
      </c>
      <c r="D333">
        <v>0</v>
      </c>
      <c r="E333">
        <v>2.4809330888516802E-3</v>
      </c>
      <c r="F333" t="str">
        <f>"42/50"</f>
        <v>42/50</v>
      </c>
      <c r="G333" s="10">
        <v>0.56740000000000002</v>
      </c>
    </row>
    <row r="334" spans="1:7" x14ac:dyDescent="0.2">
      <c r="A334" s="1" t="s">
        <v>146</v>
      </c>
      <c r="B334" t="s">
        <v>793</v>
      </c>
      <c r="C334">
        <v>2.3877285798990799</v>
      </c>
      <c r="D334">
        <v>0</v>
      </c>
      <c r="E334">
        <v>2.5197204522955799E-3</v>
      </c>
      <c r="F334" t="str">
        <f>"11/19"</f>
        <v>11/19</v>
      </c>
      <c r="G334" s="10">
        <v>0.13850000000000001</v>
      </c>
    </row>
    <row r="335" spans="1:7" x14ac:dyDescent="0.2">
      <c r="A335" s="1" t="s">
        <v>146</v>
      </c>
      <c r="B335" t="s">
        <v>794</v>
      </c>
      <c r="C335">
        <v>2.3874131183371401</v>
      </c>
      <c r="D335">
        <v>0</v>
      </c>
      <c r="E335">
        <v>2.5058758344258299E-3</v>
      </c>
      <c r="F335" t="str">
        <f>"19/36"</f>
        <v>19/36</v>
      </c>
      <c r="G335" s="10">
        <v>0.2041</v>
      </c>
    </row>
    <row r="336" spans="1:7" x14ac:dyDescent="0.2">
      <c r="A336" s="1" t="s">
        <v>146</v>
      </c>
      <c r="B336" t="s">
        <v>795</v>
      </c>
      <c r="C336">
        <v>2.3869870095291201</v>
      </c>
      <c r="D336">
        <v>0</v>
      </c>
      <c r="E336">
        <v>2.5441029931021798E-3</v>
      </c>
      <c r="F336" t="str">
        <f>"60/71"</f>
        <v>60/71</v>
      </c>
      <c r="G336" s="10">
        <v>0.61009999999999998</v>
      </c>
    </row>
    <row r="337" spans="1:7" x14ac:dyDescent="0.2">
      <c r="A337" s="1" t="s">
        <v>146</v>
      </c>
      <c r="B337" t="s">
        <v>796</v>
      </c>
      <c r="C337">
        <v>2.3819770950807899</v>
      </c>
      <c r="D337">
        <v>0</v>
      </c>
      <c r="E337">
        <v>2.5819146391842201E-3</v>
      </c>
      <c r="F337" t="str">
        <f>"40/102"</f>
        <v>40/102</v>
      </c>
      <c r="G337" s="10">
        <v>0.1996</v>
      </c>
    </row>
    <row r="338" spans="1:7" x14ac:dyDescent="0.2">
      <c r="A338" s="1" t="s">
        <v>146</v>
      </c>
      <c r="B338" t="s">
        <v>245</v>
      </c>
      <c r="C338">
        <v>2.3811994595172399</v>
      </c>
      <c r="D338">
        <v>0</v>
      </c>
      <c r="E338">
        <v>2.5679583438372798E-3</v>
      </c>
      <c r="F338" t="str">
        <f>"20/40"</f>
        <v>20/40</v>
      </c>
      <c r="G338" s="10">
        <v>0.1996</v>
      </c>
    </row>
    <row r="339" spans="1:7" x14ac:dyDescent="0.2">
      <c r="A339" s="1" t="s">
        <v>146</v>
      </c>
      <c r="B339" t="s">
        <v>277</v>
      </c>
      <c r="C339">
        <v>2.3791286584506399</v>
      </c>
      <c r="D339">
        <v>0</v>
      </c>
      <c r="E339">
        <v>2.6052351585058799E-3</v>
      </c>
      <c r="F339" t="str">
        <f>"12/23"</f>
        <v>12/23</v>
      </c>
      <c r="G339" s="10">
        <v>0.1177</v>
      </c>
    </row>
    <row r="340" spans="1:7" x14ac:dyDescent="0.2">
      <c r="A340" s="1" t="s">
        <v>146</v>
      </c>
      <c r="B340" t="s">
        <v>797</v>
      </c>
      <c r="C340">
        <v>2.3767944633234901</v>
      </c>
      <c r="D340">
        <v>0</v>
      </c>
      <c r="E340">
        <v>2.5913034196903399E-3</v>
      </c>
      <c r="F340" t="str">
        <f>"172/202"</f>
        <v>172/202</v>
      </c>
      <c r="G340" s="10">
        <v>0.70250000000000001</v>
      </c>
    </row>
    <row r="341" spans="1:7" x14ac:dyDescent="0.2">
      <c r="A341" s="1" t="s">
        <v>146</v>
      </c>
      <c r="B341" t="s">
        <v>798</v>
      </c>
      <c r="C341">
        <v>-2.37604325336196</v>
      </c>
      <c r="D341">
        <v>0</v>
      </c>
      <c r="E341">
        <v>3.4810424101244901E-3</v>
      </c>
      <c r="F341" t="str">
        <f>"61/109"</f>
        <v>61/109</v>
      </c>
      <c r="G341" s="10">
        <v>0.36449999999999999</v>
      </c>
    </row>
    <row r="342" spans="1:7" x14ac:dyDescent="0.2">
      <c r="A342" s="1" t="s">
        <v>146</v>
      </c>
      <c r="B342" t="s">
        <v>799</v>
      </c>
      <c r="C342">
        <v>-2.37058481878955</v>
      </c>
      <c r="D342">
        <v>0</v>
      </c>
      <c r="E342">
        <v>3.5274563089261498E-3</v>
      </c>
      <c r="F342" t="str">
        <f>"93/144"</f>
        <v>93/144</v>
      </c>
      <c r="G342" s="10">
        <v>0.4894</v>
      </c>
    </row>
    <row r="343" spans="1:7" x14ac:dyDescent="0.2">
      <c r="A343" s="1" t="s">
        <v>146</v>
      </c>
      <c r="B343" t="s">
        <v>800</v>
      </c>
      <c r="C343">
        <v>2.3699629221933902</v>
      </c>
      <c r="D343">
        <v>0</v>
      </c>
      <c r="E343">
        <v>2.7796783136749301E-3</v>
      </c>
      <c r="F343" t="str">
        <f>"25/35"</f>
        <v>25/35</v>
      </c>
      <c r="G343" s="10">
        <v>0.37559999999999999</v>
      </c>
    </row>
    <row r="344" spans="1:7" x14ac:dyDescent="0.2">
      <c r="A344" s="1" t="s">
        <v>146</v>
      </c>
      <c r="B344" t="s">
        <v>801</v>
      </c>
      <c r="C344">
        <v>2.3673778238663701</v>
      </c>
      <c r="D344">
        <v>0</v>
      </c>
      <c r="E344">
        <v>2.76497102100998E-3</v>
      </c>
      <c r="F344" t="str">
        <f>"49/56"</f>
        <v>49/56</v>
      </c>
      <c r="G344" s="10">
        <v>0.61550000000000005</v>
      </c>
    </row>
    <row r="345" spans="1:7" x14ac:dyDescent="0.2">
      <c r="A345" s="1" t="s">
        <v>146</v>
      </c>
      <c r="B345" t="s">
        <v>802</v>
      </c>
      <c r="C345">
        <v>2.3635360981290798</v>
      </c>
      <c r="D345">
        <v>0</v>
      </c>
      <c r="E345">
        <v>2.85043376165938E-3</v>
      </c>
      <c r="F345" t="str">
        <f>"51/52"</f>
        <v>51/52</v>
      </c>
      <c r="G345" s="10">
        <v>0.70920000000000005</v>
      </c>
    </row>
    <row r="346" spans="1:7" x14ac:dyDescent="0.2">
      <c r="A346" s="1" t="s">
        <v>146</v>
      </c>
      <c r="B346" t="s">
        <v>803</v>
      </c>
      <c r="C346">
        <v>-2.3615800625958601</v>
      </c>
      <c r="D346">
        <v>0</v>
      </c>
      <c r="E346">
        <v>3.7107007925067299E-3</v>
      </c>
      <c r="F346" t="str">
        <f>"26/47"</f>
        <v>26/47</v>
      </c>
      <c r="G346" s="10">
        <v>0.26450000000000001</v>
      </c>
    </row>
    <row r="347" spans="1:7" x14ac:dyDescent="0.2">
      <c r="A347" s="1" t="s">
        <v>146</v>
      </c>
      <c r="B347" t="s">
        <v>804</v>
      </c>
      <c r="C347">
        <v>2.3606005816155902</v>
      </c>
      <c r="D347">
        <v>0</v>
      </c>
      <c r="E347">
        <v>2.8852558145941302E-3</v>
      </c>
      <c r="F347" t="str">
        <f>"18/21"</f>
        <v>18/21</v>
      </c>
      <c r="G347" s="10">
        <v>0.42699999999999999</v>
      </c>
    </row>
    <row r="348" spans="1:7" x14ac:dyDescent="0.2">
      <c r="A348" s="1" t="s">
        <v>146</v>
      </c>
      <c r="B348" t="s">
        <v>805</v>
      </c>
      <c r="C348">
        <v>-2.3599459071764799</v>
      </c>
      <c r="D348">
        <v>0</v>
      </c>
      <c r="E348">
        <v>3.7550341353084901E-3</v>
      </c>
      <c r="F348" t="str">
        <f>"43/52"</f>
        <v>43/52</v>
      </c>
      <c r="G348" s="10">
        <v>0.53990000000000005</v>
      </c>
    </row>
    <row r="349" spans="1:7" x14ac:dyDescent="0.2">
      <c r="A349" s="1" t="s">
        <v>146</v>
      </c>
      <c r="B349" t="s">
        <v>806</v>
      </c>
      <c r="C349">
        <v>2.3591530529957598</v>
      </c>
      <c r="D349">
        <v>0</v>
      </c>
      <c r="E349">
        <v>2.8702284405597899E-3</v>
      </c>
      <c r="F349" t="str">
        <f>"55/78"</f>
        <v>55/78</v>
      </c>
      <c r="G349" s="10">
        <v>0.47320000000000001</v>
      </c>
    </row>
    <row r="350" spans="1:7" x14ac:dyDescent="0.2">
      <c r="A350" s="1" t="s">
        <v>146</v>
      </c>
      <c r="B350" t="s">
        <v>807</v>
      </c>
      <c r="C350">
        <v>-2.3525009634280201</v>
      </c>
      <c r="D350">
        <v>0</v>
      </c>
      <c r="E350">
        <v>3.7987991019204702E-3</v>
      </c>
      <c r="F350" t="str">
        <f>"39/81"</f>
        <v>39/81</v>
      </c>
      <c r="G350" s="10">
        <v>0.25109999999999999</v>
      </c>
    </row>
    <row r="351" spans="1:7" x14ac:dyDescent="0.2">
      <c r="A351" s="1" t="s">
        <v>146</v>
      </c>
      <c r="B351" t="s">
        <v>808</v>
      </c>
      <c r="C351">
        <v>-2.3504293007374599</v>
      </c>
      <c r="D351">
        <v>0</v>
      </c>
      <c r="E351">
        <v>3.8420065530342198E-3</v>
      </c>
      <c r="F351" t="str">
        <f>"11/15"</f>
        <v>11/15</v>
      </c>
      <c r="G351" s="10">
        <v>0.24809999999999999</v>
      </c>
    </row>
    <row r="352" spans="1:7" x14ac:dyDescent="0.2">
      <c r="A352" s="1" t="s">
        <v>146</v>
      </c>
      <c r="B352" t="s">
        <v>809</v>
      </c>
      <c r="C352">
        <v>2.3503882018366098</v>
      </c>
      <c r="D352">
        <v>0</v>
      </c>
      <c r="E352">
        <v>3.0522779485817201E-3</v>
      </c>
      <c r="F352" t="str">
        <f>"39/40"</f>
        <v>39/40</v>
      </c>
      <c r="G352" s="10">
        <v>0.66969999999999996</v>
      </c>
    </row>
    <row r="353" spans="1:7" x14ac:dyDescent="0.2">
      <c r="A353" s="1" t="s">
        <v>146</v>
      </c>
      <c r="B353" t="s">
        <v>810</v>
      </c>
      <c r="C353">
        <v>2.3492757291600599</v>
      </c>
      <c r="D353">
        <v>0</v>
      </c>
      <c r="E353">
        <v>3.0855210822086101E-3</v>
      </c>
      <c r="F353" t="str">
        <f>"10/17"</f>
        <v>10/17</v>
      </c>
      <c r="G353" s="10">
        <v>0.14000000000000001</v>
      </c>
    </row>
    <row r="354" spans="1:7" x14ac:dyDescent="0.2">
      <c r="A354" s="1" t="s">
        <v>146</v>
      </c>
      <c r="B354" t="s">
        <v>811</v>
      </c>
      <c r="C354">
        <v>-2.3408080660258901</v>
      </c>
      <c r="D354">
        <v>0</v>
      </c>
      <c r="E354">
        <v>3.95164409291094E-3</v>
      </c>
      <c r="F354" t="str">
        <f>"15/21"</f>
        <v>15/21</v>
      </c>
      <c r="G354" s="10">
        <v>0.32969999999999999</v>
      </c>
    </row>
    <row r="355" spans="1:7" x14ac:dyDescent="0.2">
      <c r="A355" s="1" t="s">
        <v>146</v>
      </c>
      <c r="B355" t="s">
        <v>812</v>
      </c>
      <c r="C355">
        <v>-2.3393735766328998</v>
      </c>
      <c r="D355">
        <v>0</v>
      </c>
      <c r="E355">
        <v>3.9267909854083603E-3</v>
      </c>
      <c r="F355" t="str">
        <f>"10/17"</f>
        <v>10/17</v>
      </c>
      <c r="G355" s="10">
        <v>0.1389</v>
      </c>
    </row>
    <row r="356" spans="1:7" x14ac:dyDescent="0.2">
      <c r="A356" s="1" t="s">
        <v>146</v>
      </c>
      <c r="B356" t="s">
        <v>813</v>
      </c>
      <c r="C356">
        <v>2.32911383192216</v>
      </c>
      <c r="D356">
        <v>0</v>
      </c>
      <c r="E356">
        <v>3.5082261681961598E-3</v>
      </c>
      <c r="F356" t="str">
        <f>"16/19"</f>
        <v>16/19</v>
      </c>
      <c r="G356" s="10">
        <v>0.3891</v>
      </c>
    </row>
    <row r="357" spans="1:7" x14ac:dyDescent="0.2">
      <c r="A357" s="1" t="s">
        <v>146</v>
      </c>
      <c r="B357" t="s">
        <v>814</v>
      </c>
      <c r="C357">
        <v>-2.3261972364180199</v>
      </c>
      <c r="D357">
        <v>0</v>
      </c>
      <c r="E357">
        <v>4.4313669880884799E-3</v>
      </c>
      <c r="F357" t="str">
        <f>"13/16"</f>
        <v>13/16</v>
      </c>
      <c r="G357" s="10">
        <v>0.35099999999999998</v>
      </c>
    </row>
    <row r="358" spans="1:7" x14ac:dyDescent="0.2">
      <c r="A358" s="1" t="s">
        <v>146</v>
      </c>
      <c r="B358" t="s">
        <v>815</v>
      </c>
      <c r="C358">
        <v>2.3239085839054199</v>
      </c>
      <c r="D358">
        <v>0</v>
      </c>
      <c r="E358">
        <v>3.58728058440126E-3</v>
      </c>
      <c r="F358" t="str">
        <f>"56/62"</f>
        <v>56/62</v>
      </c>
      <c r="G358" s="10">
        <v>0.66969999999999996</v>
      </c>
    </row>
    <row r="359" spans="1:7" x14ac:dyDescent="0.2">
      <c r="A359" s="1" t="s">
        <v>146</v>
      </c>
      <c r="B359" t="s">
        <v>816</v>
      </c>
      <c r="C359">
        <v>-2.32228928560738</v>
      </c>
      <c r="D359">
        <v>0</v>
      </c>
      <c r="E359">
        <v>4.6010299681645498E-3</v>
      </c>
      <c r="F359" t="str">
        <f>"24/51"</f>
        <v>24/51</v>
      </c>
      <c r="G359" s="10">
        <v>0.19320000000000001</v>
      </c>
    </row>
    <row r="360" spans="1:7" x14ac:dyDescent="0.2">
      <c r="A360" s="1" t="s">
        <v>146</v>
      </c>
      <c r="B360" t="s">
        <v>817</v>
      </c>
      <c r="C360">
        <v>2.3201364823210202</v>
      </c>
      <c r="D360">
        <v>0</v>
      </c>
      <c r="E360">
        <v>3.7619937971139E-3</v>
      </c>
      <c r="F360" t="str">
        <f>"45/54"</f>
        <v>45/54</v>
      </c>
      <c r="G360" s="10">
        <v>0.56130000000000002</v>
      </c>
    </row>
    <row r="361" spans="1:7" x14ac:dyDescent="0.2">
      <c r="A361" s="1" t="s">
        <v>146</v>
      </c>
      <c r="B361" t="s">
        <v>818</v>
      </c>
      <c r="C361">
        <v>2.3187530239567602</v>
      </c>
      <c r="D361">
        <v>0</v>
      </c>
      <c r="E361">
        <v>3.79098092880624E-3</v>
      </c>
      <c r="F361" t="str">
        <f>"47/69"</f>
        <v>47/69</v>
      </c>
      <c r="G361" s="10">
        <v>0.45989999999999998</v>
      </c>
    </row>
    <row r="362" spans="1:7" x14ac:dyDescent="0.2">
      <c r="A362" s="1" t="s">
        <v>146</v>
      </c>
      <c r="B362" t="s">
        <v>819</v>
      </c>
      <c r="C362">
        <v>2.3174620803486299</v>
      </c>
      <c r="D362">
        <v>1.85185185185185E-2</v>
      </c>
      <c r="E362">
        <v>3.8196767325418802E-3</v>
      </c>
      <c r="F362" t="str">
        <f>"22/48"</f>
        <v>22/48</v>
      </c>
      <c r="G362" s="10">
        <v>0.1996</v>
      </c>
    </row>
    <row r="363" spans="1:7" x14ac:dyDescent="0.2">
      <c r="A363" s="1" t="s">
        <v>146</v>
      </c>
      <c r="B363" t="s">
        <v>820</v>
      </c>
      <c r="C363">
        <v>-2.31236158404371</v>
      </c>
      <c r="D363">
        <v>2.0833333333333301E-2</v>
      </c>
      <c r="E363">
        <v>5.2911844633892298E-3</v>
      </c>
      <c r="F363" t="str">
        <f>"23/27"</f>
        <v>23/27</v>
      </c>
      <c r="G363" s="10">
        <v>0.49830000000000002</v>
      </c>
    </row>
    <row r="364" spans="1:7" x14ac:dyDescent="0.2">
      <c r="A364" s="1" t="s">
        <v>146</v>
      </c>
      <c r="B364" t="s">
        <v>821</v>
      </c>
      <c r="C364">
        <v>-2.3107679321931398</v>
      </c>
      <c r="D364">
        <v>0</v>
      </c>
      <c r="E364">
        <v>5.25872320901261E-3</v>
      </c>
      <c r="F364" t="str">
        <f>"13/22"</f>
        <v>13/22</v>
      </c>
      <c r="G364" s="10">
        <v>0.19869999999999999</v>
      </c>
    </row>
    <row r="365" spans="1:7" x14ac:dyDescent="0.2">
      <c r="A365" s="1" t="s">
        <v>146</v>
      </c>
      <c r="B365" t="s">
        <v>822</v>
      </c>
      <c r="C365">
        <v>-2.3090329155526601</v>
      </c>
      <c r="D365">
        <v>0</v>
      </c>
      <c r="E365">
        <v>5.3557111031866597E-3</v>
      </c>
      <c r="F365" t="str">
        <f>"30/44"</f>
        <v>30/44</v>
      </c>
      <c r="G365" s="10">
        <v>0.37419999999999998</v>
      </c>
    </row>
    <row r="366" spans="1:7" x14ac:dyDescent="0.2">
      <c r="A366" s="1" t="s">
        <v>146</v>
      </c>
      <c r="B366" t="s">
        <v>823</v>
      </c>
      <c r="C366">
        <v>2.3080290473098999</v>
      </c>
      <c r="D366">
        <v>0</v>
      </c>
      <c r="E366">
        <v>4.1806361837670898E-3</v>
      </c>
      <c r="F366" t="str">
        <f>"39/62"</f>
        <v>39/62</v>
      </c>
      <c r="G366" s="10">
        <v>0.38550000000000001</v>
      </c>
    </row>
    <row r="367" spans="1:7" x14ac:dyDescent="0.2">
      <c r="A367" s="1" t="s">
        <v>146</v>
      </c>
      <c r="B367" t="s">
        <v>824</v>
      </c>
      <c r="C367">
        <v>-2.3076126968002901</v>
      </c>
      <c r="D367">
        <v>0</v>
      </c>
      <c r="E367">
        <v>5.3873878172690402E-3</v>
      </c>
      <c r="F367" t="str">
        <f>"105/204"</f>
        <v>105/204</v>
      </c>
      <c r="G367" s="10">
        <v>0.3705</v>
      </c>
    </row>
    <row r="368" spans="1:7" x14ac:dyDescent="0.2">
      <c r="A368" s="1" t="s">
        <v>146</v>
      </c>
      <c r="B368" t="s">
        <v>825</v>
      </c>
      <c r="C368">
        <v>2.30733304441882</v>
      </c>
      <c r="D368">
        <v>0</v>
      </c>
      <c r="E368">
        <v>4.2071078737592801E-3</v>
      </c>
      <c r="F368" t="str">
        <f>"61/66"</f>
        <v>61/66</v>
      </c>
      <c r="G368" s="10">
        <v>0.67949999999999999</v>
      </c>
    </row>
    <row r="369" spans="1:7" x14ac:dyDescent="0.2">
      <c r="A369" s="1" t="s">
        <v>146</v>
      </c>
      <c r="B369" t="s">
        <v>826</v>
      </c>
      <c r="C369">
        <v>2.3034428417573101</v>
      </c>
      <c r="D369">
        <v>0</v>
      </c>
      <c r="E369">
        <v>4.2803543285644197E-3</v>
      </c>
      <c r="F369" t="str">
        <f>"35/41"</f>
        <v>35/41</v>
      </c>
      <c r="G369" s="10">
        <v>0.55979999999999996</v>
      </c>
    </row>
    <row r="370" spans="1:7" x14ac:dyDescent="0.2">
      <c r="A370" s="1" t="s">
        <v>146</v>
      </c>
      <c r="B370" t="s">
        <v>827</v>
      </c>
      <c r="C370">
        <v>-2.3021583273669299</v>
      </c>
      <c r="D370">
        <v>0</v>
      </c>
      <c r="E370">
        <v>5.3549336737915097E-3</v>
      </c>
      <c r="F370" t="str">
        <f>"25/33"</f>
        <v>25/33</v>
      </c>
      <c r="G370" s="10">
        <v>0.41649999999999998</v>
      </c>
    </row>
    <row r="371" spans="1:7" x14ac:dyDescent="0.2">
      <c r="A371" s="1" t="s">
        <v>146</v>
      </c>
      <c r="B371" t="s">
        <v>828</v>
      </c>
      <c r="C371">
        <v>2.2994658191864299</v>
      </c>
      <c r="D371">
        <v>0</v>
      </c>
      <c r="E371">
        <v>4.5400997517399001E-3</v>
      </c>
      <c r="F371" t="str">
        <f>"15/25"</f>
        <v>15/25</v>
      </c>
      <c r="G371" s="10">
        <v>0.2215</v>
      </c>
    </row>
    <row r="372" spans="1:7" x14ac:dyDescent="0.2">
      <c r="A372" s="1" t="s">
        <v>146</v>
      </c>
      <c r="B372" t="s">
        <v>829</v>
      </c>
      <c r="C372">
        <v>2.2989234219886399</v>
      </c>
      <c r="D372">
        <v>0</v>
      </c>
      <c r="E372">
        <v>4.5178443608000001E-3</v>
      </c>
      <c r="F372" t="str">
        <f>"27/36"</f>
        <v>27/36</v>
      </c>
      <c r="G372" s="10">
        <v>0.43109999999999998</v>
      </c>
    </row>
    <row r="373" spans="1:7" x14ac:dyDescent="0.2">
      <c r="A373" s="1" t="s">
        <v>146</v>
      </c>
      <c r="B373" t="s">
        <v>830</v>
      </c>
      <c r="C373">
        <v>2.2929283054153999</v>
      </c>
      <c r="D373">
        <v>0</v>
      </c>
      <c r="E373">
        <v>4.5421546120751098E-3</v>
      </c>
      <c r="F373" t="str">
        <f>"36/38"</f>
        <v>36/38</v>
      </c>
      <c r="G373" s="10">
        <v>0.62929999999999997</v>
      </c>
    </row>
    <row r="374" spans="1:7" x14ac:dyDescent="0.2">
      <c r="A374" s="1" t="s">
        <v>146</v>
      </c>
      <c r="B374" t="s">
        <v>831</v>
      </c>
      <c r="C374">
        <v>-2.2917334231137301</v>
      </c>
      <c r="D374">
        <v>1.7857142857142801E-2</v>
      </c>
      <c r="E374">
        <v>5.8931755101221403E-3</v>
      </c>
      <c r="F374" t="str">
        <f>"33/46"</f>
        <v>33/46</v>
      </c>
      <c r="G374" s="10">
        <v>0.4249</v>
      </c>
    </row>
    <row r="375" spans="1:7" x14ac:dyDescent="0.2">
      <c r="A375" s="1" t="s">
        <v>146</v>
      </c>
      <c r="B375" t="s">
        <v>832</v>
      </c>
      <c r="C375">
        <v>2.2889982324740101</v>
      </c>
      <c r="D375">
        <v>0</v>
      </c>
      <c r="E375">
        <v>4.5900704696608396E-3</v>
      </c>
      <c r="F375" t="str">
        <f>"20/27"</f>
        <v>20/27</v>
      </c>
      <c r="G375" s="10">
        <v>0.37559999999999999</v>
      </c>
    </row>
    <row r="376" spans="1:7" x14ac:dyDescent="0.2">
      <c r="A376" s="1" t="s">
        <v>146</v>
      </c>
      <c r="B376" t="s">
        <v>833</v>
      </c>
      <c r="C376">
        <v>2.2889982324740101</v>
      </c>
      <c r="D376">
        <v>0</v>
      </c>
      <c r="E376">
        <v>4.5900704696608396E-3</v>
      </c>
      <c r="F376" t="str">
        <f>"20/27"</f>
        <v>20/27</v>
      </c>
      <c r="G376" s="10">
        <v>0.37559999999999999</v>
      </c>
    </row>
    <row r="377" spans="1:7" x14ac:dyDescent="0.2">
      <c r="A377" s="1" t="s">
        <v>146</v>
      </c>
      <c r="B377" t="s">
        <v>834</v>
      </c>
      <c r="C377">
        <v>2.2888417979738498</v>
      </c>
      <c r="D377">
        <v>0</v>
      </c>
      <c r="E377">
        <v>4.5680028231720798E-3</v>
      </c>
      <c r="F377" t="str">
        <f>"37/88"</f>
        <v>37/88</v>
      </c>
      <c r="G377" s="10">
        <v>0.22869999999999999</v>
      </c>
    </row>
    <row r="378" spans="1:7" x14ac:dyDescent="0.2">
      <c r="A378" s="1" t="s">
        <v>146</v>
      </c>
      <c r="B378" t="s">
        <v>254</v>
      </c>
      <c r="C378">
        <v>2.2869627698197701</v>
      </c>
      <c r="D378">
        <v>0</v>
      </c>
      <c r="E378">
        <v>4.6825307408439598E-3</v>
      </c>
      <c r="F378" t="str">
        <f>"13/23"</f>
        <v>13/23</v>
      </c>
      <c r="G378" s="10">
        <v>0.19350000000000001</v>
      </c>
    </row>
    <row r="379" spans="1:7" x14ac:dyDescent="0.2">
      <c r="A379" s="1" t="s">
        <v>146</v>
      </c>
      <c r="B379" t="s">
        <v>835</v>
      </c>
      <c r="C379">
        <v>2.2856684867258701</v>
      </c>
      <c r="D379">
        <v>0</v>
      </c>
      <c r="E379">
        <v>4.7959679164427697E-3</v>
      </c>
      <c r="F379" t="str">
        <f>"99/128"</f>
        <v>99/128</v>
      </c>
      <c r="G379" s="10">
        <v>0.60229999999999995</v>
      </c>
    </row>
    <row r="380" spans="1:7" x14ac:dyDescent="0.2">
      <c r="A380" s="1" t="s">
        <v>146</v>
      </c>
      <c r="B380" t="s">
        <v>836</v>
      </c>
      <c r="C380">
        <v>2.28453369877551</v>
      </c>
      <c r="D380">
        <v>0</v>
      </c>
      <c r="E380">
        <v>4.9083298581496402E-3</v>
      </c>
      <c r="F380" t="str">
        <f>"34/40"</f>
        <v>34/40</v>
      </c>
      <c r="G380" s="10">
        <v>0.55969999999999998</v>
      </c>
    </row>
    <row r="381" spans="1:7" x14ac:dyDescent="0.2">
      <c r="A381" s="1" t="s">
        <v>146</v>
      </c>
      <c r="B381" t="s">
        <v>837</v>
      </c>
      <c r="C381">
        <v>-2.2838782523980701</v>
      </c>
      <c r="D381">
        <v>0</v>
      </c>
      <c r="E381">
        <v>6.1100582493899503E-3</v>
      </c>
      <c r="F381" t="str">
        <f>"14/20"</f>
        <v>14/20</v>
      </c>
      <c r="G381" s="10">
        <v>0.26450000000000001</v>
      </c>
    </row>
    <row r="382" spans="1:7" x14ac:dyDescent="0.2">
      <c r="A382" s="1" t="s">
        <v>146</v>
      </c>
      <c r="B382" t="s">
        <v>838</v>
      </c>
      <c r="C382">
        <v>2.2829874763093101</v>
      </c>
      <c r="D382">
        <v>2.0833333333333301E-2</v>
      </c>
      <c r="E382">
        <v>4.9748136406319397E-3</v>
      </c>
      <c r="F382" t="str">
        <f>"170/212"</f>
        <v>170/212</v>
      </c>
      <c r="G382" s="10">
        <v>0.67079999999999995</v>
      </c>
    </row>
    <row r="383" spans="1:7" x14ac:dyDescent="0.2">
      <c r="A383" s="1" t="s">
        <v>146</v>
      </c>
      <c r="B383" t="s">
        <v>839</v>
      </c>
      <c r="C383">
        <v>-2.28178197485708</v>
      </c>
      <c r="D383">
        <v>0</v>
      </c>
      <c r="E383">
        <v>6.1365216261792298E-3</v>
      </c>
      <c r="F383" t="str">
        <f>"38/45"</f>
        <v>38/45</v>
      </c>
      <c r="G383" s="10">
        <v>0.52500000000000002</v>
      </c>
    </row>
    <row r="384" spans="1:7" x14ac:dyDescent="0.2">
      <c r="A384" s="1" t="s">
        <v>146</v>
      </c>
      <c r="B384" t="s">
        <v>840</v>
      </c>
      <c r="C384">
        <v>2.2807742545843701</v>
      </c>
      <c r="D384">
        <v>0</v>
      </c>
      <c r="E384">
        <v>5.0406731622458503E-3</v>
      </c>
      <c r="F384" t="str">
        <f>"77/98"</f>
        <v>77/98</v>
      </c>
      <c r="G384" s="10">
        <v>0.5968</v>
      </c>
    </row>
    <row r="385" spans="1:7" x14ac:dyDescent="0.2">
      <c r="A385" s="1" t="s">
        <v>146</v>
      </c>
      <c r="B385" t="s">
        <v>43</v>
      </c>
      <c r="C385">
        <v>2.2805793647760502</v>
      </c>
      <c r="D385">
        <v>0</v>
      </c>
      <c r="E385">
        <v>5.0615178945353501E-3</v>
      </c>
      <c r="F385" t="str">
        <f>"22/43"</f>
        <v>22/43</v>
      </c>
      <c r="G385" s="10">
        <v>0.2064</v>
      </c>
    </row>
    <row r="386" spans="1:7" x14ac:dyDescent="0.2">
      <c r="A386" s="1" t="s">
        <v>146</v>
      </c>
      <c r="B386" t="s">
        <v>841</v>
      </c>
      <c r="C386">
        <v>-2.2788803761823799</v>
      </c>
      <c r="D386">
        <v>0</v>
      </c>
      <c r="E386">
        <v>6.3494213560670804E-3</v>
      </c>
      <c r="F386" t="str">
        <f>"59/115"</f>
        <v>59/115</v>
      </c>
      <c r="G386" s="10">
        <v>0.3397</v>
      </c>
    </row>
    <row r="387" spans="1:7" x14ac:dyDescent="0.2">
      <c r="A387" s="1" t="s">
        <v>146</v>
      </c>
      <c r="B387" t="s">
        <v>842</v>
      </c>
      <c r="C387">
        <v>2.27534820025731</v>
      </c>
      <c r="D387">
        <v>0</v>
      </c>
      <c r="E387">
        <v>5.1705542653356197E-3</v>
      </c>
      <c r="F387" t="str">
        <f>"12/26"</f>
        <v>12/26</v>
      </c>
      <c r="G387" s="10">
        <v>0.1193</v>
      </c>
    </row>
    <row r="388" spans="1:7" x14ac:dyDescent="0.2">
      <c r="A388" s="1" t="s">
        <v>146</v>
      </c>
      <c r="B388" t="s">
        <v>257</v>
      </c>
      <c r="C388">
        <v>2.27392719475887</v>
      </c>
      <c r="D388">
        <v>0</v>
      </c>
      <c r="E388">
        <v>5.1906046894414602E-3</v>
      </c>
      <c r="F388" t="str">
        <f>"12/28"</f>
        <v>12/28</v>
      </c>
      <c r="G388" s="10">
        <v>4.87E-2</v>
      </c>
    </row>
    <row r="389" spans="1:7" x14ac:dyDescent="0.2">
      <c r="A389" s="1" t="s">
        <v>146</v>
      </c>
      <c r="B389" t="s">
        <v>297</v>
      </c>
      <c r="C389">
        <v>-2.2730144157216499</v>
      </c>
      <c r="D389">
        <v>0</v>
      </c>
      <c r="E389">
        <v>6.5598310306346002E-3</v>
      </c>
      <c r="F389" t="str">
        <f>"36/56"</f>
        <v>36/56</v>
      </c>
      <c r="G389" s="10">
        <v>0.38190000000000002</v>
      </c>
    </row>
    <row r="390" spans="1:7" x14ac:dyDescent="0.2">
      <c r="A390" s="1" t="s">
        <v>146</v>
      </c>
      <c r="B390" t="s">
        <v>843</v>
      </c>
      <c r="C390">
        <v>-2.2709524051966201</v>
      </c>
      <c r="D390">
        <v>0</v>
      </c>
      <c r="E390">
        <v>6.6447432796050802E-3</v>
      </c>
      <c r="F390" t="str">
        <f>"37/62"</f>
        <v>37/62</v>
      </c>
      <c r="G390" s="10">
        <v>0.35859999999999997</v>
      </c>
    </row>
    <row r="391" spans="1:7" x14ac:dyDescent="0.2">
      <c r="A391" s="1" t="s">
        <v>146</v>
      </c>
      <c r="B391" t="s">
        <v>844</v>
      </c>
      <c r="C391">
        <v>-2.26697504056082</v>
      </c>
      <c r="D391">
        <v>0</v>
      </c>
      <c r="E391">
        <v>6.7898436466613298E-3</v>
      </c>
      <c r="F391" t="str">
        <f>"12/16"</f>
        <v>12/16</v>
      </c>
      <c r="G391" s="10">
        <v>0.29449999999999998</v>
      </c>
    </row>
    <row r="392" spans="1:7" x14ac:dyDescent="0.2">
      <c r="A392" s="1" t="s">
        <v>146</v>
      </c>
      <c r="B392" t="s">
        <v>845</v>
      </c>
      <c r="C392">
        <v>-2.2651543468611899</v>
      </c>
      <c r="D392">
        <v>0</v>
      </c>
      <c r="E392">
        <v>6.8116397689608503E-3</v>
      </c>
      <c r="F392" t="str">
        <f>"51/71"</f>
        <v>51/71</v>
      </c>
      <c r="G392" s="10">
        <v>0.47020000000000001</v>
      </c>
    </row>
    <row r="393" spans="1:7" x14ac:dyDescent="0.2">
      <c r="A393" s="1" t="s">
        <v>146</v>
      </c>
      <c r="B393" t="s">
        <v>846</v>
      </c>
      <c r="C393">
        <v>-2.2650743041518999</v>
      </c>
      <c r="D393">
        <v>0</v>
      </c>
      <c r="E393">
        <v>6.77271611313822E-3</v>
      </c>
      <c r="F393" t="str">
        <f>"67/109"</f>
        <v>67/109</v>
      </c>
      <c r="G393" s="10">
        <v>0.42120000000000002</v>
      </c>
    </row>
    <row r="394" spans="1:7" x14ac:dyDescent="0.2">
      <c r="A394" s="1" t="s">
        <v>146</v>
      </c>
      <c r="B394" t="s">
        <v>847</v>
      </c>
      <c r="C394">
        <v>-2.2617053900497499</v>
      </c>
      <c r="D394">
        <v>0</v>
      </c>
      <c r="E394">
        <v>6.7943618677611698E-3</v>
      </c>
      <c r="F394" t="str">
        <f>"60/108"</f>
        <v>60/108</v>
      </c>
      <c r="G394" s="10">
        <v>0.36330000000000001</v>
      </c>
    </row>
    <row r="395" spans="1:7" x14ac:dyDescent="0.2">
      <c r="A395" s="1" t="s">
        <v>146</v>
      </c>
      <c r="B395" t="s">
        <v>848</v>
      </c>
      <c r="C395">
        <v>2.2604759303365598</v>
      </c>
      <c r="D395">
        <v>0</v>
      </c>
      <c r="E395">
        <v>5.7358958951978303E-3</v>
      </c>
      <c r="F395" t="str">
        <f>"22/33"</f>
        <v>22/33</v>
      </c>
      <c r="G395" s="10">
        <v>0.35720000000000002</v>
      </c>
    </row>
    <row r="396" spans="1:7" x14ac:dyDescent="0.2">
      <c r="A396" s="1" t="s">
        <v>146</v>
      </c>
      <c r="B396" t="s">
        <v>849</v>
      </c>
      <c r="C396">
        <v>2.2598941769088401</v>
      </c>
      <c r="D396">
        <v>0</v>
      </c>
      <c r="E396">
        <v>5.7531690602299398E-3</v>
      </c>
      <c r="F396" t="str">
        <f>"29/34"</f>
        <v>29/34</v>
      </c>
      <c r="G396" s="10">
        <v>0.51519999999999999</v>
      </c>
    </row>
    <row r="397" spans="1:7" x14ac:dyDescent="0.2">
      <c r="A397" s="1" t="s">
        <v>146</v>
      </c>
      <c r="B397" t="s">
        <v>850</v>
      </c>
      <c r="C397">
        <v>2.2572849800822699</v>
      </c>
      <c r="D397">
        <v>0</v>
      </c>
      <c r="E397">
        <v>5.9004412722325102E-3</v>
      </c>
      <c r="F397" t="str">
        <f>"40/52"</f>
        <v>40/52</v>
      </c>
      <c r="G397" s="10">
        <v>0.50260000000000005</v>
      </c>
    </row>
    <row r="398" spans="1:7" x14ac:dyDescent="0.2">
      <c r="A398" s="1" t="s">
        <v>146</v>
      </c>
      <c r="B398" t="s">
        <v>851</v>
      </c>
      <c r="C398">
        <v>-2.2572583749685999</v>
      </c>
      <c r="D398">
        <v>0</v>
      </c>
      <c r="E398">
        <v>6.8157630375861302E-3</v>
      </c>
      <c r="F398" t="str">
        <f>"15/17"</f>
        <v>15/17</v>
      </c>
      <c r="G398" s="10">
        <v>0.46910000000000002</v>
      </c>
    </row>
    <row r="399" spans="1:7" x14ac:dyDescent="0.2">
      <c r="A399" s="1" t="s">
        <v>146</v>
      </c>
      <c r="B399" t="s">
        <v>852</v>
      </c>
      <c r="C399">
        <v>-2.25724207086235</v>
      </c>
      <c r="D399">
        <v>0</v>
      </c>
      <c r="E399">
        <v>6.7774722340041898E-3</v>
      </c>
      <c r="F399" t="str">
        <f>"16/23"</f>
        <v>16/23</v>
      </c>
      <c r="G399" s="10">
        <v>0.29260000000000003</v>
      </c>
    </row>
    <row r="400" spans="1:7" x14ac:dyDescent="0.2">
      <c r="A400" s="1" t="s">
        <v>146</v>
      </c>
      <c r="B400" t="s">
        <v>853</v>
      </c>
      <c r="C400">
        <v>-2.2537008546341299</v>
      </c>
      <c r="D400">
        <v>0</v>
      </c>
      <c r="E400">
        <v>6.8197488639238999E-3</v>
      </c>
      <c r="F400" t="str">
        <f>"10/15"</f>
        <v>10/15</v>
      </c>
      <c r="G400" s="10">
        <v>0.16800000000000001</v>
      </c>
    </row>
    <row r="401" spans="1:7" x14ac:dyDescent="0.2">
      <c r="A401" s="1" t="s">
        <v>146</v>
      </c>
      <c r="B401" t="s">
        <v>854</v>
      </c>
      <c r="C401">
        <v>-2.2537008546341299</v>
      </c>
      <c r="D401">
        <v>0</v>
      </c>
      <c r="E401">
        <v>6.8197488639238999E-3</v>
      </c>
      <c r="F401" t="str">
        <f>"10/15"</f>
        <v>10/15</v>
      </c>
      <c r="G401" s="10">
        <v>0.16800000000000001</v>
      </c>
    </row>
    <row r="402" spans="1:7" x14ac:dyDescent="0.2">
      <c r="A402" s="1" t="s">
        <v>146</v>
      </c>
      <c r="B402" t="s">
        <v>855</v>
      </c>
      <c r="C402">
        <v>2.2527378776744098</v>
      </c>
      <c r="D402">
        <v>0</v>
      </c>
      <c r="E402">
        <v>6.0463746459441404E-3</v>
      </c>
      <c r="F402" t="str">
        <f>"19/38"</f>
        <v>19/38</v>
      </c>
      <c r="G402" s="10">
        <v>0.19350000000000001</v>
      </c>
    </row>
    <row r="403" spans="1:7" x14ac:dyDescent="0.2">
      <c r="A403" s="1" t="s">
        <v>146</v>
      </c>
      <c r="B403" t="s">
        <v>856</v>
      </c>
      <c r="C403">
        <v>-2.2514949597347198</v>
      </c>
      <c r="D403">
        <v>0</v>
      </c>
      <c r="E403">
        <v>6.84053682007227E-3</v>
      </c>
      <c r="F403" t="str">
        <f>"20/25"</f>
        <v>20/25</v>
      </c>
      <c r="G403" s="10">
        <v>0.39319999999999999</v>
      </c>
    </row>
    <row r="404" spans="1:7" x14ac:dyDescent="0.2">
      <c r="A404" s="1" t="s">
        <v>146</v>
      </c>
      <c r="B404" t="s">
        <v>857</v>
      </c>
      <c r="C404">
        <v>-2.2505983101213398</v>
      </c>
      <c r="D404">
        <v>0</v>
      </c>
      <c r="E404">
        <v>6.9192412213551499E-3</v>
      </c>
      <c r="F404" t="str">
        <f>"18/26"</f>
        <v>18/26</v>
      </c>
      <c r="G404" s="10">
        <v>0.31359999999999999</v>
      </c>
    </row>
    <row r="405" spans="1:7" x14ac:dyDescent="0.2">
      <c r="A405" s="1" t="s">
        <v>146</v>
      </c>
      <c r="B405" t="s">
        <v>60</v>
      </c>
      <c r="C405">
        <v>2.24582795037345</v>
      </c>
      <c r="D405">
        <v>0</v>
      </c>
      <c r="E405">
        <v>6.3629592266302897E-3</v>
      </c>
      <c r="F405" t="str">
        <f>"44/90"</f>
        <v>44/90</v>
      </c>
      <c r="G405" s="10">
        <v>0.27960000000000002</v>
      </c>
    </row>
    <row r="406" spans="1:7" x14ac:dyDescent="0.2">
      <c r="A406" s="1" t="s">
        <v>146</v>
      </c>
      <c r="B406" t="s">
        <v>858</v>
      </c>
      <c r="C406">
        <v>2.23913745517011</v>
      </c>
      <c r="D406">
        <v>0</v>
      </c>
      <c r="E406">
        <v>6.5054944710544399E-3</v>
      </c>
      <c r="F406" t="str">
        <f>"16/23"</f>
        <v>16/23</v>
      </c>
      <c r="G406" s="10">
        <v>0.29470000000000002</v>
      </c>
    </row>
    <row r="407" spans="1:7" x14ac:dyDescent="0.2">
      <c r="A407" s="1" t="s">
        <v>146</v>
      </c>
      <c r="B407" t="s">
        <v>859</v>
      </c>
      <c r="C407">
        <v>-2.2381610209634202</v>
      </c>
      <c r="D407">
        <v>0</v>
      </c>
      <c r="E407">
        <v>6.9392583126416203E-3</v>
      </c>
      <c r="F407" t="str">
        <f>"31/42"</f>
        <v>31/42</v>
      </c>
      <c r="G407" s="10">
        <v>0.44109999999999999</v>
      </c>
    </row>
    <row r="408" spans="1:7" x14ac:dyDescent="0.2">
      <c r="A408" s="1" t="s">
        <v>146</v>
      </c>
      <c r="B408" t="s">
        <v>860</v>
      </c>
      <c r="C408">
        <v>-2.2372265504699702</v>
      </c>
      <c r="D408">
        <v>0</v>
      </c>
      <c r="E408">
        <v>6.9015449522468299E-3</v>
      </c>
      <c r="F408" t="str">
        <f>"14/17"</f>
        <v>14/17</v>
      </c>
      <c r="G408" s="10">
        <v>0.38790000000000002</v>
      </c>
    </row>
    <row r="409" spans="1:7" x14ac:dyDescent="0.2">
      <c r="A409" s="1" t="s">
        <v>146</v>
      </c>
      <c r="B409" t="s">
        <v>861</v>
      </c>
      <c r="C409">
        <v>-2.23675509902223</v>
      </c>
      <c r="D409">
        <v>0</v>
      </c>
      <c r="E409">
        <v>6.8642393038562998E-3</v>
      </c>
      <c r="F409" t="str">
        <f>"42/77"</f>
        <v>42/77</v>
      </c>
      <c r="G409" s="10">
        <v>0.34749999999999998</v>
      </c>
    </row>
    <row r="410" spans="1:7" x14ac:dyDescent="0.2">
      <c r="A410" s="1" t="s">
        <v>146</v>
      </c>
      <c r="B410" t="s">
        <v>862</v>
      </c>
      <c r="C410">
        <v>2.2364258731378199</v>
      </c>
      <c r="D410">
        <v>0</v>
      </c>
      <c r="E410">
        <v>6.6041439918864599E-3</v>
      </c>
      <c r="F410" t="str">
        <f>"64/68"</f>
        <v>64/68</v>
      </c>
      <c r="G410" s="10">
        <v>0.71199999999999997</v>
      </c>
    </row>
    <row r="411" spans="1:7" x14ac:dyDescent="0.2">
      <c r="A411" s="1" t="s">
        <v>146</v>
      </c>
      <c r="B411" t="s">
        <v>863</v>
      </c>
      <c r="C411">
        <v>2.2345637676068399</v>
      </c>
      <c r="D411">
        <v>0</v>
      </c>
      <c r="E411">
        <v>6.7019127134253301E-3</v>
      </c>
      <c r="F411" t="str">
        <f>"120/159"</f>
        <v>120/159</v>
      </c>
      <c r="G411" s="10">
        <v>0.60650000000000004</v>
      </c>
    </row>
    <row r="412" spans="1:7" x14ac:dyDescent="0.2">
      <c r="A412" s="1" t="s">
        <v>146</v>
      </c>
      <c r="B412" t="s">
        <v>864</v>
      </c>
      <c r="C412">
        <v>-2.2338922066211699</v>
      </c>
      <c r="D412">
        <v>0</v>
      </c>
      <c r="E412">
        <v>6.8842292480655598E-3</v>
      </c>
      <c r="F412" t="str">
        <f>"43/91"</f>
        <v>43/91</v>
      </c>
      <c r="G412" s="10">
        <v>0.27489999999999998</v>
      </c>
    </row>
    <row r="413" spans="1:7" x14ac:dyDescent="0.2">
      <c r="A413" s="1" t="s">
        <v>146</v>
      </c>
      <c r="B413" t="s">
        <v>865</v>
      </c>
      <c r="C413">
        <v>-2.2332963962774701</v>
      </c>
      <c r="D413">
        <v>0</v>
      </c>
      <c r="E413">
        <v>6.9040053960800702E-3</v>
      </c>
      <c r="F413" t="str">
        <f>"23/33"</f>
        <v>23/33</v>
      </c>
      <c r="G413" s="10">
        <v>0.36330000000000001</v>
      </c>
    </row>
    <row r="414" spans="1:7" x14ac:dyDescent="0.2">
      <c r="A414" s="1" t="s">
        <v>146</v>
      </c>
      <c r="B414" t="s">
        <v>866</v>
      </c>
      <c r="C414">
        <v>-2.2330419451682202</v>
      </c>
      <c r="D414">
        <v>0</v>
      </c>
      <c r="E414">
        <v>6.8672819631222003E-3</v>
      </c>
      <c r="F414" t="str">
        <f>"40/49"</f>
        <v>40/49</v>
      </c>
      <c r="G414" s="10">
        <v>0.53990000000000005</v>
      </c>
    </row>
    <row r="415" spans="1:7" x14ac:dyDescent="0.2">
      <c r="A415" s="1" t="s">
        <v>146</v>
      </c>
      <c r="B415" t="s">
        <v>867</v>
      </c>
      <c r="C415">
        <v>-2.2304034383893701</v>
      </c>
      <c r="D415">
        <v>0</v>
      </c>
      <c r="E415">
        <v>6.9429298778864003E-3</v>
      </c>
      <c r="F415" t="str">
        <f>"19/29"</f>
        <v>19/29</v>
      </c>
      <c r="G415" s="10">
        <v>0.31240000000000001</v>
      </c>
    </row>
    <row r="416" spans="1:7" x14ac:dyDescent="0.2">
      <c r="A416" s="1" t="s">
        <v>146</v>
      </c>
      <c r="B416" t="s">
        <v>868</v>
      </c>
      <c r="C416">
        <v>-2.2277793897243598</v>
      </c>
      <c r="D416">
        <v>0</v>
      </c>
      <c r="E416">
        <v>6.9620848202489897E-3</v>
      </c>
      <c r="F416" t="str">
        <f>"13/17"</f>
        <v>13/17</v>
      </c>
      <c r="G416" s="10">
        <v>0.29449999999999998</v>
      </c>
    </row>
    <row r="417" spans="1:7" x14ac:dyDescent="0.2">
      <c r="A417" s="1" t="s">
        <v>146</v>
      </c>
      <c r="B417" t="s">
        <v>869</v>
      </c>
      <c r="C417">
        <v>2.2273805376492102</v>
      </c>
      <c r="D417">
        <v>0</v>
      </c>
      <c r="E417">
        <v>7.1788702145495504E-3</v>
      </c>
      <c r="F417" t="str">
        <f>"34/39"</f>
        <v>34/39</v>
      </c>
      <c r="G417" s="10">
        <v>0.59260000000000002</v>
      </c>
    </row>
    <row r="418" spans="1:7" x14ac:dyDescent="0.2">
      <c r="A418" s="1" t="s">
        <v>146</v>
      </c>
      <c r="B418" t="s">
        <v>870</v>
      </c>
      <c r="C418">
        <v>-2.2270005732046099</v>
      </c>
      <c r="D418">
        <v>2.4390243902439001E-2</v>
      </c>
      <c r="E418">
        <v>6.98103918729888E-3</v>
      </c>
      <c r="F418" t="str">
        <f>"14/17"</f>
        <v>14/17</v>
      </c>
      <c r="G418" s="10">
        <v>0.38190000000000002</v>
      </c>
    </row>
    <row r="419" spans="1:7" x14ac:dyDescent="0.2">
      <c r="A419" s="1" t="s">
        <v>146</v>
      </c>
      <c r="B419" t="s">
        <v>871</v>
      </c>
      <c r="C419">
        <v>2.2259090749678299</v>
      </c>
      <c r="D419">
        <v>0</v>
      </c>
      <c r="E419">
        <v>7.2311888938851598E-3</v>
      </c>
      <c r="F419" t="str">
        <f>"112/128"</f>
        <v>112/128</v>
      </c>
      <c r="G419" s="10">
        <v>0.70250000000000001</v>
      </c>
    </row>
    <row r="420" spans="1:7" x14ac:dyDescent="0.2">
      <c r="A420" s="1" t="s">
        <v>146</v>
      </c>
      <c r="B420" t="s">
        <v>872</v>
      </c>
      <c r="C420">
        <v>2.2221250235141099</v>
      </c>
      <c r="D420">
        <v>0</v>
      </c>
      <c r="E420">
        <v>7.32490320543894E-3</v>
      </c>
      <c r="F420" t="str">
        <f>"61/74"</f>
        <v>61/74</v>
      </c>
      <c r="G420" s="10">
        <v>0.59909999999999997</v>
      </c>
    </row>
    <row r="421" spans="1:7" x14ac:dyDescent="0.2">
      <c r="A421" s="1" t="s">
        <v>146</v>
      </c>
      <c r="B421" t="s">
        <v>873</v>
      </c>
      <c r="C421">
        <v>2.2211742810252102</v>
      </c>
      <c r="D421">
        <v>0</v>
      </c>
      <c r="E421">
        <v>7.4177954616282101E-3</v>
      </c>
      <c r="F421" t="str">
        <f>"18/47"</f>
        <v>18/47</v>
      </c>
      <c r="G421" s="10">
        <v>0.1186</v>
      </c>
    </row>
    <row r="422" spans="1:7" x14ac:dyDescent="0.2">
      <c r="A422" s="1" t="s">
        <v>146</v>
      </c>
      <c r="B422" t="s">
        <v>874</v>
      </c>
      <c r="C422">
        <v>2.2203690668512901</v>
      </c>
      <c r="D422">
        <v>0</v>
      </c>
      <c r="E422">
        <v>7.3854033417084398E-3</v>
      </c>
      <c r="F422" t="str">
        <f>"11/23"</f>
        <v>11/23</v>
      </c>
      <c r="G422" s="10">
        <v>6.4199999999999993E-2</v>
      </c>
    </row>
    <row r="423" spans="1:7" x14ac:dyDescent="0.2">
      <c r="A423" s="1" t="s">
        <v>146</v>
      </c>
      <c r="B423" t="s">
        <v>875</v>
      </c>
      <c r="C423">
        <v>2.2199798438335798</v>
      </c>
      <c r="D423">
        <v>0</v>
      </c>
      <c r="E423">
        <v>7.3625922559455896E-3</v>
      </c>
      <c r="F423" t="str">
        <f>"39/50"</f>
        <v>39/50</v>
      </c>
      <c r="G423" s="10">
        <v>0.54990000000000006</v>
      </c>
    </row>
    <row r="424" spans="1:7" x14ac:dyDescent="0.2">
      <c r="A424" s="1" t="s">
        <v>146</v>
      </c>
      <c r="B424" t="s">
        <v>876</v>
      </c>
      <c r="C424">
        <v>2.2199798438335798</v>
      </c>
      <c r="D424">
        <v>0</v>
      </c>
      <c r="E424">
        <v>7.3625922559455896E-3</v>
      </c>
      <c r="F424" t="str">
        <f>"39/50"</f>
        <v>39/50</v>
      </c>
      <c r="G424" s="10">
        <v>0.54990000000000006</v>
      </c>
    </row>
    <row r="425" spans="1:7" x14ac:dyDescent="0.2">
      <c r="A425" s="1" t="s">
        <v>146</v>
      </c>
      <c r="B425" t="s">
        <v>877</v>
      </c>
      <c r="C425">
        <v>2.2189682418083199</v>
      </c>
      <c r="D425">
        <v>0</v>
      </c>
      <c r="E425">
        <v>7.3718114525673601E-3</v>
      </c>
      <c r="F425" t="str">
        <f>"227/287"</f>
        <v>227/287</v>
      </c>
      <c r="G425" s="10">
        <v>0.67589999999999995</v>
      </c>
    </row>
    <row r="426" spans="1:7" x14ac:dyDescent="0.2">
      <c r="A426" s="1" t="s">
        <v>146</v>
      </c>
      <c r="B426" t="s">
        <v>878</v>
      </c>
      <c r="C426">
        <v>2.2183199556922402</v>
      </c>
      <c r="D426">
        <v>0</v>
      </c>
      <c r="E426">
        <v>7.3809515144541904E-3</v>
      </c>
      <c r="F426" t="str">
        <f>"65/69"</f>
        <v>65/69</v>
      </c>
      <c r="G426" s="10">
        <v>0.71199999999999997</v>
      </c>
    </row>
    <row r="427" spans="1:7" x14ac:dyDescent="0.2">
      <c r="A427" s="1" t="s">
        <v>146</v>
      </c>
      <c r="B427" t="s">
        <v>56</v>
      </c>
      <c r="C427">
        <v>2.21764051179411</v>
      </c>
      <c r="D427">
        <v>0</v>
      </c>
      <c r="E427">
        <v>7.4306179256932604E-3</v>
      </c>
      <c r="F427" t="str">
        <f>"23/46"</f>
        <v>23/46</v>
      </c>
      <c r="G427" s="10">
        <v>0.2064</v>
      </c>
    </row>
    <row r="428" spans="1:7" x14ac:dyDescent="0.2">
      <c r="A428" s="1" t="s">
        <v>146</v>
      </c>
      <c r="B428" t="s">
        <v>879</v>
      </c>
      <c r="C428">
        <v>-2.2165640510910798</v>
      </c>
      <c r="D428">
        <v>0</v>
      </c>
      <c r="E428">
        <v>7.4958446564680802E-3</v>
      </c>
      <c r="F428" t="str">
        <f>"14/19"</f>
        <v>14/19</v>
      </c>
      <c r="G428" s="10">
        <v>0.29470000000000002</v>
      </c>
    </row>
    <row r="429" spans="1:7" x14ac:dyDescent="0.2">
      <c r="A429" s="1" t="s">
        <v>146</v>
      </c>
      <c r="B429" t="s">
        <v>880</v>
      </c>
      <c r="C429">
        <v>2.2160290110679699</v>
      </c>
      <c r="D429">
        <v>0</v>
      </c>
      <c r="E429">
        <v>7.5202933286332603E-3</v>
      </c>
      <c r="F429" t="str">
        <f>"24/34"</f>
        <v>24/34</v>
      </c>
      <c r="G429" s="10">
        <v>0.37559999999999999</v>
      </c>
    </row>
    <row r="430" spans="1:7" x14ac:dyDescent="0.2">
      <c r="A430" s="1" t="s">
        <v>146</v>
      </c>
      <c r="B430" t="s">
        <v>881</v>
      </c>
      <c r="C430">
        <v>2.2141554349290802</v>
      </c>
      <c r="D430">
        <v>0</v>
      </c>
      <c r="E430">
        <v>7.4884276789356601E-3</v>
      </c>
      <c r="F430" t="str">
        <f>"28/42"</f>
        <v>28/42</v>
      </c>
      <c r="G430" s="10">
        <v>0.38250000000000001</v>
      </c>
    </row>
    <row r="431" spans="1:7" x14ac:dyDescent="0.2">
      <c r="A431" s="1" t="s">
        <v>146</v>
      </c>
      <c r="B431" t="s">
        <v>882</v>
      </c>
      <c r="C431">
        <v>-2.2089217903717402</v>
      </c>
      <c r="D431">
        <v>0</v>
      </c>
      <c r="E431">
        <v>7.9504844268542905E-3</v>
      </c>
      <c r="F431" t="str">
        <f>"23/37"</f>
        <v>23/37</v>
      </c>
      <c r="G431" s="10">
        <v>0.32019999999999998</v>
      </c>
    </row>
    <row r="432" spans="1:7" x14ac:dyDescent="0.2">
      <c r="A432" s="1" t="s">
        <v>146</v>
      </c>
      <c r="B432" t="s">
        <v>883</v>
      </c>
      <c r="C432">
        <v>-2.2076774928766398</v>
      </c>
      <c r="D432">
        <v>2.1739130434782601E-2</v>
      </c>
      <c r="E432">
        <v>8.0185991352393592E-3</v>
      </c>
      <c r="F432" t="str">
        <f>"11/15"</f>
        <v>11/15</v>
      </c>
      <c r="G432" s="10">
        <v>0.26219999999999999</v>
      </c>
    </row>
    <row r="433" spans="1:7" x14ac:dyDescent="0.2">
      <c r="A433" s="1" t="s">
        <v>146</v>
      </c>
      <c r="B433" t="s">
        <v>884</v>
      </c>
      <c r="C433">
        <v>-2.2072955725556498</v>
      </c>
      <c r="D433">
        <v>0</v>
      </c>
      <c r="E433">
        <v>7.9774781140329997E-3</v>
      </c>
      <c r="F433" t="str">
        <f>"17/31"</f>
        <v>17/31</v>
      </c>
      <c r="G433" s="10">
        <v>0.23469999999999999</v>
      </c>
    </row>
    <row r="434" spans="1:7" x14ac:dyDescent="0.2">
      <c r="A434" s="1" t="s">
        <v>146</v>
      </c>
      <c r="B434" t="s">
        <v>885</v>
      </c>
      <c r="C434">
        <v>-2.2054142196525599</v>
      </c>
      <c r="D434">
        <v>0</v>
      </c>
      <c r="E434">
        <v>8.2607267642709498E-3</v>
      </c>
      <c r="F434" t="str">
        <f>"49/64"</f>
        <v>49/64</v>
      </c>
      <c r="G434" s="10">
        <v>0.54510000000000003</v>
      </c>
    </row>
    <row r="435" spans="1:7" x14ac:dyDescent="0.2">
      <c r="A435" s="1" t="s">
        <v>146</v>
      </c>
      <c r="B435" t="s">
        <v>886</v>
      </c>
      <c r="C435">
        <v>-2.2034239293742401</v>
      </c>
      <c r="D435">
        <v>0</v>
      </c>
      <c r="E435">
        <v>8.2725117498674301E-3</v>
      </c>
      <c r="F435" t="str">
        <f>"15/30"</f>
        <v>15/30</v>
      </c>
      <c r="G435" s="10">
        <v>0.15590000000000001</v>
      </c>
    </row>
    <row r="436" spans="1:7" x14ac:dyDescent="0.2">
      <c r="A436" s="1" t="s">
        <v>146</v>
      </c>
      <c r="B436" t="s">
        <v>275</v>
      </c>
      <c r="C436">
        <v>2.1982204018234199</v>
      </c>
      <c r="D436">
        <v>0</v>
      </c>
      <c r="E436">
        <v>7.9379168046210605E-3</v>
      </c>
      <c r="F436" t="str">
        <f>"10/18"</f>
        <v>10/18</v>
      </c>
      <c r="G436" s="10">
        <v>0.1177</v>
      </c>
    </row>
    <row r="437" spans="1:7" x14ac:dyDescent="0.2">
      <c r="A437" s="1" t="s">
        <v>146</v>
      </c>
      <c r="B437" t="s">
        <v>887</v>
      </c>
      <c r="C437">
        <v>-2.1964174361783102</v>
      </c>
      <c r="D437">
        <v>0</v>
      </c>
      <c r="E437">
        <v>8.4445166183383692E-3</v>
      </c>
      <c r="F437" t="str">
        <f>"30/68"</f>
        <v>30/68</v>
      </c>
      <c r="G437" s="10">
        <v>0.20319999999999999</v>
      </c>
    </row>
    <row r="438" spans="1:7" x14ac:dyDescent="0.2">
      <c r="A438" s="1" t="s">
        <v>146</v>
      </c>
      <c r="B438" t="s">
        <v>888</v>
      </c>
      <c r="C438">
        <v>2.19419260935496</v>
      </c>
      <c r="D438">
        <v>0</v>
      </c>
      <c r="E438">
        <v>8.0642523789243008E-3</v>
      </c>
      <c r="F438" t="str">
        <f>"58/67"</f>
        <v>58/67</v>
      </c>
      <c r="G438" s="10">
        <v>0.62649999999999995</v>
      </c>
    </row>
    <row r="439" spans="1:7" x14ac:dyDescent="0.2">
      <c r="A439" s="1" t="s">
        <v>146</v>
      </c>
      <c r="B439" t="s">
        <v>218</v>
      </c>
      <c r="C439">
        <v>2.19364392816217</v>
      </c>
      <c r="D439">
        <v>0</v>
      </c>
      <c r="E439">
        <v>8.0305107371714795E-3</v>
      </c>
      <c r="F439" t="str">
        <f>"12/15"</f>
        <v>12/15</v>
      </c>
      <c r="G439" s="10">
        <v>0.35799999999999998</v>
      </c>
    </row>
    <row r="440" spans="1:7" x14ac:dyDescent="0.2">
      <c r="A440" s="1" t="s">
        <v>146</v>
      </c>
      <c r="B440" t="s">
        <v>889</v>
      </c>
      <c r="C440">
        <v>2.19016698631936</v>
      </c>
      <c r="D440">
        <v>0</v>
      </c>
      <c r="E440">
        <v>8.2741757803723708E-3</v>
      </c>
      <c r="F440" t="str">
        <f>"62/69"</f>
        <v>62/69</v>
      </c>
      <c r="G440" s="10">
        <v>0.67169999999999996</v>
      </c>
    </row>
    <row r="441" spans="1:7" x14ac:dyDescent="0.2">
      <c r="A441" s="1" t="s">
        <v>146</v>
      </c>
      <c r="B441" t="s">
        <v>890</v>
      </c>
      <c r="C441">
        <v>-2.1890995801155699</v>
      </c>
      <c r="D441">
        <v>0</v>
      </c>
      <c r="E441">
        <v>8.8275037278654593E-3</v>
      </c>
      <c r="F441" t="str">
        <f>"28/64"</f>
        <v>28/64</v>
      </c>
      <c r="G441" s="10">
        <v>0.19520000000000001</v>
      </c>
    </row>
    <row r="442" spans="1:7" x14ac:dyDescent="0.2">
      <c r="A442" s="1" t="s">
        <v>146</v>
      </c>
      <c r="B442" t="s">
        <v>891</v>
      </c>
      <c r="C442">
        <v>-2.1859470908218199</v>
      </c>
      <c r="D442">
        <v>2.0833333333333301E-2</v>
      </c>
      <c r="E442">
        <v>8.9950135877617E-3</v>
      </c>
      <c r="F442" t="str">
        <f>"24/35"</f>
        <v>24/35</v>
      </c>
      <c r="G442" s="10">
        <v>0.35880000000000001</v>
      </c>
    </row>
    <row r="443" spans="1:7" x14ac:dyDescent="0.2">
      <c r="A443" s="1" t="s">
        <v>146</v>
      </c>
      <c r="B443" t="s">
        <v>892</v>
      </c>
      <c r="C443">
        <v>2.1859073012007202</v>
      </c>
      <c r="D443">
        <v>0</v>
      </c>
      <c r="E443">
        <v>8.3581183606056594E-3</v>
      </c>
      <c r="F443" t="str">
        <f>"45/93"</f>
        <v>45/93</v>
      </c>
      <c r="G443" s="10">
        <v>0.31280000000000002</v>
      </c>
    </row>
    <row r="444" spans="1:7" x14ac:dyDescent="0.2">
      <c r="A444" s="1" t="s">
        <v>146</v>
      </c>
      <c r="B444" t="s">
        <v>893</v>
      </c>
      <c r="C444">
        <v>-2.1848736696180402</v>
      </c>
      <c r="D444">
        <v>0</v>
      </c>
      <c r="E444">
        <v>8.9502622763797998E-3</v>
      </c>
      <c r="F444" t="str">
        <f>"13/16"</f>
        <v>13/16</v>
      </c>
      <c r="G444" s="10">
        <v>0.34229999999999999</v>
      </c>
    </row>
    <row r="445" spans="1:7" x14ac:dyDescent="0.2">
      <c r="A445" s="1" t="s">
        <v>146</v>
      </c>
      <c r="B445" t="s">
        <v>894</v>
      </c>
      <c r="C445">
        <v>2.18412328836239</v>
      </c>
      <c r="D445">
        <v>0</v>
      </c>
      <c r="E445">
        <v>8.3235806814296008E-3</v>
      </c>
      <c r="F445" t="str">
        <f>"32/66"</f>
        <v>32/66</v>
      </c>
      <c r="G445" s="10">
        <v>0.26500000000000001</v>
      </c>
    </row>
    <row r="446" spans="1:7" x14ac:dyDescent="0.2">
      <c r="A446" s="1" t="s">
        <v>146</v>
      </c>
      <c r="B446" t="s">
        <v>895</v>
      </c>
      <c r="C446">
        <v>-2.1828885366216402</v>
      </c>
      <c r="D446">
        <v>0</v>
      </c>
      <c r="E446">
        <v>8.9583420122728592E-3</v>
      </c>
      <c r="F446" t="str">
        <f>"298/376"</f>
        <v>298/376</v>
      </c>
      <c r="G446" s="10">
        <v>0.70420000000000005</v>
      </c>
    </row>
    <row r="447" spans="1:7" x14ac:dyDescent="0.2">
      <c r="A447" s="1" t="s">
        <v>146</v>
      </c>
      <c r="B447" t="s">
        <v>896</v>
      </c>
      <c r="C447">
        <v>-2.18239435227615</v>
      </c>
      <c r="D447">
        <v>1.8181818181818101E-2</v>
      </c>
      <c r="E447">
        <v>9.0706019372386905E-3</v>
      </c>
      <c r="F447" t="str">
        <f>"32/51"</f>
        <v>32/51</v>
      </c>
      <c r="G447" s="10">
        <v>0.35880000000000001</v>
      </c>
    </row>
    <row r="448" spans="1:7" x14ac:dyDescent="0.2">
      <c r="A448" s="1" t="s">
        <v>146</v>
      </c>
      <c r="B448" t="s">
        <v>897</v>
      </c>
      <c r="C448">
        <v>2.1810262807598799</v>
      </c>
      <c r="D448">
        <v>0</v>
      </c>
      <c r="E448">
        <v>8.5630314650672803E-3</v>
      </c>
      <c r="F448" t="str">
        <f>"21/29"</f>
        <v>21/29</v>
      </c>
      <c r="G448" s="10">
        <v>0.37559999999999999</v>
      </c>
    </row>
    <row r="449" spans="1:7" x14ac:dyDescent="0.2">
      <c r="A449" s="1" t="s">
        <v>146</v>
      </c>
      <c r="B449" t="s">
        <v>898</v>
      </c>
      <c r="C449">
        <v>-2.1808369293125902</v>
      </c>
      <c r="D449">
        <v>0</v>
      </c>
      <c r="E449">
        <v>9.1817612747048492E-3</v>
      </c>
      <c r="F449" t="str">
        <f>"111/271"</f>
        <v>111/271</v>
      </c>
      <c r="G449" s="10">
        <v>0.29459999999999997</v>
      </c>
    </row>
    <row r="450" spans="1:7" x14ac:dyDescent="0.2">
      <c r="A450" s="1" t="s">
        <v>146</v>
      </c>
      <c r="B450" t="s">
        <v>899</v>
      </c>
      <c r="C450">
        <v>2.1802434127293902</v>
      </c>
      <c r="D450">
        <v>0</v>
      </c>
      <c r="E450">
        <v>8.5279370738170004E-3</v>
      </c>
      <c r="F450" t="str">
        <f>"57/64"</f>
        <v>57/64</v>
      </c>
      <c r="G450" s="10">
        <v>0.66969999999999996</v>
      </c>
    </row>
    <row r="451" spans="1:7" x14ac:dyDescent="0.2">
      <c r="A451" s="1" t="s">
        <v>146</v>
      </c>
      <c r="B451" t="s">
        <v>900</v>
      </c>
      <c r="C451">
        <v>-2.1798739500228801</v>
      </c>
      <c r="D451">
        <v>0</v>
      </c>
      <c r="E451">
        <v>9.1369721953160395E-3</v>
      </c>
      <c r="F451" t="str">
        <f>"21/26"</f>
        <v>21/26</v>
      </c>
      <c r="G451" s="10">
        <v>0.43959999999999999</v>
      </c>
    </row>
    <row r="452" spans="1:7" x14ac:dyDescent="0.2">
      <c r="A452" s="1" t="s">
        <v>146</v>
      </c>
      <c r="B452" t="s">
        <v>901</v>
      </c>
      <c r="C452">
        <v>2.1791909706604198</v>
      </c>
      <c r="D452">
        <v>0</v>
      </c>
      <c r="E452">
        <v>8.5319105791165206E-3</v>
      </c>
      <c r="F452" t="str">
        <f>"46/50"</f>
        <v>46/50</v>
      </c>
      <c r="G452" s="10">
        <v>0.66400000000000003</v>
      </c>
    </row>
    <row r="453" spans="1:7" x14ac:dyDescent="0.2">
      <c r="A453" s="1" t="s">
        <v>146</v>
      </c>
      <c r="B453" t="s">
        <v>902</v>
      </c>
      <c r="C453">
        <v>2.1777147194991699</v>
      </c>
      <c r="D453">
        <v>0</v>
      </c>
      <c r="E453">
        <v>8.4972280157867702E-3</v>
      </c>
      <c r="F453" t="str">
        <f>"41/69"</f>
        <v>41/69</v>
      </c>
      <c r="G453" s="10">
        <v>0.39190000000000003</v>
      </c>
    </row>
    <row r="454" spans="1:7" x14ac:dyDescent="0.2">
      <c r="A454" s="1" t="s">
        <v>146</v>
      </c>
      <c r="B454" t="s">
        <v>903</v>
      </c>
      <c r="C454">
        <v>-2.1764293494465399</v>
      </c>
      <c r="D454">
        <v>0</v>
      </c>
      <c r="E454">
        <v>9.4522130219768796E-3</v>
      </c>
      <c r="F454" t="str">
        <f>"31/66"</f>
        <v>31/66</v>
      </c>
      <c r="G454" s="10">
        <v>0.2324</v>
      </c>
    </row>
    <row r="455" spans="1:7" x14ac:dyDescent="0.2">
      <c r="A455" s="1" t="s">
        <v>146</v>
      </c>
      <c r="B455" t="s">
        <v>904</v>
      </c>
      <c r="C455">
        <v>2.1764080040088101</v>
      </c>
      <c r="D455">
        <v>0</v>
      </c>
      <c r="E455">
        <v>8.5012936751244703E-3</v>
      </c>
      <c r="F455" t="str">
        <f>"31/33"</f>
        <v>31/33</v>
      </c>
      <c r="G455" s="10">
        <v>0.62929999999999997</v>
      </c>
    </row>
    <row r="456" spans="1:7" x14ac:dyDescent="0.2">
      <c r="A456" s="1" t="s">
        <v>146</v>
      </c>
      <c r="B456" t="s">
        <v>905</v>
      </c>
      <c r="C456">
        <v>2.1748901415120598</v>
      </c>
      <c r="D456">
        <v>0</v>
      </c>
      <c r="E456">
        <v>8.5819511103723302E-3</v>
      </c>
      <c r="F456" t="str">
        <f>"111/127"</f>
        <v>111/127</v>
      </c>
      <c r="G456" s="10">
        <v>0.70250000000000001</v>
      </c>
    </row>
    <row r="457" spans="1:7" x14ac:dyDescent="0.2">
      <c r="A457" s="1" t="s">
        <v>146</v>
      </c>
      <c r="B457" t="s">
        <v>906</v>
      </c>
      <c r="C457">
        <v>-2.1746707214826602</v>
      </c>
      <c r="D457">
        <v>0</v>
      </c>
      <c r="E457">
        <v>9.5599178227419E-3</v>
      </c>
      <c r="F457" t="str">
        <f>"43/96"</f>
        <v>43/96</v>
      </c>
      <c r="G457" s="10">
        <v>0.25629999999999997</v>
      </c>
    </row>
    <row r="458" spans="1:7" x14ac:dyDescent="0.2">
      <c r="A458" s="1" t="s">
        <v>146</v>
      </c>
      <c r="B458" t="s">
        <v>907</v>
      </c>
      <c r="C458">
        <v>-2.1742057568895401</v>
      </c>
      <c r="D458">
        <v>0</v>
      </c>
      <c r="E458">
        <v>9.51395667936333E-3</v>
      </c>
      <c r="F458" t="str">
        <f>"25/37"</f>
        <v>25/37</v>
      </c>
      <c r="G458" s="10">
        <v>0.35880000000000001</v>
      </c>
    </row>
    <row r="459" spans="1:7" x14ac:dyDescent="0.2">
      <c r="A459" s="1" t="s">
        <v>146</v>
      </c>
      <c r="B459" t="s">
        <v>908</v>
      </c>
      <c r="C459">
        <v>-2.1739659335621901</v>
      </c>
      <c r="D459">
        <v>0</v>
      </c>
      <c r="E459">
        <v>9.4684353555386305E-3</v>
      </c>
      <c r="F459" t="str">
        <f>"13/19"</f>
        <v>13/19</v>
      </c>
      <c r="G459" s="10">
        <v>0.2661</v>
      </c>
    </row>
    <row r="460" spans="1:7" x14ac:dyDescent="0.2">
      <c r="A460" s="1" t="s">
        <v>146</v>
      </c>
      <c r="B460" t="s">
        <v>909</v>
      </c>
      <c r="C460">
        <v>-2.1718481660815199</v>
      </c>
      <c r="D460">
        <v>0</v>
      </c>
      <c r="E460">
        <v>9.4737398011159601E-3</v>
      </c>
      <c r="F460" t="str">
        <f>"16/23"</f>
        <v>16/23</v>
      </c>
      <c r="G460" s="10">
        <v>0.31480000000000002</v>
      </c>
    </row>
    <row r="461" spans="1:7" x14ac:dyDescent="0.2">
      <c r="A461" s="1" t="s">
        <v>146</v>
      </c>
      <c r="B461" t="s">
        <v>910</v>
      </c>
      <c r="C461">
        <v>2.1705461106369301</v>
      </c>
      <c r="D461">
        <v>0</v>
      </c>
      <c r="E461">
        <v>8.5856438604198192E-3</v>
      </c>
      <c r="F461" t="str">
        <f>"9/16"</f>
        <v>9/16</v>
      </c>
      <c r="G461" s="10">
        <v>0.1386</v>
      </c>
    </row>
    <row r="462" spans="1:7" x14ac:dyDescent="0.2">
      <c r="A462" s="1" t="s">
        <v>146</v>
      </c>
      <c r="B462" t="s">
        <v>911</v>
      </c>
      <c r="C462">
        <v>2.1700202476153501</v>
      </c>
      <c r="D462">
        <v>0</v>
      </c>
      <c r="E462">
        <v>8.70332441893331E-3</v>
      </c>
      <c r="F462" t="str">
        <f>"17/18"</f>
        <v>17/18</v>
      </c>
      <c r="G462" s="10">
        <v>0.50549999999999995</v>
      </c>
    </row>
    <row r="463" spans="1:7" x14ac:dyDescent="0.2">
      <c r="A463" s="1" t="s">
        <v>146</v>
      </c>
      <c r="B463" t="s">
        <v>912</v>
      </c>
      <c r="C463">
        <v>2.1692998921831199</v>
      </c>
      <c r="D463">
        <v>0</v>
      </c>
      <c r="E463">
        <v>8.7065041856793906E-3</v>
      </c>
      <c r="F463" t="str">
        <f>"41/53"</f>
        <v>41/53</v>
      </c>
      <c r="G463" s="10">
        <v>0.54990000000000006</v>
      </c>
    </row>
    <row r="464" spans="1:7" x14ac:dyDescent="0.2">
      <c r="A464" s="1" t="s">
        <v>146</v>
      </c>
      <c r="B464" t="s">
        <v>913</v>
      </c>
      <c r="C464">
        <v>2.1678356302035402</v>
      </c>
      <c r="D464">
        <v>0</v>
      </c>
      <c r="E464">
        <v>8.8227711670409402E-3</v>
      </c>
      <c r="F464" t="str">
        <f>"54/61"</f>
        <v>54/61</v>
      </c>
      <c r="G464" s="10">
        <v>0.6431</v>
      </c>
    </row>
    <row r="465" spans="1:7" x14ac:dyDescent="0.2">
      <c r="A465" s="1" t="s">
        <v>146</v>
      </c>
      <c r="B465" t="s">
        <v>914</v>
      </c>
      <c r="C465">
        <v>-2.1655043518252199</v>
      </c>
      <c r="D465">
        <v>0</v>
      </c>
      <c r="E465">
        <v>9.7297610037678801E-3</v>
      </c>
      <c r="F465" t="str">
        <f>"48/81"</f>
        <v>48/81</v>
      </c>
      <c r="G465" s="10">
        <v>0.3856</v>
      </c>
    </row>
    <row r="466" spans="1:7" x14ac:dyDescent="0.2">
      <c r="A466" s="1" t="s">
        <v>146</v>
      </c>
      <c r="B466" t="s">
        <v>300</v>
      </c>
      <c r="C466">
        <v>2.1634456967893101</v>
      </c>
      <c r="D466">
        <v>0</v>
      </c>
      <c r="E466">
        <v>9.1258946519529593E-3</v>
      </c>
      <c r="F466" t="str">
        <f>"85/101"</f>
        <v>85/101</v>
      </c>
      <c r="G466" s="10">
        <v>0.66590000000000005</v>
      </c>
    </row>
    <row r="467" spans="1:7" x14ac:dyDescent="0.2">
      <c r="A467" s="1" t="s">
        <v>146</v>
      </c>
      <c r="B467" t="s">
        <v>915</v>
      </c>
      <c r="C467">
        <v>2.1631524729754199</v>
      </c>
      <c r="D467">
        <v>0</v>
      </c>
      <c r="E467">
        <v>9.1273732000641608E-3</v>
      </c>
      <c r="F467" t="str">
        <f>"19/48"</f>
        <v>19/48</v>
      </c>
      <c r="G467" s="10">
        <v>0.1353</v>
      </c>
    </row>
    <row r="468" spans="1:7" x14ac:dyDescent="0.2">
      <c r="A468" s="1" t="s">
        <v>146</v>
      </c>
      <c r="B468" t="s">
        <v>916</v>
      </c>
      <c r="C468">
        <v>2.1625430561337202</v>
      </c>
      <c r="D468">
        <v>0</v>
      </c>
      <c r="E468">
        <v>9.0915795796717505E-3</v>
      </c>
      <c r="F468" t="str">
        <f>"58/69"</f>
        <v>58/69</v>
      </c>
      <c r="G468" s="10">
        <v>0.61519999999999997</v>
      </c>
    </row>
    <row r="469" spans="1:7" x14ac:dyDescent="0.2">
      <c r="A469" s="1" t="s">
        <v>146</v>
      </c>
      <c r="B469" t="s">
        <v>917</v>
      </c>
      <c r="C469">
        <v>-2.16127353966775</v>
      </c>
      <c r="D469">
        <v>0</v>
      </c>
      <c r="E469">
        <v>9.9334500774948802E-3</v>
      </c>
      <c r="F469" t="str">
        <f>"40/62"</f>
        <v>40/62</v>
      </c>
      <c r="G469" s="10">
        <v>0.4123</v>
      </c>
    </row>
    <row r="470" spans="1:7" x14ac:dyDescent="0.2">
      <c r="A470" s="1" t="s">
        <v>146</v>
      </c>
      <c r="B470" t="s">
        <v>918</v>
      </c>
      <c r="C470">
        <v>2.1610587227183999</v>
      </c>
      <c r="D470">
        <v>0</v>
      </c>
      <c r="E470">
        <v>9.1302956428152109E-3</v>
      </c>
      <c r="F470" t="str">
        <f>"28/29"</f>
        <v>28/29</v>
      </c>
      <c r="G470" s="10">
        <v>0.64949999999999997</v>
      </c>
    </row>
    <row r="471" spans="1:7" x14ac:dyDescent="0.2">
      <c r="A471" s="1" t="s">
        <v>146</v>
      </c>
      <c r="B471" t="s">
        <v>919</v>
      </c>
      <c r="C471">
        <v>2.1586455168027499</v>
      </c>
      <c r="D471">
        <v>0</v>
      </c>
      <c r="E471">
        <v>9.1687104136384794E-3</v>
      </c>
      <c r="F471" t="str">
        <f>"29/32"</f>
        <v>29/32</v>
      </c>
      <c r="G471" s="10">
        <v>0.57430000000000003</v>
      </c>
    </row>
    <row r="472" spans="1:7" x14ac:dyDescent="0.2">
      <c r="A472" s="1" t="s">
        <v>146</v>
      </c>
      <c r="B472" t="s">
        <v>920</v>
      </c>
      <c r="C472">
        <v>2.1558972169881399</v>
      </c>
      <c r="D472">
        <v>0</v>
      </c>
      <c r="E472">
        <v>9.2804820147049608E-3</v>
      </c>
      <c r="F472" t="str">
        <f>"48/49"</f>
        <v>48/49</v>
      </c>
      <c r="G472" s="10">
        <v>0.72360000000000002</v>
      </c>
    </row>
    <row r="473" spans="1:7" x14ac:dyDescent="0.2">
      <c r="A473" s="1" t="s">
        <v>146</v>
      </c>
      <c r="B473" t="s">
        <v>921</v>
      </c>
      <c r="C473">
        <v>2.1519293827551098</v>
      </c>
      <c r="D473">
        <v>0</v>
      </c>
      <c r="E473">
        <v>9.5381309913956103E-3</v>
      </c>
      <c r="F473" t="str">
        <f>"18/27"</f>
        <v>18/27</v>
      </c>
      <c r="G473" s="10">
        <v>0.32129999999999997</v>
      </c>
    </row>
    <row r="474" spans="1:7" x14ac:dyDescent="0.2">
      <c r="A474" s="1" t="s">
        <v>146</v>
      </c>
      <c r="B474" t="s">
        <v>922</v>
      </c>
      <c r="C474">
        <v>2.1480597570143898</v>
      </c>
      <c r="D474">
        <v>0</v>
      </c>
      <c r="E474">
        <v>9.7207100077101993E-3</v>
      </c>
      <c r="F474" t="str">
        <f>"34/50"</f>
        <v>34/50</v>
      </c>
      <c r="G474" s="10">
        <v>0.42809999999999998</v>
      </c>
    </row>
    <row r="475" spans="1:7" x14ac:dyDescent="0.2">
      <c r="A475" s="1" t="s">
        <v>146</v>
      </c>
      <c r="B475" t="s">
        <v>923</v>
      </c>
      <c r="C475">
        <v>2.14615219204557</v>
      </c>
      <c r="D475">
        <v>1.63934426229508E-2</v>
      </c>
      <c r="E475">
        <v>9.7198699152369703E-3</v>
      </c>
      <c r="F475" t="str">
        <f>"83/132"</f>
        <v>83/132</v>
      </c>
      <c r="G475" s="10">
        <v>0.4753</v>
      </c>
    </row>
    <row r="476" spans="1:7" x14ac:dyDescent="0.2">
      <c r="A476" s="1" t="s">
        <v>146</v>
      </c>
      <c r="B476" t="s">
        <v>924</v>
      </c>
      <c r="C476">
        <v>2.1444870164927501</v>
      </c>
      <c r="D476">
        <v>0</v>
      </c>
      <c r="E476">
        <v>9.7553012962643005E-3</v>
      </c>
      <c r="F476" t="str">
        <f>"59/77"</f>
        <v>59/77</v>
      </c>
      <c r="G476" s="10">
        <v>0.56689999999999996</v>
      </c>
    </row>
    <row r="477" spans="1:7" x14ac:dyDescent="0.2">
      <c r="A477" s="1" t="s">
        <v>146</v>
      </c>
      <c r="B477" t="s">
        <v>925</v>
      </c>
      <c r="C477">
        <v>2.1409361143080599</v>
      </c>
      <c r="D477">
        <v>0</v>
      </c>
      <c r="E477">
        <v>9.8988447489818804E-3</v>
      </c>
      <c r="F477" t="str">
        <f>"64/73"</f>
        <v>64/73</v>
      </c>
      <c r="G477" s="10">
        <v>0.67169999999999996</v>
      </c>
    </row>
    <row r="478" spans="1:7" x14ac:dyDescent="0.2">
      <c r="A478" s="1" t="s">
        <v>146</v>
      </c>
      <c r="B478" t="s">
        <v>926</v>
      </c>
      <c r="C478">
        <v>2.1406982650316202</v>
      </c>
      <c r="D478">
        <v>0</v>
      </c>
      <c r="E478">
        <v>9.8973394502061898E-3</v>
      </c>
      <c r="F478" t="str">
        <f>"72/82"</f>
        <v>72/82</v>
      </c>
      <c r="G478" s="10">
        <v>0.68110000000000004</v>
      </c>
    </row>
    <row r="479" spans="1:7" x14ac:dyDescent="0.2">
      <c r="A479" s="1" t="s">
        <v>146</v>
      </c>
      <c r="B479" t="s">
        <v>927</v>
      </c>
      <c r="C479">
        <v>2.13804219818187</v>
      </c>
      <c r="D479">
        <v>2.0833333333333301E-2</v>
      </c>
      <c r="E479">
        <v>9.9317000249012407E-3</v>
      </c>
      <c r="F479" t="str">
        <f>"17/19"</f>
        <v>17/19</v>
      </c>
      <c r="G479" s="10">
        <v>0.48549999999999999</v>
      </c>
    </row>
    <row r="480" spans="1:7" x14ac:dyDescent="0.2">
      <c r="A480" s="1" t="s">
        <v>146</v>
      </c>
      <c r="B480" t="s">
        <v>928</v>
      </c>
      <c r="C480">
        <v>2.13708181076949</v>
      </c>
      <c r="D480">
        <v>0</v>
      </c>
      <c r="E480">
        <v>9.9300825280865708E-3</v>
      </c>
      <c r="F480" t="str">
        <f>"15/36"</f>
        <v>15/36</v>
      </c>
      <c r="G480" s="10">
        <v>0.1182</v>
      </c>
    </row>
    <row r="481" spans="1:7" x14ac:dyDescent="0.2">
      <c r="A481" s="1" t="s">
        <v>147</v>
      </c>
      <c r="B481" t="s">
        <v>7</v>
      </c>
      <c r="C481">
        <v>4.1900312981973</v>
      </c>
      <c r="D481">
        <v>0</v>
      </c>
      <c r="E481">
        <v>0</v>
      </c>
      <c r="F481" t="str">
        <f>"112/178"</f>
        <v>112/178</v>
      </c>
      <c r="G481" s="10">
        <v>0.28589999999999999</v>
      </c>
    </row>
    <row r="482" spans="1:7" x14ac:dyDescent="0.2">
      <c r="A482" s="1" t="s">
        <v>147</v>
      </c>
      <c r="B482" t="s">
        <v>694</v>
      </c>
      <c r="C482">
        <v>3.9102925448925498</v>
      </c>
      <c r="D482">
        <v>0</v>
      </c>
      <c r="E482">
        <v>0</v>
      </c>
      <c r="F482" t="str">
        <f>"90/93"</f>
        <v>90/93</v>
      </c>
      <c r="G482" s="10">
        <v>0.51429999999999998</v>
      </c>
    </row>
    <row r="483" spans="1:7" x14ac:dyDescent="0.2">
      <c r="A483" s="1" t="s">
        <v>147</v>
      </c>
      <c r="B483" t="s">
        <v>515</v>
      </c>
      <c r="C483">
        <v>-3.86560912181436</v>
      </c>
      <c r="D483">
        <v>0</v>
      </c>
      <c r="E483">
        <v>0</v>
      </c>
      <c r="F483" t="str">
        <f>"127/214"</f>
        <v>127/214</v>
      </c>
      <c r="G483" s="10">
        <v>0.34010000000000001</v>
      </c>
    </row>
    <row r="484" spans="1:7" x14ac:dyDescent="0.2">
      <c r="A484" s="1" t="s">
        <v>147</v>
      </c>
      <c r="B484" t="s">
        <v>10</v>
      </c>
      <c r="C484">
        <v>3.8565531118229801</v>
      </c>
      <c r="D484">
        <v>0</v>
      </c>
      <c r="E484">
        <v>0</v>
      </c>
      <c r="F484" t="str">
        <f>"74/116"</f>
        <v>74/116</v>
      </c>
      <c r="G484" s="10">
        <v>0.26850000000000002</v>
      </c>
    </row>
    <row r="485" spans="1:7" x14ac:dyDescent="0.2">
      <c r="A485" s="1" t="s">
        <v>147</v>
      </c>
      <c r="B485" t="s">
        <v>593</v>
      </c>
      <c r="C485">
        <v>3.8286659658757798</v>
      </c>
      <c r="D485">
        <v>0</v>
      </c>
      <c r="E485">
        <v>0</v>
      </c>
      <c r="F485" t="str">
        <f>"91/94"</f>
        <v>91/94</v>
      </c>
      <c r="G485" s="10">
        <v>0.51270000000000004</v>
      </c>
    </row>
    <row r="486" spans="1:7" x14ac:dyDescent="0.2">
      <c r="A486" s="1" t="s">
        <v>147</v>
      </c>
      <c r="B486" t="s">
        <v>676</v>
      </c>
      <c r="C486">
        <v>3.7633587864816</v>
      </c>
      <c r="D486">
        <v>0</v>
      </c>
      <c r="E486">
        <v>0</v>
      </c>
      <c r="F486" t="str">
        <f>"98/103"</f>
        <v>98/103</v>
      </c>
      <c r="G486" s="10">
        <v>0.53539999999999999</v>
      </c>
    </row>
    <row r="487" spans="1:7" x14ac:dyDescent="0.2">
      <c r="A487" s="1" t="s">
        <v>147</v>
      </c>
      <c r="B487" t="s">
        <v>642</v>
      </c>
      <c r="C487">
        <v>3.6289479111754899</v>
      </c>
      <c r="D487">
        <v>0</v>
      </c>
      <c r="E487">
        <v>0</v>
      </c>
      <c r="F487" t="str">
        <f>"85/90"</f>
        <v>85/90</v>
      </c>
      <c r="G487" s="10">
        <v>0.51219999999999999</v>
      </c>
    </row>
    <row r="488" spans="1:7" x14ac:dyDescent="0.2">
      <c r="A488" s="1" t="s">
        <v>147</v>
      </c>
      <c r="B488" t="s">
        <v>43</v>
      </c>
      <c r="C488">
        <v>3.61812608881558</v>
      </c>
      <c r="D488">
        <v>0</v>
      </c>
      <c r="E488">
        <v>0</v>
      </c>
      <c r="F488" t="str">
        <f>"45/68"</f>
        <v>45/68</v>
      </c>
      <c r="G488" s="10">
        <v>0.2487</v>
      </c>
    </row>
    <row r="489" spans="1:7" x14ac:dyDescent="0.2">
      <c r="A489" s="1" t="s">
        <v>147</v>
      </c>
      <c r="B489" t="s">
        <v>343</v>
      </c>
      <c r="C489">
        <v>3.5291631750027501</v>
      </c>
      <c r="D489">
        <v>0</v>
      </c>
      <c r="E489">
        <v>0</v>
      </c>
      <c r="F489" t="str">
        <f>"390/480"</f>
        <v>390/480</v>
      </c>
      <c r="G489" s="10">
        <v>0.57079999999999997</v>
      </c>
    </row>
    <row r="490" spans="1:7" x14ac:dyDescent="0.2">
      <c r="A490" s="1" t="s">
        <v>147</v>
      </c>
      <c r="B490" t="s">
        <v>341</v>
      </c>
      <c r="C490">
        <v>3.5272945862099898</v>
      </c>
      <c r="D490">
        <v>0</v>
      </c>
      <c r="E490">
        <v>0</v>
      </c>
      <c r="F490" t="str">
        <f>"387/476"</f>
        <v>387/476</v>
      </c>
      <c r="G490" s="10">
        <v>0.57079999999999997</v>
      </c>
    </row>
    <row r="491" spans="1:7" x14ac:dyDescent="0.2">
      <c r="A491" s="1" t="s">
        <v>147</v>
      </c>
      <c r="B491" t="s">
        <v>52</v>
      </c>
      <c r="C491">
        <v>3.5223599860230701</v>
      </c>
      <c r="D491">
        <v>0</v>
      </c>
      <c r="E491">
        <v>0</v>
      </c>
      <c r="F491" t="str">
        <f>"29/55"</f>
        <v>29/55</v>
      </c>
      <c r="G491" s="10">
        <v>0.13969999999999999</v>
      </c>
    </row>
    <row r="492" spans="1:7" x14ac:dyDescent="0.2">
      <c r="A492" s="1" t="s">
        <v>147</v>
      </c>
      <c r="B492" t="s">
        <v>56</v>
      </c>
      <c r="C492">
        <v>3.4814126087204502</v>
      </c>
      <c r="D492">
        <v>0</v>
      </c>
      <c r="E492">
        <v>0</v>
      </c>
      <c r="F492" t="str">
        <f>"47/71"</f>
        <v>47/71</v>
      </c>
      <c r="G492" s="10">
        <v>0.27160000000000001</v>
      </c>
    </row>
    <row r="493" spans="1:7" x14ac:dyDescent="0.2">
      <c r="A493" s="1" t="s">
        <v>147</v>
      </c>
      <c r="B493" t="s">
        <v>346</v>
      </c>
      <c r="C493">
        <v>3.4722055540635499</v>
      </c>
      <c r="D493">
        <v>0</v>
      </c>
      <c r="E493">
        <v>0</v>
      </c>
      <c r="F493" t="str">
        <f>"390/483"</f>
        <v>390/483</v>
      </c>
      <c r="G493" s="10">
        <v>0.57079999999999997</v>
      </c>
    </row>
    <row r="494" spans="1:7" x14ac:dyDescent="0.2">
      <c r="A494" s="1" t="s">
        <v>147</v>
      </c>
      <c r="B494" t="s">
        <v>543</v>
      </c>
      <c r="C494">
        <v>3.4672708685244999</v>
      </c>
      <c r="D494">
        <v>0</v>
      </c>
      <c r="E494">
        <v>0</v>
      </c>
      <c r="F494" t="str">
        <f>"48/77"</f>
        <v>48/77</v>
      </c>
      <c r="G494" s="10">
        <v>0.2515</v>
      </c>
    </row>
    <row r="495" spans="1:7" x14ac:dyDescent="0.2">
      <c r="A495" s="1" t="s">
        <v>147</v>
      </c>
      <c r="B495" t="s">
        <v>518</v>
      </c>
      <c r="C495">
        <v>3.4524406227619</v>
      </c>
      <c r="D495">
        <v>0</v>
      </c>
      <c r="E495">
        <v>0</v>
      </c>
      <c r="F495" t="str">
        <f>"264/292"</f>
        <v>264/292</v>
      </c>
      <c r="G495" s="10">
        <v>0.62370000000000003</v>
      </c>
    </row>
    <row r="496" spans="1:7" x14ac:dyDescent="0.2">
      <c r="A496" s="1" t="s">
        <v>147</v>
      </c>
      <c r="B496" t="s">
        <v>523</v>
      </c>
      <c r="C496">
        <v>3.44263422507415</v>
      </c>
      <c r="D496">
        <v>0</v>
      </c>
      <c r="E496">
        <v>0</v>
      </c>
      <c r="F496" t="str">
        <f>"223/245"</f>
        <v>223/245</v>
      </c>
      <c r="G496" s="10">
        <v>0.62370000000000003</v>
      </c>
    </row>
    <row r="497" spans="1:7" x14ac:dyDescent="0.2">
      <c r="A497" s="1" t="s">
        <v>147</v>
      </c>
      <c r="B497" t="s">
        <v>55</v>
      </c>
      <c r="C497">
        <v>3.4128711287303402</v>
      </c>
      <c r="D497">
        <v>0</v>
      </c>
      <c r="E497">
        <v>0</v>
      </c>
      <c r="F497" t="str">
        <f>"37/59"</f>
        <v>37/59</v>
      </c>
      <c r="G497" s="10">
        <v>0.24349999999999999</v>
      </c>
    </row>
    <row r="498" spans="1:7" x14ac:dyDescent="0.2">
      <c r="A498" s="1" t="s">
        <v>147</v>
      </c>
      <c r="B498" t="s">
        <v>929</v>
      </c>
      <c r="C498">
        <v>3.40142684880407</v>
      </c>
      <c r="D498">
        <v>0</v>
      </c>
      <c r="E498">
        <v>0</v>
      </c>
      <c r="F498" t="str">
        <f>"12/16"</f>
        <v>12/16</v>
      </c>
      <c r="G498" s="10">
        <v>2.7799999999999998E-2</v>
      </c>
    </row>
    <row r="499" spans="1:7" x14ac:dyDescent="0.2">
      <c r="A499" s="1" t="s">
        <v>147</v>
      </c>
      <c r="B499" t="s">
        <v>930</v>
      </c>
      <c r="C499">
        <v>-3.3436913722186099</v>
      </c>
      <c r="D499">
        <v>0</v>
      </c>
      <c r="E499">
        <v>0</v>
      </c>
      <c r="F499" t="str">
        <f>"77/83"</f>
        <v>77/83</v>
      </c>
      <c r="G499" s="10">
        <v>0.66220000000000001</v>
      </c>
    </row>
    <row r="500" spans="1:7" x14ac:dyDescent="0.2">
      <c r="A500" s="1" t="s">
        <v>147</v>
      </c>
      <c r="B500" t="s">
        <v>14</v>
      </c>
      <c r="C500">
        <v>3.33776926323505</v>
      </c>
      <c r="D500">
        <v>0</v>
      </c>
      <c r="E500">
        <v>0</v>
      </c>
      <c r="F500" t="str">
        <f>"49/66"</f>
        <v>49/66</v>
      </c>
      <c r="G500" s="10">
        <v>0.33</v>
      </c>
    </row>
    <row r="501" spans="1:7" x14ac:dyDescent="0.2">
      <c r="A501" s="1" t="s">
        <v>147</v>
      </c>
      <c r="B501" t="s">
        <v>57</v>
      </c>
      <c r="C501">
        <v>3.3318301056306301</v>
      </c>
      <c r="D501">
        <v>0</v>
      </c>
      <c r="E501">
        <v>0</v>
      </c>
      <c r="F501" t="str">
        <f>"44/75"</f>
        <v>44/75</v>
      </c>
      <c r="G501" s="10">
        <v>0.22439999999999999</v>
      </c>
    </row>
    <row r="502" spans="1:7" x14ac:dyDescent="0.2">
      <c r="A502" s="1" t="s">
        <v>147</v>
      </c>
      <c r="B502" t="s">
        <v>551</v>
      </c>
      <c r="C502">
        <v>3.3208933326895198</v>
      </c>
      <c r="D502">
        <v>0</v>
      </c>
      <c r="E502">
        <v>0</v>
      </c>
      <c r="F502" t="str">
        <f>"76/88"</f>
        <v>76/88</v>
      </c>
      <c r="G502" s="10">
        <v>0.48980000000000001</v>
      </c>
    </row>
    <row r="503" spans="1:7" x14ac:dyDescent="0.2">
      <c r="A503" s="1" t="s">
        <v>147</v>
      </c>
      <c r="B503" t="s">
        <v>517</v>
      </c>
      <c r="C503">
        <v>3.3011148401446899</v>
      </c>
      <c r="D503">
        <v>0</v>
      </c>
      <c r="E503">
        <v>0</v>
      </c>
      <c r="F503" t="str">
        <f>"239/268"</f>
        <v>239/268</v>
      </c>
      <c r="G503" s="10">
        <v>0.62370000000000003</v>
      </c>
    </row>
    <row r="504" spans="1:7" x14ac:dyDescent="0.2">
      <c r="A504" s="1" t="s">
        <v>147</v>
      </c>
      <c r="B504" t="s">
        <v>34</v>
      </c>
      <c r="C504">
        <v>3.2809833606751102</v>
      </c>
      <c r="D504">
        <v>0</v>
      </c>
      <c r="E504">
        <v>0</v>
      </c>
      <c r="F504" t="str">
        <f>"110/227"</f>
        <v>110/227</v>
      </c>
      <c r="G504" s="10">
        <v>0.24340000000000001</v>
      </c>
    </row>
    <row r="505" spans="1:7" x14ac:dyDescent="0.2">
      <c r="A505" s="1" t="s">
        <v>147</v>
      </c>
      <c r="B505" t="s">
        <v>862</v>
      </c>
      <c r="C505">
        <v>3.2621825180116599</v>
      </c>
      <c r="D505">
        <v>0</v>
      </c>
      <c r="E505">
        <v>0</v>
      </c>
      <c r="F505" t="str">
        <f>"67/70"</f>
        <v>67/70</v>
      </c>
      <c r="G505" s="10">
        <v>0.53939999999999999</v>
      </c>
    </row>
    <row r="506" spans="1:7" x14ac:dyDescent="0.2">
      <c r="A506" s="1" t="s">
        <v>147</v>
      </c>
      <c r="B506" t="s">
        <v>242</v>
      </c>
      <c r="C506">
        <v>3.23345451336432</v>
      </c>
      <c r="D506">
        <v>0</v>
      </c>
      <c r="E506">
        <v>0</v>
      </c>
      <c r="F506" t="str">
        <f>"31/43"</f>
        <v>31/43</v>
      </c>
      <c r="G506" s="10">
        <v>0.27160000000000001</v>
      </c>
    </row>
    <row r="507" spans="1:7" x14ac:dyDescent="0.2">
      <c r="A507" s="1" t="s">
        <v>147</v>
      </c>
      <c r="B507" t="s">
        <v>567</v>
      </c>
      <c r="C507">
        <v>3.2325862678528599</v>
      </c>
      <c r="D507">
        <v>0</v>
      </c>
      <c r="E507">
        <v>0</v>
      </c>
      <c r="F507" t="str">
        <f>"162/173"</f>
        <v>162/173</v>
      </c>
      <c r="G507" s="10">
        <v>0.62409999999999999</v>
      </c>
    </row>
    <row r="508" spans="1:7" x14ac:dyDescent="0.2">
      <c r="A508" s="1" t="s">
        <v>147</v>
      </c>
      <c r="B508" t="s">
        <v>596</v>
      </c>
      <c r="C508">
        <v>3.2288007468856201</v>
      </c>
      <c r="D508">
        <v>0</v>
      </c>
      <c r="E508">
        <v>0</v>
      </c>
      <c r="F508" t="str">
        <f>"153/162"</f>
        <v>153/162</v>
      </c>
      <c r="G508" s="10">
        <v>0.62409999999999999</v>
      </c>
    </row>
    <row r="509" spans="1:7" x14ac:dyDescent="0.2">
      <c r="A509" s="1" t="s">
        <v>147</v>
      </c>
      <c r="B509" t="s">
        <v>87</v>
      </c>
      <c r="C509">
        <v>3.2279553733483501</v>
      </c>
      <c r="D509">
        <v>0</v>
      </c>
      <c r="E509">
        <v>0</v>
      </c>
      <c r="F509" t="str">
        <f>"34/48"</f>
        <v>34/48</v>
      </c>
      <c r="G509" s="10">
        <v>0.28920000000000001</v>
      </c>
    </row>
    <row r="510" spans="1:7" x14ac:dyDescent="0.2">
      <c r="A510" s="1" t="s">
        <v>147</v>
      </c>
      <c r="B510" t="s">
        <v>270</v>
      </c>
      <c r="C510">
        <v>3.20303583679613</v>
      </c>
      <c r="D510">
        <v>0</v>
      </c>
      <c r="E510">
        <v>0</v>
      </c>
      <c r="F510" t="str">
        <f>"28/39"</f>
        <v>28/39</v>
      </c>
      <c r="G510" s="10">
        <v>0.25209999999999999</v>
      </c>
    </row>
    <row r="511" spans="1:7" x14ac:dyDescent="0.2">
      <c r="A511" s="1" t="s">
        <v>147</v>
      </c>
      <c r="B511" t="s">
        <v>878</v>
      </c>
      <c r="C511">
        <v>3.1938606605575202</v>
      </c>
      <c r="D511">
        <v>0</v>
      </c>
      <c r="E511">
        <v>0</v>
      </c>
      <c r="F511" t="str">
        <f>"67/71"</f>
        <v>67/71</v>
      </c>
      <c r="G511" s="10">
        <v>0.53939999999999999</v>
      </c>
    </row>
    <row r="512" spans="1:7" x14ac:dyDescent="0.2">
      <c r="A512" s="1" t="s">
        <v>147</v>
      </c>
      <c r="B512" t="s">
        <v>550</v>
      </c>
      <c r="C512">
        <v>3.18273059015472</v>
      </c>
      <c r="D512">
        <v>0</v>
      </c>
      <c r="E512">
        <v>0</v>
      </c>
      <c r="F512" t="str">
        <f>"89/104"</f>
        <v>89/104</v>
      </c>
      <c r="G512" s="10">
        <v>0.50309999999999999</v>
      </c>
    </row>
    <row r="513" spans="1:7" x14ac:dyDescent="0.2">
      <c r="A513" s="1" t="s">
        <v>147</v>
      </c>
      <c r="B513" t="s">
        <v>12</v>
      </c>
      <c r="C513">
        <v>3.1778971449350002</v>
      </c>
      <c r="D513">
        <v>0</v>
      </c>
      <c r="E513">
        <v>0</v>
      </c>
      <c r="F513" t="str">
        <f>"165/181"</f>
        <v>165/181</v>
      </c>
      <c r="G513" s="10">
        <v>0.60609999999999997</v>
      </c>
    </row>
    <row r="514" spans="1:7" x14ac:dyDescent="0.2">
      <c r="A514" s="1" t="s">
        <v>147</v>
      </c>
      <c r="B514" t="s">
        <v>69</v>
      </c>
      <c r="C514">
        <v>3.1563174761252299</v>
      </c>
      <c r="D514">
        <v>0</v>
      </c>
      <c r="E514">
        <v>0</v>
      </c>
      <c r="F514" t="str">
        <f>"23/55"</f>
        <v>23/55</v>
      </c>
      <c r="G514" s="10">
        <v>0.10829999999999999</v>
      </c>
    </row>
    <row r="515" spans="1:7" x14ac:dyDescent="0.2">
      <c r="A515" s="1" t="s">
        <v>147</v>
      </c>
      <c r="B515" t="s">
        <v>545</v>
      </c>
      <c r="C515">
        <v>3.1559580340450402</v>
      </c>
      <c r="D515">
        <v>0</v>
      </c>
      <c r="E515">
        <v>0</v>
      </c>
      <c r="F515" t="str">
        <f>"81/94"</f>
        <v>81/94</v>
      </c>
      <c r="G515" s="10">
        <v>0.50309999999999999</v>
      </c>
    </row>
    <row r="516" spans="1:7" x14ac:dyDescent="0.2">
      <c r="A516" s="1" t="s">
        <v>147</v>
      </c>
      <c r="B516" t="s">
        <v>571</v>
      </c>
      <c r="C516">
        <v>3.1546896913133402</v>
      </c>
      <c r="D516">
        <v>0</v>
      </c>
      <c r="E516">
        <v>0</v>
      </c>
      <c r="F516" t="str">
        <f>"176/192"</f>
        <v>176/192</v>
      </c>
      <c r="G516" s="10">
        <v>0.62409999999999999</v>
      </c>
    </row>
    <row r="517" spans="1:7" x14ac:dyDescent="0.2">
      <c r="A517" s="1" t="s">
        <v>147</v>
      </c>
      <c r="B517" t="s">
        <v>337</v>
      </c>
      <c r="C517">
        <v>-3.15400863111187</v>
      </c>
      <c r="D517">
        <v>0</v>
      </c>
      <c r="E517">
        <v>0</v>
      </c>
      <c r="F517" t="str">
        <f>"64/89"</f>
        <v>64/89</v>
      </c>
      <c r="G517" s="10">
        <v>0.4254</v>
      </c>
    </row>
    <row r="518" spans="1:7" x14ac:dyDescent="0.2">
      <c r="A518" s="1" t="s">
        <v>147</v>
      </c>
      <c r="B518" t="s">
        <v>24</v>
      </c>
      <c r="C518">
        <v>3.13181553719203</v>
      </c>
      <c r="D518">
        <v>0</v>
      </c>
      <c r="E518">
        <v>0</v>
      </c>
      <c r="F518" t="str">
        <f>"141/154"</f>
        <v>141/154</v>
      </c>
      <c r="G518" s="10">
        <v>0.60609999999999997</v>
      </c>
    </row>
    <row r="519" spans="1:7" x14ac:dyDescent="0.2">
      <c r="A519" s="1" t="s">
        <v>147</v>
      </c>
      <c r="B519" t="s">
        <v>931</v>
      </c>
      <c r="C519">
        <v>-3.1298615924062299</v>
      </c>
      <c r="D519">
        <v>0</v>
      </c>
      <c r="E519">
        <v>0</v>
      </c>
      <c r="F519" t="str">
        <f>"193/249"</f>
        <v>193/249</v>
      </c>
      <c r="G519" s="10">
        <v>0.61450000000000005</v>
      </c>
    </row>
    <row r="520" spans="1:7" x14ac:dyDescent="0.2">
      <c r="A520" s="1" t="s">
        <v>147</v>
      </c>
      <c r="B520" t="s">
        <v>18</v>
      </c>
      <c r="C520">
        <v>3.12289321801804</v>
      </c>
      <c r="D520">
        <v>0</v>
      </c>
      <c r="E520">
        <v>0</v>
      </c>
      <c r="F520" t="str">
        <f>"46/75"</f>
        <v>46/75</v>
      </c>
      <c r="G520" s="10">
        <v>0.28589999999999999</v>
      </c>
    </row>
    <row r="521" spans="1:7" x14ac:dyDescent="0.2">
      <c r="A521" s="1" t="s">
        <v>147</v>
      </c>
      <c r="B521" t="s">
        <v>540</v>
      </c>
      <c r="C521">
        <v>3.09297713002602</v>
      </c>
      <c r="D521">
        <v>0</v>
      </c>
      <c r="E521">
        <v>0</v>
      </c>
      <c r="F521" t="str">
        <f>"100/129"</f>
        <v>100/129</v>
      </c>
      <c r="G521" s="10">
        <v>0.46589999999999998</v>
      </c>
    </row>
    <row r="522" spans="1:7" x14ac:dyDescent="0.2">
      <c r="A522" s="1" t="s">
        <v>147</v>
      </c>
      <c r="B522" t="s">
        <v>552</v>
      </c>
      <c r="C522">
        <v>3.0854611764164499</v>
      </c>
      <c r="D522">
        <v>0</v>
      </c>
      <c r="E522">
        <v>0</v>
      </c>
      <c r="F522" t="str">
        <f>"74/88"</f>
        <v>74/88</v>
      </c>
      <c r="G522" s="10">
        <v>0.48980000000000001</v>
      </c>
    </row>
    <row r="523" spans="1:7" x14ac:dyDescent="0.2">
      <c r="A523" s="1" t="s">
        <v>147</v>
      </c>
      <c r="B523" t="s">
        <v>514</v>
      </c>
      <c r="C523">
        <v>-3.0822627264841298</v>
      </c>
      <c r="D523">
        <v>0</v>
      </c>
      <c r="E523">
        <v>0</v>
      </c>
      <c r="F523" t="str">
        <f>"124/213"</f>
        <v>124/213</v>
      </c>
      <c r="G523" s="10">
        <v>0.34010000000000001</v>
      </c>
    </row>
    <row r="524" spans="1:7" x14ac:dyDescent="0.2">
      <c r="A524" s="1" t="s">
        <v>147</v>
      </c>
      <c r="B524" t="s">
        <v>932</v>
      </c>
      <c r="C524">
        <v>3.0814078918186101</v>
      </c>
      <c r="D524">
        <v>0</v>
      </c>
      <c r="E524">
        <v>0</v>
      </c>
      <c r="F524" t="str">
        <f>"20/28"</f>
        <v>20/28</v>
      </c>
      <c r="G524" s="10">
        <v>0.28160000000000002</v>
      </c>
    </row>
    <row r="525" spans="1:7" x14ac:dyDescent="0.2">
      <c r="A525" s="1" t="s">
        <v>147</v>
      </c>
      <c r="B525" t="s">
        <v>653</v>
      </c>
      <c r="C525">
        <v>3.0807993832401799</v>
      </c>
      <c r="D525">
        <v>0</v>
      </c>
      <c r="E525">
        <v>0</v>
      </c>
      <c r="F525" t="str">
        <f>"19/23"</f>
        <v>19/23</v>
      </c>
      <c r="G525" s="10">
        <v>0.23830000000000001</v>
      </c>
    </row>
    <row r="526" spans="1:7" x14ac:dyDescent="0.2">
      <c r="A526" s="1" t="s">
        <v>147</v>
      </c>
      <c r="B526" t="s">
        <v>578</v>
      </c>
      <c r="C526">
        <v>3.0780565838128902</v>
      </c>
      <c r="D526">
        <v>0</v>
      </c>
      <c r="E526">
        <v>0</v>
      </c>
      <c r="F526" t="str">
        <f>"182/201"</f>
        <v>182/201</v>
      </c>
      <c r="G526" s="10">
        <v>0.62409999999999999</v>
      </c>
    </row>
    <row r="527" spans="1:7" x14ac:dyDescent="0.2">
      <c r="A527" s="1" t="s">
        <v>147</v>
      </c>
      <c r="B527" t="s">
        <v>176</v>
      </c>
      <c r="C527">
        <v>3.0465285965177</v>
      </c>
      <c r="D527">
        <v>0</v>
      </c>
      <c r="E527">
        <v>0</v>
      </c>
      <c r="F527" t="str">
        <f>"94/121"</f>
        <v>94/121</v>
      </c>
      <c r="G527" s="10">
        <v>0.46589999999999998</v>
      </c>
    </row>
    <row r="528" spans="1:7" x14ac:dyDescent="0.2">
      <c r="A528" s="1" t="s">
        <v>147</v>
      </c>
      <c r="B528" t="s">
        <v>521</v>
      </c>
      <c r="C528">
        <v>-3.03414139877045</v>
      </c>
      <c r="D528">
        <v>0</v>
      </c>
      <c r="E528">
        <v>0</v>
      </c>
      <c r="F528" t="str">
        <f>"25/33"</f>
        <v>25/33</v>
      </c>
      <c r="G528" s="10">
        <v>0.32179999999999997</v>
      </c>
    </row>
    <row r="529" spans="1:7" x14ac:dyDescent="0.2">
      <c r="A529" s="1" t="s">
        <v>147</v>
      </c>
      <c r="B529" t="s">
        <v>633</v>
      </c>
      <c r="C529">
        <v>-3.0040112474789802</v>
      </c>
      <c r="D529">
        <v>0</v>
      </c>
      <c r="E529">
        <v>0</v>
      </c>
      <c r="F529" t="str">
        <f>"48/81"</f>
        <v>48/81</v>
      </c>
      <c r="G529" s="10">
        <v>0.24879999999999999</v>
      </c>
    </row>
    <row r="530" spans="1:7" x14ac:dyDescent="0.2">
      <c r="A530" s="1" t="s">
        <v>147</v>
      </c>
      <c r="B530" t="s">
        <v>639</v>
      </c>
      <c r="C530">
        <v>2.99641619171457</v>
      </c>
      <c r="D530">
        <v>0</v>
      </c>
      <c r="E530">
        <v>0</v>
      </c>
      <c r="F530" t="str">
        <f>"166/171"</f>
        <v>166/171</v>
      </c>
      <c r="G530" s="10">
        <v>0.68140000000000001</v>
      </c>
    </row>
    <row r="531" spans="1:7" x14ac:dyDescent="0.2">
      <c r="A531" s="1" t="s">
        <v>147</v>
      </c>
      <c r="B531" t="s">
        <v>65</v>
      </c>
      <c r="C531">
        <v>2.9865189965894201</v>
      </c>
      <c r="D531">
        <v>0</v>
      </c>
      <c r="E531">
        <v>0</v>
      </c>
      <c r="F531" t="str">
        <f>"28/42"</f>
        <v>28/42</v>
      </c>
      <c r="G531" s="10">
        <v>0.24340000000000001</v>
      </c>
    </row>
    <row r="532" spans="1:7" x14ac:dyDescent="0.2">
      <c r="A532" s="1" t="s">
        <v>147</v>
      </c>
      <c r="B532" t="s">
        <v>721</v>
      </c>
      <c r="C532">
        <v>2.98430177529037</v>
      </c>
      <c r="D532">
        <v>0</v>
      </c>
      <c r="E532">
        <v>0</v>
      </c>
      <c r="F532" t="str">
        <f>"127/158"</f>
        <v>127/158</v>
      </c>
      <c r="G532" s="10">
        <v>0.51459999999999995</v>
      </c>
    </row>
    <row r="533" spans="1:7" x14ac:dyDescent="0.2">
      <c r="A533" s="1" t="s">
        <v>147</v>
      </c>
      <c r="B533" t="s">
        <v>697</v>
      </c>
      <c r="C533">
        <v>2.96714491419386</v>
      </c>
      <c r="D533">
        <v>0</v>
      </c>
      <c r="E533">
        <v>0</v>
      </c>
      <c r="F533" t="str">
        <f>"100/112"</f>
        <v>100/112</v>
      </c>
      <c r="G533" s="10">
        <v>0.56130000000000002</v>
      </c>
    </row>
    <row r="534" spans="1:7" x14ac:dyDescent="0.2">
      <c r="A534" s="1" t="s">
        <v>147</v>
      </c>
      <c r="B534" t="s">
        <v>585</v>
      </c>
      <c r="C534">
        <v>2.96085777239748</v>
      </c>
      <c r="D534">
        <v>0</v>
      </c>
      <c r="E534">
        <v>0</v>
      </c>
      <c r="F534" t="str">
        <f>"95/103"</f>
        <v>95/103</v>
      </c>
      <c r="G534" s="10">
        <v>0.60160000000000002</v>
      </c>
    </row>
    <row r="535" spans="1:7" x14ac:dyDescent="0.2">
      <c r="A535" s="1" t="s">
        <v>147</v>
      </c>
      <c r="B535" t="s">
        <v>554</v>
      </c>
      <c r="C535">
        <v>2.9544756636251002</v>
      </c>
      <c r="D535">
        <v>0</v>
      </c>
      <c r="E535">
        <v>0</v>
      </c>
      <c r="F535" t="str">
        <f>"201/212"</f>
        <v>201/212</v>
      </c>
      <c r="G535" s="10">
        <v>0.67859999999999998</v>
      </c>
    </row>
    <row r="536" spans="1:7" x14ac:dyDescent="0.2">
      <c r="A536" s="1" t="s">
        <v>147</v>
      </c>
      <c r="B536" t="s">
        <v>933</v>
      </c>
      <c r="C536">
        <v>2.9364401540909699</v>
      </c>
      <c r="D536">
        <v>0</v>
      </c>
      <c r="E536">
        <v>0</v>
      </c>
      <c r="F536" t="str">
        <f>"14/25"</f>
        <v>14/25</v>
      </c>
      <c r="G536" s="10">
        <v>0.1019</v>
      </c>
    </row>
    <row r="537" spans="1:7" x14ac:dyDescent="0.2">
      <c r="A537" s="1" t="s">
        <v>147</v>
      </c>
      <c r="B537" t="s">
        <v>30</v>
      </c>
      <c r="C537">
        <v>2.9360007954891798</v>
      </c>
      <c r="D537">
        <v>0</v>
      </c>
      <c r="E537">
        <v>0</v>
      </c>
      <c r="F537" t="str">
        <f>"44/74"</f>
        <v>44/74</v>
      </c>
      <c r="G537" s="10">
        <v>0.28589999999999999</v>
      </c>
    </row>
    <row r="538" spans="1:7" x14ac:dyDescent="0.2">
      <c r="A538" s="1" t="s">
        <v>147</v>
      </c>
      <c r="B538" t="s">
        <v>519</v>
      </c>
      <c r="C538">
        <v>-2.9302783979328</v>
      </c>
      <c r="D538">
        <v>0</v>
      </c>
      <c r="E538">
        <v>0</v>
      </c>
      <c r="F538" t="str">
        <f>"59/102"</f>
        <v>59/102</v>
      </c>
      <c r="G538" s="10">
        <v>0.33710000000000001</v>
      </c>
    </row>
    <row r="539" spans="1:7" x14ac:dyDescent="0.2">
      <c r="A539" s="1" t="s">
        <v>147</v>
      </c>
      <c r="B539" t="s">
        <v>28</v>
      </c>
      <c r="C539">
        <v>2.8962491629096401</v>
      </c>
      <c r="D539">
        <v>0</v>
      </c>
      <c r="E539">
        <v>0</v>
      </c>
      <c r="F539" t="str">
        <f>"46/75"</f>
        <v>46/75</v>
      </c>
      <c r="G539" s="10">
        <v>0.3014</v>
      </c>
    </row>
    <row r="540" spans="1:7" x14ac:dyDescent="0.2">
      <c r="A540" s="1" t="s">
        <v>147</v>
      </c>
      <c r="B540" t="s">
        <v>577</v>
      </c>
      <c r="C540">
        <v>2.8797538907726499</v>
      </c>
      <c r="D540">
        <v>0</v>
      </c>
      <c r="E540">
        <v>0</v>
      </c>
      <c r="F540" t="str">
        <f>"135/284"</f>
        <v>135/284</v>
      </c>
      <c r="G540" s="10">
        <v>0.29160000000000003</v>
      </c>
    </row>
    <row r="541" spans="1:7" x14ac:dyDescent="0.2">
      <c r="A541" s="1" t="s">
        <v>147</v>
      </c>
      <c r="B541" t="s">
        <v>529</v>
      </c>
      <c r="C541">
        <v>2.87970925802101</v>
      </c>
      <c r="D541">
        <v>0</v>
      </c>
      <c r="E541">
        <v>0</v>
      </c>
      <c r="F541" t="str">
        <f>"260/277"</f>
        <v>260/277</v>
      </c>
      <c r="G541" s="10">
        <v>0.70089999999999997</v>
      </c>
    </row>
    <row r="542" spans="1:7" x14ac:dyDescent="0.2">
      <c r="A542" s="1" t="s">
        <v>147</v>
      </c>
      <c r="B542" t="s">
        <v>32</v>
      </c>
      <c r="C542">
        <v>2.8769413264220298</v>
      </c>
      <c r="D542">
        <v>0</v>
      </c>
      <c r="E542">
        <v>0</v>
      </c>
      <c r="F542" t="str">
        <f>"46/74"</f>
        <v>46/74</v>
      </c>
      <c r="G542" s="10">
        <v>0.29720000000000002</v>
      </c>
    </row>
    <row r="543" spans="1:7" x14ac:dyDescent="0.2">
      <c r="A543" s="1" t="s">
        <v>147</v>
      </c>
      <c r="B543" t="s">
        <v>821</v>
      </c>
      <c r="C543">
        <v>-2.8740505810253998</v>
      </c>
      <c r="D543">
        <v>0</v>
      </c>
      <c r="E543">
        <v>0</v>
      </c>
      <c r="F543" t="str">
        <f>"19/26"</f>
        <v>19/26</v>
      </c>
      <c r="G543" s="10">
        <v>0.27529999999999999</v>
      </c>
    </row>
    <row r="544" spans="1:7" x14ac:dyDescent="0.2">
      <c r="A544" s="1" t="s">
        <v>147</v>
      </c>
      <c r="B544" t="s">
        <v>539</v>
      </c>
      <c r="C544">
        <v>2.8728485481848902</v>
      </c>
      <c r="D544">
        <v>0</v>
      </c>
      <c r="E544">
        <v>0</v>
      </c>
      <c r="F544" t="str">
        <f>"287/313"</f>
        <v>287/313</v>
      </c>
      <c r="G544" s="10">
        <v>0.67710000000000004</v>
      </c>
    </row>
    <row r="545" spans="1:7" x14ac:dyDescent="0.2">
      <c r="A545" s="1" t="s">
        <v>147</v>
      </c>
      <c r="B545" t="s">
        <v>630</v>
      </c>
      <c r="C545">
        <v>-2.8480774217090099</v>
      </c>
      <c r="D545">
        <v>0</v>
      </c>
      <c r="E545">
        <v>0</v>
      </c>
      <c r="F545" t="str">
        <f>"47/51"</f>
        <v>47/51</v>
      </c>
      <c r="G545" s="10">
        <v>0.63580000000000003</v>
      </c>
    </row>
    <row r="546" spans="1:7" x14ac:dyDescent="0.2">
      <c r="A546" s="1" t="s">
        <v>147</v>
      </c>
      <c r="B546" t="s">
        <v>934</v>
      </c>
      <c r="C546">
        <v>-2.8434741537186699</v>
      </c>
      <c r="D546">
        <v>0</v>
      </c>
      <c r="E546">
        <v>0</v>
      </c>
      <c r="F546" t="str">
        <f>"40/55"</f>
        <v>40/55</v>
      </c>
      <c r="G546" s="10">
        <v>0.3649</v>
      </c>
    </row>
    <row r="547" spans="1:7" x14ac:dyDescent="0.2">
      <c r="A547" s="1" t="s">
        <v>147</v>
      </c>
      <c r="B547" t="s">
        <v>591</v>
      </c>
      <c r="C547">
        <v>2.8423325837928002</v>
      </c>
      <c r="D547">
        <v>0</v>
      </c>
      <c r="E547">
        <v>0</v>
      </c>
      <c r="F547" t="str">
        <f>"17/24"</f>
        <v>17/24</v>
      </c>
      <c r="G547" s="10">
        <v>0.24579999999999999</v>
      </c>
    </row>
    <row r="548" spans="1:7" x14ac:dyDescent="0.2">
      <c r="A548" s="1" t="s">
        <v>147</v>
      </c>
      <c r="B548" t="s">
        <v>603</v>
      </c>
      <c r="C548">
        <v>2.8249561024422101</v>
      </c>
      <c r="D548">
        <v>0</v>
      </c>
      <c r="E548">
        <v>0</v>
      </c>
      <c r="F548" t="str">
        <f>"19/28"</f>
        <v>19/28</v>
      </c>
      <c r="G548" s="10">
        <v>0.2155</v>
      </c>
    </row>
    <row r="549" spans="1:7" x14ac:dyDescent="0.2">
      <c r="A549" s="1" t="s">
        <v>147</v>
      </c>
      <c r="B549" t="s">
        <v>612</v>
      </c>
      <c r="C549">
        <v>2.8191493075839298</v>
      </c>
      <c r="D549">
        <v>0</v>
      </c>
      <c r="E549">
        <v>0</v>
      </c>
      <c r="F549" t="str">
        <f>"26/34"</f>
        <v>26/34</v>
      </c>
      <c r="G549" s="10">
        <v>0.29199999999999998</v>
      </c>
    </row>
    <row r="550" spans="1:7" x14ac:dyDescent="0.2">
      <c r="A550" s="1" t="s">
        <v>147</v>
      </c>
      <c r="B550" t="s">
        <v>935</v>
      </c>
      <c r="C550">
        <v>2.8157874537027099</v>
      </c>
      <c r="D550">
        <v>0</v>
      </c>
      <c r="E550">
        <v>0</v>
      </c>
      <c r="F550" t="str">
        <f>"51/100"</f>
        <v>51/100</v>
      </c>
      <c r="G550" s="10">
        <v>0.28160000000000002</v>
      </c>
    </row>
    <row r="551" spans="1:7" x14ac:dyDescent="0.2">
      <c r="A551" s="1" t="s">
        <v>147</v>
      </c>
      <c r="B551" t="s">
        <v>594</v>
      </c>
      <c r="C551">
        <v>2.8124715337992399</v>
      </c>
      <c r="D551">
        <v>0</v>
      </c>
      <c r="E551">
        <v>0</v>
      </c>
      <c r="F551" t="str">
        <f>"294/350"</f>
        <v>294/350</v>
      </c>
      <c r="G551" s="10">
        <v>0.62339999999999995</v>
      </c>
    </row>
    <row r="552" spans="1:7" x14ac:dyDescent="0.2">
      <c r="A552" s="1" t="s">
        <v>147</v>
      </c>
      <c r="B552" t="s">
        <v>544</v>
      </c>
      <c r="C552">
        <v>2.80818901518525</v>
      </c>
      <c r="D552">
        <v>0</v>
      </c>
      <c r="E552">
        <v>0</v>
      </c>
      <c r="F552" t="str">
        <f>"47/76"</f>
        <v>47/76</v>
      </c>
      <c r="G552" s="10">
        <v>0.32650000000000001</v>
      </c>
    </row>
    <row r="553" spans="1:7" x14ac:dyDescent="0.2">
      <c r="A553" s="1" t="s">
        <v>147</v>
      </c>
      <c r="B553" t="s">
        <v>626</v>
      </c>
      <c r="C553">
        <v>2.8060037737762098</v>
      </c>
      <c r="D553">
        <v>0</v>
      </c>
      <c r="E553">
        <v>0</v>
      </c>
      <c r="F553" t="str">
        <f>"101/112"</f>
        <v>101/112</v>
      </c>
      <c r="G553" s="10">
        <v>0.60170000000000001</v>
      </c>
    </row>
    <row r="554" spans="1:7" x14ac:dyDescent="0.2">
      <c r="A554" s="1" t="s">
        <v>147</v>
      </c>
      <c r="B554" t="s">
        <v>627</v>
      </c>
      <c r="C554">
        <v>2.8060037737762098</v>
      </c>
      <c r="D554">
        <v>0</v>
      </c>
      <c r="E554">
        <v>0</v>
      </c>
      <c r="F554" t="str">
        <f>"101/112"</f>
        <v>101/112</v>
      </c>
      <c r="G554" s="10">
        <v>0.60170000000000001</v>
      </c>
    </row>
    <row r="555" spans="1:7" x14ac:dyDescent="0.2">
      <c r="A555" s="1" t="s">
        <v>147</v>
      </c>
      <c r="B555" t="s">
        <v>936</v>
      </c>
      <c r="C555">
        <v>-2.8034650742940501</v>
      </c>
      <c r="D555">
        <v>0</v>
      </c>
      <c r="E555">
        <v>0</v>
      </c>
      <c r="F555" t="str">
        <f>"82/87"</f>
        <v>82/87</v>
      </c>
      <c r="G555" s="10">
        <v>0.7107</v>
      </c>
    </row>
    <row r="556" spans="1:7" x14ac:dyDescent="0.2">
      <c r="A556" s="1" t="s">
        <v>147</v>
      </c>
      <c r="B556" t="s">
        <v>937</v>
      </c>
      <c r="C556">
        <v>2.7946172217047298</v>
      </c>
      <c r="D556">
        <v>0</v>
      </c>
      <c r="E556">
        <v>0</v>
      </c>
      <c r="F556" t="str">
        <f>"67/70"</f>
        <v>67/70</v>
      </c>
      <c r="G556" s="10">
        <v>0.64729999999999999</v>
      </c>
    </row>
    <row r="557" spans="1:7" x14ac:dyDescent="0.2">
      <c r="A557" s="1" t="s">
        <v>147</v>
      </c>
      <c r="B557" t="s">
        <v>938</v>
      </c>
      <c r="C557">
        <v>2.79094731730346</v>
      </c>
      <c r="D557">
        <v>0</v>
      </c>
      <c r="E557">
        <v>0</v>
      </c>
      <c r="F557" t="str">
        <f>"23/28"</f>
        <v>23/28</v>
      </c>
      <c r="G557" s="10">
        <v>0.33550000000000002</v>
      </c>
    </row>
    <row r="558" spans="1:7" x14ac:dyDescent="0.2">
      <c r="A558" s="1" t="s">
        <v>147</v>
      </c>
      <c r="B558" t="s">
        <v>747</v>
      </c>
      <c r="C558">
        <v>2.7907203065221302</v>
      </c>
      <c r="D558">
        <v>0</v>
      </c>
      <c r="E558">
        <v>0</v>
      </c>
      <c r="F558" t="str">
        <f>"17/24"</f>
        <v>17/24</v>
      </c>
      <c r="G558" s="10">
        <v>0.216</v>
      </c>
    </row>
    <row r="559" spans="1:7" x14ac:dyDescent="0.2">
      <c r="A559" s="1" t="s">
        <v>147</v>
      </c>
      <c r="B559" t="s">
        <v>939</v>
      </c>
      <c r="C559">
        <v>-2.78983579182926</v>
      </c>
      <c r="D559">
        <v>0</v>
      </c>
      <c r="E559">
        <v>0</v>
      </c>
      <c r="F559" t="str">
        <f>"25/41"</f>
        <v>25/41</v>
      </c>
      <c r="G559" s="10">
        <v>0.21890000000000001</v>
      </c>
    </row>
    <row r="560" spans="1:7" x14ac:dyDescent="0.2">
      <c r="A560" s="1" t="s">
        <v>147</v>
      </c>
      <c r="B560" t="s">
        <v>564</v>
      </c>
      <c r="C560">
        <v>2.7897659128557701</v>
      </c>
      <c r="D560">
        <v>0</v>
      </c>
      <c r="E560">
        <v>0</v>
      </c>
      <c r="F560" t="str">
        <f>"38/47"</f>
        <v>38/47</v>
      </c>
      <c r="G560" s="10">
        <v>0.40210000000000001</v>
      </c>
    </row>
    <row r="561" spans="1:7" x14ac:dyDescent="0.2">
      <c r="A561" s="1" t="s">
        <v>147</v>
      </c>
      <c r="B561" t="s">
        <v>535</v>
      </c>
      <c r="C561">
        <v>2.7869200040437598</v>
      </c>
      <c r="D561">
        <v>0</v>
      </c>
      <c r="E561">
        <v>0</v>
      </c>
      <c r="F561" t="str">
        <f>"122/129"</f>
        <v>122/129</v>
      </c>
      <c r="G561" s="10">
        <v>0.66100000000000003</v>
      </c>
    </row>
    <row r="562" spans="1:7" x14ac:dyDescent="0.2">
      <c r="A562" s="1" t="s">
        <v>147</v>
      </c>
      <c r="B562" t="s">
        <v>610</v>
      </c>
      <c r="C562">
        <v>2.7863750177093598</v>
      </c>
      <c r="D562">
        <v>0</v>
      </c>
      <c r="E562">
        <v>0</v>
      </c>
      <c r="F562" t="str">
        <f>"24/25"</f>
        <v>24/25</v>
      </c>
      <c r="G562" s="10">
        <v>0.42249999999999999</v>
      </c>
    </row>
    <row r="563" spans="1:7" x14ac:dyDescent="0.2">
      <c r="A563" s="1" t="s">
        <v>147</v>
      </c>
      <c r="B563" t="s">
        <v>940</v>
      </c>
      <c r="C563">
        <v>2.7850741470382898</v>
      </c>
      <c r="D563">
        <v>0</v>
      </c>
      <c r="E563">
        <v>0</v>
      </c>
      <c r="F563" t="str">
        <f>"40/71"</f>
        <v>40/71</v>
      </c>
      <c r="G563" s="10">
        <v>0.28179999999999999</v>
      </c>
    </row>
    <row r="564" spans="1:7" x14ac:dyDescent="0.2">
      <c r="A564" s="1" t="s">
        <v>147</v>
      </c>
      <c r="B564" t="s">
        <v>941</v>
      </c>
      <c r="C564">
        <v>-2.7633176102796999</v>
      </c>
      <c r="D564">
        <v>0</v>
      </c>
      <c r="E564">
        <v>0</v>
      </c>
      <c r="F564" t="str">
        <f>"21/24"</f>
        <v>21/24</v>
      </c>
      <c r="G564" s="10">
        <v>0.43790000000000001</v>
      </c>
    </row>
    <row r="565" spans="1:7" x14ac:dyDescent="0.2">
      <c r="A565" s="1" t="s">
        <v>147</v>
      </c>
      <c r="B565" t="s">
        <v>520</v>
      </c>
      <c r="C565">
        <v>-2.7609282476813899</v>
      </c>
      <c r="D565">
        <v>0</v>
      </c>
      <c r="E565">
        <v>0</v>
      </c>
      <c r="F565" t="str">
        <f>"99/152"</f>
        <v>99/152</v>
      </c>
      <c r="G565" s="10">
        <v>0.42649999999999999</v>
      </c>
    </row>
    <row r="566" spans="1:7" x14ac:dyDescent="0.2">
      <c r="A566" s="1" t="s">
        <v>147</v>
      </c>
      <c r="B566" t="s">
        <v>45</v>
      </c>
      <c r="C566">
        <v>2.74835111847896</v>
      </c>
      <c r="D566">
        <v>0</v>
      </c>
      <c r="E566">
        <v>0</v>
      </c>
      <c r="F566" t="str">
        <f>"91/100"</f>
        <v>91/100</v>
      </c>
      <c r="G566" s="10">
        <v>0.62050000000000005</v>
      </c>
    </row>
    <row r="567" spans="1:7" x14ac:dyDescent="0.2">
      <c r="A567" s="1" t="s">
        <v>147</v>
      </c>
      <c r="B567" t="s">
        <v>942</v>
      </c>
      <c r="C567">
        <v>-2.74501302391407</v>
      </c>
      <c r="D567">
        <v>0</v>
      </c>
      <c r="E567">
        <v>0</v>
      </c>
      <c r="F567" t="str">
        <f>"143/163"</f>
        <v>143/163</v>
      </c>
      <c r="G567" s="10">
        <v>0.71679999999999999</v>
      </c>
    </row>
    <row r="568" spans="1:7" x14ac:dyDescent="0.2">
      <c r="A568" s="1" t="s">
        <v>147</v>
      </c>
      <c r="B568" t="s">
        <v>943</v>
      </c>
      <c r="C568">
        <v>-2.7394816538512199</v>
      </c>
      <c r="D568">
        <v>0</v>
      </c>
      <c r="E568">
        <v>0</v>
      </c>
      <c r="F568" t="str">
        <f>"34/48"</f>
        <v>34/48</v>
      </c>
      <c r="G568" s="10">
        <v>0.3735</v>
      </c>
    </row>
    <row r="569" spans="1:7" x14ac:dyDescent="0.2">
      <c r="A569" s="1" t="s">
        <v>147</v>
      </c>
      <c r="B569" t="s">
        <v>623</v>
      </c>
      <c r="C569">
        <v>2.7390349009111201</v>
      </c>
      <c r="D569">
        <v>0</v>
      </c>
      <c r="E569">
        <v>0</v>
      </c>
      <c r="F569" t="str">
        <f>"83/90"</f>
        <v>83/90</v>
      </c>
      <c r="G569" s="10">
        <v>0.60770000000000002</v>
      </c>
    </row>
    <row r="570" spans="1:7" x14ac:dyDescent="0.2">
      <c r="A570" s="1" t="s">
        <v>147</v>
      </c>
      <c r="B570" t="s">
        <v>638</v>
      </c>
      <c r="C570">
        <v>2.7369960702524598</v>
      </c>
      <c r="D570">
        <v>0</v>
      </c>
      <c r="E570">
        <v>0</v>
      </c>
      <c r="F570" t="str">
        <f>"103/116"</f>
        <v>103/116</v>
      </c>
      <c r="G570" s="10">
        <v>0.60170000000000001</v>
      </c>
    </row>
    <row r="571" spans="1:7" x14ac:dyDescent="0.2">
      <c r="A571" s="1" t="s">
        <v>147</v>
      </c>
      <c r="B571" t="s">
        <v>605</v>
      </c>
      <c r="C571">
        <v>2.7355411693416798</v>
      </c>
      <c r="D571">
        <v>0</v>
      </c>
      <c r="E571">
        <v>0</v>
      </c>
      <c r="F571" t="str">
        <f>"238/257"</f>
        <v>238/257</v>
      </c>
      <c r="G571" s="10">
        <v>0.6996</v>
      </c>
    </row>
    <row r="572" spans="1:7" x14ac:dyDescent="0.2">
      <c r="A572" s="1" t="s">
        <v>147</v>
      </c>
      <c r="B572" t="s">
        <v>525</v>
      </c>
      <c r="C572">
        <v>2.7337468276125598</v>
      </c>
      <c r="D572">
        <v>0</v>
      </c>
      <c r="E572">
        <v>0</v>
      </c>
      <c r="F572" t="str">
        <f>"328/354"</f>
        <v>328/354</v>
      </c>
      <c r="G572" s="10">
        <v>0.71</v>
      </c>
    </row>
    <row r="573" spans="1:7" x14ac:dyDescent="0.2">
      <c r="A573" s="1" t="s">
        <v>147</v>
      </c>
      <c r="B573" t="s">
        <v>620</v>
      </c>
      <c r="C573">
        <v>2.7319159572376401</v>
      </c>
      <c r="D573">
        <v>0</v>
      </c>
      <c r="E573">
        <v>0</v>
      </c>
      <c r="F573" t="str">
        <f>"45/88"</f>
        <v>45/88</v>
      </c>
      <c r="G573" s="10">
        <v>0.27950000000000003</v>
      </c>
    </row>
    <row r="574" spans="1:7" x14ac:dyDescent="0.2">
      <c r="A574" s="1" t="s">
        <v>147</v>
      </c>
      <c r="B574" t="s">
        <v>41</v>
      </c>
      <c r="C574">
        <v>2.7231936871306099</v>
      </c>
      <c r="D574">
        <v>0</v>
      </c>
      <c r="E574">
        <v>0</v>
      </c>
      <c r="F574" t="str">
        <f>"259/328"</f>
        <v>259/328</v>
      </c>
      <c r="G574" s="10">
        <v>0.58779999999999999</v>
      </c>
    </row>
    <row r="575" spans="1:7" x14ac:dyDescent="0.2">
      <c r="A575" s="1" t="s">
        <v>147</v>
      </c>
      <c r="B575" t="s">
        <v>944</v>
      </c>
      <c r="C575">
        <v>2.7113834238349299</v>
      </c>
      <c r="D575">
        <v>0</v>
      </c>
      <c r="E575">
        <v>0</v>
      </c>
      <c r="F575" t="str">
        <f>"11/16"</f>
        <v>11/16</v>
      </c>
      <c r="G575" s="10">
        <v>0.1361</v>
      </c>
    </row>
    <row r="576" spans="1:7" x14ac:dyDescent="0.2">
      <c r="A576" s="1" t="s">
        <v>147</v>
      </c>
      <c r="B576" t="s">
        <v>945</v>
      </c>
      <c r="C576">
        <v>2.7113834238349299</v>
      </c>
      <c r="D576">
        <v>0</v>
      </c>
      <c r="E576">
        <v>0</v>
      </c>
      <c r="F576" t="str">
        <f>"11/16"</f>
        <v>11/16</v>
      </c>
      <c r="G576" s="10">
        <v>0.1361</v>
      </c>
    </row>
    <row r="577" spans="1:7" x14ac:dyDescent="0.2">
      <c r="A577" s="1" t="s">
        <v>147</v>
      </c>
      <c r="B577" t="s">
        <v>946</v>
      </c>
      <c r="C577">
        <v>2.7061243013884502</v>
      </c>
      <c r="D577">
        <v>0</v>
      </c>
      <c r="E577">
        <v>0</v>
      </c>
      <c r="F577" t="str">
        <f>"100/125"</f>
        <v>100/125</v>
      </c>
      <c r="G577" s="10">
        <v>0.5454</v>
      </c>
    </row>
    <row r="578" spans="1:7" x14ac:dyDescent="0.2">
      <c r="A578" s="1" t="s">
        <v>147</v>
      </c>
      <c r="B578" t="s">
        <v>581</v>
      </c>
      <c r="C578">
        <v>2.7053651038617401</v>
      </c>
      <c r="D578">
        <v>0</v>
      </c>
      <c r="E578">
        <v>0</v>
      </c>
      <c r="F578" t="str">
        <f>"25/30"</f>
        <v>25/30</v>
      </c>
      <c r="G578" s="10">
        <v>0.39219999999999999</v>
      </c>
    </row>
    <row r="579" spans="1:7" x14ac:dyDescent="0.2">
      <c r="A579" s="1" t="s">
        <v>147</v>
      </c>
      <c r="B579" t="s">
        <v>796</v>
      </c>
      <c r="C579">
        <v>2.7008745848753</v>
      </c>
      <c r="D579">
        <v>0</v>
      </c>
      <c r="E579">
        <v>0</v>
      </c>
      <c r="F579" t="str">
        <f>"95/122"</f>
        <v>95/122</v>
      </c>
      <c r="G579" s="10">
        <v>0.52459999999999996</v>
      </c>
    </row>
    <row r="580" spans="1:7" x14ac:dyDescent="0.2">
      <c r="A580" s="1" t="s">
        <v>147</v>
      </c>
      <c r="B580" t="s">
        <v>38</v>
      </c>
      <c r="C580">
        <v>2.6998958760522198</v>
      </c>
      <c r="D580">
        <v>0</v>
      </c>
      <c r="E580">
        <v>0</v>
      </c>
      <c r="F580" t="str">
        <f>"38/65"</f>
        <v>38/65</v>
      </c>
      <c r="G580" s="10">
        <v>0.28589999999999999</v>
      </c>
    </row>
    <row r="581" spans="1:7" x14ac:dyDescent="0.2">
      <c r="A581" s="1" t="s">
        <v>147</v>
      </c>
      <c r="B581" t="s">
        <v>187</v>
      </c>
      <c r="C581">
        <v>2.69354604820776</v>
      </c>
      <c r="D581">
        <v>0</v>
      </c>
      <c r="E581">
        <v>0</v>
      </c>
      <c r="F581" t="str">
        <f>"51/57"</f>
        <v>51/57</v>
      </c>
      <c r="G581" s="10">
        <v>0.53139999999999998</v>
      </c>
    </row>
    <row r="582" spans="1:7" x14ac:dyDescent="0.2">
      <c r="A582" s="1" t="s">
        <v>147</v>
      </c>
      <c r="B582" t="s">
        <v>188</v>
      </c>
      <c r="C582">
        <v>2.69354604820776</v>
      </c>
      <c r="D582">
        <v>0</v>
      </c>
      <c r="E582">
        <v>0</v>
      </c>
      <c r="F582" t="str">
        <f>"51/57"</f>
        <v>51/57</v>
      </c>
      <c r="G582" s="10">
        <v>0.53139999999999998</v>
      </c>
    </row>
    <row r="583" spans="1:7" x14ac:dyDescent="0.2">
      <c r="A583" s="1" t="s">
        <v>147</v>
      </c>
      <c r="B583" t="s">
        <v>333</v>
      </c>
      <c r="C583">
        <v>-2.6911230097374998</v>
      </c>
      <c r="D583">
        <v>0</v>
      </c>
      <c r="E583">
        <v>0</v>
      </c>
      <c r="F583" t="str">
        <f>"51/80"</f>
        <v>51/80</v>
      </c>
      <c r="G583" s="10">
        <v>0.33460000000000001</v>
      </c>
    </row>
    <row r="584" spans="1:7" x14ac:dyDescent="0.2">
      <c r="A584" s="1" t="s">
        <v>147</v>
      </c>
      <c r="B584" t="s">
        <v>947</v>
      </c>
      <c r="C584">
        <v>2.6844685810749498</v>
      </c>
      <c r="D584">
        <v>0</v>
      </c>
      <c r="E584">
        <v>0</v>
      </c>
      <c r="F584" t="str">
        <f>"88/97"</f>
        <v>88/97</v>
      </c>
      <c r="G584" s="10">
        <v>0.62050000000000005</v>
      </c>
    </row>
    <row r="585" spans="1:7" x14ac:dyDescent="0.2">
      <c r="A585" s="1" t="s">
        <v>147</v>
      </c>
      <c r="B585" t="s">
        <v>948</v>
      </c>
      <c r="C585">
        <v>2.67908081681363</v>
      </c>
      <c r="D585">
        <v>0</v>
      </c>
      <c r="E585">
        <v>0</v>
      </c>
      <c r="F585" t="str">
        <f>"13/15"</f>
        <v>13/15</v>
      </c>
      <c r="G585" s="10">
        <v>0.2442</v>
      </c>
    </row>
    <row r="586" spans="1:7" x14ac:dyDescent="0.2">
      <c r="A586" s="1" t="s">
        <v>147</v>
      </c>
      <c r="B586" t="s">
        <v>949</v>
      </c>
      <c r="C586">
        <v>2.67596281990844</v>
      </c>
      <c r="D586">
        <v>0</v>
      </c>
      <c r="E586">
        <v>0</v>
      </c>
      <c r="F586" t="str">
        <f>"59/73"</f>
        <v>59/73</v>
      </c>
      <c r="G586" s="10">
        <v>0.495</v>
      </c>
    </row>
    <row r="587" spans="1:7" x14ac:dyDescent="0.2">
      <c r="A587" s="1" t="s">
        <v>147</v>
      </c>
      <c r="B587" t="s">
        <v>575</v>
      </c>
      <c r="C587">
        <v>2.67343401054588</v>
      </c>
      <c r="D587">
        <v>0</v>
      </c>
      <c r="E587">
        <v>0</v>
      </c>
      <c r="F587" t="str">
        <f>"272/295"</f>
        <v>272/295</v>
      </c>
      <c r="G587" s="10">
        <v>0.70840000000000003</v>
      </c>
    </row>
    <row r="588" spans="1:7" x14ac:dyDescent="0.2">
      <c r="A588" s="1" t="s">
        <v>147</v>
      </c>
      <c r="B588" t="s">
        <v>621</v>
      </c>
      <c r="C588">
        <v>2.6729321872864702</v>
      </c>
      <c r="D588">
        <v>0</v>
      </c>
      <c r="E588">
        <v>0</v>
      </c>
      <c r="F588" t="str">
        <f>"61/69"</f>
        <v>61/69</v>
      </c>
      <c r="G588" s="10">
        <v>0.55189999999999995</v>
      </c>
    </row>
    <row r="589" spans="1:7" x14ac:dyDescent="0.2">
      <c r="A589" s="1" t="s">
        <v>147</v>
      </c>
      <c r="B589" t="s">
        <v>634</v>
      </c>
      <c r="C589">
        <v>2.6723652260538602</v>
      </c>
      <c r="D589">
        <v>0</v>
      </c>
      <c r="E589">
        <v>0</v>
      </c>
      <c r="F589" t="str">
        <f>"100/112"</f>
        <v>100/112</v>
      </c>
      <c r="G589" s="10">
        <v>0.60170000000000001</v>
      </c>
    </row>
    <row r="590" spans="1:7" x14ac:dyDescent="0.2">
      <c r="A590" s="1" t="s">
        <v>147</v>
      </c>
      <c r="B590" t="s">
        <v>950</v>
      </c>
      <c r="C590">
        <v>2.6716804038894302</v>
      </c>
      <c r="D590">
        <v>0</v>
      </c>
      <c r="E590">
        <v>0</v>
      </c>
      <c r="F590" t="str">
        <f>"155/182"</f>
        <v>155/182</v>
      </c>
      <c r="G590" s="10">
        <v>0.62150000000000005</v>
      </c>
    </row>
    <row r="591" spans="1:7" x14ac:dyDescent="0.2">
      <c r="A591" s="1" t="s">
        <v>147</v>
      </c>
      <c r="B591" t="s">
        <v>951</v>
      </c>
      <c r="C591">
        <v>2.6668522723332102</v>
      </c>
      <c r="D591">
        <v>0</v>
      </c>
      <c r="E591">
        <v>0</v>
      </c>
      <c r="F591" t="str">
        <f>"29/41"</f>
        <v>29/41</v>
      </c>
      <c r="G591" s="10">
        <v>0.3296</v>
      </c>
    </row>
    <row r="592" spans="1:7" x14ac:dyDescent="0.2">
      <c r="A592" s="1" t="s">
        <v>147</v>
      </c>
      <c r="B592" t="s">
        <v>251</v>
      </c>
      <c r="C592">
        <v>2.6628374391512599</v>
      </c>
      <c r="D592">
        <v>0</v>
      </c>
      <c r="E592">
        <v>0</v>
      </c>
      <c r="F592" t="str">
        <f>"42/86"</f>
        <v>42/86</v>
      </c>
      <c r="G592" s="10">
        <v>0.2117</v>
      </c>
    </row>
    <row r="593" spans="1:7" x14ac:dyDescent="0.2">
      <c r="A593" s="1" t="s">
        <v>147</v>
      </c>
      <c r="B593" t="s">
        <v>952</v>
      </c>
      <c r="C593">
        <v>2.6498350538758602</v>
      </c>
      <c r="D593">
        <v>0</v>
      </c>
      <c r="E593">
        <v>0</v>
      </c>
      <c r="F593" t="str">
        <f>"137/173"</f>
        <v>137/173</v>
      </c>
      <c r="G593" s="10">
        <v>0.55130000000000001</v>
      </c>
    </row>
    <row r="594" spans="1:7" x14ac:dyDescent="0.2">
      <c r="A594" s="1" t="s">
        <v>147</v>
      </c>
      <c r="B594" t="s">
        <v>185</v>
      </c>
      <c r="C594">
        <v>2.6424092657566201</v>
      </c>
      <c r="D594">
        <v>0</v>
      </c>
      <c r="E594">
        <v>0</v>
      </c>
      <c r="F594" t="str">
        <f>"71/78"</f>
        <v>71/78</v>
      </c>
      <c r="G594" s="10">
        <v>0.59709999999999996</v>
      </c>
    </row>
    <row r="595" spans="1:7" x14ac:dyDescent="0.2">
      <c r="A595" s="1" t="s">
        <v>147</v>
      </c>
      <c r="B595" t="s">
        <v>953</v>
      </c>
      <c r="C595">
        <v>2.64192122657838</v>
      </c>
      <c r="D595">
        <v>0</v>
      </c>
      <c r="E595">
        <v>0</v>
      </c>
      <c r="F595" t="str">
        <f>"57/71"</f>
        <v>57/71</v>
      </c>
      <c r="G595" s="10">
        <v>0.495</v>
      </c>
    </row>
    <row r="596" spans="1:7" x14ac:dyDescent="0.2">
      <c r="A596" s="1" t="s">
        <v>147</v>
      </c>
      <c r="B596" t="s">
        <v>954</v>
      </c>
      <c r="C596">
        <v>2.6414909051822799</v>
      </c>
      <c r="D596">
        <v>0</v>
      </c>
      <c r="E596">
        <v>0</v>
      </c>
      <c r="F596" t="str">
        <f>"50/56"</f>
        <v>50/56</v>
      </c>
      <c r="G596" s="10">
        <v>0.54969999999999997</v>
      </c>
    </row>
    <row r="597" spans="1:7" x14ac:dyDescent="0.2">
      <c r="A597" s="1" t="s">
        <v>147</v>
      </c>
      <c r="B597" t="s">
        <v>955</v>
      </c>
      <c r="C597">
        <v>2.6401677432609501</v>
      </c>
      <c r="D597">
        <v>0</v>
      </c>
      <c r="E597">
        <v>0</v>
      </c>
      <c r="F597" t="str">
        <f>"78/124"</f>
        <v>78/124</v>
      </c>
      <c r="G597" s="10">
        <v>0.41110000000000002</v>
      </c>
    </row>
    <row r="598" spans="1:7" x14ac:dyDescent="0.2">
      <c r="A598" s="1" t="s">
        <v>147</v>
      </c>
      <c r="B598" t="s">
        <v>956</v>
      </c>
      <c r="C598">
        <v>2.63913689431826</v>
      </c>
      <c r="D598">
        <v>0</v>
      </c>
      <c r="E598">
        <v>0</v>
      </c>
      <c r="F598" t="str">
        <f>"86/95"</f>
        <v>86/95</v>
      </c>
      <c r="G598" s="10">
        <v>0.62050000000000005</v>
      </c>
    </row>
    <row r="599" spans="1:7" x14ac:dyDescent="0.2">
      <c r="A599" s="1" t="s">
        <v>147</v>
      </c>
      <c r="B599" t="s">
        <v>957</v>
      </c>
      <c r="C599">
        <v>2.62637707772382</v>
      </c>
      <c r="D599">
        <v>0</v>
      </c>
      <c r="E599" s="2">
        <v>9.7836887301852398E-5</v>
      </c>
      <c r="F599" t="str">
        <f>"164/223"</f>
        <v>164/223</v>
      </c>
      <c r="G599" s="10">
        <v>0.52669999999999995</v>
      </c>
    </row>
    <row r="600" spans="1:7" x14ac:dyDescent="0.2">
      <c r="A600" s="1" t="s">
        <v>147</v>
      </c>
      <c r="B600" t="s">
        <v>714</v>
      </c>
      <c r="C600">
        <v>2.6262693698917201</v>
      </c>
      <c r="D600">
        <v>0</v>
      </c>
      <c r="E600" s="2">
        <v>9.5937141917350403E-5</v>
      </c>
      <c r="F600" t="str">
        <f>"56/58"</f>
        <v>56/58</v>
      </c>
      <c r="G600" s="10">
        <v>0.6069</v>
      </c>
    </row>
    <row r="601" spans="1:7" x14ac:dyDescent="0.2">
      <c r="A601" s="1" t="s">
        <v>147</v>
      </c>
      <c r="B601" t="s">
        <v>715</v>
      </c>
      <c r="C601">
        <v>2.6262693698917201</v>
      </c>
      <c r="D601">
        <v>0</v>
      </c>
      <c r="E601" s="2">
        <v>9.5937141917350403E-5</v>
      </c>
      <c r="F601" t="str">
        <f>"56/58"</f>
        <v>56/58</v>
      </c>
      <c r="G601" s="10">
        <v>0.6069</v>
      </c>
    </row>
    <row r="602" spans="1:7" x14ac:dyDescent="0.2">
      <c r="A602" s="1" t="s">
        <v>147</v>
      </c>
      <c r="B602" t="s">
        <v>282</v>
      </c>
      <c r="C602">
        <v>2.6241334598460901</v>
      </c>
      <c r="D602">
        <v>0</v>
      </c>
      <c r="E602" s="2">
        <v>9.5014669398914306E-5</v>
      </c>
      <c r="F602" t="str">
        <f>"96/116"</f>
        <v>96/116</v>
      </c>
      <c r="G602" s="10">
        <v>0.5675</v>
      </c>
    </row>
    <row r="603" spans="1:7" x14ac:dyDescent="0.2">
      <c r="A603" s="1" t="s">
        <v>147</v>
      </c>
      <c r="B603" t="s">
        <v>542</v>
      </c>
      <c r="C603">
        <v>2.6201116652027698</v>
      </c>
      <c r="D603">
        <v>0</v>
      </c>
      <c r="E603" s="2">
        <v>9.4109767785591306E-5</v>
      </c>
      <c r="F603" t="str">
        <f>"310/350"</f>
        <v>310/350</v>
      </c>
      <c r="G603" s="10">
        <v>0.68259999999999998</v>
      </c>
    </row>
    <row r="604" spans="1:7" x14ac:dyDescent="0.2">
      <c r="A604" s="1" t="s">
        <v>147</v>
      </c>
      <c r="B604" t="s">
        <v>628</v>
      </c>
      <c r="C604">
        <v>2.6200113678719199</v>
      </c>
      <c r="D604">
        <v>0</v>
      </c>
      <c r="E604" s="2">
        <v>9.3221939787614097E-5</v>
      </c>
      <c r="F604" t="str">
        <f>"99/111"</f>
        <v>99/111</v>
      </c>
      <c r="G604" s="10">
        <v>0.60170000000000001</v>
      </c>
    </row>
    <row r="605" spans="1:7" x14ac:dyDescent="0.2">
      <c r="A605" s="1" t="s">
        <v>147</v>
      </c>
      <c r="B605" t="s">
        <v>195</v>
      </c>
      <c r="C605">
        <v>2.6187649206117198</v>
      </c>
      <c r="D605">
        <v>0</v>
      </c>
      <c r="E605" s="2">
        <v>9.2350706705486796E-5</v>
      </c>
      <c r="F605" t="str">
        <f>"13/16"</f>
        <v>13/16</v>
      </c>
      <c r="G605" s="10">
        <v>0.2442</v>
      </c>
    </row>
    <row r="606" spans="1:7" x14ac:dyDescent="0.2">
      <c r="A606" s="1" t="s">
        <v>147</v>
      </c>
      <c r="B606" t="s">
        <v>622</v>
      </c>
      <c r="C606">
        <v>2.6175516400110799</v>
      </c>
      <c r="D606">
        <v>0</v>
      </c>
      <c r="E606" s="2">
        <v>9.1495607569324906E-5</v>
      </c>
      <c r="F606" t="str">
        <f>"264/320"</f>
        <v>264/320</v>
      </c>
      <c r="G606" s="10">
        <v>0.62339999999999995</v>
      </c>
    </row>
    <row r="607" spans="1:7" x14ac:dyDescent="0.2">
      <c r="A607" s="1" t="s">
        <v>147</v>
      </c>
      <c r="B607" t="s">
        <v>695</v>
      </c>
      <c r="C607">
        <v>2.6153514335867798</v>
      </c>
      <c r="D607">
        <v>0</v>
      </c>
      <c r="E607" s="2">
        <v>9.0656198325569598E-5</v>
      </c>
      <c r="F607" t="str">
        <f>"96/101"</f>
        <v>96/101</v>
      </c>
      <c r="G607" s="10">
        <v>0.67159999999999997</v>
      </c>
    </row>
    <row r="608" spans="1:7" x14ac:dyDescent="0.2">
      <c r="A608" s="1" t="s">
        <v>147</v>
      </c>
      <c r="B608" t="s">
        <v>958</v>
      </c>
      <c r="C608">
        <v>2.61473824552486</v>
      </c>
      <c r="D608">
        <v>0</v>
      </c>
      <c r="E608" s="2">
        <v>8.9832051068064494E-5</v>
      </c>
      <c r="F608" t="str">
        <f>"62/67"</f>
        <v>62/67</v>
      </c>
      <c r="G608" s="10">
        <v>0.61170000000000002</v>
      </c>
    </row>
    <row r="609" spans="1:7" x14ac:dyDescent="0.2">
      <c r="A609" s="1" t="s">
        <v>147</v>
      </c>
      <c r="B609" t="s">
        <v>184</v>
      </c>
      <c r="C609">
        <v>2.6131650230270198</v>
      </c>
      <c r="D609">
        <v>0</v>
      </c>
      <c r="E609" s="2">
        <v>8.9022753310694506E-5</v>
      </c>
      <c r="F609" t="str">
        <f>"67/73"</f>
        <v>67/73</v>
      </c>
      <c r="G609" s="10">
        <v>0.59709999999999996</v>
      </c>
    </row>
    <row r="610" spans="1:7" x14ac:dyDescent="0.2">
      <c r="A610" s="1" t="s">
        <v>147</v>
      </c>
      <c r="B610" t="s">
        <v>959</v>
      </c>
      <c r="C610">
        <v>2.6113929552834301</v>
      </c>
      <c r="D610">
        <v>0</v>
      </c>
      <c r="E610" s="2">
        <v>8.8227907298991899E-5</v>
      </c>
      <c r="F610" t="str">
        <f>"30/30"</f>
        <v>30/30</v>
      </c>
      <c r="G610" s="10">
        <v>0.56630000000000003</v>
      </c>
    </row>
    <row r="611" spans="1:7" x14ac:dyDescent="0.2">
      <c r="A611" s="1" t="s">
        <v>147</v>
      </c>
      <c r="B611" t="s">
        <v>527</v>
      </c>
      <c r="C611">
        <v>-2.6047293530281199</v>
      </c>
      <c r="D611">
        <v>0</v>
      </c>
      <c r="E611">
        <v>1.10336796116144E-3</v>
      </c>
      <c r="F611" t="str">
        <f>"83/170"</f>
        <v>83/170</v>
      </c>
      <c r="G611" s="10">
        <v>0.27979999999999999</v>
      </c>
    </row>
    <row r="612" spans="1:7" x14ac:dyDescent="0.2">
      <c r="A612" s="1" t="s">
        <v>147</v>
      </c>
      <c r="B612" t="s">
        <v>960</v>
      </c>
      <c r="C612">
        <v>2.6011598825253301</v>
      </c>
      <c r="D612">
        <v>0</v>
      </c>
      <c r="E612" s="2">
        <v>8.74471293582928E-5</v>
      </c>
      <c r="F612" t="str">
        <f>"31/31"</f>
        <v>31/31</v>
      </c>
      <c r="G612" s="10">
        <v>0.56630000000000003</v>
      </c>
    </row>
    <row r="613" spans="1:7" x14ac:dyDescent="0.2">
      <c r="A613" s="1" t="s">
        <v>147</v>
      </c>
      <c r="B613" t="s">
        <v>629</v>
      </c>
      <c r="C613">
        <v>2.5902446826110301</v>
      </c>
      <c r="D613">
        <v>0</v>
      </c>
      <c r="E613" s="2">
        <v>8.6680049276202507E-5</v>
      </c>
      <c r="F613" t="str">
        <f>"227/248"</f>
        <v>227/248</v>
      </c>
      <c r="G613" s="10">
        <v>0.6996</v>
      </c>
    </row>
    <row r="614" spans="1:7" x14ac:dyDescent="0.2">
      <c r="A614" s="1" t="s">
        <v>147</v>
      </c>
      <c r="B614" t="s">
        <v>961</v>
      </c>
      <c r="C614">
        <v>2.5875903607061002</v>
      </c>
      <c r="D614">
        <v>0</v>
      </c>
      <c r="E614" s="2">
        <v>8.4457483910146107E-5</v>
      </c>
      <c r="F614" t="str">
        <f>"60/63"</f>
        <v>60/63</v>
      </c>
      <c r="G614" s="10">
        <v>0.64729999999999999</v>
      </c>
    </row>
    <row r="615" spans="1:7" x14ac:dyDescent="0.2">
      <c r="A615" s="1" t="s">
        <v>147</v>
      </c>
      <c r="B615" t="s">
        <v>962</v>
      </c>
      <c r="C615">
        <v>2.5875903607061002</v>
      </c>
      <c r="D615">
        <v>0</v>
      </c>
      <c r="E615" s="2">
        <v>8.4457483910146107E-5</v>
      </c>
      <c r="F615" t="str">
        <f>"60/63"</f>
        <v>60/63</v>
      </c>
      <c r="G615" s="10">
        <v>0.64729999999999999</v>
      </c>
    </row>
    <row r="616" spans="1:7" x14ac:dyDescent="0.2">
      <c r="A616" s="1" t="s">
        <v>147</v>
      </c>
      <c r="B616" t="s">
        <v>963</v>
      </c>
      <c r="C616">
        <v>2.5875903607061002</v>
      </c>
      <c r="D616">
        <v>0</v>
      </c>
      <c r="E616" s="2">
        <v>8.4457483910146107E-5</v>
      </c>
      <c r="F616" t="str">
        <f>"60/63"</f>
        <v>60/63</v>
      </c>
      <c r="G616" s="10">
        <v>0.64729999999999999</v>
      </c>
    </row>
    <row r="617" spans="1:7" x14ac:dyDescent="0.2">
      <c r="A617" s="1" t="s">
        <v>147</v>
      </c>
      <c r="B617" t="s">
        <v>964</v>
      </c>
      <c r="C617">
        <v>2.5864826994123402</v>
      </c>
      <c r="D617">
        <v>0</v>
      </c>
      <c r="E617" s="2">
        <v>8.3741742521076996E-5</v>
      </c>
      <c r="F617" t="str">
        <f>"58/63"</f>
        <v>58/63</v>
      </c>
      <c r="G617" s="10">
        <v>0.59079999999999999</v>
      </c>
    </row>
    <row r="618" spans="1:7" x14ac:dyDescent="0.2">
      <c r="A618" s="1" t="s">
        <v>147</v>
      </c>
      <c r="B618" t="s">
        <v>965</v>
      </c>
      <c r="C618">
        <v>2.5859474028454899</v>
      </c>
      <c r="D618">
        <v>0</v>
      </c>
      <c r="E618" s="2">
        <v>8.3038030399051196E-5</v>
      </c>
      <c r="F618" t="str">
        <f>"56/70"</f>
        <v>56/70</v>
      </c>
      <c r="G618" s="10">
        <v>0.495</v>
      </c>
    </row>
    <row r="619" spans="1:7" x14ac:dyDescent="0.2">
      <c r="A619" s="1" t="s">
        <v>147</v>
      </c>
      <c r="B619" t="s">
        <v>966</v>
      </c>
      <c r="C619">
        <v>2.5858904199880501</v>
      </c>
      <c r="D619">
        <v>0</v>
      </c>
      <c r="E619" s="2">
        <v>8.2346046812392396E-5</v>
      </c>
      <c r="F619" t="str">
        <f>"64/80"</f>
        <v>64/80</v>
      </c>
      <c r="G619" s="10">
        <v>0.52459999999999996</v>
      </c>
    </row>
    <row r="620" spans="1:7" x14ac:dyDescent="0.2">
      <c r="A620" s="1" t="s">
        <v>147</v>
      </c>
      <c r="B620" t="s">
        <v>967</v>
      </c>
      <c r="C620">
        <v>2.58229418921665</v>
      </c>
      <c r="D620">
        <v>0</v>
      </c>
      <c r="E620" s="2">
        <v>8.1665500970967697E-5</v>
      </c>
      <c r="F620" t="str">
        <f>"61/76"</f>
        <v>61/76</v>
      </c>
      <c r="G620" s="10">
        <v>0.52459999999999996</v>
      </c>
    </row>
    <row r="621" spans="1:7" x14ac:dyDescent="0.2">
      <c r="A621" s="1" t="s">
        <v>147</v>
      </c>
      <c r="B621" t="s">
        <v>834</v>
      </c>
      <c r="C621">
        <v>2.5818014082297198</v>
      </c>
      <c r="D621">
        <v>0</v>
      </c>
      <c r="E621" s="2">
        <v>8.0996111618746603E-5</v>
      </c>
      <c r="F621" t="str">
        <f>"56/107"</f>
        <v>56/107</v>
      </c>
      <c r="G621" s="10">
        <v>0.29160000000000003</v>
      </c>
    </row>
    <row r="622" spans="1:7" x14ac:dyDescent="0.2">
      <c r="A622" s="1" t="s">
        <v>147</v>
      </c>
      <c r="B622" t="s">
        <v>738</v>
      </c>
      <c r="C622">
        <v>2.5804647111409098</v>
      </c>
      <c r="D622">
        <v>0</v>
      </c>
      <c r="E622" s="2">
        <v>8.03376066462365E-5</v>
      </c>
      <c r="F622" t="str">
        <f>"94/104"</f>
        <v>94/104</v>
      </c>
      <c r="G622" s="10">
        <v>0.62119999999999997</v>
      </c>
    </row>
    <row r="623" spans="1:7" x14ac:dyDescent="0.2">
      <c r="A623" s="1" t="s">
        <v>147</v>
      </c>
      <c r="B623" t="s">
        <v>340</v>
      </c>
      <c r="C623">
        <v>2.5792791407561402</v>
      </c>
      <c r="D623">
        <v>0</v>
      </c>
      <c r="E623" s="2">
        <v>7.9689722721670096E-5</v>
      </c>
      <c r="F623" t="str">
        <f>"37/43"</f>
        <v>37/43</v>
      </c>
      <c r="G623" s="10">
        <v>0.48230000000000001</v>
      </c>
    </row>
    <row r="624" spans="1:7" x14ac:dyDescent="0.2">
      <c r="A624" s="1" t="s">
        <v>147</v>
      </c>
      <c r="B624" t="s">
        <v>968</v>
      </c>
      <c r="C624">
        <v>2.5758064235537299</v>
      </c>
      <c r="D624">
        <v>0</v>
      </c>
      <c r="E624" s="2">
        <v>7.9052204939896706E-5</v>
      </c>
      <c r="F624" t="str">
        <f>"292/411"</f>
        <v>292/411</v>
      </c>
      <c r="G624" s="10">
        <v>0.53339999999999999</v>
      </c>
    </row>
    <row r="625" spans="1:7" x14ac:dyDescent="0.2">
      <c r="A625" s="1" t="s">
        <v>147</v>
      </c>
      <c r="B625" t="s">
        <v>969</v>
      </c>
      <c r="C625">
        <v>2.57103303558935</v>
      </c>
      <c r="D625">
        <v>0</v>
      </c>
      <c r="E625" s="2">
        <v>7.8424806487992796E-5</v>
      </c>
      <c r="F625" t="str">
        <f>"85/100"</f>
        <v>85/100</v>
      </c>
      <c r="G625" s="10">
        <v>0.57820000000000005</v>
      </c>
    </row>
    <row r="626" spans="1:7" x14ac:dyDescent="0.2">
      <c r="A626" s="1" t="s">
        <v>147</v>
      </c>
      <c r="B626" t="s">
        <v>970</v>
      </c>
      <c r="C626">
        <v>2.5696858435366101</v>
      </c>
      <c r="D626">
        <v>0</v>
      </c>
      <c r="E626" s="2">
        <v>7.7807288326670003E-5</v>
      </c>
      <c r="F626" t="str">
        <f>"85/93"</f>
        <v>85/93</v>
      </c>
      <c r="G626" s="10">
        <v>0.62819999999999998</v>
      </c>
    </row>
    <row r="627" spans="1:7" x14ac:dyDescent="0.2">
      <c r="A627" s="1" t="s">
        <v>147</v>
      </c>
      <c r="B627" t="s">
        <v>971</v>
      </c>
      <c r="C627">
        <v>2.5696134365143899</v>
      </c>
      <c r="D627">
        <v>0</v>
      </c>
      <c r="E627" s="2">
        <v>7.7199418886617901E-5</v>
      </c>
      <c r="F627" t="str">
        <f>"49/71"</f>
        <v>49/71</v>
      </c>
      <c r="G627" s="10">
        <v>0.4042</v>
      </c>
    </row>
    <row r="628" spans="1:7" x14ac:dyDescent="0.2">
      <c r="A628" s="1" t="s">
        <v>147</v>
      </c>
      <c r="B628" t="s">
        <v>579</v>
      </c>
      <c r="C628">
        <v>2.5654575510750099</v>
      </c>
      <c r="D628">
        <v>0</v>
      </c>
      <c r="E628" s="2">
        <v>7.6600973778969696E-5</v>
      </c>
      <c r="F628" t="str">
        <f>"31/57"</f>
        <v>31/57</v>
      </c>
      <c r="G628" s="10">
        <v>0.22839999999999999</v>
      </c>
    </row>
    <row r="629" spans="1:7" x14ac:dyDescent="0.2">
      <c r="A629" s="1" t="s">
        <v>147</v>
      </c>
      <c r="B629" t="s">
        <v>601</v>
      </c>
      <c r="C629">
        <v>2.5654236703703801</v>
      </c>
      <c r="D629">
        <v>0</v>
      </c>
      <c r="E629" s="2">
        <v>7.6011735519131496E-5</v>
      </c>
      <c r="F629" t="str">
        <f>"31/51"</f>
        <v>31/51</v>
      </c>
      <c r="G629" s="10">
        <v>0.28739999999999999</v>
      </c>
    </row>
    <row r="630" spans="1:7" x14ac:dyDescent="0.2">
      <c r="A630" s="1" t="s">
        <v>147</v>
      </c>
      <c r="B630" t="s">
        <v>712</v>
      </c>
      <c r="C630">
        <v>2.5515492663982902</v>
      </c>
      <c r="D630">
        <v>0</v>
      </c>
      <c r="E630">
        <v>1.5086298652651999E-4</v>
      </c>
      <c r="F630" t="str">
        <f>"19/22"</f>
        <v>19/22</v>
      </c>
      <c r="G630" s="10">
        <v>0.36680000000000001</v>
      </c>
    </row>
    <row r="631" spans="1:7" x14ac:dyDescent="0.2">
      <c r="A631" s="1" t="s">
        <v>147</v>
      </c>
      <c r="B631" t="s">
        <v>972</v>
      </c>
      <c r="C631">
        <v>-2.5510248219660698</v>
      </c>
      <c r="D631">
        <v>0</v>
      </c>
      <c r="E631">
        <v>2.09639912620675E-3</v>
      </c>
      <c r="F631" t="str">
        <f>"34/34"</f>
        <v>34/34</v>
      </c>
      <c r="G631" s="10">
        <v>0.69779999999999998</v>
      </c>
    </row>
    <row r="632" spans="1:7" x14ac:dyDescent="0.2">
      <c r="A632" s="1" t="s">
        <v>147</v>
      </c>
      <c r="B632" t="s">
        <v>819</v>
      </c>
      <c r="C632">
        <v>2.5427694895550599</v>
      </c>
      <c r="D632">
        <v>0</v>
      </c>
      <c r="E632">
        <v>1.4972008511344E-4</v>
      </c>
      <c r="F632" t="str">
        <f>"30/58"</f>
        <v>30/58</v>
      </c>
      <c r="G632" s="10">
        <v>0.22989999999999999</v>
      </c>
    </row>
    <row r="633" spans="1:7" x14ac:dyDescent="0.2">
      <c r="A633" s="1" t="s">
        <v>147</v>
      </c>
      <c r="B633" t="s">
        <v>973</v>
      </c>
      <c r="C633">
        <v>2.5405210285484299</v>
      </c>
      <c r="D633">
        <v>0</v>
      </c>
      <c r="E633">
        <v>3.71485925469439E-4</v>
      </c>
      <c r="F633" t="str">
        <f>"49/61"</f>
        <v>49/61</v>
      </c>
      <c r="G633" s="10">
        <v>0.48230000000000001</v>
      </c>
    </row>
    <row r="634" spans="1:7" x14ac:dyDescent="0.2">
      <c r="A634" s="1" t="s">
        <v>147</v>
      </c>
      <c r="B634" t="s">
        <v>631</v>
      </c>
      <c r="C634">
        <v>2.53895123174224</v>
      </c>
      <c r="D634">
        <v>0</v>
      </c>
      <c r="E634">
        <v>3.6871364244354802E-4</v>
      </c>
      <c r="F634" t="str">
        <f>"107/122"</f>
        <v>107/122</v>
      </c>
      <c r="G634" s="10">
        <v>0.6159</v>
      </c>
    </row>
    <row r="635" spans="1:7" x14ac:dyDescent="0.2">
      <c r="A635" s="1" t="s">
        <v>147</v>
      </c>
      <c r="B635" t="s">
        <v>617</v>
      </c>
      <c r="C635">
        <v>2.5348377212850899</v>
      </c>
      <c r="D635">
        <v>0</v>
      </c>
      <c r="E635">
        <v>3.6598243027729897E-4</v>
      </c>
      <c r="F635" t="str">
        <f>"164/175"</f>
        <v>164/175</v>
      </c>
      <c r="G635" s="10">
        <v>0.71</v>
      </c>
    </row>
    <row r="636" spans="1:7" x14ac:dyDescent="0.2">
      <c r="A636" s="1" t="s">
        <v>147</v>
      </c>
      <c r="B636" t="s">
        <v>974</v>
      </c>
      <c r="C636">
        <v>2.5317532136809802</v>
      </c>
      <c r="D636">
        <v>0</v>
      </c>
      <c r="E636">
        <v>3.6329138299584903E-4</v>
      </c>
      <c r="F636" t="str">
        <f>"22/22"</f>
        <v>22/22</v>
      </c>
      <c r="G636" s="10">
        <v>0.503</v>
      </c>
    </row>
    <row r="637" spans="1:7" x14ac:dyDescent="0.2">
      <c r="A637" s="1" t="s">
        <v>147</v>
      </c>
      <c r="B637" t="s">
        <v>778</v>
      </c>
      <c r="C637">
        <v>2.5303480579372502</v>
      </c>
      <c r="D637">
        <v>0</v>
      </c>
      <c r="E637">
        <v>3.6063962107617102E-4</v>
      </c>
      <c r="F637" t="str">
        <f>"69/73"</f>
        <v>69/73</v>
      </c>
      <c r="G637" s="10">
        <v>0.62119999999999997</v>
      </c>
    </row>
    <row r="638" spans="1:7" x14ac:dyDescent="0.2">
      <c r="A638" s="1" t="s">
        <v>147</v>
      </c>
      <c r="B638" t="s">
        <v>975</v>
      </c>
      <c r="C638">
        <v>2.5290230329935501</v>
      </c>
      <c r="D638">
        <v>0</v>
      </c>
      <c r="E638">
        <v>3.5802629048866199E-4</v>
      </c>
      <c r="F638" t="str">
        <f>"100/120"</f>
        <v>100/120</v>
      </c>
      <c r="G638" s="10">
        <v>0.5897</v>
      </c>
    </row>
    <row r="639" spans="1:7" x14ac:dyDescent="0.2">
      <c r="A639" s="1" t="s">
        <v>147</v>
      </c>
      <c r="B639" t="s">
        <v>976</v>
      </c>
      <c r="C639">
        <v>2.5288225355932501</v>
      </c>
      <c r="D639">
        <v>0</v>
      </c>
      <c r="E639">
        <v>3.5545056178011098E-4</v>
      </c>
      <c r="F639" t="str">
        <f>"63/81"</f>
        <v>63/81</v>
      </c>
      <c r="G639" s="10">
        <v>0.51129999999999998</v>
      </c>
    </row>
    <row r="640" spans="1:7" x14ac:dyDescent="0.2">
      <c r="A640" s="1" t="s">
        <v>147</v>
      </c>
      <c r="B640" t="s">
        <v>216</v>
      </c>
      <c r="C640">
        <v>2.5233845583488299</v>
      </c>
      <c r="D640">
        <v>0</v>
      </c>
      <c r="E640">
        <v>3.52911629195967E-4</v>
      </c>
      <c r="F640" t="str">
        <f>"11/16"</f>
        <v>11/16</v>
      </c>
      <c r="G640" s="10">
        <v>0.15260000000000001</v>
      </c>
    </row>
    <row r="641" spans="1:7" x14ac:dyDescent="0.2">
      <c r="A641" s="1" t="s">
        <v>147</v>
      </c>
      <c r="B641" t="s">
        <v>977</v>
      </c>
      <c r="C641">
        <v>-2.5229910540252498</v>
      </c>
      <c r="D641">
        <v>0</v>
      </c>
      <c r="E641">
        <v>2.4957132454842199E-3</v>
      </c>
      <c r="F641" t="str">
        <f>"165/189"</f>
        <v>165/189</v>
      </c>
      <c r="G641" s="10">
        <v>0.71679999999999999</v>
      </c>
    </row>
    <row r="642" spans="1:7" x14ac:dyDescent="0.2">
      <c r="A642" s="1" t="s">
        <v>147</v>
      </c>
      <c r="B642" t="s">
        <v>752</v>
      </c>
      <c r="C642">
        <v>2.5201027229153001</v>
      </c>
      <c r="D642">
        <v>0</v>
      </c>
      <c r="E642">
        <v>3.5040870983996699E-4</v>
      </c>
      <c r="F642" t="str">
        <f>"39/39"</f>
        <v>39/39</v>
      </c>
      <c r="G642" s="10">
        <v>0.6069</v>
      </c>
    </row>
    <row r="643" spans="1:7" x14ac:dyDescent="0.2">
      <c r="A643" s="1" t="s">
        <v>147</v>
      </c>
      <c r="B643" t="s">
        <v>978</v>
      </c>
      <c r="C643">
        <v>2.51948860593266</v>
      </c>
      <c r="D643">
        <v>0</v>
      </c>
      <c r="E643">
        <v>3.4794104286926298E-4</v>
      </c>
      <c r="F643" t="str">
        <f>"289/325"</f>
        <v>289/325</v>
      </c>
      <c r="G643" s="10">
        <v>0.69850000000000001</v>
      </c>
    </row>
    <row r="644" spans="1:7" x14ac:dyDescent="0.2">
      <c r="A644" s="1" t="s">
        <v>147</v>
      </c>
      <c r="B644" t="s">
        <v>979</v>
      </c>
      <c r="C644">
        <v>2.5168952014275199</v>
      </c>
      <c r="D644">
        <v>0</v>
      </c>
      <c r="E644">
        <v>3.4550788872332502E-4</v>
      </c>
      <c r="F644" t="str">
        <f>"74/87"</f>
        <v>74/87</v>
      </c>
      <c r="G644" s="10">
        <v>0.59150000000000003</v>
      </c>
    </row>
    <row r="645" spans="1:7" x14ac:dyDescent="0.2">
      <c r="A645" s="1" t="s">
        <v>147</v>
      </c>
      <c r="B645" t="s">
        <v>600</v>
      </c>
      <c r="C645">
        <v>2.5153150476600601</v>
      </c>
      <c r="D645">
        <v>0</v>
      </c>
      <c r="E645">
        <v>3.43108528384968E-4</v>
      </c>
      <c r="F645" t="str">
        <f>"78/88"</f>
        <v>78/88</v>
      </c>
      <c r="G645" s="10">
        <v>0.59230000000000005</v>
      </c>
    </row>
    <row r="646" spans="1:7" x14ac:dyDescent="0.2">
      <c r="A646" s="1" t="s">
        <v>147</v>
      </c>
      <c r="B646" t="s">
        <v>339</v>
      </c>
      <c r="C646">
        <v>2.5144892153051202</v>
      </c>
      <c r="D646">
        <v>0</v>
      </c>
      <c r="E646">
        <v>3.40742262671968E-4</v>
      </c>
      <c r="F646" t="str">
        <f>"34/40"</f>
        <v>34/40</v>
      </c>
      <c r="G646" s="10">
        <v>0.48230000000000001</v>
      </c>
    </row>
    <row r="647" spans="1:7" x14ac:dyDescent="0.2">
      <c r="A647" s="1" t="s">
        <v>147</v>
      </c>
      <c r="B647" t="s">
        <v>980</v>
      </c>
      <c r="C647">
        <v>2.5127110253240601</v>
      </c>
      <c r="D647">
        <v>0</v>
      </c>
      <c r="E647">
        <v>3.3840841155777701E-4</v>
      </c>
      <c r="F647" t="str">
        <f>"141/176"</f>
        <v>141/176</v>
      </c>
      <c r="G647" s="10">
        <v>0.60170000000000001</v>
      </c>
    </row>
    <row r="648" spans="1:7" x14ac:dyDescent="0.2">
      <c r="A648" s="1" t="s">
        <v>147</v>
      </c>
      <c r="B648" t="s">
        <v>981</v>
      </c>
      <c r="C648">
        <v>2.5089943228249201</v>
      </c>
      <c r="D648">
        <v>0</v>
      </c>
      <c r="E648">
        <v>4.03327576223963E-4</v>
      </c>
      <c r="F648" t="str">
        <f>"170/204"</f>
        <v>170/204</v>
      </c>
      <c r="G648" s="10">
        <v>0.62339999999999995</v>
      </c>
    </row>
    <row r="649" spans="1:7" x14ac:dyDescent="0.2">
      <c r="A649" s="1" t="s">
        <v>147</v>
      </c>
      <c r="B649" t="s">
        <v>982</v>
      </c>
      <c r="C649">
        <v>2.50745961633723</v>
      </c>
      <c r="D649">
        <v>0</v>
      </c>
      <c r="E649">
        <v>4.0060238989812497E-4</v>
      </c>
      <c r="F649" t="str">
        <f>"284/357"</f>
        <v>284/357</v>
      </c>
      <c r="G649" s="10">
        <v>0.61919999999999997</v>
      </c>
    </row>
    <row r="650" spans="1:7" x14ac:dyDescent="0.2">
      <c r="A650" s="1" t="s">
        <v>147</v>
      </c>
      <c r="B650" t="s">
        <v>530</v>
      </c>
      <c r="C650">
        <v>-2.50413237405929</v>
      </c>
      <c r="D650">
        <v>0</v>
      </c>
      <c r="E650">
        <v>2.8587260811910199E-3</v>
      </c>
      <c r="F650" t="str">
        <f>"38/69"</f>
        <v>38/69</v>
      </c>
      <c r="G650" s="10">
        <v>0.24299999999999999</v>
      </c>
    </row>
    <row r="651" spans="1:7" x14ac:dyDescent="0.2">
      <c r="A651" s="1" t="s">
        <v>147</v>
      </c>
      <c r="B651" t="s">
        <v>983</v>
      </c>
      <c r="C651">
        <v>2.50319233617016</v>
      </c>
      <c r="D651">
        <v>0</v>
      </c>
      <c r="E651">
        <v>5.3055171100601804E-4</v>
      </c>
      <c r="F651" t="str">
        <f>"33/37"</f>
        <v>33/37</v>
      </c>
      <c r="G651" s="10">
        <v>0.53220000000000001</v>
      </c>
    </row>
    <row r="652" spans="1:7" x14ac:dyDescent="0.2">
      <c r="A652" s="1" t="s">
        <v>147</v>
      </c>
      <c r="B652" t="s">
        <v>863</v>
      </c>
      <c r="C652">
        <v>2.5024838294551901</v>
      </c>
      <c r="D652">
        <v>0</v>
      </c>
      <c r="E652">
        <v>5.2701469959931101E-4</v>
      </c>
      <c r="F652" t="str">
        <f>"141/170"</f>
        <v>141/170</v>
      </c>
      <c r="G652" s="10">
        <v>0.60589999999999999</v>
      </c>
    </row>
    <row r="653" spans="1:7" x14ac:dyDescent="0.2">
      <c r="A653" s="1" t="s">
        <v>147</v>
      </c>
      <c r="B653" t="s">
        <v>984</v>
      </c>
      <c r="C653">
        <v>-2.5019155376942299</v>
      </c>
      <c r="D653">
        <v>0</v>
      </c>
      <c r="E653">
        <v>2.73443364287837E-3</v>
      </c>
      <c r="F653" t="str">
        <f>"44/45"</f>
        <v>44/45</v>
      </c>
      <c r="G653" s="10">
        <v>0.68659999999999999</v>
      </c>
    </row>
    <row r="654" spans="1:7" x14ac:dyDescent="0.2">
      <c r="A654" s="1" t="s">
        <v>147</v>
      </c>
      <c r="B654" t="s">
        <v>985</v>
      </c>
      <c r="C654">
        <v>2.48685251604021</v>
      </c>
      <c r="D654">
        <v>0</v>
      </c>
      <c r="E654">
        <v>6.5440567003225705E-4</v>
      </c>
      <c r="F654" t="str">
        <f>"13/22"</f>
        <v>13/22</v>
      </c>
      <c r="G654" s="10">
        <v>0.2039</v>
      </c>
    </row>
    <row r="655" spans="1:7" x14ac:dyDescent="0.2">
      <c r="A655" s="1" t="s">
        <v>147</v>
      </c>
      <c r="B655" t="s">
        <v>759</v>
      </c>
      <c r="C655">
        <v>2.4849058856858801</v>
      </c>
      <c r="D655">
        <v>0</v>
      </c>
      <c r="E655">
        <v>6.5010036957151903E-4</v>
      </c>
      <c r="F655" t="str">
        <f>"123/146"</f>
        <v>123/146</v>
      </c>
      <c r="G655" s="10">
        <v>0.61109999999999998</v>
      </c>
    </row>
    <row r="656" spans="1:7" x14ac:dyDescent="0.2">
      <c r="A656" s="1" t="s">
        <v>147</v>
      </c>
      <c r="B656" t="s">
        <v>986</v>
      </c>
      <c r="C656">
        <v>2.4808968908276499</v>
      </c>
      <c r="D656">
        <v>0</v>
      </c>
      <c r="E656">
        <v>6.4585134754817602E-4</v>
      </c>
      <c r="F656" t="str">
        <f>"14/28"</f>
        <v>14/28</v>
      </c>
      <c r="G656" s="10">
        <v>0.15859999999999999</v>
      </c>
    </row>
    <row r="657" spans="1:7" x14ac:dyDescent="0.2">
      <c r="A657" s="1" t="s">
        <v>147</v>
      </c>
      <c r="B657" t="s">
        <v>40</v>
      </c>
      <c r="C657">
        <v>2.4805428180479798</v>
      </c>
      <c r="D657">
        <v>0</v>
      </c>
      <c r="E657">
        <v>6.4165750762903203E-4</v>
      </c>
      <c r="F657" t="str">
        <f>"25/43"</f>
        <v>25/43</v>
      </c>
      <c r="G657" s="10">
        <v>0.26050000000000001</v>
      </c>
    </row>
    <row r="658" spans="1:7" x14ac:dyDescent="0.2">
      <c r="A658" s="1" t="s">
        <v>147</v>
      </c>
      <c r="B658" t="s">
        <v>987</v>
      </c>
      <c r="C658">
        <v>2.4799746319073499</v>
      </c>
      <c r="D658">
        <v>0</v>
      </c>
      <c r="E658">
        <v>6.3751778177336099E-4</v>
      </c>
      <c r="F658" t="str">
        <f>"25/25"</f>
        <v>25/25</v>
      </c>
      <c r="G658" s="10">
        <v>0.54910000000000003</v>
      </c>
    </row>
    <row r="659" spans="1:7" x14ac:dyDescent="0.2">
      <c r="A659" s="1" t="s">
        <v>147</v>
      </c>
      <c r="B659" t="s">
        <v>656</v>
      </c>
      <c r="C659">
        <v>2.47900192570388</v>
      </c>
      <c r="D659">
        <v>0</v>
      </c>
      <c r="E659">
        <v>6.3343112932609503E-4</v>
      </c>
      <c r="F659" t="str">
        <f>"21/30"</f>
        <v>21/30</v>
      </c>
      <c r="G659" s="10">
        <v>0.36890000000000001</v>
      </c>
    </row>
    <row r="660" spans="1:7" x14ac:dyDescent="0.2">
      <c r="A660" s="1" t="s">
        <v>147</v>
      </c>
      <c r="B660" t="s">
        <v>609</v>
      </c>
      <c r="C660">
        <v>2.47494106988791</v>
      </c>
      <c r="D660">
        <v>0</v>
      </c>
      <c r="E660">
        <v>6.2939653614567501E-4</v>
      </c>
      <c r="F660" t="str">
        <f>"57/64"</f>
        <v>57/64</v>
      </c>
      <c r="G660" s="10">
        <v>0.5675</v>
      </c>
    </row>
    <row r="661" spans="1:7" x14ac:dyDescent="0.2">
      <c r="A661" s="1" t="s">
        <v>147</v>
      </c>
      <c r="B661" t="s">
        <v>988</v>
      </c>
      <c r="C661">
        <v>2.47346032614491</v>
      </c>
      <c r="D661">
        <v>0</v>
      </c>
      <c r="E661">
        <v>6.2541301376500596E-4</v>
      </c>
      <c r="F661" t="str">
        <f>"9/19"</f>
        <v>9/19</v>
      </c>
      <c r="G661" s="10">
        <v>7.0300000000000001E-2</v>
      </c>
    </row>
    <row r="662" spans="1:7" x14ac:dyDescent="0.2">
      <c r="A662" s="1" t="s">
        <v>147</v>
      </c>
      <c r="B662" t="s">
        <v>541</v>
      </c>
      <c r="C662">
        <v>2.4685478589996199</v>
      </c>
      <c r="D662">
        <v>0</v>
      </c>
      <c r="E662">
        <v>6.2147959858409405E-4</v>
      </c>
      <c r="F662" t="str">
        <f>"40/83"</f>
        <v>40/83</v>
      </c>
      <c r="G662" s="10">
        <v>0.2487</v>
      </c>
    </row>
    <row r="663" spans="1:7" x14ac:dyDescent="0.2">
      <c r="A663" s="1" t="s">
        <v>147</v>
      </c>
      <c r="B663" t="s">
        <v>809</v>
      </c>
      <c r="C663">
        <v>2.46691398498854</v>
      </c>
      <c r="D663">
        <v>0</v>
      </c>
      <c r="E663">
        <v>6.1759535109294299E-4</v>
      </c>
      <c r="F663" t="str">
        <f>"41/41"</f>
        <v>41/41</v>
      </c>
      <c r="G663" s="10">
        <v>0.59079999999999999</v>
      </c>
    </row>
    <row r="664" spans="1:7" x14ac:dyDescent="0.2">
      <c r="A664" s="1" t="s">
        <v>147</v>
      </c>
      <c r="B664" t="s">
        <v>590</v>
      </c>
      <c r="C664">
        <v>2.4660267721197799</v>
      </c>
      <c r="D664">
        <v>0</v>
      </c>
      <c r="E664">
        <v>6.1375935512342195E-4</v>
      </c>
      <c r="F664" t="str">
        <f>"67/146"</f>
        <v>67/146</v>
      </c>
      <c r="G664" s="10">
        <v>0.26090000000000002</v>
      </c>
    </row>
    <row r="665" spans="1:7" x14ac:dyDescent="0.2">
      <c r="A665" s="1" t="s">
        <v>147</v>
      </c>
      <c r="B665" t="s">
        <v>588</v>
      </c>
      <c r="C665">
        <v>2.4615409740977201</v>
      </c>
      <c r="D665">
        <v>0</v>
      </c>
      <c r="E665">
        <v>6.0997071712883303E-4</v>
      </c>
      <c r="F665" t="str">
        <f>"65/74"</f>
        <v>65/74</v>
      </c>
      <c r="G665" s="10">
        <v>0.5675</v>
      </c>
    </row>
    <row r="666" spans="1:7" x14ac:dyDescent="0.2">
      <c r="A666" s="1" t="s">
        <v>147</v>
      </c>
      <c r="B666" t="s">
        <v>686</v>
      </c>
      <c r="C666">
        <v>2.4613941259095902</v>
      </c>
      <c r="D666">
        <v>0</v>
      </c>
      <c r="E666">
        <v>6.0622856549000595E-4</v>
      </c>
      <c r="F666" t="str">
        <f>"18/19"</f>
        <v>18/19</v>
      </c>
      <c r="G666" s="10">
        <v>0.42249999999999999</v>
      </c>
    </row>
    <row r="667" spans="1:7" x14ac:dyDescent="0.2">
      <c r="A667" s="1" t="s">
        <v>147</v>
      </c>
      <c r="B667" t="s">
        <v>607</v>
      </c>
      <c r="C667">
        <v>2.4606361907001402</v>
      </c>
      <c r="D667">
        <v>0</v>
      </c>
      <c r="E667">
        <v>6.0253204984677398E-4</v>
      </c>
      <c r="F667" t="str">
        <f>"28/46"</f>
        <v>28/46</v>
      </c>
      <c r="G667" s="10">
        <v>0.2838</v>
      </c>
    </row>
    <row r="668" spans="1:7" x14ac:dyDescent="0.2">
      <c r="A668" s="1" t="s">
        <v>147</v>
      </c>
      <c r="B668" t="s">
        <v>989</v>
      </c>
      <c r="C668">
        <v>2.4598460763322398</v>
      </c>
      <c r="D668">
        <v>0</v>
      </c>
      <c r="E668">
        <v>5.9888034045376304E-4</v>
      </c>
      <c r="F668" t="str">
        <f>"11/15"</f>
        <v>11/15</v>
      </c>
      <c r="G668" s="10">
        <v>0.159</v>
      </c>
    </row>
    <row r="669" spans="1:7" x14ac:dyDescent="0.2">
      <c r="A669" s="1" t="s">
        <v>147</v>
      </c>
      <c r="B669" t="s">
        <v>990</v>
      </c>
      <c r="C669">
        <v>2.4589483571891102</v>
      </c>
      <c r="D669">
        <v>0</v>
      </c>
      <c r="E669">
        <v>5.9527262755946304E-4</v>
      </c>
      <c r="F669" t="str">
        <f>"42/46"</f>
        <v>42/46</v>
      </c>
      <c r="G669" s="10">
        <v>0.56520000000000004</v>
      </c>
    </row>
    <row r="670" spans="1:7" x14ac:dyDescent="0.2">
      <c r="A670" s="1" t="s">
        <v>147</v>
      </c>
      <c r="B670" t="s">
        <v>366</v>
      </c>
      <c r="C670">
        <v>2.4568618756057399</v>
      </c>
      <c r="D670">
        <v>0</v>
      </c>
      <c r="E670">
        <v>7.1004974496913199E-4</v>
      </c>
      <c r="F670" t="str">
        <f>"27/52"</f>
        <v>27/52</v>
      </c>
      <c r="G670" s="10">
        <v>0.2155</v>
      </c>
    </row>
    <row r="671" spans="1:7" x14ac:dyDescent="0.2">
      <c r="A671" s="1" t="s">
        <v>147</v>
      </c>
      <c r="B671" t="s">
        <v>696</v>
      </c>
      <c r="C671">
        <v>2.4567657524709001</v>
      </c>
      <c r="D671">
        <v>0</v>
      </c>
      <c r="E671">
        <v>7.0582325839193497E-4</v>
      </c>
      <c r="F671" t="str">
        <f>"147/191"</f>
        <v>147/191</v>
      </c>
      <c r="G671" s="10">
        <v>0.56820000000000004</v>
      </c>
    </row>
    <row r="672" spans="1:7" x14ac:dyDescent="0.2">
      <c r="A672" s="1" t="s">
        <v>147</v>
      </c>
      <c r="B672" t="s">
        <v>991</v>
      </c>
      <c r="C672">
        <v>2.4566485005610499</v>
      </c>
      <c r="D672">
        <v>0</v>
      </c>
      <c r="E672">
        <v>7.0164678940736705E-4</v>
      </c>
      <c r="F672" t="str">
        <f>"43/48"</f>
        <v>43/48</v>
      </c>
      <c r="G672" s="10">
        <v>0.54520000000000002</v>
      </c>
    </row>
    <row r="673" spans="1:7" x14ac:dyDescent="0.2">
      <c r="A673" s="1" t="s">
        <v>147</v>
      </c>
      <c r="B673" t="s">
        <v>992</v>
      </c>
      <c r="C673">
        <v>2.4546847370279901</v>
      </c>
      <c r="D673">
        <v>0</v>
      </c>
      <c r="E673">
        <v>6.9751945535203002E-4</v>
      </c>
      <c r="F673" t="str">
        <f>"19/40"</f>
        <v>19/40</v>
      </c>
      <c r="G673" s="10">
        <v>0.1361</v>
      </c>
    </row>
    <row r="674" spans="1:7" x14ac:dyDescent="0.2">
      <c r="A674" s="1" t="s">
        <v>147</v>
      </c>
      <c r="B674" t="s">
        <v>993</v>
      </c>
      <c r="C674">
        <v>2.4516092448979898</v>
      </c>
      <c r="D674">
        <v>0</v>
      </c>
      <c r="E674">
        <v>8.0901379324455698E-4</v>
      </c>
      <c r="F674" t="str">
        <f>"27/47"</f>
        <v>27/47</v>
      </c>
      <c r="G674" s="10">
        <v>0.25790000000000002</v>
      </c>
    </row>
    <row r="675" spans="1:7" x14ac:dyDescent="0.2">
      <c r="A675" s="1" t="s">
        <v>147</v>
      </c>
      <c r="B675" t="s">
        <v>994</v>
      </c>
      <c r="C675">
        <v>-2.4510037635760198</v>
      </c>
      <c r="D675">
        <v>0</v>
      </c>
      <c r="E675">
        <v>3.4939985436779099E-3</v>
      </c>
      <c r="F675" t="str">
        <f>"107/116"</f>
        <v>107/116</v>
      </c>
      <c r="G675" s="10">
        <v>0.7107</v>
      </c>
    </row>
    <row r="676" spans="1:7" x14ac:dyDescent="0.2">
      <c r="A676" s="1" t="s">
        <v>147</v>
      </c>
      <c r="B676" t="s">
        <v>531</v>
      </c>
      <c r="C676">
        <v>-2.4441952490410599</v>
      </c>
      <c r="D676">
        <v>0</v>
      </c>
      <c r="E676">
        <v>3.3542386019308002E-3</v>
      </c>
      <c r="F676" t="str">
        <f>"22/31"</f>
        <v>22/31</v>
      </c>
      <c r="G676" s="10">
        <v>0.32179999999999997</v>
      </c>
    </row>
    <row r="677" spans="1:7" x14ac:dyDescent="0.2">
      <c r="A677" s="1" t="s">
        <v>147</v>
      </c>
      <c r="B677" t="s">
        <v>995</v>
      </c>
      <c r="C677">
        <v>-2.4436187314021001</v>
      </c>
      <c r="D677">
        <v>0</v>
      </c>
      <c r="E677">
        <v>3.22522942493346E-3</v>
      </c>
      <c r="F677" t="str">
        <f>"15/22"</f>
        <v>15/22</v>
      </c>
      <c r="G677" s="10">
        <v>0.2366</v>
      </c>
    </row>
    <row r="678" spans="1:7" x14ac:dyDescent="0.2">
      <c r="A678" s="1" t="s">
        <v>147</v>
      </c>
      <c r="B678" t="s">
        <v>996</v>
      </c>
      <c r="C678">
        <v>-2.4405722613818699</v>
      </c>
      <c r="D678">
        <v>0</v>
      </c>
      <c r="E678">
        <v>3.4939985436779099E-3</v>
      </c>
      <c r="F678" t="str">
        <f>"18/28"</f>
        <v>18/28</v>
      </c>
      <c r="G678" s="10">
        <v>0.24210000000000001</v>
      </c>
    </row>
    <row r="679" spans="1:7" x14ac:dyDescent="0.2">
      <c r="A679" s="1" t="s">
        <v>147</v>
      </c>
      <c r="B679" t="s">
        <v>546</v>
      </c>
      <c r="C679">
        <v>2.4380421761610398</v>
      </c>
      <c r="D679">
        <v>0</v>
      </c>
      <c r="E679">
        <v>8.61760955013409E-4</v>
      </c>
      <c r="F679" t="str">
        <f>"175/186"</f>
        <v>175/186</v>
      </c>
      <c r="G679" s="10">
        <v>0.71389999999999998</v>
      </c>
    </row>
    <row r="680" spans="1:7" x14ac:dyDescent="0.2">
      <c r="A680" s="1" t="s">
        <v>147</v>
      </c>
      <c r="B680" t="s">
        <v>997</v>
      </c>
      <c r="C680">
        <v>2.4379648823931102</v>
      </c>
      <c r="D680">
        <v>0</v>
      </c>
      <c r="E680">
        <v>8.5677967781679998E-4</v>
      </c>
      <c r="F680" t="str">
        <f>"61/74"</f>
        <v>61/74</v>
      </c>
      <c r="G680" s="10">
        <v>0.52680000000000005</v>
      </c>
    </row>
    <row r="681" spans="1:7" x14ac:dyDescent="0.2">
      <c r="A681" s="1" t="s">
        <v>147</v>
      </c>
      <c r="B681" t="s">
        <v>838</v>
      </c>
      <c r="C681">
        <v>2.4334424013457698</v>
      </c>
      <c r="D681">
        <v>0</v>
      </c>
      <c r="E681">
        <v>8.5185565667992202E-4</v>
      </c>
      <c r="F681" t="str">
        <f>"188/228"</f>
        <v>188/228</v>
      </c>
      <c r="G681" s="10">
        <v>0.62439999999999996</v>
      </c>
    </row>
    <row r="682" spans="1:7" x14ac:dyDescent="0.2">
      <c r="A682" s="1" t="s">
        <v>147</v>
      </c>
      <c r="B682" t="s">
        <v>739</v>
      </c>
      <c r="C682">
        <v>2.42330733785063</v>
      </c>
      <c r="D682">
        <v>0</v>
      </c>
      <c r="E682">
        <v>8.4698791007032205E-4</v>
      </c>
      <c r="F682" t="str">
        <f>"54/144"</f>
        <v>54/144</v>
      </c>
      <c r="G682" s="10">
        <v>0.2016</v>
      </c>
    </row>
    <row r="683" spans="1:7" x14ac:dyDescent="0.2">
      <c r="A683" s="1" t="s">
        <v>147</v>
      </c>
      <c r="B683" t="s">
        <v>47</v>
      </c>
      <c r="C683">
        <v>2.4226047070144001</v>
      </c>
      <c r="D683">
        <v>0</v>
      </c>
      <c r="E683">
        <v>8.4217547876310405E-4</v>
      </c>
      <c r="F683" t="str">
        <f>"56/115"</f>
        <v>56/115</v>
      </c>
      <c r="G683" s="10">
        <v>0.27750000000000002</v>
      </c>
    </row>
    <row r="684" spans="1:7" x14ac:dyDescent="0.2">
      <c r="A684" s="1" t="s">
        <v>147</v>
      </c>
      <c r="B684" t="s">
        <v>625</v>
      </c>
      <c r="C684">
        <v>2.42088339002582</v>
      </c>
      <c r="D684">
        <v>0</v>
      </c>
      <c r="E684">
        <v>8.3741742521077005E-4</v>
      </c>
      <c r="F684" t="str">
        <f>"356/399"</f>
        <v>356/399</v>
      </c>
      <c r="G684" s="10">
        <v>0.72019999999999995</v>
      </c>
    </row>
    <row r="685" spans="1:7" x14ac:dyDescent="0.2">
      <c r="A685" s="1" t="s">
        <v>147</v>
      </c>
      <c r="B685" t="s">
        <v>998</v>
      </c>
      <c r="C685">
        <v>2.4147626413096202</v>
      </c>
      <c r="D685">
        <v>0</v>
      </c>
      <c r="E685">
        <v>9.4374121065887999E-4</v>
      </c>
      <c r="F685" t="str">
        <f>"19/30"</f>
        <v>19/30</v>
      </c>
      <c r="G685" s="10">
        <v>0.25790000000000002</v>
      </c>
    </row>
    <row r="686" spans="1:7" x14ac:dyDescent="0.2">
      <c r="A686" s="1" t="s">
        <v>147</v>
      </c>
      <c r="B686" t="s">
        <v>999</v>
      </c>
      <c r="C686">
        <v>2.4132472705390202</v>
      </c>
      <c r="D686">
        <v>0</v>
      </c>
      <c r="E686">
        <v>1.0488770208505801E-3</v>
      </c>
      <c r="F686" t="str">
        <f>"149/177"</f>
        <v>149/177</v>
      </c>
      <c r="G686" s="10">
        <v>0.62819999999999998</v>
      </c>
    </row>
    <row r="687" spans="1:7" x14ac:dyDescent="0.2">
      <c r="A687" s="1" t="s">
        <v>147</v>
      </c>
      <c r="B687" t="s">
        <v>666</v>
      </c>
      <c r="C687">
        <v>2.4124668254369501</v>
      </c>
      <c r="D687">
        <v>0</v>
      </c>
      <c r="E687">
        <v>1.0430499262903E-3</v>
      </c>
      <c r="F687" t="str">
        <f>"92/97"</f>
        <v>92/97</v>
      </c>
      <c r="G687" s="10">
        <v>0.69159999999999999</v>
      </c>
    </row>
    <row r="688" spans="1:7" x14ac:dyDescent="0.2">
      <c r="A688" s="1" t="s">
        <v>147</v>
      </c>
      <c r="B688" t="s">
        <v>1000</v>
      </c>
      <c r="C688">
        <v>2.4093904253198701</v>
      </c>
      <c r="D688">
        <v>0</v>
      </c>
      <c r="E688">
        <v>1.03728721951522E-3</v>
      </c>
      <c r="F688" t="str">
        <f>"69/137"</f>
        <v>69/137</v>
      </c>
      <c r="G688" s="10">
        <v>0.3014</v>
      </c>
    </row>
    <row r="689" spans="1:7" x14ac:dyDescent="0.2">
      <c r="A689" s="1" t="s">
        <v>147</v>
      </c>
      <c r="B689" t="s">
        <v>260</v>
      </c>
      <c r="C689">
        <v>2.4088148021926501</v>
      </c>
      <c r="D689">
        <v>0</v>
      </c>
      <c r="E689">
        <v>1.0315878391882101E-3</v>
      </c>
      <c r="F689" t="str">
        <f>"23/38"</f>
        <v>23/38</v>
      </c>
      <c r="G689" s="10">
        <v>0.26050000000000001</v>
      </c>
    </row>
    <row r="690" spans="1:7" x14ac:dyDescent="0.2">
      <c r="A690" s="1" t="s">
        <v>147</v>
      </c>
      <c r="B690" t="s">
        <v>584</v>
      </c>
      <c r="C690">
        <v>2.4080176028009999</v>
      </c>
      <c r="D690">
        <v>0</v>
      </c>
      <c r="E690">
        <v>1.0259507471707899E-3</v>
      </c>
      <c r="F690" t="str">
        <f>"100/108"</f>
        <v>100/108</v>
      </c>
      <c r="G690" s="10">
        <v>0.66620000000000001</v>
      </c>
    </row>
    <row r="691" spans="1:7" x14ac:dyDescent="0.2">
      <c r="A691" s="1" t="s">
        <v>147</v>
      </c>
      <c r="B691" t="s">
        <v>218</v>
      </c>
      <c r="C691">
        <v>2.4056808356061401</v>
      </c>
      <c r="D691">
        <v>0</v>
      </c>
      <c r="E691">
        <v>1.0203749278926799E-3</v>
      </c>
      <c r="F691" t="str">
        <f>"15/18"</f>
        <v>15/18</v>
      </c>
      <c r="G691" s="10">
        <v>0.33310000000000001</v>
      </c>
    </row>
    <row r="692" spans="1:7" x14ac:dyDescent="0.2">
      <c r="A692" s="1" t="s">
        <v>147</v>
      </c>
      <c r="B692" t="s">
        <v>1001</v>
      </c>
      <c r="C692">
        <v>2.40549439198033</v>
      </c>
      <c r="D692">
        <v>0</v>
      </c>
      <c r="E692">
        <v>1.0148593877419101E-3</v>
      </c>
      <c r="F692" t="str">
        <f>"31/46"</f>
        <v>31/46</v>
      </c>
      <c r="G692" s="10">
        <v>0.37459999999999999</v>
      </c>
    </row>
    <row r="693" spans="1:7" x14ac:dyDescent="0.2">
      <c r="A693" s="1" t="s">
        <v>147</v>
      </c>
      <c r="B693" t="s">
        <v>36</v>
      </c>
      <c r="C693">
        <v>2.3996283713263802</v>
      </c>
      <c r="D693">
        <v>0</v>
      </c>
      <c r="E693">
        <v>1.16878259991782E-3</v>
      </c>
      <c r="F693" t="str">
        <f>"30/51"</f>
        <v>30/51</v>
      </c>
      <c r="G693" s="10">
        <v>0.28549999999999998</v>
      </c>
    </row>
    <row r="694" spans="1:7" x14ac:dyDescent="0.2">
      <c r="A694" s="1" t="s">
        <v>147</v>
      </c>
      <c r="B694" t="s">
        <v>1002</v>
      </c>
      <c r="C694">
        <v>2.3961014267913798</v>
      </c>
      <c r="D694">
        <v>0</v>
      </c>
      <c r="E694">
        <v>1.2682171915491399E-3</v>
      </c>
      <c r="F694" t="str">
        <f>"13/23"</f>
        <v>13/23</v>
      </c>
      <c r="G694" s="10">
        <v>0.2039</v>
      </c>
    </row>
    <row r="695" spans="1:7" x14ac:dyDescent="0.2">
      <c r="A695" s="1" t="s">
        <v>147</v>
      </c>
      <c r="B695" t="s">
        <v>1003</v>
      </c>
      <c r="C695">
        <v>2.3940891063927698</v>
      </c>
      <c r="D695">
        <v>0</v>
      </c>
      <c r="E695">
        <v>1.2614713554238799E-3</v>
      </c>
      <c r="F695" t="str">
        <f>"77/202"</f>
        <v>77/202</v>
      </c>
      <c r="G695" s="10">
        <v>0.23749999999999999</v>
      </c>
    </row>
    <row r="696" spans="1:7" x14ac:dyDescent="0.2">
      <c r="A696" s="1" t="s">
        <v>147</v>
      </c>
      <c r="B696" t="s">
        <v>249</v>
      </c>
      <c r="C696">
        <v>2.3916861893745498</v>
      </c>
      <c r="D696">
        <v>0</v>
      </c>
      <c r="E696">
        <v>1.30708010813321E-3</v>
      </c>
      <c r="F696" t="str">
        <f>"82/177"</f>
        <v>82/177</v>
      </c>
      <c r="G696" s="10">
        <v>0.26050000000000001</v>
      </c>
    </row>
    <row r="697" spans="1:7" x14ac:dyDescent="0.2">
      <c r="A697" s="1" t="s">
        <v>147</v>
      </c>
      <c r="B697" t="s">
        <v>1004</v>
      </c>
      <c r="C697">
        <v>2.3873804373054202</v>
      </c>
      <c r="D697">
        <v>0</v>
      </c>
      <c r="E697">
        <v>1.35220876870876E-3</v>
      </c>
      <c r="F697" t="str">
        <f>"213/265"</f>
        <v>213/265</v>
      </c>
      <c r="G697" s="10">
        <v>0.62119999999999997</v>
      </c>
    </row>
    <row r="698" spans="1:7" x14ac:dyDescent="0.2">
      <c r="A698" s="1" t="s">
        <v>147</v>
      </c>
      <c r="B698" t="s">
        <v>1005</v>
      </c>
      <c r="C698">
        <v>2.38668169844349</v>
      </c>
      <c r="D698">
        <v>0</v>
      </c>
      <c r="E698">
        <v>1.3451291416474501E-3</v>
      </c>
      <c r="F698" t="str">
        <f>"9/18"</f>
        <v>9/18</v>
      </c>
      <c r="G698" s="10">
        <v>0.1019</v>
      </c>
    </row>
    <row r="699" spans="1:7" x14ac:dyDescent="0.2">
      <c r="A699" s="1" t="s">
        <v>147</v>
      </c>
      <c r="B699" t="s">
        <v>766</v>
      </c>
      <c r="C699">
        <v>2.3856519850353202</v>
      </c>
      <c r="D699">
        <v>0</v>
      </c>
      <c r="E699">
        <v>1.3381232607013701E-3</v>
      </c>
      <c r="F699" t="str">
        <f>"29/35"</f>
        <v>29/35</v>
      </c>
      <c r="G699" s="10">
        <v>0.43490000000000001</v>
      </c>
    </row>
    <row r="700" spans="1:7" x14ac:dyDescent="0.2">
      <c r="A700" s="1" t="s">
        <v>147</v>
      </c>
      <c r="B700" t="s">
        <v>1006</v>
      </c>
      <c r="C700">
        <v>2.3854789933079799</v>
      </c>
      <c r="D700">
        <v>0</v>
      </c>
      <c r="E700">
        <v>1.33118997955784E-3</v>
      </c>
      <c r="F700" t="str">
        <f>"50/53"</f>
        <v>50/53</v>
      </c>
      <c r="G700" s="10">
        <v>0.62229999999999996</v>
      </c>
    </row>
    <row r="701" spans="1:7" x14ac:dyDescent="0.2">
      <c r="A701" s="1" t="s">
        <v>147</v>
      </c>
      <c r="B701" t="s">
        <v>569</v>
      </c>
      <c r="C701">
        <v>2.3840292222350201</v>
      </c>
      <c r="D701">
        <v>0</v>
      </c>
      <c r="E701">
        <v>1.3752638745987099E-3</v>
      </c>
      <c r="F701" t="str">
        <f>"102/106"</f>
        <v>102/106</v>
      </c>
      <c r="G701" s="10">
        <v>0.71</v>
      </c>
    </row>
    <row r="702" spans="1:7" x14ac:dyDescent="0.2">
      <c r="A702" s="1" t="s">
        <v>147</v>
      </c>
      <c r="B702" t="s">
        <v>1007</v>
      </c>
      <c r="C702">
        <v>-2.3834599810853998</v>
      </c>
      <c r="D702">
        <v>0</v>
      </c>
      <c r="E702">
        <v>5.24099781551687E-3</v>
      </c>
      <c r="F702" t="str">
        <f>"70/73"</f>
        <v>70/73</v>
      </c>
      <c r="G702" s="10">
        <v>0.70669999999999999</v>
      </c>
    </row>
    <row r="703" spans="1:7" x14ac:dyDescent="0.2">
      <c r="A703" s="1" t="s">
        <v>147</v>
      </c>
      <c r="B703" t="s">
        <v>1008</v>
      </c>
      <c r="C703">
        <v>2.3816880262671498</v>
      </c>
      <c r="D703">
        <v>0</v>
      </c>
      <c r="E703">
        <v>1.46956022003654E-3</v>
      </c>
      <c r="F703" t="str">
        <f>"193/243"</f>
        <v>193/243</v>
      </c>
      <c r="G703" s="10">
        <v>0.60170000000000001</v>
      </c>
    </row>
    <row r="704" spans="1:7" x14ac:dyDescent="0.2">
      <c r="A704" s="1" t="s">
        <v>147</v>
      </c>
      <c r="B704" t="s">
        <v>707</v>
      </c>
      <c r="C704">
        <v>2.3809557465484499</v>
      </c>
      <c r="D704">
        <v>0</v>
      </c>
      <c r="E704">
        <v>1.4620624638118601E-3</v>
      </c>
      <c r="F704" t="str">
        <f>"56/63"</f>
        <v>56/63</v>
      </c>
      <c r="G704" s="10">
        <v>0.59650000000000003</v>
      </c>
    </row>
    <row r="705" spans="1:7" x14ac:dyDescent="0.2">
      <c r="A705" s="1" t="s">
        <v>147</v>
      </c>
      <c r="B705" t="s">
        <v>559</v>
      </c>
      <c r="C705">
        <v>2.37988821926103</v>
      </c>
      <c r="D705">
        <v>0</v>
      </c>
      <c r="E705">
        <v>1.4546408269397199E-3</v>
      </c>
      <c r="F705" t="str">
        <f>"57/64"</f>
        <v>57/64</v>
      </c>
      <c r="G705" s="10">
        <v>0.58440000000000003</v>
      </c>
    </row>
    <row r="706" spans="1:7" x14ac:dyDescent="0.2">
      <c r="A706" s="1" t="s">
        <v>147</v>
      </c>
      <c r="B706" t="s">
        <v>60</v>
      </c>
      <c r="C706">
        <v>2.3795135292901999</v>
      </c>
      <c r="D706">
        <v>0</v>
      </c>
      <c r="E706">
        <v>1.4472941560965901E-3</v>
      </c>
      <c r="F706" t="str">
        <f>"54/110"</f>
        <v>54/110</v>
      </c>
      <c r="G706" s="10">
        <v>0.2838</v>
      </c>
    </row>
    <row r="707" spans="1:7" x14ac:dyDescent="0.2">
      <c r="A707" s="1" t="s">
        <v>147</v>
      </c>
      <c r="B707" t="s">
        <v>782</v>
      </c>
      <c r="C707">
        <v>-2.3781301578658498</v>
      </c>
      <c r="D707">
        <v>0</v>
      </c>
      <c r="E707">
        <v>5.0602737529128403E-3</v>
      </c>
      <c r="F707" t="str">
        <f>"52/54"</f>
        <v>52/54</v>
      </c>
      <c r="G707" s="10">
        <v>0.71779999999999999</v>
      </c>
    </row>
    <row r="708" spans="1:7" x14ac:dyDescent="0.2">
      <c r="A708" s="1" t="s">
        <v>147</v>
      </c>
      <c r="B708" t="s">
        <v>704</v>
      </c>
      <c r="C708">
        <v>2.3687762053133201</v>
      </c>
      <c r="D708">
        <v>0</v>
      </c>
      <c r="E708">
        <v>1.44002132114133E-3</v>
      </c>
      <c r="F708" t="str">
        <f>"49/53"</f>
        <v>49/53</v>
      </c>
      <c r="G708" s="10">
        <v>0.59650000000000003</v>
      </c>
    </row>
    <row r="709" spans="1:7" x14ac:dyDescent="0.2">
      <c r="A709" s="1" t="s">
        <v>147</v>
      </c>
      <c r="B709" t="s">
        <v>1009</v>
      </c>
      <c r="C709">
        <v>2.3685953169649601</v>
      </c>
      <c r="D709">
        <v>0</v>
      </c>
      <c r="E709">
        <v>1.4328212145356201E-3</v>
      </c>
      <c r="F709" t="str">
        <f>"73/87"</f>
        <v>73/87</v>
      </c>
      <c r="G709" s="10">
        <v>0.57820000000000005</v>
      </c>
    </row>
    <row r="710" spans="1:7" x14ac:dyDescent="0.2">
      <c r="A710" s="1" t="s">
        <v>147</v>
      </c>
      <c r="B710" t="s">
        <v>553</v>
      </c>
      <c r="C710">
        <v>-2.3682212310088699</v>
      </c>
      <c r="D710">
        <v>0</v>
      </c>
      <c r="E710">
        <v>4.8915979611490797E-3</v>
      </c>
      <c r="F710" t="str">
        <f>"26/36"</f>
        <v>26/36</v>
      </c>
      <c r="G710" s="10">
        <v>0.31630000000000003</v>
      </c>
    </row>
    <row r="711" spans="1:7" x14ac:dyDescent="0.2">
      <c r="A711" s="1" t="s">
        <v>147</v>
      </c>
      <c r="B711" t="s">
        <v>537</v>
      </c>
      <c r="C711">
        <v>-2.3656214945685998</v>
      </c>
      <c r="D711">
        <v>0</v>
      </c>
      <c r="E711">
        <v>4.7338044785313702E-3</v>
      </c>
      <c r="F711" t="str">
        <f>"41/59"</f>
        <v>41/59</v>
      </c>
      <c r="G711" s="10">
        <v>0.39419999999999999</v>
      </c>
    </row>
    <row r="712" spans="1:7" x14ac:dyDescent="0.2">
      <c r="A712" s="1" t="s">
        <v>147</v>
      </c>
      <c r="B712" t="s">
        <v>561</v>
      </c>
      <c r="C712">
        <v>2.3589362151931899</v>
      </c>
      <c r="D712">
        <v>0</v>
      </c>
      <c r="E712">
        <v>1.5240163887666599E-3</v>
      </c>
      <c r="F712" t="str">
        <f>"114/134"</f>
        <v>114/134</v>
      </c>
      <c r="G712" s="10">
        <v>0.62339999999999995</v>
      </c>
    </row>
    <row r="713" spans="1:7" x14ac:dyDescent="0.2">
      <c r="A713" s="1" t="s">
        <v>147</v>
      </c>
      <c r="B713" t="s">
        <v>650</v>
      </c>
      <c r="C713">
        <v>2.3568070146159701</v>
      </c>
      <c r="D713">
        <v>0</v>
      </c>
      <c r="E713">
        <v>1.5164717531787101E-3</v>
      </c>
      <c r="F713" t="str">
        <f>"71/76"</f>
        <v>71/76</v>
      </c>
      <c r="G713" s="10">
        <v>0.62139999999999995</v>
      </c>
    </row>
    <row r="714" spans="1:7" x14ac:dyDescent="0.2">
      <c r="A714" s="1" t="s">
        <v>147</v>
      </c>
      <c r="B714" t="s">
        <v>1010</v>
      </c>
      <c r="C714">
        <v>-2.3545916845859902</v>
      </c>
      <c r="D714">
        <v>0</v>
      </c>
      <c r="E714">
        <v>4.9134354520470698E-3</v>
      </c>
      <c r="F714" t="str">
        <f>"46/54"</f>
        <v>46/54</v>
      </c>
      <c r="G714" s="10">
        <v>0.58589999999999998</v>
      </c>
    </row>
    <row r="715" spans="1:7" x14ac:dyDescent="0.2">
      <c r="A715" s="1" t="s">
        <v>147</v>
      </c>
      <c r="B715" t="s">
        <v>770</v>
      </c>
      <c r="C715">
        <v>2.35420109580773</v>
      </c>
      <c r="D715">
        <v>0</v>
      </c>
      <c r="E715">
        <v>1.50900144897586E-3</v>
      </c>
      <c r="F715" t="str">
        <f>"181/199"</f>
        <v>181/199</v>
      </c>
      <c r="G715" s="10">
        <v>0.68940000000000001</v>
      </c>
    </row>
    <row r="716" spans="1:7" x14ac:dyDescent="0.2">
      <c r="A716" s="1" t="s">
        <v>147</v>
      </c>
      <c r="B716" t="s">
        <v>1011</v>
      </c>
      <c r="C716">
        <v>2.35403703845691</v>
      </c>
      <c r="D716">
        <v>0</v>
      </c>
      <c r="E716">
        <v>1.5016043830495E-3</v>
      </c>
      <c r="F716" t="str">
        <f>"64/172"</f>
        <v>64/172</v>
      </c>
      <c r="G716" s="10">
        <v>0.22439999999999999</v>
      </c>
    </row>
    <row r="717" spans="1:7" x14ac:dyDescent="0.2">
      <c r="A717" s="1" t="s">
        <v>147</v>
      </c>
      <c r="B717" t="s">
        <v>699</v>
      </c>
      <c r="C717">
        <v>2.3537854633664801</v>
      </c>
      <c r="D717">
        <v>0</v>
      </c>
      <c r="E717">
        <v>1.49427948361999E-3</v>
      </c>
      <c r="F717" t="str">
        <f>"62/71"</f>
        <v>62/71</v>
      </c>
      <c r="G717" s="10">
        <v>0.59079999999999999</v>
      </c>
    </row>
    <row r="718" spans="1:7" x14ac:dyDescent="0.2">
      <c r="A718" s="1" t="s">
        <v>147</v>
      </c>
      <c r="B718" t="s">
        <v>1012</v>
      </c>
      <c r="C718">
        <v>2.3519075447384101</v>
      </c>
      <c r="D718">
        <v>0</v>
      </c>
      <c r="E718">
        <v>1.5349942706775999E-3</v>
      </c>
      <c r="F718" t="str">
        <f>"103/123"</f>
        <v>103/123</v>
      </c>
      <c r="G718" s="10">
        <v>0.61029999999999995</v>
      </c>
    </row>
    <row r="719" spans="1:7" x14ac:dyDescent="0.2">
      <c r="A719" s="1" t="s">
        <v>147</v>
      </c>
      <c r="B719" t="s">
        <v>1013</v>
      </c>
      <c r="C719">
        <v>2.3516272254132899</v>
      </c>
      <c r="D719">
        <v>0</v>
      </c>
      <c r="E719">
        <v>1.52757883941829E-3</v>
      </c>
      <c r="F719" t="str">
        <f>"18/31"</f>
        <v>18/31</v>
      </c>
      <c r="G719" s="10">
        <v>0.27589999999999998</v>
      </c>
    </row>
    <row r="720" spans="1:7" x14ac:dyDescent="0.2">
      <c r="A720" s="1" t="s">
        <v>147</v>
      </c>
      <c r="B720" t="s">
        <v>20</v>
      </c>
      <c r="C720">
        <v>2.3514587060873202</v>
      </c>
      <c r="D720">
        <v>0</v>
      </c>
      <c r="E720">
        <v>1.52023471038263E-3</v>
      </c>
      <c r="F720" t="str">
        <f>"18/29"</f>
        <v>18/29</v>
      </c>
      <c r="G720" s="10">
        <v>0.26050000000000001</v>
      </c>
    </row>
    <row r="721" spans="1:7" x14ac:dyDescent="0.2">
      <c r="A721" s="1" t="s">
        <v>147</v>
      </c>
      <c r="B721" t="s">
        <v>1014</v>
      </c>
      <c r="C721">
        <v>-2.35124466415773</v>
      </c>
      <c r="D721">
        <v>0</v>
      </c>
      <c r="E721">
        <v>4.7645434686517003E-3</v>
      </c>
      <c r="F721" t="str">
        <f>"23/44"</f>
        <v>23/44</v>
      </c>
      <c r="G721" s="10">
        <v>0.20250000000000001</v>
      </c>
    </row>
    <row r="722" spans="1:7" x14ac:dyDescent="0.2">
      <c r="A722" s="1" t="s">
        <v>147</v>
      </c>
      <c r="B722" t="s">
        <v>1015</v>
      </c>
      <c r="C722">
        <v>2.3510857290425</v>
      </c>
      <c r="D722">
        <v>0</v>
      </c>
      <c r="E722">
        <v>1.5129608600937101E-3</v>
      </c>
      <c r="F722" t="str">
        <f>"10/17"</f>
        <v>10/17</v>
      </c>
      <c r="G722" s="10">
        <v>0.1661</v>
      </c>
    </row>
    <row r="723" spans="1:7" x14ac:dyDescent="0.2">
      <c r="A723" s="1" t="s">
        <v>147</v>
      </c>
      <c r="B723" t="s">
        <v>565</v>
      </c>
      <c r="C723">
        <v>2.3493609021551101</v>
      </c>
      <c r="D723">
        <v>0</v>
      </c>
      <c r="E723">
        <v>1.50575628456946E-3</v>
      </c>
      <c r="F723" t="str">
        <f>"63/158"</f>
        <v>63/158</v>
      </c>
      <c r="G723" s="10">
        <v>0.25480000000000003</v>
      </c>
    </row>
    <row r="724" spans="1:7" x14ac:dyDescent="0.2">
      <c r="A724" s="1" t="s">
        <v>147</v>
      </c>
      <c r="B724" t="s">
        <v>1016</v>
      </c>
      <c r="C724">
        <v>2.3379736986511799</v>
      </c>
      <c r="D724">
        <v>0</v>
      </c>
      <c r="E724">
        <v>1.68594749871817E-3</v>
      </c>
      <c r="F724" t="str">
        <f>"90/110"</f>
        <v>90/110</v>
      </c>
      <c r="G724" s="10">
        <v>0.5827</v>
      </c>
    </row>
    <row r="725" spans="1:7" x14ac:dyDescent="0.2">
      <c r="A725" s="1" t="s">
        <v>147</v>
      </c>
      <c r="B725" t="s">
        <v>1017</v>
      </c>
      <c r="C725">
        <v>2.33305318472223</v>
      </c>
      <c r="D725">
        <v>0</v>
      </c>
      <c r="E725">
        <v>1.7246058860708601E-3</v>
      </c>
      <c r="F725" t="str">
        <f>"32/66"</f>
        <v>32/66</v>
      </c>
      <c r="G725" s="10">
        <v>0.2414</v>
      </c>
    </row>
    <row r="726" spans="1:7" x14ac:dyDescent="0.2">
      <c r="A726" s="1" t="s">
        <v>147</v>
      </c>
      <c r="B726" t="s">
        <v>873</v>
      </c>
      <c r="C726">
        <v>2.3315101546990502</v>
      </c>
      <c r="D726">
        <v>0</v>
      </c>
      <c r="E726">
        <v>1.7629012838709299E-3</v>
      </c>
      <c r="F726" t="str">
        <f>"32/53"</f>
        <v>32/53</v>
      </c>
      <c r="G726" s="10">
        <v>0.32650000000000001</v>
      </c>
    </row>
    <row r="727" spans="1:7" x14ac:dyDescent="0.2">
      <c r="A727" s="1" t="s">
        <v>147</v>
      </c>
      <c r="B727" t="s">
        <v>1018</v>
      </c>
      <c r="C727">
        <v>-2.3306994181301701</v>
      </c>
      <c r="D727">
        <v>0</v>
      </c>
      <c r="E727">
        <v>6.1658797829610302E-3</v>
      </c>
      <c r="F727" t="str">
        <f>"89/104"</f>
        <v>89/104</v>
      </c>
      <c r="G727" s="10">
        <v>0.66620000000000001</v>
      </c>
    </row>
    <row r="728" spans="1:7" x14ac:dyDescent="0.2">
      <c r="A728" s="1" t="s">
        <v>147</v>
      </c>
      <c r="B728" t="s">
        <v>1019</v>
      </c>
      <c r="C728">
        <v>2.3299542059337002</v>
      </c>
      <c r="D728">
        <v>0</v>
      </c>
      <c r="E728">
        <v>1.7546634274042501E-3</v>
      </c>
      <c r="F728" t="str">
        <f>"19/24"</f>
        <v>19/24</v>
      </c>
      <c r="G728" s="10">
        <v>0.39229999999999998</v>
      </c>
    </row>
    <row r="729" spans="1:7" x14ac:dyDescent="0.2">
      <c r="A729" s="1" t="s">
        <v>147</v>
      </c>
      <c r="B729" t="s">
        <v>1020</v>
      </c>
      <c r="C729">
        <v>2.3297640229012</v>
      </c>
      <c r="D729">
        <v>0</v>
      </c>
      <c r="E729">
        <v>1.7465022021605099E-3</v>
      </c>
      <c r="F729" t="str">
        <f>"10/19"</f>
        <v>10/19</v>
      </c>
      <c r="G729" s="10">
        <v>0.1331</v>
      </c>
    </row>
    <row r="730" spans="1:7" x14ac:dyDescent="0.2">
      <c r="A730" s="1" t="s">
        <v>147</v>
      </c>
      <c r="B730" t="s">
        <v>720</v>
      </c>
      <c r="C730">
        <v>2.3290673312733401</v>
      </c>
      <c r="D730">
        <v>0</v>
      </c>
      <c r="E730">
        <v>1.7384165438171699E-3</v>
      </c>
      <c r="F730" t="str">
        <f>"59/67"</f>
        <v>59/67</v>
      </c>
      <c r="G730" s="10">
        <v>0.58240000000000003</v>
      </c>
    </row>
    <row r="731" spans="1:7" x14ac:dyDescent="0.2">
      <c r="A731" s="1" t="s">
        <v>147</v>
      </c>
      <c r="B731" t="s">
        <v>1021</v>
      </c>
      <c r="C731">
        <v>2.3284039832859098</v>
      </c>
      <c r="D731">
        <v>0</v>
      </c>
      <c r="E731">
        <v>1.82147937649531E-3</v>
      </c>
      <c r="F731" t="str">
        <f>"25/45"</f>
        <v>25/45</v>
      </c>
      <c r="G731" s="10">
        <v>0.25790000000000002</v>
      </c>
    </row>
    <row r="732" spans="1:7" x14ac:dyDescent="0.2">
      <c r="A732" s="1" t="s">
        <v>147</v>
      </c>
      <c r="B732" t="s">
        <v>683</v>
      </c>
      <c r="C732">
        <v>2.32829664344478</v>
      </c>
      <c r="D732">
        <v>0</v>
      </c>
      <c r="E732">
        <v>1.8131239665113901E-3</v>
      </c>
      <c r="F732" t="str">
        <f>"83/95"</f>
        <v>83/95</v>
      </c>
      <c r="G732" s="10">
        <v>0.61309999999999998</v>
      </c>
    </row>
    <row r="733" spans="1:7" x14ac:dyDescent="0.2">
      <c r="A733" s="1" t="s">
        <v>147</v>
      </c>
      <c r="B733" t="s">
        <v>1022</v>
      </c>
      <c r="C733">
        <v>2.3268479160520998</v>
      </c>
      <c r="D733">
        <v>0</v>
      </c>
      <c r="E733">
        <v>1.8048448616414701E-3</v>
      </c>
      <c r="F733" t="str">
        <f>"13/25"</f>
        <v>13/25</v>
      </c>
      <c r="G733" s="10">
        <v>0.2039</v>
      </c>
    </row>
    <row r="734" spans="1:7" x14ac:dyDescent="0.2">
      <c r="A734" s="1" t="s">
        <v>147</v>
      </c>
      <c r="B734" t="s">
        <v>645</v>
      </c>
      <c r="C734">
        <v>2.32563885393958</v>
      </c>
      <c r="D734">
        <v>0</v>
      </c>
      <c r="E734">
        <v>1.79664102136129E-3</v>
      </c>
      <c r="F734" t="str">
        <f>"125/135"</f>
        <v>125/135</v>
      </c>
      <c r="G734" s="10">
        <v>0.69159999999999999</v>
      </c>
    </row>
    <row r="735" spans="1:7" x14ac:dyDescent="0.2">
      <c r="A735" s="1" t="s">
        <v>147</v>
      </c>
      <c r="B735" t="s">
        <v>573</v>
      </c>
      <c r="C735">
        <v>-2.3218670822527598</v>
      </c>
      <c r="D735">
        <v>0</v>
      </c>
      <c r="E735">
        <v>5.9897117891621401E-3</v>
      </c>
      <c r="F735" t="str">
        <f>"49/82"</f>
        <v>49/82</v>
      </c>
      <c r="G735" s="10">
        <v>0.33360000000000001</v>
      </c>
    </row>
    <row r="736" spans="1:7" x14ac:dyDescent="0.2">
      <c r="A736" s="1" t="s">
        <v>147</v>
      </c>
      <c r="B736" t="s">
        <v>587</v>
      </c>
      <c r="C736">
        <v>2.3210584960695799</v>
      </c>
      <c r="D736">
        <v>0</v>
      </c>
      <c r="E736">
        <v>1.8332242095790499E-3</v>
      </c>
      <c r="F736" t="str">
        <f>"137/147"</f>
        <v>137/147</v>
      </c>
      <c r="G736" s="10">
        <v>0.70430000000000004</v>
      </c>
    </row>
    <row r="737" spans="1:7" x14ac:dyDescent="0.2">
      <c r="A737" s="1" t="s">
        <v>147</v>
      </c>
      <c r="B737" t="s">
        <v>1023</v>
      </c>
      <c r="C737">
        <v>2.32048307611967</v>
      </c>
      <c r="D737">
        <v>0</v>
      </c>
      <c r="E737">
        <v>1.86947781952458E-3</v>
      </c>
      <c r="F737" t="str">
        <f>"127/202"</f>
        <v>127/202</v>
      </c>
      <c r="G737" s="10">
        <v>0.45590000000000003</v>
      </c>
    </row>
    <row r="738" spans="1:7" x14ac:dyDescent="0.2">
      <c r="A738" s="1" t="s">
        <v>147</v>
      </c>
      <c r="B738" t="s">
        <v>797</v>
      </c>
      <c r="C738">
        <v>2.3184575661863698</v>
      </c>
      <c r="D738">
        <v>1.01010101010101E-2</v>
      </c>
      <c r="E738">
        <v>1.86109451091685E-3</v>
      </c>
      <c r="F738" t="str">
        <f>"187/208"</f>
        <v>187/208</v>
      </c>
      <c r="G738" s="10">
        <v>0.69799999999999995</v>
      </c>
    </row>
    <row r="739" spans="1:7" x14ac:dyDescent="0.2">
      <c r="A739" s="1" t="s">
        <v>147</v>
      </c>
      <c r="B739" t="s">
        <v>1024</v>
      </c>
      <c r="C739">
        <v>2.3180200689156099</v>
      </c>
      <c r="D739">
        <v>0</v>
      </c>
      <c r="E739">
        <v>1.8527860532788301E-3</v>
      </c>
      <c r="F739" t="str">
        <f>"15/18"</f>
        <v>15/18</v>
      </c>
      <c r="G739" s="10">
        <v>0.3654</v>
      </c>
    </row>
    <row r="740" spans="1:7" x14ac:dyDescent="0.2">
      <c r="A740" s="1" t="s">
        <v>147</v>
      </c>
      <c r="B740" t="s">
        <v>1025</v>
      </c>
      <c r="C740">
        <v>2.3176007361259998</v>
      </c>
      <c r="D740">
        <v>0</v>
      </c>
      <c r="E740">
        <v>1.8445514485975899E-3</v>
      </c>
      <c r="F740" t="str">
        <f>"38/39"</f>
        <v>38/39</v>
      </c>
      <c r="G740" s="10">
        <v>0.61040000000000005</v>
      </c>
    </row>
    <row r="741" spans="1:7" x14ac:dyDescent="0.2">
      <c r="A741" s="1" t="s">
        <v>147</v>
      </c>
      <c r="B741" t="s">
        <v>1026</v>
      </c>
      <c r="C741">
        <v>2.3150766817172501</v>
      </c>
      <c r="D741">
        <v>0</v>
      </c>
      <c r="E741">
        <v>1.83638971652415E-3</v>
      </c>
      <c r="F741" t="str">
        <f>"12/16"</f>
        <v>12/16</v>
      </c>
      <c r="G741" s="10">
        <v>0.24229999999999999</v>
      </c>
    </row>
    <row r="742" spans="1:7" x14ac:dyDescent="0.2">
      <c r="A742" s="1" t="s">
        <v>147</v>
      </c>
      <c r="B742" t="s">
        <v>1027</v>
      </c>
      <c r="C742">
        <v>-2.3141080840075499</v>
      </c>
      <c r="D742">
        <v>0</v>
      </c>
      <c r="E742">
        <v>7.0824294804282097E-3</v>
      </c>
      <c r="F742" t="str">
        <f>"25/25"</f>
        <v>25/25</v>
      </c>
      <c r="G742" s="10">
        <v>0.66269999999999996</v>
      </c>
    </row>
    <row r="743" spans="1:7" x14ac:dyDescent="0.2">
      <c r="A743" s="1" t="s">
        <v>147</v>
      </c>
      <c r="B743" t="s">
        <v>1028</v>
      </c>
      <c r="C743">
        <v>-2.3141080840075499</v>
      </c>
      <c r="D743">
        <v>0</v>
      </c>
      <c r="E743">
        <v>7.0824294804282097E-3</v>
      </c>
      <c r="F743" t="str">
        <f>"25/25"</f>
        <v>25/25</v>
      </c>
      <c r="G743" s="10">
        <v>0.66269999999999996</v>
      </c>
    </row>
    <row r="744" spans="1:7" x14ac:dyDescent="0.2">
      <c r="A744" s="1" t="s">
        <v>147</v>
      </c>
      <c r="B744" t="s">
        <v>802</v>
      </c>
      <c r="C744">
        <v>2.3066245967424401</v>
      </c>
      <c r="D744">
        <v>0</v>
      </c>
      <c r="E744">
        <v>2.1330165429817899E-3</v>
      </c>
      <c r="F744" t="str">
        <f>"53/57"</f>
        <v>53/57</v>
      </c>
      <c r="G744" s="10">
        <v>0.61040000000000005</v>
      </c>
    </row>
    <row r="745" spans="1:7" x14ac:dyDescent="0.2">
      <c r="A745" s="1" t="s">
        <v>147</v>
      </c>
      <c r="B745" t="s">
        <v>1029</v>
      </c>
      <c r="C745">
        <v>2.3061936024918901</v>
      </c>
      <c r="D745">
        <v>0</v>
      </c>
      <c r="E745">
        <v>2.1236612072669599E-3</v>
      </c>
      <c r="F745" t="str">
        <f>"23/28"</f>
        <v>23/28</v>
      </c>
      <c r="G745" s="10">
        <v>0.44619999999999999</v>
      </c>
    </row>
    <row r="746" spans="1:7" x14ac:dyDescent="0.2">
      <c r="A746" s="1" t="s">
        <v>147</v>
      </c>
      <c r="B746" t="s">
        <v>806</v>
      </c>
      <c r="C746">
        <v>2.30595715649407</v>
      </c>
      <c r="D746">
        <v>0</v>
      </c>
      <c r="E746">
        <v>2.1143875775409002E-3</v>
      </c>
      <c r="F746" t="str">
        <f>"78/91"</f>
        <v>78/91</v>
      </c>
      <c r="G746" s="10">
        <v>0.60170000000000001</v>
      </c>
    </row>
    <row r="747" spans="1:7" x14ac:dyDescent="0.2">
      <c r="A747" s="1" t="s">
        <v>147</v>
      </c>
      <c r="B747" t="s">
        <v>1030</v>
      </c>
      <c r="C747">
        <v>2.3036843696304099</v>
      </c>
      <c r="D747">
        <v>0</v>
      </c>
      <c r="E747">
        <v>2.2340840526492499E-3</v>
      </c>
      <c r="F747" t="str">
        <f>"268/342"</f>
        <v>268/342</v>
      </c>
      <c r="G747" s="10">
        <v>0.62339999999999995</v>
      </c>
    </row>
    <row r="748" spans="1:7" x14ac:dyDescent="0.2">
      <c r="A748" s="1" t="s">
        <v>147</v>
      </c>
      <c r="B748" t="s">
        <v>1031</v>
      </c>
      <c r="C748">
        <v>-2.3018048367112902</v>
      </c>
      <c r="D748">
        <v>0</v>
      </c>
      <c r="E748">
        <v>8.2752597087108592E-3</v>
      </c>
      <c r="F748" t="str">
        <f>"40/42"</f>
        <v>40/42</v>
      </c>
      <c r="G748" s="10">
        <v>0.66</v>
      </c>
    </row>
    <row r="749" spans="1:7" x14ac:dyDescent="0.2">
      <c r="A749" s="1" t="s">
        <v>147</v>
      </c>
      <c r="B749" t="s">
        <v>678</v>
      </c>
      <c r="C749">
        <v>-2.3005409209495</v>
      </c>
      <c r="D749">
        <v>0</v>
      </c>
      <c r="E749">
        <v>8.0630735623336506E-3</v>
      </c>
      <c r="F749" t="str">
        <f>"18/19"</f>
        <v>18/19</v>
      </c>
      <c r="G749" s="10">
        <v>0.52310000000000001</v>
      </c>
    </row>
    <row r="750" spans="1:7" x14ac:dyDescent="0.2">
      <c r="A750" s="1" t="s">
        <v>147</v>
      </c>
      <c r="B750" t="s">
        <v>555</v>
      </c>
      <c r="C750">
        <v>2.2968175983160499</v>
      </c>
      <c r="D750">
        <v>0</v>
      </c>
      <c r="E750">
        <v>2.4382985289903201E-3</v>
      </c>
      <c r="F750" t="str">
        <f>"76/84"</f>
        <v>76/84</v>
      </c>
      <c r="G750" s="10">
        <v>0.62339999999999995</v>
      </c>
    </row>
    <row r="751" spans="1:7" x14ac:dyDescent="0.2">
      <c r="A751" s="1" t="s">
        <v>147</v>
      </c>
      <c r="B751" t="s">
        <v>1032</v>
      </c>
      <c r="C751">
        <v>2.29430071781987</v>
      </c>
      <c r="D751">
        <v>0</v>
      </c>
      <c r="E751">
        <v>2.4277886215377702E-3</v>
      </c>
      <c r="F751" t="str">
        <f>"26/36"</f>
        <v>26/36</v>
      </c>
      <c r="G751" s="10">
        <v>0.36840000000000001</v>
      </c>
    </row>
    <row r="752" spans="1:7" x14ac:dyDescent="0.2">
      <c r="A752" s="1" t="s">
        <v>147</v>
      </c>
      <c r="B752" t="s">
        <v>1033</v>
      </c>
      <c r="C752">
        <v>2.2924069074067601</v>
      </c>
      <c r="D752">
        <v>0</v>
      </c>
      <c r="E752">
        <v>2.4597789090740401E-3</v>
      </c>
      <c r="F752" t="str">
        <f>"126/153"</f>
        <v>126/153</v>
      </c>
      <c r="G752" s="10">
        <v>0.60170000000000001</v>
      </c>
    </row>
    <row r="753" spans="1:7" x14ac:dyDescent="0.2">
      <c r="A753" s="1" t="s">
        <v>147</v>
      </c>
      <c r="B753" t="s">
        <v>1034</v>
      </c>
      <c r="C753">
        <v>2.2916613151842</v>
      </c>
      <c r="D753">
        <v>0</v>
      </c>
      <c r="E753">
        <v>2.4492670333942299E-3</v>
      </c>
      <c r="F753" t="str">
        <f>"16/16"</f>
        <v>16/16</v>
      </c>
      <c r="G753" s="10">
        <v>0.49559999999999998</v>
      </c>
    </row>
    <row r="754" spans="1:7" x14ac:dyDescent="0.2">
      <c r="A754" s="1" t="s">
        <v>147</v>
      </c>
      <c r="B754" t="s">
        <v>586</v>
      </c>
      <c r="C754">
        <v>2.2862995244351798</v>
      </c>
      <c r="D754">
        <v>0</v>
      </c>
      <c r="E754">
        <v>2.5229427108477598E-3</v>
      </c>
      <c r="F754" t="str">
        <f>"95/99"</f>
        <v>95/99</v>
      </c>
      <c r="G754" s="10">
        <v>0.71</v>
      </c>
    </row>
    <row r="755" spans="1:7" x14ac:dyDescent="0.2">
      <c r="A755" s="1" t="s">
        <v>147</v>
      </c>
      <c r="B755" t="s">
        <v>874</v>
      </c>
      <c r="C755">
        <v>2.2862030304327901</v>
      </c>
      <c r="D755">
        <v>0</v>
      </c>
      <c r="E755">
        <v>2.5122522756323099E-3</v>
      </c>
      <c r="F755" t="str">
        <f>"18/23"</f>
        <v>18/23</v>
      </c>
      <c r="G755" s="10">
        <v>0.3458</v>
      </c>
    </row>
    <row r="756" spans="1:7" x14ac:dyDescent="0.2">
      <c r="A756" s="1" t="s">
        <v>147</v>
      </c>
      <c r="B756" t="s">
        <v>179</v>
      </c>
      <c r="C756">
        <v>2.2837985648272601</v>
      </c>
      <c r="D756">
        <v>1.3698630136986301E-2</v>
      </c>
      <c r="E756">
        <v>2.5433462559776901E-3</v>
      </c>
      <c r="F756" t="str">
        <f>"32/33"</f>
        <v>32/33</v>
      </c>
      <c r="G756" s="10">
        <v>0.61670000000000003</v>
      </c>
    </row>
    <row r="757" spans="1:7" x14ac:dyDescent="0.2">
      <c r="A757" s="1" t="s">
        <v>147</v>
      </c>
      <c r="B757" t="s">
        <v>899</v>
      </c>
      <c r="C757">
        <v>2.28316170872335</v>
      </c>
      <c r="D757">
        <v>0</v>
      </c>
      <c r="E757">
        <v>2.53265992717106E-3</v>
      </c>
      <c r="F757" t="str">
        <f>"60/68"</f>
        <v>60/68</v>
      </c>
      <c r="G757" s="10">
        <v>0.59740000000000004</v>
      </c>
    </row>
    <row r="758" spans="1:7" x14ac:dyDescent="0.2">
      <c r="A758" s="1" t="s">
        <v>147</v>
      </c>
      <c r="B758" t="s">
        <v>1035</v>
      </c>
      <c r="C758">
        <v>-2.28287037948976</v>
      </c>
      <c r="D758">
        <v>0</v>
      </c>
      <c r="E758">
        <v>9.4337960679303796E-3</v>
      </c>
      <c r="F758" t="str">
        <f>"33/47"</f>
        <v>33/47</v>
      </c>
      <c r="G758" s="10">
        <v>0.3735</v>
      </c>
    </row>
    <row r="759" spans="1:7" x14ac:dyDescent="0.2">
      <c r="A759" s="1" t="s">
        <v>147</v>
      </c>
      <c r="B759" t="s">
        <v>1036</v>
      </c>
      <c r="C759">
        <v>2.28278863622146</v>
      </c>
      <c r="D759">
        <v>0</v>
      </c>
      <c r="E759">
        <v>2.5220630237100901E-3</v>
      </c>
      <c r="F759" t="str">
        <f>"70/70"</f>
        <v>70/70</v>
      </c>
      <c r="G759" s="10">
        <v>0.7016</v>
      </c>
    </row>
    <row r="760" spans="1:7" x14ac:dyDescent="0.2">
      <c r="A760" s="1" t="s">
        <v>147</v>
      </c>
      <c r="B760" t="s">
        <v>1037</v>
      </c>
      <c r="C760">
        <v>2.28106143722195</v>
      </c>
      <c r="D760">
        <v>0</v>
      </c>
      <c r="E760">
        <v>2.5115544277779702E-3</v>
      </c>
      <c r="F760" t="str">
        <f>"55/69"</f>
        <v>55/69</v>
      </c>
      <c r="G760" s="10">
        <v>0.52159999999999995</v>
      </c>
    </row>
    <row r="761" spans="1:7" x14ac:dyDescent="0.2">
      <c r="A761" s="1" t="s">
        <v>147</v>
      </c>
      <c r="B761" t="s">
        <v>912</v>
      </c>
      <c r="C761">
        <v>2.2808647670469702</v>
      </c>
      <c r="D761">
        <v>0</v>
      </c>
      <c r="E761">
        <v>2.5421352210962598E-3</v>
      </c>
      <c r="F761" t="str">
        <f>"54/54"</f>
        <v>54/54</v>
      </c>
      <c r="G761" s="10">
        <v>0.68620000000000003</v>
      </c>
    </row>
    <row r="762" spans="1:7" x14ac:dyDescent="0.2">
      <c r="A762" s="1" t="s">
        <v>147</v>
      </c>
      <c r="B762" t="s">
        <v>1038</v>
      </c>
      <c r="C762">
        <v>2.2789309087610401</v>
      </c>
      <c r="D762">
        <v>0</v>
      </c>
      <c r="E762">
        <v>2.5316305300999999E-3</v>
      </c>
      <c r="F762" t="str">
        <f>"71/71"</f>
        <v>71/71</v>
      </c>
      <c r="G762" s="10">
        <v>0.7016</v>
      </c>
    </row>
    <row r="763" spans="1:7" x14ac:dyDescent="0.2">
      <c r="A763" s="1" t="s">
        <v>147</v>
      </c>
      <c r="B763" t="s">
        <v>1039</v>
      </c>
      <c r="C763">
        <v>2.2788333898009898</v>
      </c>
      <c r="D763">
        <v>0</v>
      </c>
      <c r="E763">
        <v>2.5212122974658398E-3</v>
      </c>
      <c r="F763" t="str">
        <f>"48/83"</f>
        <v>48/83</v>
      </c>
      <c r="G763" s="10">
        <v>0.3654</v>
      </c>
    </row>
    <row r="764" spans="1:7" x14ac:dyDescent="0.2">
      <c r="A764" s="1" t="s">
        <v>147</v>
      </c>
      <c r="B764" t="s">
        <v>1040</v>
      </c>
      <c r="C764">
        <v>2.27848461003639</v>
      </c>
      <c r="D764">
        <v>0</v>
      </c>
      <c r="E764">
        <v>2.5108794601811399E-3</v>
      </c>
      <c r="F764" t="str">
        <f>"15/22"</f>
        <v>15/22</v>
      </c>
      <c r="G764" s="10">
        <v>0.2838</v>
      </c>
    </row>
    <row r="765" spans="1:7" x14ac:dyDescent="0.2">
      <c r="A765" s="1" t="s">
        <v>147</v>
      </c>
      <c r="B765" t="s">
        <v>877</v>
      </c>
      <c r="C765">
        <v>2.2768424655474</v>
      </c>
      <c r="D765">
        <v>0</v>
      </c>
      <c r="E765">
        <v>2.5812964878333599E-3</v>
      </c>
      <c r="F765" t="str">
        <f>"284/317"</f>
        <v>284/317</v>
      </c>
      <c r="G765" s="10">
        <v>0.71440000000000003</v>
      </c>
    </row>
    <row r="766" spans="1:7" x14ac:dyDescent="0.2">
      <c r="A766" s="1" t="s">
        <v>147</v>
      </c>
      <c r="B766" t="s">
        <v>708</v>
      </c>
      <c r="C766">
        <v>2.2765548707872698</v>
      </c>
      <c r="D766">
        <v>0</v>
      </c>
      <c r="E766">
        <v>2.5708034126795602E-3</v>
      </c>
      <c r="F766" t="str">
        <f>"30/61"</f>
        <v>30/61</v>
      </c>
      <c r="G766" s="10">
        <v>0.27589999999999998</v>
      </c>
    </row>
    <row r="767" spans="1:7" x14ac:dyDescent="0.2">
      <c r="A767" s="1" t="s">
        <v>147</v>
      </c>
      <c r="B767" t="s">
        <v>172</v>
      </c>
      <c r="C767">
        <v>2.2763595779725598</v>
      </c>
      <c r="D767">
        <v>0</v>
      </c>
      <c r="E767">
        <v>2.5603953016970602E-3</v>
      </c>
      <c r="F767" t="str">
        <f>"64/73"</f>
        <v>64/73</v>
      </c>
      <c r="G767" s="10">
        <v>0.61180000000000001</v>
      </c>
    </row>
    <row r="768" spans="1:7" x14ac:dyDescent="0.2">
      <c r="A768" s="1" t="s">
        <v>147</v>
      </c>
      <c r="B768" t="s">
        <v>685</v>
      </c>
      <c r="C768">
        <v>2.2746918650221302</v>
      </c>
      <c r="D768">
        <v>0</v>
      </c>
      <c r="E768">
        <v>2.55007112709344E-3</v>
      </c>
      <c r="F768" t="str">
        <f>"46/50"</f>
        <v>46/50</v>
      </c>
      <c r="G768" s="10">
        <v>0.59650000000000003</v>
      </c>
    </row>
    <row r="769" spans="1:7" x14ac:dyDescent="0.2">
      <c r="A769" s="1" t="s">
        <v>147</v>
      </c>
      <c r="B769" t="s">
        <v>1041</v>
      </c>
      <c r="C769">
        <v>-2.2738586494580502</v>
      </c>
      <c r="D769">
        <v>0</v>
      </c>
      <c r="E769">
        <v>9.2037034809076806E-3</v>
      </c>
      <c r="F769" t="str">
        <f>"19/20"</f>
        <v>19/20</v>
      </c>
      <c r="G769" s="10">
        <v>0.56420000000000003</v>
      </c>
    </row>
    <row r="770" spans="1:7" x14ac:dyDescent="0.2">
      <c r="A770" s="1" t="s">
        <v>147</v>
      </c>
      <c r="B770" t="s">
        <v>1042</v>
      </c>
      <c r="C770">
        <v>-2.2731126971925799</v>
      </c>
      <c r="D770">
        <v>0</v>
      </c>
      <c r="E770">
        <v>8.9845676837432102E-3</v>
      </c>
      <c r="F770" t="str">
        <f>"14/19"</f>
        <v>14/19</v>
      </c>
      <c r="G770" s="10">
        <v>0.30459999999999998</v>
      </c>
    </row>
    <row r="771" spans="1:7" x14ac:dyDescent="0.2">
      <c r="A771" s="1" t="s">
        <v>147</v>
      </c>
      <c r="B771" t="s">
        <v>1043</v>
      </c>
      <c r="C771">
        <v>2.2698644795086498</v>
      </c>
      <c r="D771">
        <v>0</v>
      </c>
      <c r="E771">
        <v>2.6985692449362302E-3</v>
      </c>
      <c r="F771" t="str">
        <f>"10/15"</f>
        <v>10/15</v>
      </c>
      <c r="G771" s="10">
        <v>0.21879999999999999</v>
      </c>
    </row>
    <row r="772" spans="1:7" x14ac:dyDescent="0.2">
      <c r="A772" s="1" t="s">
        <v>147</v>
      </c>
      <c r="B772" t="s">
        <v>606</v>
      </c>
      <c r="C772">
        <v>2.2633802311327398</v>
      </c>
      <c r="D772">
        <v>0</v>
      </c>
      <c r="E772">
        <v>2.8854054803062299E-3</v>
      </c>
      <c r="F772" t="str">
        <f>"148/163"</f>
        <v>148/163</v>
      </c>
      <c r="G772" s="10">
        <v>0.70840000000000003</v>
      </c>
    </row>
    <row r="773" spans="1:7" x14ac:dyDescent="0.2">
      <c r="A773" s="1" t="s">
        <v>147</v>
      </c>
      <c r="B773" t="s">
        <v>1044</v>
      </c>
      <c r="C773">
        <v>2.2622339039795798</v>
      </c>
      <c r="D773">
        <v>0</v>
      </c>
      <c r="E773">
        <v>2.8739098409424602E-3</v>
      </c>
      <c r="F773" t="str">
        <f>"68/77"</f>
        <v>68/77</v>
      </c>
      <c r="G773" s="10">
        <v>0.61529999999999996</v>
      </c>
    </row>
    <row r="774" spans="1:7" x14ac:dyDescent="0.2">
      <c r="A774" s="1" t="s">
        <v>147</v>
      </c>
      <c r="B774" t="s">
        <v>1045</v>
      </c>
      <c r="C774">
        <v>2.26185455268363</v>
      </c>
      <c r="D774">
        <v>0</v>
      </c>
      <c r="E774">
        <v>2.86250543681173E-3</v>
      </c>
      <c r="F774" t="str">
        <f>"87/109"</f>
        <v>87/109</v>
      </c>
      <c r="G774" s="10">
        <v>0.57250000000000001</v>
      </c>
    </row>
    <row r="775" spans="1:7" x14ac:dyDescent="0.2">
      <c r="A775" s="1" t="s">
        <v>147</v>
      </c>
      <c r="B775" t="s">
        <v>674</v>
      </c>
      <c r="C775">
        <v>2.2608570837697402</v>
      </c>
      <c r="D775">
        <v>0</v>
      </c>
      <c r="E775">
        <v>2.96836342659691E-3</v>
      </c>
      <c r="F775" t="str">
        <f>"270/313"</f>
        <v>270/313</v>
      </c>
      <c r="G775" s="10">
        <v>0.68300000000000005</v>
      </c>
    </row>
    <row r="776" spans="1:7" x14ac:dyDescent="0.2">
      <c r="A776" s="1" t="s">
        <v>147</v>
      </c>
      <c r="B776" t="s">
        <v>1046</v>
      </c>
      <c r="C776">
        <v>2.2607733544368398</v>
      </c>
      <c r="D776">
        <v>0</v>
      </c>
      <c r="E776">
        <v>2.9566769564134598E-3</v>
      </c>
      <c r="F776" t="str">
        <f>"371/411"</f>
        <v>371/411</v>
      </c>
      <c r="G776" s="10">
        <v>0.74580000000000002</v>
      </c>
    </row>
    <row r="777" spans="1:7" x14ac:dyDescent="0.2">
      <c r="A777" s="1" t="s">
        <v>147</v>
      </c>
      <c r="B777" t="s">
        <v>926</v>
      </c>
      <c r="C777">
        <v>2.2594698002380098</v>
      </c>
      <c r="D777">
        <v>0</v>
      </c>
      <c r="E777">
        <v>2.98383322567257E-3</v>
      </c>
      <c r="F777" t="str">
        <f>"76/88"</f>
        <v>76/88</v>
      </c>
      <c r="G777" s="10">
        <v>0.6129</v>
      </c>
    </row>
    <row r="778" spans="1:7" x14ac:dyDescent="0.2">
      <c r="A778" s="1" t="s">
        <v>147</v>
      </c>
      <c r="B778" t="s">
        <v>1047</v>
      </c>
      <c r="C778">
        <v>2.2589273510502301</v>
      </c>
      <c r="D778">
        <v>0</v>
      </c>
      <c r="E778">
        <v>2.9721776271347902E-3</v>
      </c>
      <c r="F778" t="str">
        <f>"22/24"</f>
        <v>22/24</v>
      </c>
      <c r="G778" s="10">
        <v>0.48809999999999998</v>
      </c>
    </row>
    <row r="779" spans="1:7" x14ac:dyDescent="0.2">
      <c r="A779" s="1" t="s">
        <v>147</v>
      </c>
      <c r="B779" t="s">
        <v>641</v>
      </c>
      <c r="C779">
        <v>2.2553328491604301</v>
      </c>
      <c r="D779">
        <v>0</v>
      </c>
      <c r="E779">
        <v>3.1144107977293901E-3</v>
      </c>
      <c r="F779" t="str">
        <f>"142/156"</f>
        <v>142/156</v>
      </c>
      <c r="G779" s="10">
        <v>0.70820000000000005</v>
      </c>
    </row>
    <row r="780" spans="1:7" x14ac:dyDescent="0.2">
      <c r="A780" s="1" t="s">
        <v>147</v>
      </c>
      <c r="B780" t="s">
        <v>1048</v>
      </c>
      <c r="C780">
        <v>2.25516067352646</v>
      </c>
      <c r="D780">
        <v>0</v>
      </c>
      <c r="E780">
        <v>3.1023394380482699E-3</v>
      </c>
      <c r="F780" t="str">
        <f>"81/95"</f>
        <v>81/95</v>
      </c>
      <c r="G780" s="10">
        <v>0.61809999999999998</v>
      </c>
    </row>
    <row r="781" spans="1:7" x14ac:dyDescent="0.2">
      <c r="A781" s="1" t="s">
        <v>147</v>
      </c>
      <c r="B781" t="s">
        <v>1049</v>
      </c>
      <c r="C781">
        <v>2.25439271687531</v>
      </c>
      <c r="D781">
        <v>0</v>
      </c>
      <c r="E781">
        <v>3.0903612934998202E-3</v>
      </c>
      <c r="F781" t="str">
        <f>"98/105"</f>
        <v>98/105</v>
      </c>
      <c r="G781" s="10">
        <v>0.70350000000000001</v>
      </c>
    </row>
    <row r="782" spans="1:7" x14ac:dyDescent="0.2">
      <c r="A782" s="1" t="s">
        <v>147</v>
      </c>
      <c r="B782" t="s">
        <v>754</v>
      </c>
      <c r="C782">
        <v>2.2524165432193799</v>
      </c>
      <c r="D782">
        <v>0</v>
      </c>
      <c r="E782">
        <v>3.0784752885248201E-3</v>
      </c>
      <c r="F782" t="str">
        <f>"144/176"</f>
        <v>144/176</v>
      </c>
      <c r="G782" s="10">
        <v>0.62229999999999996</v>
      </c>
    </row>
    <row r="783" spans="1:7" x14ac:dyDescent="0.2">
      <c r="A783" s="1" t="s">
        <v>147</v>
      </c>
      <c r="B783" t="s">
        <v>748</v>
      </c>
      <c r="C783">
        <v>-2.2522180829590299</v>
      </c>
      <c r="D783">
        <v>0</v>
      </c>
      <c r="E783">
        <v>9.75069361026395E-3</v>
      </c>
      <c r="F783" t="str">
        <f>"71/81"</f>
        <v>71/81</v>
      </c>
      <c r="G783" s="10">
        <v>0.65200000000000002</v>
      </c>
    </row>
    <row r="784" spans="1:7" x14ac:dyDescent="0.2">
      <c r="A784" s="1" t="s">
        <v>147</v>
      </c>
      <c r="B784" t="s">
        <v>1050</v>
      </c>
      <c r="C784">
        <v>2.25184123832884</v>
      </c>
      <c r="D784">
        <v>0</v>
      </c>
      <c r="E784">
        <v>3.06668036404771E-3</v>
      </c>
      <c r="F784" t="str">
        <f>"18/27"</f>
        <v>18/27</v>
      </c>
      <c r="G784" s="10">
        <v>0.3014</v>
      </c>
    </row>
    <row r="785" spans="1:7" x14ac:dyDescent="0.2">
      <c r="A785" s="1" t="s">
        <v>147</v>
      </c>
      <c r="B785" t="s">
        <v>1051</v>
      </c>
      <c r="C785">
        <v>2.2496720592420698</v>
      </c>
      <c r="D785">
        <v>0</v>
      </c>
      <c r="E785">
        <v>3.1304069704253001E-3</v>
      </c>
      <c r="F785" t="str">
        <f>"15/20"</f>
        <v>15/20</v>
      </c>
      <c r="G785" s="10">
        <v>0.2838</v>
      </c>
    </row>
    <row r="786" spans="1:7" x14ac:dyDescent="0.2">
      <c r="A786" s="1" t="s">
        <v>147</v>
      </c>
      <c r="B786" t="s">
        <v>914</v>
      </c>
      <c r="C786">
        <v>-2.2475384130442602</v>
      </c>
      <c r="D786">
        <v>0</v>
      </c>
      <c r="E786">
        <v>9.5290869373034093E-3</v>
      </c>
      <c r="F786" t="str">
        <f>"83/85"</f>
        <v>83/85</v>
      </c>
      <c r="G786" s="10">
        <v>0.80300000000000005</v>
      </c>
    </row>
    <row r="787" spans="1:7" x14ac:dyDescent="0.2">
      <c r="A787" s="1" t="s">
        <v>147</v>
      </c>
      <c r="B787" t="s">
        <v>815</v>
      </c>
      <c r="C787">
        <v>2.2432940068069001</v>
      </c>
      <c r="D787">
        <v>0</v>
      </c>
      <c r="E787">
        <v>3.4190830083320298E-3</v>
      </c>
      <c r="F787" t="str">
        <f>"58/66"</f>
        <v>58/66</v>
      </c>
      <c r="G787" s="10">
        <v>0.59740000000000004</v>
      </c>
    </row>
    <row r="788" spans="1:7" x14ac:dyDescent="0.2">
      <c r="A788" s="1" t="s">
        <v>147</v>
      </c>
      <c r="B788" t="s">
        <v>320</v>
      </c>
      <c r="C788">
        <v>2.24065776455791</v>
      </c>
      <c r="D788">
        <v>0</v>
      </c>
      <c r="E788">
        <v>3.4809919788874898E-3</v>
      </c>
      <c r="F788" t="str">
        <f>"33/36"</f>
        <v>33/36</v>
      </c>
      <c r="G788" s="10">
        <v>0.55889999999999995</v>
      </c>
    </row>
    <row r="789" spans="1:7" x14ac:dyDescent="0.2">
      <c r="A789" s="1" t="s">
        <v>147</v>
      </c>
      <c r="B789" t="s">
        <v>230</v>
      </c>
      <c r="C789">
        <v>2.23966374123111</v>
      </c>
      <c r="D789">
        <v>0</v>
      </c>
      <c r="E789">
        <v>3.61701126375942E-3</v>
      </c>
      <c r="F789" t="str">
        <f>"338/466"</f>
        <v>338/466</v>
      </c>
      <c r="G789" s="10">
        <v>0.5917</v>
      </c>
    </row>
    <row r="790" spans="1:7" x14ac:dyDescent="0.2">
      <c r="A790" s="1" t="s">
        <v>147</v>
      </c>
      <c r="B790" t="s">
        <v>1052</v>
      </c>
      <c r="C790">
        <v>2.2341787468672099</v>
      </c>
      <c r="D790">
        <v>0</v>
      </c>
      <c r="E790">
        <v>3.7148592546943902E-3</v>
      </c>
      <c r="F790" t="str">
        <f>"15/27"</f>
        <v>15/27</v>
      </c>
      <c r="G790" s="10">
        <v>0.2271</v>
      </c>
    </row>
    <row r="791" spans="1:7" x14ac:dyDescent="0.2">
      <c r="A791" s="1" t="s">
        <v>147</v>
      </c>
      <c r="B791" t="s">
        <v>1053</v>
      </c>
      <c r="C791">
        <v>2.2323560881179998</v>
      </c>
      <c r="D791">
        <v>0</v>
      </c>
      <c r="E791">
        <v>3.81197430187704E-3</v>
      </c>
      <c r="F791" t="str">
        <f>"11/23"</f>
        <v>11/23</v>
      </c>
      <c r="G791" s="10">
        <v>0.18029999999999999</v>
      </c>
    </row>
    <row r="792" spans="1:7" x14ac:dyDescent="0.2">
      <c r="A792" s="1" t="s">
        <v>147</v>
      </c>
      <c r="B792" t="s">
        <v>1054</v>
      </c>
      <c r="C792">
        <v>2.2319887606052999</v>
      </c>
      <c r="D792">
        <v>0</v>
      </c>
      <c r="E792">
        <v>3.7977505171685401E-3</v>
      </c>
      <c r="F792" t="str">
        <f>"35/42"</f>
        <v>35/42</v>
      </c>
      <c r="G792" s="10">
        <v>0.49199999999999999</v>
      </c>
    </row>
    <row r="793" spans="1:7" x14ac:dyDescent="0.2">
      <c r="A793" s="1" t="s">
        <v>147</v>
      </c>
      <c r="B793" t="s">
        <v>1055</v>
      </c>
      <c r="C793">
        <v>2.2318118585380602</v>
      </c>
      <c r="D793">
        <v>0</v>
      </c>
      <c r="E793">
        <v>3.7836324855062102E-3</v>
      </c>
      <c r="F793" t="str">
        <f>"16/31"</f>
        <v>16/31</v>
      </c>
      <c r="G793" s="10">
        <v>0.16889999999999999</v>
      </c>
    </row>
    <row r="794" spans="1:7" x14ac:dyDescent="0.2">
      <c r="A794" s="1" t="s">
        <v>147</v>
      </c>
      <c r="B794" t="s">
        <v>711</v>
      </c>
      <c r="C794">
        <v>2.23158133287534</v>
      </c>
      <c r="D794">
        <v>0</v>
      </c>
      <c r="E794">
        <v>3.8062172748839101E-3</v>
      </c>
      <c r="F794" t="str">
        <f>"82/94"</f>
        <v>82/94</v>
      </c>
      <c r="G794" s="10">
        <v>0.60170000000000001</v>
      </c>
    </row>
    <row r="795" spans="1:7" x14ac:dyDescent="0.2">
      <c r="A795" s="1" t="s">
        <v>147</v>
      </c>
      <c r="B795" t="s">
        <v>604</v>
      </c>
      <c r="C795">
        <v>2.2296932469041701</v>
      </c>
      <c r="D795">
        <v>0</v>
      </c>
      <c r="E795">
        <v>3.7921721926887698E-3</v>
      </c>
      <c r="F795" t="str">
        <f>"98/104"</f>
        <v>98/104</v>
      </c>
      <c r="G795" s="10">
        <v>0.71</v>
      </c>
    </row>
    <row r="796" spans="1:7" x14ac:dyDescent="0.2">
      <c r="A796" s="1" t="s">
        <v>147</v>
      </c>
      <c r="B796" t="s">
        <v>1056</v>
      </c>
      <c r="C796">
        <v>2.22675300505438</v>
      </c>
      <c r="D796">
        <v>0</v>
      </c>
      <c r="E796">
        <v>3.8872177980555801E-3</v>
      </c>
      <c r="F796" t="str">
        <f>"79/114"</f>
        <v>79/114</v>
      </c>
      <c r="G796" s="10">
        <v>0.49009999999999998</v>
      </c>
    </row>
    <row r="797" spans="1:7" x14ac:dyDescent="0.2">
      <c r="A797" s="1" t="s">
        <v>147</v>
      </c>
      <c r="B797" t="s">
        <v>751</v>
      </c>
      <c r="C797">
        <v>2.2263071496420901</v>
      </c>
      <c r="D797">
        <v>0</v>
      </c>
      <c r="E797">
        <v>3.8729789050224099E-3</v>
      </c>
      <c r="F797" t="str">
        <f>"83/97"</f>
        <v>83/97</v>
      </c>
      <c r="G797" s="10">
        <v>0.62490000000000001</v>
      </c>
    </row>
    <row r="798" spans="1:7" x14ac:dyDescent="0.2">
      <c r="A798" s="1" t="s">
        <v>147</v>
      </c>
      <c r="B798" t="s">
        <v>1057</v>
      </c>
      <c r="C798">
        <v>2.2199311735301301</v>
      </c>
      <c r="D798">
        <v>1.3698630136986301E-2</v>
      </c>
      <c r="E798">
        <v>4.0752277181607304E-3</v>
      </c>
      <c r="F798" t="str">
        <f>"13/18"</f>
        <v>13/18</v>
      </c>
      <c r="G798" s="10">
        <v>0.28489999999999999</v>
      </c>
    </row>
    <row r="799" spans="1:7" x14ac:dyDescent="0.2">
      <c r="A799" s="1" t="s">
        <v>147</v>
      </c>
      <c r="B799" t="s">
        <v>895</v>
      </c>
      <c r="C799">
        <v>2.2181018052747001</v>
      </c>
      <c r="D799">
        <v>0</v>
      </c>
      <c r="E799">
        <v>4.1682071695581897E-3</v>
      </c>
      <c r="F799" t="str">
        <f>"365/411"</f>
        <v>365/411</v>
      </c>
      <c r="G799" s="10">
        <v>0.73280000000000001</v>
      </c>
    </row>
    <row r="800" spans="1:7" x14ac:dyDescent="0.2">
      <c r="A800" s="1" t="s">
        <v>147</v>
      </c>
      <c r="B800" t="s">
        <v>875</v>
      </c>
      <c r="C800">
        <v>2.2174584037275098</v>
      </c>
      <c r="D800">
        <v>0</v>
      </c>
      <c r="E800">
        <v>4.2094585662941402E-3</v>
      </c>
      <c r="F800" t="str">
        <f>"51/51"</f>
        <v>51/51</v>
      </c>
      <c r="G800" s="10">
        <v>0.68620000000000003</v>
      </c>
    </row>
    <row r="801" spans="1:7" x14ac:dyDescent="0.2">
      <c r="A801" s="1" t="s">
        <v>147</v>
      </c>
      <c r="B801" t="s">
        <v>876</v>
      </c>
      <c r="C801">
        <v>2.2174584037275098</v>
      </c>
      <c r="D801">
        <v>0</v>
      </c>
      <c r="E801">
        <v>4.2094585662941402E-3</v>
      </c>
      <c r="F801" t="str">
        <f>"51/51"</f>
        <v>51/51</v>
      </c>
      <c r="G801" s="10">
        <v>0.68620000000000003</v>
      </c>
    </row>
    <row r="802" spans="1:7" x14ac:dyDescent="0.2">
      <c r="A802" s="1" t="s">
        <v>147</v>
      </c>
      <c r="B802" t="s">
        <v>689</v>
      </c>
      <c r="C802">
        <v>2.2162402401595598</v>
      </c>
      <c r="D802">
        <v>0</v>
      </c>
      <c r="E802">
        <v>4.1943166290053097E-3</v>
      </c>
      <c r="F802" t="str">
        <f>"198/219"</f>
        <v>198/219</v>
      </c>
      <c r="G802" s="10">
        <v>0.71099999999999997</v>
      </c>
    </row>
    <row r="803" spans="1:7" x14ac:dyDescent="0.2">
      <c r="A803" s="1" t="s">
        <v>147</v>
      </c>
      <c r="B803" t="s">
        <v>599</v>
      </c>
      <c r="C803">
        <v>2.2147632181791401</v>
      </c>
      <c r="D803">
        <v>0</v>
      </c>
      <c r="E803">
        <v>4.2501185451557398E-3</v>
      </c>
      <c r="F803" t="str">
        <f>"142/156"</f>
        <v>142/156</v>
      </c>
      <c r="G803" s="10">
        <v>0.70169999999999999</v>
      </c>
    </row>
    <row r="804" spans="1:7" x14ac:dyDescent="0.2">
      <c r="A804" s="1" t="s">
        <v>147</v>
      </c>
      <c r="B804" t="s">
        <v>1058</v>
      </c>
      <c r="C804">
        <v>2.21470795822778</v>
      </c>
      <c r="D804">
        <v>0</v>
      </c>
      <c r="E804">
        <v>4.2702307132711998E-3</v>
      </c>
      <c r="F804" t="str">
        <f>"21/26"</f>
        <v>21/26</v>
      </c>
      <c r="G804" s="10">
        <v>0.40849999999999997</v>
      </c>
    </row>
    <row r="805" spans="1:7" x14ac:dyDescent="0.2">
      <c r="A805" s="1" t="s">
        <v>147</v>
      </c>
      <c r="B805" t="s">
        <v>901</v>
      </c>
      <c r="C805">
        <v>2.21341392489445</v>
      </c>
      <c r="D805">
        <v>0</v>
      </c>
      <c r="E805">
        <v>4.2901997342826501E-3</v>
      </c>
      <c r="F805" t="str">
        <f>"50/53"</f>
        <v>50/53</v>
      </c>
      <c r="G805" s="10">
        <v>0.65439999999999998</v>
      </c>
    </row>
    <row r="806" spans="1:7" x14ac:dyDescent="0.2">
      <c r="A806" s="1" t="s">
        <v>147</v>
      </c>
      <c r="B806" t="s">
        <v>1059</v>
      </c>
      <c r="C806">
        <v>2.2129430241946499</v>
      </c>
      <c r="D806">
        <v>0</v>
      </c>
      <c r="E806">
        <v>4.2749862600476004E-3</v>
      </c>
      <c r="F806" t="str">
        <f>"20/20"</f>
        <v>20/20</v>
      </c>
      <c r="G806" s="10">
        <v>0.56289999999999996</v>
      </c>
    </row>
    <row r="807" spans="1:7" x14ac:dyDescent="0.2">
      <c r="A807" s="1" t="s">
        <v>147</v>
      </c>
      <c r="B807" t="s">
        <v>361</v>
      </c>
      <c r="C807">
        <v>2.2125675776851899</v>
      </c>
      <c r="D807">
        <v>0</v>
      </c>
      <c r="E807">
        <v>4.3297144048353303E-3</v>
      </c>
      <c r="F807" t="str">
        <f>"23/36"</f>
        <v>23/36</v>
      </c>
      <c r="G807" s="10">
        <v>0.29809999999999998</v>
      </c>
    </row>
    <row r="808" spans="1:7" x14ac:dyDescent="0.2">
      <c r="A808" s="1" t="s">
        <v>147</v>
      </c>
      <c r="B808" t="s">
        <v>1060</v>
      </c>
      <c r="C808">
        <v>2.2111964873818599</v>
      </c>
      <c r="D808">
        <v>0</v>
      </c>
      <c r="E808">
        <v>4.3492630358657903E-3</v>
      </c>
      <c r="F808" t="str">
        <f>"16/53"</f>
        <v>16/53</v>
      </c>
      <c r="G808" s="10">
        <v>0.12239999999999999</v>
      </c>
    </row>
    <row r="809" spans="1:7" x14ac:dyDescent="0.2">
      <c r="A809" s="1" t="s">
        <v>147</v>
      </c>
      <c r="B809" t="s">
        <v>1061</v>
      </c>
      <c r="C809">
        <v>2.2110061581098499</v>
      </c>
      <c r="D809">
        <v>0</v>
      </c>
      <c r="E809">
        <v>4.3340024638101301E-3</v>
      </c>
      <c r="F809" t="str">
        <f>"13/40"</f>
        <v>13/40</v>
      </c>
      <c r="G809" s="10">
        <v>0.1019</v>
      </c>
    </row>
    <row r="810" spans="1:7" x14ac:dyDescent="0.2">
      <c r="A810" s="1" t="s">
        <v>147</v>
      </c>
      <c r="B810" t="s">
        <v>1062</v>
      </c>
      <c r="C810">
        <v>2.2048036946929002</v>
      </c>
      <c r="D810">
        <v>0</v>
      </c>
      <c r="E810">
        <v>4.8371104421265501E-3</v>
      </c>
      <c r="F810" t="str">
        <f>"186/240"</f>
        <v>186/240</v>
      </c>
      <c r="G810" s="10">
        <v>0.61660000000000004</v>
      </c>
    </row>
    <row r="811" spans="1:7" x14ac:dyDescent="0.2">
      <c r="A811" s="1" t="s">
        <v>147</v>
      </c>
      <c r="B811" t="s">
        <v>1063</v>
      </c>
      <c r="C811">
        <v>2.2038435193324601</v>
      </c>
      <c r="D811">
        <v>0</v>
      </c>
      <c r="E811">
        <v>4.8891172044709602E-3</v>
      </c>
      <c r="F811" t="str">
        <f>"141/177"</f>
        <v>141/177</v>
      </c>
      <c r="G811" s="10">
        <v>0.62380000000000002</v>
      </c>
    </row>
    <row r="812" spans="1:7" x14ac:dyDescent="0.2">
      <c r="A812" s="1" t="s">
        <v>147</v>
      </c>
      <c r="B812" t="s">
        <v>1064</v>
      </c>
      <c r="C812">
        <v>2.2003430923049101</v>
      </c>
      <c r="D812">
        <v>0</v>
      </c>
      <c r="E812">
        <v>4.97507366158204E-3</v>
      </c>
      <c r="F812" t="str">
        <f>"16/25"</f>
        <v>16/25</v>
      </c>
      <c r="G812" s="10">
        <v>0.30669999999999997</v>
      </c>
    </row>
    <row r="813" spans="1:7" x14ac:dyDescent="0.2">
      <c r="A813" s="1" t="s">
        <v>147</v>
      </c>
      <c r="B813" t="s">
        <v>1065</v>
      </c>
      <c r="C813">
        <v>2.1966444263803</v>
      </c>
      <c r="D813">
        <v>0</v>
      </c>
      <c r="E813">
        <v>5.2313959151402203E-3</v>
      </c>
      <c r="F813" t="str">
        <f>"53/63"</f>
        <v>53/63</v>
      </c>
      <c r="G813" s="10">
        <v>0.57820000000000005</v>
      </c>
    </row>
    <row r="814" spans="1:7" x14ac:dyDescent="0.2">
      <c r="A814" s="1" t="s">
        <v>147</v>
      </c>
      <c r="B814" t="s">
        <v>1066</v>
      </c>
      <c r="C814">
        <v>2.1894082847002698</v>
      </c>
      <c r="D814">
        <v>0</v>
      </c>
      <c r="E814">
        <v>5.6222473340874803E-3</v>
      </c>
      <c r="F814" t="str">
        <f>"55/63"</f>
        <v>55/63</v>
      </c>
      <c r="G814" s="10">
        <v>0.59509999999999996</v>
      </c>
    </row>
    <row r="815" spans="1:7" x14ac:dyDescent="0.2">
      <c r="A815" s="1" t="s">
        <v>147</v>
      </c>
      <c r="B815" t="s">
        <v>1067</v>
      </c>
      <c r="C815">
        <v>2.1882223161931802</v>
      </c>
      <c r="D815">
        <v>0</v>
      </c>
      <c r="E815">
        <v>5.6368840292194402E-3</v>
      </c>
      <c r="F815" t="str">
        <f>"245/290"</f>
        <v>245/290</v>
      </c>
      <c r="G815" s="10">
        <v>0.68859999999999999</v>
      </c>
    </row>
    <row r="816" spans="1:7" x14ac:dyDescent="0.2">
      <c r="A816" s="1" t="s">
        <v>147</v>
      </c>
      <c r="B816" t="s">
        <v>928</v>
      </c>
      <c r="C816">
        <v>2.1860864571962999</v>
      </c>
      <c r="D816">
        <v>1.1111111111111099E-2</v>
      </c>
      <c r="E816">
        <v>5.7529429964822097E-3</v>
      </c>
      <c r="F816" t="str">
        <f>"31/45"</f>
        <v>31/45</v>
      </c>
      <c r="G816" s="10">
        <v>0.38059999999999999</v>
      </c>
    </row>
    <row r="817" spans="1:7" x14ac:dyDescent="0.2">
      <c r="A817" s="1" t="s">
        <v>147</v>
      </c>
      <c r="B817" t="s">
        <v>1068</v>
      </c>
      <c r="C817">
        <v>2.1845572071151</v>
      </c>
      <c r="D817">
        <v>0</v>
      </c>
      <c r="E817">
        <v>5.8482498552474603E-3</v>
      </c>
      <c r="F817" t="str">
        <f>"21/31"</f>
        <v>21/31</v>
      </c>
      <c r="G817" s="10">
        <v>0.3392</v>
      </c>
    </row>
    <row r="818" spans="1:7" x14ac:dyDescent="0.2">
      <c r="A818" s="1" t="s">
        <v>147</v>
      </c>
      <c r="B818" t="s">
        <v>1069</v>
      </c>
      <c r="C818">
        <v>2.1845572071151</v>
      </c>
      <c r="D818">
        <v>0</v>
      </c>
      <c r="E818">
        <v>5.8482498552474603E-3</v>
      </c>
      <c r="F818" t="str">
        <f>"21/31"</f>
        <v>21/31</v>
      </c>
      <c r="G818" s="10">
        <v>0.3392</v>
      </c>
    </row>
    <row r="819" spans="1:7" x14ac:dyDescent="0.2">
      <c r="A819" s="1" t="s">
        <v>147</v>
      </c>
      <c r="B819" t="s">
        <v>277</v>
      </c>
      <c r="C819">
        <v>2.18185830508722</v>
      </c>
      <c r="D819">
        <v>0</v>
      </c>
      <c r="E819">
        <v>5.9624120675006798E-3</v>
      </c>
      <c r="F819" t="str">
        <f>"15/23"</f>
        <v>15/23</v>
      </c>
      <c r="G819" s="10">
        <v>0.26050000000000001</v>
      </c>
    </row>
    <row r="820" spans="1:7" x14ac:dyDescent="0.2">
      <c r="A820" s="1" t="s">
        <v>147</v>
      </c>
      <c r="B820" t="s">
        <v>1070</v>
      </c>
      <c r="C820">
        <v>2.1815167088468401</v>
      </c>
      <c r="D820">
        <v>0</v>
      </c>
      <c r="E820">
        <v>5.9422687834888603E-3</v>
      </c>
      <c r="F820" t="str">
        <f>"93/121"</f>
        <v>93/121</v>
      </c>
      <c r="G820" s="10">
        <v>0.54749999999999999</v>
      </c>
    </row>
    <row r="821" spans="1:7" x14ac:dyDescent="0.2">
      <c r="A821" s="1" t="s">
        <v>147</v>
      </c>
      <c r="B821" t="s">
        <v>1071</v>
      </c>
      <c r="C821">
        <v>2.1803041748629699</v>
      </c>
      <c r="D821">
        <v>0</v>
      </c>
      <c r="E821">
        <v>5.9555322745124201E-3</v>
      </c>
      <c r="F821" t="str">
        <f>"13/23"</f>
        <v>13/23</v>
      </c>
      <c r="G821" s="10">
        <v>0.2271</v>
      </c>
    </row>
    <row r="822" spans="1:7" x14ac:dyDescent="0.2">
      <c r="A822" s="1" t="s">
        <v>147</v>
      </c>
      <c r="B822" t="s">
        <v>1072</v>
      </c>
      <c r="C822">
        <v>2.1791663931583898</v>
      </c>
      <c r="D822">
        <v>1.1904761904761901E-2</v>
      </c>
      <c r="E822">
        <v>6.0018662307555802E-3</v>
      </c>
      <c r="F822" t="str">
        <f>"29/35"</f>
        <v>29/35</v>
      </c>
      <c r="G822" s="10">
        <v>0.50170000000000003</v>
      </c>
    </row>
    <row r="823" spans="1:7" x14ac:dyDescent="0.2">
      <c r="A823" s="1" t="s">
        <v>147</v>
      </c>
      <c r="B823" t="s">
        <v>724</v>
      </c>
      <c r="C823">
        <v>2.1783845179560699</v>
      </c>
      <c r="D823">
        <v>0</v>
      </c>
      <c r="E823">
        <v>6.0478902608700202E-3</v>
      </c>
      <c r="F823" t="str">
        <f>"36/42"</f>
        <v>36/42</v>
      </c>
      <c r="G823" s="10">
        <v>0.5222</v>
      </c>
    </row>
    <row r="824" spans="1:7" x14ac:dyDescent="0.2">
      <c r="A824" s="1" t="s">
        <v>147</v>
      </c>
      <c r="B824" t="s">
        <v>1073</v>
      </c>
      <c r="C824">
        <v>2.1761298347046298</v>
      </c>
      <c r="D824">
        <v>0</v>
      </c>
      <c r="E824">
        <v>6.1265458828419998E-3</v>
      </c>
      <c r="F824" t="str">
        <f>"48/94"</f>
        <v>48/94</v>
      </c>
      <c r="G824" s="10">
        <v>0.33679999999999999</v>
      </c>
    </row>
    <row r="825" spans="1:7" x14ac:dyDescent="0.2">
      <c r="A825" s="1" t="s">
        <v>147</v>
      </c>
      <c r="B825" t="s">
        <v>562</v>
      </c>
      <c r="C825">
        <v>2.17590710353659</v>
      </c>
      <c r="D825">
        <v>0</v>
      </c>
      <c r="E825">
        <v>6.1061919098093003E-3</v>
      </c>
      <c r="F825" t="str">
        <f>"99/105"</f>
        <v>99/105</v>
      </c>
      <c r="G825" s="10">
        <v>0.71499999999999997</v>
      </c>
    </row>
    <row r="826" spans="1:7" x14ac:dyDescent="0.2">
      <c r="A826" s="1" t="s">
        <v>147</v>
      </c>
      <c r="B826" t="s">
        <v>1074</v>
      </c>
      <c r="C826">
        <v>2.1756250068639198</v>
      </c>
      <c r="D826">
        <v>0</v>
      </c>
      <c r="E826">
        <v>6.0859727312999896E-3</v>
      </c>
      <c r="F826" t="str">
        <f>"60/61"</f>
        <v>60/61</v>
      </c>
      <c r="G826" s="10">
        <v>0.70230000000000004</v>
      </c>
    </row>
    <row r="827" spans="1:7" x14ac:dyDescent="0.2">
      <c r="A827" s="1" t="s">
        <v>147</v>
      </c>
      <c r="B827" t="s">
        <v>360</v>
      </c>
      <c r="C827">
        <v>2.17510811370183</v>
      </c>
      <c r="D827">
        <v>0</v>
      </c>
      <c r="E827">
        <v>6.0658870127148498E-3</v>
      </c>
      <c r="F827" t="str">
        <f>"17/22"</f>
        <v>17/22</v>
      </c>
      <c r="G827" s="10">
        <v>0.3458</v>
      </c>
    </row>
    <row r="828" spans="1:7" x14ac:dyDescent="0.2">
      <c r="A828" s="1" t="s">
        <v>147</v>
      </c>
      <c r="B828" t="s">
        <v>1075</v>
      </c>
      <c r="C828">
        <v>2.1740273573643898</v>
      </c>
      <c r="D828">
        <v>0</v>
      </c>
      <c r="E828">
        <v>6.1109434739722796E-3</v>
      </c>
      <c r="F828" t="str">
        <f>"12/19"</f>
        <v>12/19</v>
      </c>
      <c r="G828" s="10">
        <v>0.21</v>
      </c>
    </row>
    <row r="829" spans="1:7" x14ac:dyDescent="0.2">
      <c r="A829" s="1" t="s">
        <v>147</v>
      </c>
      <c r="B829" t="s">
        <v>1076</v>
      </c>
      <c r="C829">
        <v>2.1714641468568998</v>
      </c>
      <c r="D829">
        <v>0</v>
      </c>
      <c r="E829">
        <v>6.22050137231974E-3</v>
      </c>
      <c r="F829" t="str">
        <f>"22/24"</f>
        <v>22/24</v>
      </c>
      <c r="G829" s="10">
        <v>0.51129999999999998</v>
      </c>
    </row>
    <row r="830" spans="1:7" x14ac:dyDescent="0.2">
      <c r="A830" s="1" t="s">
        <v>147</v>
      </c>
      <c r="B830" t="s">
        <v>728</v>
      </c>
      <c r="C830">
        <v>2.1710818818159501</v>
      </c>
      <c r="D830">
        <v>0</v>
      </c>
      <c r="E830">
        <v>6.2001729364624903E-3</v>
      </c>
      <c r="F830" t="str">
        <f>"108/130"</f>
        <v>108/130</v>
      </c>
      <c r="G830" s="10">
        <v>0.62009999999999998</v>
      </c>
    </row>
    <row r="831" spans="1:7" x14ac:dyDescent="0.2">
      <c r="A831" s="1" t="s">
        <v>147</v>
      </c>
      <c r="B831" t="s">
        <v>1077</v>
      </c>
      <c r="C831">
        <v>2.1670975858612298</v>
      </c>
      <c r="D831">
        <v>0</v>
      </c>
      <c r="E831">
        <v>6.2765390729966897E-3</v>
      </c>
      <c r="F831" t="str">
        <f>"57/63"</f>
        <v>57/63</v>
      </c>
      <c r="G831" s="10">
        <v>0.62109999999999999</v>
      </c>
    </row>
    <row r="832" spans="1:7" x14ac:dyDescent="0.2">
      <c r="A832" s="1" t="s">
        <v>147</v>
      </c>
      <c r="B832" t="s">
        <v>275</v>
      </c>
      <c r="C832">
        <v>2.16613774474567</v>
      </c>
      <c r="D832">
        <v>1.3698630136986301E-2</v>
      </c>
      <c r="E832">
        <v>6.3203264501459598E-3</v>
      </c>
      <c r="F832" t="str">
        <f>"16/18"</f>
        <v>16/18</v>
      </c>
      <c r="G832" s="10">
        <v>0.43859999999999999</v>
      </c>
    </row>
    <row r="833" spans="1:7" x14ac:dyDescent="0.2">
      <c r="A833" s="1" t="s">
        <v>147</v>
      </c>
      <c r="B833" t="s">
        <v>1078</v>
      </c>
      <c r="C833">
        <v>2.1640131572577199</v>
      </c>
      <c r="D833">
        <v>0</v>
      </c>
      <c r="E833">
        <v>6.3318513665451296E-3</v>
      </c>
      <c r="F833" t="str">
        <f>"16/18"</f>
        <v>16/18</v>
      </c>
      <c r="G833" s="10">
        <v>0.39600000000000002</v>
      </c>
    </row>
    <row r="834" spans="1:7" x14ac:dyDescent="0.2">
      <c r="A834" s="1" t="s">
        <v>147</v>
      </c>
      <c r="B834" t="s">
        <v>1079</v>
      </c>
      <c r="C834">
        <v>2.1634271462683099</v>
      </c>
      <c r="D834">
        <v>0</v>
      </c>
      <c r="E834">
        <v>6.3433019286449396E-3</v>
      </c>
      <c r="F834" t="str">
        <f>"47/55"</f>
        <v>47/55</v>
      </c>
      <c r="G834" s="10">
        <v>0.57320000000000004</v>
      </c>
    </row>
    <row r="835" spans="1:7" x14ac:dyDescent="0.2">
      <c r="A835" s="1" t="s">
        <v>147</v>
      </c>
      <c r="B835" t="s">
        <v>615</v>
      </c>
      <c r="C835">
        <v>2.1620217670896502</v>
      </c>
      <c r="D835">
        <v>0</v>
      </c>
      <c r="E835">
        <v>6.3864522479578903E-3</v>
      </c>
      <c r="F835" t="str">
        <f>"19/31"</f>
        <v>19/31</v>
      </c>
      <c r="G835" s="10">
        <v>0.3039</v>
      </c>
    </row>
    <row r="836" spans="1:7" x14ac:dyDescent="0.2">
      <c r="A836" s="1" t="s">
        <v>147</v>
      </c>
      <c r="B836" t="s">
        <v>1080</v>
      </c>
      <c r="C836">
        <v>2.1608922572531002</v>
      </c>
      <c r="D836">
        <v>0</v>
      </c>
      <c r="E836">
        <v>6.4609975191261696E-3</v>
      </c>
      <c r="F836" t="str">
        <f>"69/78"</f>
        <v>69/78</v>
      </c>
      <c r="G836" s="10">
        <v>0.65469999999999995</v>
      </c>
    </row>
    <row r="837" spans="1:7" x14ac:dyDescent="0.2">
      <c r="A837" s="1" t="s">
        <v>147</v>
      </c>
      <c r="B837" t="s">
        <v>847</v>
      </c>
      <c r="C837">
        <v>2.1604816948297998</v>
      </c>
      <c r="D837">
        <v>0</v>
      </c>
      <c r="E837">
        <v>6.4403553545283303E-3</v>
      </c>
      <c r="F837" t="str">
        <f>"42/159"</f>
        <v>42/159</v>
      </c>
      <c r="G837" s="10">
        <v>0.1411</v>
      </c>
    </row>
    <row r="838" spans="1:7" x14ac:dyDescent="0.2">
      <c r="A838" s="1" t="s">
        <v>147</v>
      </c>
      <c r="B838" t="s">
        <v>1081</v>
      </c>
      <c r="C838">
        <v>2.1568685997212298</v>
      </c>
      <c r="D838">
        <v>0</v>
      </c>
      <c r="E838">
        <v>6.6086636295295802E-3</v>
      </c>
      <c r="F838" t="str">
        <f>"145/208"</f>
        <v>145/208</v>
      </c>
      <c r="G838" s="10">
        <v>0.5302</v>
      </c>
    </row>
    <row r="839" spans="1:7" x14ac:dyDescent="0.2">
      <c r="A839" s="1" t="s">
        <v>147</v>
      </c>
      <c r="B839" t="s">
        <v>1082</v>
      </c>
      <c r="C839">
        <v>2.1551506631471602</v>
      </c>
      <c r="D839">
        <v>0</v>
      </c>
      <c r="E839">
        <v>6.6190536675865899E-3</v>
      </c>
      <c r="F839" t="str">
        <f>"26/38"</f>
        <v>26/38</v>
      </c>
      <c r="G839" s="10">
        <v>0.39229999999999998</v>
      </c>
    </row>
    <row r="840" spans="1:7" x14ac:dyDescent="0.2">
      <c r="A840" s="1" t="s">
        <v>147</v>
      </c>
      <c r="B840" t="s">
        <v>1083</v>
      </c>
      <c r="C840">
        <v>2.1551149249339101</v>
      </c>
      <c r="D840">
        <v>0</v>
      </c>
      <c r="E840">
        <v>6.5981072952208102E-3</v>
      </c>
      <c r="F840" t="str">
        <f>"12/19"</f>
        <v>12/19</v>
      </c>
      <c r="G840" s="10">
        <v>0.25069999999999998</v>
      </c>
    </row>
    <row r="841" spans="1:7" x14ac:dyDescent="0.2">
      <c r="A841" s="1" t="s">
        <v>147</v>
      </c>
      <c r="B841" t="s">
        <v>1084</v>
      </c>
      <c r="C841">
        <v>2.15482117175128</v>
      </c>
      <c r="D841">
        <v>0</v>
      </c>
      <c r="E841">
        <v>6.5772930766238996E-3</v>
      </c>
      <c r="F841" t="str">
        <f>"22/22"</f>
        <v>22/22</v>
      </c>
      <c r="G841" s="10">
        <v>0.59150000000000003</v>
      </c>
    </row>
    <row r="842" spans="1:7" x14ac:dyDescent="0.2">
      <c r="A842" s="1" t="s">
        <v>147</v>
      </c>
      <c r="B842" t="s">
        <v>1085</v>
      </c>
      <c r="C842">
        <v>2.1545515273865599</v>
      </c>
      <c r="D842">
        <v>0</v>
      </c>
      <c r="E842">
        <v>6.5566097650621904E-3</v>
      </c>
      <c r="F842" t="str">
        <f>"26/26"</f>
        <v>26/26</v>
      </c>
      <c r="G842" s="10">
        <v>0.59079999999999999</v>
      </c>
    </row>
    <row r="843" spans="1:7" x14ac:dyDescent="0.2">
      <c r="A843" s="1" t="s">
        <v>147</v>
      </c>
      <c r="B843" t="s">
        <v>905</v>
      </c>
      <c r="C843">
        <v>2.1543632287591001</v>
      </c>
      <c r="D843">
        <v>0</v>
      </c>
      <c r="E843">
        <v>6.59800926810266E-3</v>
      </c>
      <c r="F843" t="str">
        <f>"121/129"</f>
        <v>121/129</v>
      </c>
      <c r="G843" s="10">
        <v>0.71279999999999999</v>
      </c>
    </row>
    <row r="844" spans="1:7" x14ac:dyDescent="0.2">
      <c r="A844" s="1" t="s">
        <v>147</v>
      </c>
      <c r="B844" t="s">
        <v>718</v>
      </c>
      <c r="C844">
        <v>2.1537835135574102</v>
      </c>
      <c r="D844">
        <v>0</v>
      </c>
      <c r="E844">
        <v>6.6391500242491399E-3</v>
      </c>
      <c r="F844" t="str">
        <f>"59/74"</f>
        <v>59/74</v>
      </c>
      <c r="G844" s="10">
        <v>0.54730000000000001</v>
      </c>
    </row>
    <row r="845" spans="1:7" x14ac:dyDescent="0.2">
      <c r="A845" s="1" t="s">
        <v>147</v>
      </c>
      <c r="B845" t="s">
        <v>1086</v>
      </c>
      <c r="C845">
        <v>2.15195808678935</v>
      </c>
      <c r="D845">
        <v>0</v>
      </c>
      <c r="E845">
        <v>6.6492508827950504E-3</v>
      </c>
      <c r="F845" t="str">
        <f>"76/102"</f>
        <v>76/102</v>
      </c>
      <c r="G845" s="10">
        <v>0.52439999999999998</v>
      </c>
    </row>
    <row r="846" spans="1:7" x14ac:dyDescent="0.2">
      <c r="A846" s="1" t="s">
        <v>147</v>
      </c>
      <c r="B846" t="s">
        <v>871</v>
      </c>
      <c r="C846">
        <v>2.1514903236688099</v>
      </c>
      <c r="D846">
        <v>0</v>
      </c>
      <c r="E846">
        <v>6.6286010353329497E-3</v>
      </c>
      <c r="F846" t="str">
        <f>"120/130"</f>
        <v>120/130</v>
      </c>
      <c r="G846" s="10">
        <v>0.69799999999999995</v>
      </c>
    </row>
    <row r="847" spans="1:7" x14ac:dyDescent="0.2">
      <c r="A847" s="1" t="s">
        <v>147</v>
      </c>
      <c r="B847" t="s">
        <v>848</v>
      </c>
      <c r="C847">
        <v>2.1499079073369498</v>
      </c>
      <c r="D847">
        <v>0</v>
      </c>
      <c r="E847">
        <v>6.7304508849757297E-3</v>
      </c>
      <c r="F847" t="str">
        <f>"17/38"</f>
        <v>17/38</v>
      </c>
      <c r="G847" s="10">
        <v>0.16239999999999999</v>
      </c>
    </row>
    <row r="848" spans="1:7" x14ac:dyDescent="0.2">
      <c r="A848" s="1" t="s">
        <v>147</v>
      </c>
      <c r="B848" t="s">
        <v>1087</v>
      </c>
      <c r="C848">
        <v>2.1490301561942</v>
      </c>
      <c r="D848">
        <v>0</v>
      </c>
      <c r="E848">
        <v>6.70967788841716E-3</v>
      </c>
      <c r="F848" t="str">
        <f>"34/41"</f>
        <v>34/41</v>
      </c>
      <c r="G848" s="10">
        <v>0.50109999999999999</v>
      </c>
    </row>
    <row r="849" spans="1:7" x14ac:dyDescent="0.2">
      <c r="A849" s="1" t="s">
        <v>147</v>
      </c>
      <c r="B849" t="s">
        <v>1088</v>
      </c>
      <c r="C849">
        <v>2.14443172435963</v>
      </c>
      <c r="D849">
        <v>0</v>
      </c>
      <c r="E849">
        <v>6.9626749735524403E-3</v>
      </c>
      <c r="F849" t="str">
        <f>"28/29"</f>
        <v>28/29</v>
      </c>
      <c r="G849" s="10">
        <v>0.59150000000000003</v>
      </c>
    </row>
    <row r="850" spans="1:7" x14ac:dyDescent="0.2">
      <c r="A850" s="1" t="s">
        <v>147</v>
      </c>
      <c r="B850" t="s">
        <v>1089</v>
      </c>
      <c r="C850">
        <v>2.1440548192236699</v>
      </c>
      <c r="D850">
        <v>0</v>
      </c>
      <c r="E850">
        <v>6.9716285031350602E-3</v>
      </c>
      <c r="F850" t="str">
        <f>"38/74"</f>
        <v>38/74</v>
      </c>
      <c r="G850" s="10">
        <v>0.3014</v>
      </c>
    </row>
    <row r="851" spans="1:7" x14ac:dyDescent="0.2">
      <c r="A851" s="1" t="s">
        <v>147</v>
      </c>
      <c r="B851" t="s">
        <v>1090</v>
      </c>
      <c r="C851">
        <v>2.1435255844325201</v>
      </c>
      <c r="D851">
        <v>0</v>
      </c>
      <c r="E851">
        <v>6.9503085382936697E-3</v>
      </c>
      <c r="F851" t="str">
        <f>"23/24"</f>
        <v>23/24</v>
      </c>
      <c r="G851" s="10">
        <v>0.54579999999999995</v>
      </c>
    </row>
    <row r="852" spans="1:7" x14ac:dyDescent="0.2">
      <c r="A852" s="1" t="s">
        <v>147</v>
      </c>
      <c r="B852" t="s">
        <v>742</v>
      </c>
      <c r="C852">
        <v>2.1426433896155599</v>
      </c>
      <c r="D852">
        <v>0</v>
      </c>
      <c r="E852">
        <v>6.9291185732378996E-3</v>
      </c>
      <c r="F852" t="str">
        <f>"77/78"</f>
        <v>77/78</v>
      </c>
      <c r="G852" s="10">
        <v>0.71</v>
      </c>
    </row>
    <row r="853" spans="1:7" x14ac:dyDescent="0.2">
      <c r="A853" s="1" t="s">
        <v>147</v>
      </c>
      <c r="B853" t="s">
        <v>1091</v>
      </c>
      <c r="C853">
        <v>2.1391342720364102</v>
      </c>
      <c r="D853">
        <v>0</v>
      </c>
      <c r="E853">
        <v>7.0582325839193497E-3</v>
      </c>
      <c r="F853" t="str">
        <f>"16/35"</f>
        <v>16/35</v>
      </c>
      <c r="G853" s="10">
        <v>0.2117</v>
      </c>
    </row>
    <row r="854" spans="1:7" x14ac:dyDescent="0.2">
      <c r="A854" s="1" t="s">
        <v>147</v>
      </c>
      <c r="B854" t="s">
        <v>1092</v>
      </c>
      <c r="C854">
        <v>2.13785616271492</v>
      </c>
      <c r="D854">
        <v>0</v>
      </c>
      <c r="E854">
        <v>7.0667880173544001E-3</v>
      </c>
      <c r="F854" t="str">
        <f>"17/17"</f>
        <v>17/17</v>
      </c>
      <c r="G854" s="10">
        <v>0.56289999999999996</v>
      </c>
    </row>
    <row r="855" spans="1:7" x14ac:dyDescent="0.2">
      <c r="A855" s="1" t="s">
        <v>147</v>
      </c>
      <c r="B855" t="s">
        <v>1093</v>
      </c>
      <c r="C855">
        <v>2.1357102647041999</v>
      </c>
      <c r="D855">
        <v>0</v>
      </c>
      <c r="E855">
        <v>7.1648524114709998E-3</v>
      </c>
      <c r="F855" t="str">
        <f>"114/126"</f>
        <v>114/126</v>
      </c>
      <c r="G855" s="10">
        <v>0.69830000000000003</v>
      </c>
    </row>
    <row r="856" spans="1:7" x14ac:dyDescent="0.2">
      <c r="A856" s="1" t="s">
        <v>147</v>
      </c>
      <c r="B856" t="s">
        <v>64</v>
      </c>
      <c r="C856">
        <v>2.1351519784116899</v>
      </c>
      <c r="D856">
        <v>0</v>
      </c>
      <c r="E856">
        <v>7.2027987934695E-3</v>
      </c>
      <c r="F856" t="str">
        <f>"67/153"</f>
        <v>67/153</v>
      </c>
      <c r="G856" s="10">
        <v>0.27750000000000002</v>
      </c>
    </row>
    <row r="857" spans="1:7" x14ac:dyDescent="0.2">
      <c r="A857" s="1" t="s">
        <v>147</v>
      </c>
      <c r="B857" t="s">
        <v>1094</v>
      </c>
      <c r="C857">
        <v>2.1350240812944099</v>
      </c>
      <c r="D857">
        <v>0</v>
      </c>
      <c r="E857">
        <v>7.1811687670626902E-3</v>
      </c>
      <c r="F857" t="str">
        <f>"43/49"</f>
        <v>43/49</v>
      </c>
      <c r="G857" s="10">
        <v>0.57820000000000005</v>
      </c>
    </row>
    <row r="858" spans="1:7" x14ac:dyDescent="0.2">
      <c r="A858" s="1" t="s">
        <v>147</v>
      </c>
      <c r="B858" t="s">
        <v>798</v>
      </c>
      <c r="C858">
        <v>2.13411975177846</v>
      </c>
      <c r="D858">
        <v>0</v>
      </c>
      <c r="E858">
        <v>7.1892536678124603E-3</v>
      </c>
      <c r="F858" t="str">
        <f>"49/141"</f>
        <v>49/141</v>
      </c>
      <c r="G858" s="10">
        <v>0.2016</v>
      </c>
    </row>
    <row r="859" spans="1:7" x14ac:dyDescent="0.2">
      <c r="A859" s="1" t="s">
        <v>147</v>
      </c>
      <c r="B859" t="s">
        <v>1095</v>
      </c>
      <c r="C859">
        <v>2.1332722847616199</v>
      </c>
      <c r="D859">
        <v>0</v>
      </c>
      <c r="E859">
        <v>7.2562844832890303E-3</v>
      </c>
      <c r="F859" t="str">
        <f>"14/16"</f>
        <v>14/16</v>
      </c>
      <c r="G859" s="10">
        <v>0.42599999999999999</v>
      </c>
    </row>
    <row r="860" spans="1:7" x14ac:dyDescent="0.2">
      <c r="A860" s="1" t="s">
        <v>147</v>
      </c>
      <c r="B860" t="s">
        <v>1096</v>
      </c>
      <c r="C860">
        <v>2.1304359019117598</v>
      </c>
      <c r="D860">
        <v>0</v>
      </c>
      <c r="E860">
        <v>7.2640977009503296E-3</v>
      </c>
      <c r="F860" t="str">
        <f>"34/43"</f>
        <v>34/43</v>
      </c>
      <c r="G860" s="10">
        <v>0.48930000000000001</v>
      </c>
    </row>
    <row r="861" spans="1:7" x14ac:dyDescent="0.2">
      <c r="A861" s="1" t="s">
        <v>147</v>
      </c>
      <c r="B861" t="s">
        <v>1097</v>
      </c>
      <c r="C861">
        <v>2.1298918154103799</v>
      </c>
      <c r="D861">
        <v>0</v>
      </c>
      <c r="E861">
        <v>7.2718645493673496E-3</v>
      </c>
      <c r="F861" t="str">
        <f>"73/91"</f>
        <v>73/91</v>
      </c>
      <c r="G861" s="10">
        <v>0.58150000000000002</v>
      </c>
    </row>
    <row r="862" spans="1:7" x14ac:dyDescent="0.2">
      <c r="A862" s="1" t="s">
        <v>147</v>
      </c>
      <c r="B862" t="s">
        <v>1098</v>
      </c>
      <c r="C862">
        <v>2.1243479185560399</v>
      </c>
      <c r="D862">
        <v>0</v>
      </c>
      <c r="E862">
        <v>7.51346770323723E-3</v>
      </c>
      <c r="F862" t="str">
        <f>"136/148"</f>
        <v>136/148</v>
      </c>
      <c r="G862" s="10">
        <v>0.70499999999999996</v>
      </c>
    </row>
    <row r="863" spans="1:7" x14ac:dyDescent="0.2">
      <c r="A863" s="1" t="s">
        <v>147</v>
      </c>
      <c r="B863" t="s">
        <v>693</v>
      </c>
      <c r="C863">
        <v>2.1243389381691902</v>
      </c>
      <c r="D863">
        <v>0</v>
      </c>
      <c r="E863">
        <v>7.4913040816937497E-3</v>
      </c>
      <c r="F863" t="str">
        <f>"26/34"</f>
        <v>26/34</v>
      </c>
      <c r="G863" s="10">
        <v>0.43719999999999998</v>
      </c>
    </row>
    <row r="864" spans="1:7" x14ac:dyDescent="0.2">
      <c r="A864" s="1" t="s">
        <v>147</v>
      </c>
      <c r="B864" t="s">
        <v>1099</v>
      </c>
      <c r="C864">
        <v>2.1234210048641402</v>
      </c>
      <c r="D864">
        <v>0</v>
      </c>
      <c r="E864">
        <v>7.4983341450343202E-3</v>
      </c>
      <c r="F864" t="str">
        <f>"33/72"</f>
        <v>33/72</v>
      </c>
      <c r="G864" s="10">
        <v>0.28149999999999997</v>
      </c>
    </row>
    <row r="865" spans="1:7" x14ac:dyDescent="0.2">
      <c r="A865" s="1" t="s">
        <v>147</v>
      </c>
      <c r="B865" t="s">
        <v>1100</v>
      </c>
      <c r="C865">
        <v>2.12058252538188</v>
      </c>
      <c r="D865">
        <v>0</v>
      </c>
      <c r="E865">
        <v>7.6502133812803297E-3</v>
      </c>
      <c r="F865" t="str">
        <f>"13/15"</f>
        <v>13/15</v>
      </c>
      <c r="G865" s="10">
        <v>0.37219999999999998</v>
      </c>
    </row>
    <row r="866" spans="1:7" x14ac:dyDescent="0.2">
      <c r="A866" s="1" t="s">
        <v>147</v>
      </c>
      <c r="B866" t="s">
        <v>1101</v>
      </c>
      <c r="C866">
        <v>2.1183153982098002</v>
      </c>
      <c r="D866">
        <v>0</v>
      </c>
      <c r="E866">
        <v>7.7145243855820302E-3</v>
      </c>
      <c r="F866" t="str">
        <f>"71/74"</f>
        <v>71/74</v>
      </c>
      <c r="G866" s="10">
        <v>0.70169999999999999</v>
      </c>
    </row>
    <row r="867" spans="1:7" x14ac:dyDescent="0.2">
      <c r="A867" s="1" t="s">
        <v>147</v>
      </c>
      <c r="B867" t="s">
        <v>1102</v>
      </c>
      <c r="C867">
        <v>2.1182934108836302</v>
      </c>
      <c r="D867">
        <v>0</v>
      </c>
      <c r="E867">
        <v>7.6920330608427198E-3</v>
      </c>
      <c r="F867" t="str">
        <f>"31/41"</f>
        <v>31/41</v>
      </c>
      <c r="G867" s="10">
        <v>0.46589999999999998</v>
      </c>
    </row>
    <row r="868" spans="1:7" x14ac:dyDescent="0.2">
      <c r="A868" s="1" t="s">
        <v>147</v>
      </c>
      <c r="B868" t="s">
        <v>1103</v>
      </c>
      <c r="C868">
        <v>2.1175322608571601</v>
      </c>
      <c r="D868">
        <v>0</v>
      </c>
      <c r="E868">
        <v>7.7271232299535699E-3</v>
      </c>
      <c r="F868" t="str">
        <f>"13/20"</f>
        <v>13/20</v>
      </c>
      <c r="G868" s="10">
        <v>0.29770000000000002</v>
      </c>
    </row>
    <row r="869" spans="1:7" x14ac:dyDescent="0.2">
      <c r="A869" s="1" t="s">
        <v>147</v>
      </c>
      <c r="B869" t="s">
        <v>789</v>
      </c>
      <c r="C869">
        <v>2.1139988387627699</v>
      </c>
      <c r="D869">
        <v>0</v>
      </c>
      <c r="E869">
        <v>8.1629994231415103E-3</v>
      </c>
      <c r="F869" t="str">
        <f>"44/48"</f>
        <v>44/48</v>
      </c>
      <c r="G869" s="10">
        <v>0.58679999999999999</v>
      </c>
    </row>
    <row r="870" spans="1:7" x14ac:dyDescent="0.2">
      <c r="A870" s="1" t="s">
        <v>147</v>
      </c>
      <c r="B870" t="s">
        <v>1104</v>
      </c>
      <c r="C870">
        <v>2.1124743100096102</v>
      </c>
      <c r="D870">
        <v>0</v>
      </c>
      <c r="E870">
        <v>8.3393221974168499E-3</v>
      </c>
      <c r="F870" t="str">
        <f>"10/15"</f>
        <v>10/15</v>
      </c>
      <c r="G870" s="10">
        <v>0.25779999999999997</v>
      </c>
    </row>
    <row r="871" spans="1:7" x14ac:dyDescent="0.2">
      <c r="A871" s="1" t="s">
        <v>147</v>
      </c>
      <c r="B871" t="s">
        <v>1105</v>
      </c>
      <c r="C871">
        <v>2.1124311636378699</v>
      </c>
      <c r="D871">
        <v>0</v>
      </c>
      <c r="E871">
        <v>8.3152895686058499E-3</v>
      </c>
      <c r="F871" t="str">
        <f>"46/61"</f>
        <v>46/61</v>
      </c>
      <c r="G871" s="10">
        <v>0.504</v>
      </c>
    </row>
    <row r="872" spans="1:7" x14ac:dyDescent="0.2">
      <c r="A872" s="1" t="s">
        <v>147</v>
      </c>
      <c r="B872" t="s">
        <v>1106</v>
      </c>
      <c r="C872">
        <v>2.1068681098725999</v>
      </c>
      <c r="D872">
        <v>0</v>
      </c>
      <c r="E872">
        <v>8.7457180752472004E-3</v>
      </c>
      <c r="F872" t="str">
        <f>"57/60"</f>
        <v>57/60</v>
      </c>
      <c r="G872" s="10">
        <v>0.66700000000000004</v>
      </c>
    </row>
    <row r="873" spans="1:7" x14ac:dyDescent="0.2">
      <c r="A873" s="1" t="s">
        <v>147</v>
      </c>
      <c r="B873" t="s">
        <v>1107</v>
      </c>
      <c r="C873">
        <v>2.1064996770903401</v>
      </c>
      <c r="D873">
        <v>0</v>
      </c>
      <c r="E873">
        <v>8.7489725381189407E-3</v>
      </c>
      <c r="F873" t="str">
        <f>"32/32"</f>
        <v>32/32</v>
      </c>
      <c r="G873" s="10">
        <v>0.65480000000000005</v>
      </c>
    </row>
    <row r="874" spans="1:7" x14ac:dyDescent="0.2">
      <c r="A874" s="1" t="s">
        <v>147</v>
      </c>
      <c r="B874" t="s">
        <v>1108</v>
      </c>
      <c r="C874">
        <v>2.1062037503623001</v>
      </c>
      <c r="D874">
        <v>0</v>
      </c>
      <c r="E874">
        <v>8.7239754737243203E-3</v>
      </c>
      <c r="F874" t="str">
        <f>"57/65"</f>
        <v>57/65</v>
      </c>
      <c r="G874" s="10">
        <v>0.59650000000000003</v>
      </c>
    </row>
    <row r="875" spans="1:7" x14ac:dyDescent="0.2">
      <c r="A875" s="1" t="s">
        <v>147</v>
      </c>
      <c r="B875" t="s">
        <v>1109</v>
      </c>
      <c r="C875">
        <v>2.10338762079911</v>
      </c>
      <c r="D875">
        <v>0</v>
      </c>
      <c r="E875">
        <v>9.0369507783856304E-3</v>
      </c>
      <c r="F875" t="str">
        <f>"42/114"</f>
        <v>42/114</v>
      </c>
      <c r="G875" s="10">
        <v>0.20979999999999999</v>
      </c>
    </row>
    <row r="876" spans="1:7" x14ac:dyDescent="0.2">
      <c r="A876" s="1" t="s">
        <v>147</v>
      </c>
      <c r="B876" t="s">
        <v>1110</v>
      </c>
      <c r="C876">
        <v>2.1026661248099701</v>
      </c>
      <c r="D876">
        <v>0</v>
      </c>
      <c r="E876">
        <v>9.0393501387239904E-3</v>
      </c>
      <c r="F876" t="str">
        <f>"60/78"</f>
        <v>60/78</v>
      </c>
      <c r="G876" s="10">
        <v>0.52380000000000004</v>
      </c>
    </row>
    <row r="877" spans="1:7" x14ac:dyDescent="0.2">
      <c r="A877" s="1" t="s">
        <v>147</v>
      </c>
      <c r="B877" t="s">
        <v>1111</v>
      </c>
      <c r="C877">
        <v>2.1008324350872698</v>
      </c>
      <c r="D877">
        <v>0</v>
      </c>
      <c r="E877">
        <v>9.0977218857884005E-3</v>
      </c>
      <c r="F877" t="str">
        <f>"16/18"</f>
        <v>16/18</v>
      </c>
      <c r="G877" s="10">
        <v>0.45200000000000001</v>
      </c>
    </row>
    <row r="878" spans="1:7" x14ac:dyDescent="0.2">
      <c r="A878" s="1" t="s">
        <v>147</v>
      </c>
      <c r="B878" t="s">
        <v>673</v>
      </c>
      <c r="C878">
        <v>2.0995072756289699</v>
      </c>
      <c r="D878">
        <v>0</v>
      </c>
      <c r="E878">
        <v>9.1557638489710904E-3</v>
      </c>
      <c r="F878" t="str">
        <f>"107/149"</f>
        <v>107/149</v>
      </c>
      <c r="G878" s="10">
        <v>0.53139999999999998</v>
      </c>
    </row>
    <row r="879" spans="1:7" x14ac:dyDescent="0.2">
      <c r="A879" s="1" t="s">
        <v>147</v>
      </c>
      <c r="B879" t="s">
        <v>1112</v>
      </c>
      <c r="C879">
        <v>2.09638415315472</v>
      </c>
      <c r="D879">
        <v>0</v>
      </c>
      <c r="E879">
        <v>9.3248199488962704E-3</v>
      </c>
      <c r="F879" t="str">
        <f>"37/39"</f>
        <v>37/39</v>
      </c>
      <c r="G879" s="10">
        <v>0.62119999999999997</v>
      </c>
    </row>
    <row r="880" spans="1:7" x14ac:dyDescent="0.2">
      <c r="A880" s="1" t="s">
        <v>147</v>
      </c>
      <c r="B880" t="s">
        <v>1113</v>
      </c>
      <c r="C880">
        <v>2.09565657960276</v>
      </c>
      <c r="D880">
        <v>0</v>
      </c>
      <c r="E880">
        <v>9.3263837288642196E-3</v>
      </c>
      <c r="F880" t="str">
        <f>"26/27"</f>
        <v>26/27</v>
      </c>
      <c r="G880" s="10">
        <v>0.59150000000000003</v>
      </c>
    </row>
    <row r="881" spans="1:7" x14ac:dyDescent="0.2">
      <c r="A881" s="1" t="s">
        <v>147</v>
      </c>
      <c r="B881" t="s">
        <v>1114</v>
      </c>
      <c r="C881">
        <v>2.0956545877815902</v>
      </c>
      <c r="D881">
        <v>0</v>
      </c>
      <c r="E881">
        <v>9.3002594046937299E-3</v>
      </c>
      <c r="F881" t="str">
        <f>"16/17"</f>
        <v>16/17</v>
      </c>
      <c r="G881" s="10">
        <v>0.45069999999999999</v>
      </c>
    </row>
    <row r="882" spans="1:7" x14ac:dyDescent="0.2">
      <c r="A882" s="1" t="s">
        <v>147</v>
      </c>
      <c r="B882" t="s">
        <v>1115</v>
      </c>
      <c r="C882">
        <v>2.09453626896673</v>
      </c>
      <c r="D882">
        <v>0</v>
      </c>
      <c r="E882">
        <v>9.3018830533328194E-3</v>
      </c>
      <c r="F882" t="str">
        <f>"17/24"</f>
        <v>17/24</v>
      </c>
      <c r="G882" s="10">
        <v>0.3705</v>
      </c>
    </row>
    <row r="883" spans="1:7" x14ac:dyDescent="0.2">
      <c r="A883" s="1" t="s">
        <v>147</v>
      </c>
      <c r="B883" t="s">
        <v>894</v>
      </c>
      <c r="C883">
        <v>2.09446125639698</v>
      </c>
      <c r="D883">
        <v>1.1111111111111099E-2</v>
      </c>
      <c r="E883">
        <v>9.2759725155797997E-3</v>
      </c>
      <c r="F883" t="str">
        <f>"36/80"</f>
        <v>36/80</v>
      </c>
      <c r="G883" s="10">
        <v>0.25659999999999999</v>
      </c>
    </row>
    <row r="884" spans="1:7" x14ac:dyDescent="0.2">
      <c r="A884" s="1" t="s">
        <v>147</v>
      </c>
      <c r="B884" t="s">
        <v>286</v>
      </c>
      <c r="C884">
        <v>2.0941584620042701</v>
      </c>
      <c r="D884">
        <v>0</v>
      </c>
      <c r="E884">
        <v>9.3874493366127403E-3</v>
      </c>
      <c r="F884" t="str">
        <f>"44/48"</f>
        <v>44/48</v>
      </c>
      <c r="G884" s="10">
        <v>0.60170000000000001</v>
      </c>
    </row>
    <row r="885" spans="1:7" x14ac:dyDescent="0.2">
      <c r="A885" s="1" t="s">
        <v>147</v>
      </c>
      <c r="B885" t="s">
        <v>725</v>
      </c>
      <c r="C885">
        <v>2.0916917169839802</v>
      </c>
      <c r="D885">
        <v>0</v>
      </c>
      <c r="E885">
        <v>9.6351717932284097E-3</v>
      </c>
      <c r="F885" t="str">
        <f>"23/43"</f>
        <v>23/43</v>
      </c>
      <c r="G885" s="10">
        <v>0.27510000000000001</v>
      </c>
    </row>
    <row r="886" spans="1:7" x14ac:dyDescent="0.2">
      <c r="A886" s="1" t="s">
        <v>147</v>
      </c>
      <c r="B886" t="s">
        <v>823</v>
      </c>
      <c r="C886">
        <v>2.0909190924735799</v>
      </c>
      <c r="D886">
        <v>0</v>
      </c>
      <c r="E886">
        <v>9.6904463928395492E-3</v>
      </c>
      <c r="F886" t="str">
        <f>"36/76"</f>
        <v>36/76</v>
      </c>
      <c r="G886" s="10">
        <v>0.28739999999999999</v>
      </c>
    </row>
    <row r="887" spans="1:7" x14ac:dyDescent="0.2">
      <c r="A887" s="1" t="s">
        <v>147</v>
      </c>
      <c r="B887" t="s">
        <v>1116</v>
      </c>
      <c r="C887">
        <v>2.0906445486403298</v>
      </c>
      <c r="D887">
        <v>0</v>
      </c>
      <c r="E887">
        <v>9.6637509482311798E-3</v>
      </c>
      <c r="F887" t="str">
        <f>"11/20"</f>
        <v>11/20</v>
      </c>
      <c r="G887" s="10">
        <v>0.2177</v>
      </c>
    </row>
    <row r="888" spans="1:7" x14ac:dyDescent="0.2">
      <c r="A888" s="1" t="s">
        <v>147</v>
      </c>
      <c r="B888" t="s">
        <v>872</v>
      </c>
      <c r="C888">
        <v>2.0888444301055298</v>
      </c>
      <c r="D888">
        <v>0</v>
      </c>
      <c r="E888">
        <v>9.8272315206877105E-3</v>
      </c>
      <c r="F888" t="str">
        <f>"68/79"</f>
        <v>68/79</v>
      </c>
      <c r="G888" s="10">
        <v>0.62490000000000001</v>
      </c>
    </row>
    <row r="889" spans="1:7" x14ac:dyDescent="0.2">
      <c r="A889" s="1" t="s">
        <v>123</v>
      </c>
      <c r="B889" t="s">
        <v>554</v>
      </c>
      <c r="C889">
        <v>-5.9663579940583702</v>
      </c>
      <c r="D889">
        <v>0</v>
      </c>
      <c r="E889">
        <v>0</v>
      </c>
      <c r="F889" t="str">
        <f>"187/212"</f>
        <v>187/212</v>
      </c>
      <c r="G889" s="10">
        <v>0.65690000000000004</v>
      </c>
    </row>
    <row r="890" spans="1:7" x14ac:dyDescent="0.2">
      <c r="A890" s="1" t="s">
        <v>123</v>
      </c>
      <c r="B890" t="s">
        <v>623</v>
      </c>
      <c r="C890">
        <v>-4.2556444578923003</v>
      </c>
      <c r="D890">
        <v>0</v>
      </c>
      <c r="E890">
        <v>0</v>
      </c>
      <c r="F890" t="str">
        <f>"85/90"</f>
        <v>85/90</v>
      </c>
      <c r="G890" s="10">
        <v>0.67500000000000004</v>
      </c>
    </row>
    <row r="891" spans="1:7" x14ac:dyDescent="0.2">
      <c r="A891" s="1" t="s">
        <v>123</v>
      </c>
      <c r="B891" t="s">
        <v>550</v>
      </c>
      <c r="C891">
        <v>-4.0433543480607801</v>
      </c>
      <c r="D891">
        <v>0</v>
      </c>
      <c r="E891">
        <v>0</v>
      </c>
      <c r="F891" t="str">
        <f>"97/104"</f>
        <v>97/104</v>
      </c>
      <c r="G891" s="10">
        <v>0.6673</v>
      </c>
    </row>
    <row r="892" spans="1:7" x14ac:dyDescent="0.2">
      <c r="A892" s="1" t="s">
        <v>123</v>
      </c>
      <c r="B892" t="s">
        <v>585</v>
      </c>
      <c r="C892">
        <v>-3.4745299083892802</v>
      </c>
      <c r="D892">
        <v>0</v>
      </c>
      <c r="E892">
        <v>0</v>
      </c>
      <c r="F892" t="str">
        <f>"94/103"</f>
        <v>94/103</v>
      </c>
      <c r="G892" s="10">
        <v>0.6673</v>
      </c>
    </row>
    <row r="893" spans="1:7" x14ac:dyDescent="0.2">
      <c r="A893" s="1" t="s">
        <v>123</v>
      </c>
      <c r="B893" t="s">
        <v>551</v>
      </c>
      <c r="C893">
        <v>-3.3996297101647901</v>
      </c>
      <c r="D893">
        <v>0</v>
      </c>
      <c r="E893">
        <v>0</v>
      </c>
      <c r="F893" t="str">
        <f>"81/88"</f>
        <v>81/88</v>
      </c>
      <c r="G893" s="10">
        <v>0.6673</v>
      </c>
    </row>
    <row r="894" spans="1:7" x14ac:dyDescent="0.2">
      <c r="A894" s="1" t="s">
        <v>123</v>
      </c>
      <c r="B894" t="s">
        <v>545</v>
      </c>
      <c r="C894">
        <v>-3.2882298853190499</v>
      </c>
      <c r="D894">
        <v>0</v>
      </c>
      <c r="E894">
        <v>0</v>
      </c>
      <c r="F894" t="str">
        <f>"88/94"</f>
        <v>88/94</v>
      </c>
      <c r="G894" s="10">
        <v>0.6673</v>
      </c>
    </row>
    <row r="895" spans="1:7" x14ac:dyDescent="0.2">
      <c r="A895" s="1" t="s">
        <v>123</v>
      </c>
      <c r="B895" t="s">
        <v>552</v>
      </c>
      <c r="C895">
        <v>-3.1761518638986401</v>
      </c>
      <c r="D895">
        <v>0</v>
      </c>
      <c r="E895">
        <v>0</v>
      </c>
      <c r="F895" t="str">
        <f>"82/88"</f>
        <v>82/88</v>
      </c>
      <c r="G895" s="10">
        <v>0.6673</v>
      </c>
    </row>
    <row r="896" spans="1:7" x14ac:dyDescent="0.2">
      <c r="A896" s="1" t="s">
        <v>123</v>
      </c>
      <c r="B896" t="s">
        <v>1117</v>
      </c>
      <c r="C896">
        <v>-3.08700599077777</v>
      </c>
      <c r="D896">
        <v>0</v>
      </c>
      <c r="E896">
        <v>0</v>
      </c>
      <c r="F896" t="str">
        <f>"49/49"</f>
        <v>49/49</v>
      </c>
      <c r="G896" s="10">
        <v>0.68210000000000004</v>
      </c>
    </row>
    <row r="897" spans="1:7" x14ac:dyDescent="0.2">
      <c r="A897" s="1" t="s">
        <v>123</v>
      </c>
      <c r="B897" t="s">
        <v>1118</v>
      </c>
      <c r="C897">
        <v>-2.7135583771292602</v>
      </c>
      <c r="D897">
        <v>0</v>
      </c>
      <c r="E897">
        <v>0</v>
      </c>
      <c r="F897" t="str">
        <f>"60/62"</f>
        <v>60/62</v>
      </c>
      <c r="G897" s="10">
        <v>0.74109999999999998</v>
      </c>
    </row>
    <row r="898" spans="1:7" x14ac:dyDescent="0.2">
      <c r="A898" s="1" t="s">
        <v>123</v>
      </c>
      <c r="B898" t="s">
        <v>929</v>
      </c>
      <c r="C898">
        <v>-2.6605047986286499</v>
      </c>
      <c r="D898">
        <v>0</v>
      </c>
      <c r="E898">
        <v>1.3206465665482E-3</v>
      </c>
      <c r="F898" t="str">
        <f>"14/19"</f>
        <v>14/19</v>
      </c>
      <c r="G898" s="10">
        <v>0.12989999999999999</v>
      </c>
    </row>
    <row r="899" spans="1:7" x14ac:dyDescent="0.2">
      <c r="A899" s="1" t="s">
        <v>123</v>
      </c>
      <c r="B899" t="s">
        <v>862</v>
      </c>
      <c r="C899">
        <v>-2.6247014084661</v>
      </c>
      <c r="D899">
        <v>0</v>
      </c>
      <c r="E899">
        <v>2.40117557554219E-3</v>
      </c>
      <c r="F899" t="str">
        <f>"67/70"</f>
        <v>67/70</v>
      </c>
      <c r="G899" s="10">
        <v>0.67259999999999998</v>
      </c>
    </row>
    <row r="900" spans="1:7" x14ac:dyDescent="0.2">
      <c r="A900" s="1" t="s">
        <v>123</v>
      </c>
      <c r="B900" t="s">
        <v>553</v>
      </c>
      <c r="C900">
        <v>-2.5812668424682101</v>
      </c>
      <c r="D900">
        <v>0</v>
      </c>
      <c r="E900">
        <v>3.30161641637051E-3</v>
      </c>
      <c r="F900" t="str">
        <f>"21/36"</f>
        <v>21/36</v>
      </c>
      <c r="G900" s="10">
        <v>0.2392</v>
      </c>
    </row>
    <row r="901" spans="1:7" x14ac:dyDescent="0.2">
      <c r="A901" s="1" t="s">
        <v>123</v>
      </c>
      <c r="B901" t="s">
        <v>1119</v>
      </c>
      <c r="C901">
        <v>-2.5579066091251699</v>
      </c>
      <c r="D901">
        <v>0</v>
      </c>
      <c r="E901">
        <v>3.04764592280355E-3</v>
      </c>
      <c r="F901" t="str">
        <f>"36/38"</f>
        <v>36/38</v>
      </c>
      <c r="G901" s="10">
        <v>0.6835</v>
      </c>
    </row>
    <row r="902" spans="1:7" x14ac:dyDescent="0.2">
      <c r="A902" s="1" t="s">
        <v>123</v>
      </c>
      <c r="B902" t="s">
        <v>1120</v>
      </c>
      <c r="C902">
        <v>-2.5390587672082598</v>
      </c>
      <c r="D902">
        <v>0</v>
      </c>
      <c r="E902">
        <v>3.7732759044234402E-3</v>
      </c>
      <c r="F902" t="str">
        <f>"16/19"</f>
        <v>16/19</v>
      </c>
      <c r="G902" s="10">
        <v>0.37209999999999999</v>
      </c>
    </row>
    <row r="903" spans="1:7" x14ac:dyDescent="0.2">
      <c r="A903" s="1" t="s">
        <v>123</v>
      </c>
      <c r="B903" t="s">
        <v>878</v>
      </c>
      <c r="C903">
        <v>-2.5025944278321401</v>
      </c>
      <c r="D903">
        <v>0</v>
      </c>
      <c r="E903">
        <v>4.4021552218273504E-3</v>
      </c>
      <c r="F903" t="str">
        <f>"67/71"</f>
        <v>67/71</v>
      </c>
      <c r="G903" s="10">
        <v>0.67259999999999998</v>
      </c>
    </row>
    <row r="904" spans="1:7" x14ac:dyDescent="0.2">
      <c r="A904" s="1" t="s">
        <v>123</v>
      </c>
      <c r="B904" t="s">
        <v>802</v>
      </c>
      <c r="C904">
        <v>-2.4816325936849002</v>
      </c>
      <c r="D904">
        <v>0</v>
      </c>
      <c r="E904">
        <v>5.7778287286483999E-3</v>
      </c>
      <c r="F904" t="str">
        <f>"55/57"</f>
        <v>55/57</v>
      </c>
      <c r="G904" s="10">
        <v>0.68359999999999999</v>
      </c>
    </row>
    <row r="905" spans="1:7" x14ac:dyDescent="0.2">
      <c r="A905" s="1" t="s">
        <v>123</v>
      </c>
      <c r="B905" t="s">
        <v>1121</v>
      </c>
      <c r="C905">
        <v>-2.4673133835977898</v>
      </c>
      <c r="D905">
        <v>0</v>
      </c>
      <c r="E905">
        <v>5.4379564504926101E-3</v>
      </c>
      <c r="F905" t="str">
        <f>"32/32"</f>
        <v>32/32</v>
      </c>
      <c r="G905" s="10">
        <v>0.68030000000000002</v>
      </c>
    </row>
    <row r="906" spans="1:7" x14ac:dyDescent="0.2">
      <c r="A906" s="1" t="s">
        <v>123</v>
      </c>
      <c r="B906" t="s">
        <v>655</v>
      </c>
      <c r="C906">
        <v>-2.4396536977710599</v>
      </c>
      <c r="D906">
        <v>0</v>
      </c>
      <c r="E906">
        <v>5.1358477587985698E-3</v>
      </c>
      <c r="F906" t="str">
        <f>"26/43"</f>
        <v>26/43</v>
      </c>
      <c r="G906" s="10">
        <v>0.27929999999999999</v>
      </c>
    </row>
    <row r="907" spans="1:7" x14ac:dyDescent="0.2">
      <c r="A907" s="1" t="s">
        <v>123</v>
      </c>
      <c r="B907" t="s">
        <v>1122</v>
      </c>
      <c r="C907">
        <v>-2.43684735229591</v>
      </c>
      <c r="D907">
        <v>0</v>
      </c>
      <c r="E907">
        <v>4.8655399820197003E-3</v>
      </c>
      <c r="F907" t="str">
        <f>"23/30"</f>
        <v>23/30</v>
      </c>
      <c r="G907" s="10">
        <v>0.35489999999999999</v>
      </c>
    </row>
    <row r="908" spans="1:7" x14ac:dyDescent="0.2">
      <c r="A908" s="1" t="s">
        <v>123</v>
      </c>
      <c r="B908" t="s">
        <v>1123</v>
      </c>
      <c r="C908">
        <v>-2.3886055325434001</v>
      </c>
      <c r="D908">
        <v>0</v>
      </c>
      <c r="E908">
        <v>6.6032328327410199E-3</v>
      </c>
      <c r="F908" t="str">
        <f>"40/44"</f>
        <v>40/44</v>
      </c>
      <c r="G908" s="10">
        <v>0.67030000000000001</v>
      </c>
    </row>
    <row r="909" spans="1:7" x14ac:dyDescent="0.2">
      <c r="A909" s="1" t="s">
        <v>124</v>
      </c>
      <c r="B909" t="s">
        <v>642</v>
      </c>
      <c r="C909">
        <v>-6.29657640124623</v>
      </c>
      <c r="D909">
        <v>0</v>
      </c>
      <c r="E909">
        <v>0</v>
      </c>
      <c r="F909" t="str">
        <f>"82/90"</f>
        <v>82/90</v>
      </c>
      <c r="G909" s="10">
        <v>0.52090000000000003</v>
      </c>
    </row>
    <row r="910" spans="1:7" x14ac:dyDescent="0.2">
      <c r="A910" s="1" t="s">
        <v>124</v>
      </c>
      <c r="B910" t="s">
        <v>593</v>
      </c>
      <c r="C910">
        <v>-6.0002946585541199</v>
      </c>
      <c r="D910">
        <v>0</v>
      </c>
      <c r="E910">
        <v>0</v>
      </c>
      <c r="F910" t="str">
        <f>"86/93"</f>
        <v>86/93</v>
      </c>
      <c r="G910" s="10">
        <v>0.52539999999999998</v>
      </c>
    </row>
    <row r="911" spans="1:7" x14ac:dyDescent="0.2">
      <c r="A911" s="1" t="s">
        <v>124</v>
      </c>
      <c r="B911" t="s">
        <v>676</v>
      </c>
      <c r="C911">
        <v>-4.8063696786495997</v>
      </c>
      <c r="D911">
        <v>0</v>
      </c>
      <c r="E911">
        <v>0</v>
      </c>
      <c r="F911" t="str">
        <f>"88/101"</f>
        <v>88/101</v>
      </c>
      <c r="G911" s="10">
        <v>0.52090000000000003</v>
      </c>
    </row>
    <row r="912" spans="1:7" x14ac:dyDescent="0.2">
      <c r="A912" s="1" t="s">
        <v>124</v>
      </c>
      <c r="B912" t="s">
        <v>694</v>
      </c>
      <c r="C912">
        <v>-4.6488787033183696</v>
      </c>
      <c r="D912">
        <v>0</v>
      </c>
      <c r="E912">
        <v>0</v>
      </c>
      <c r="F912" t="str">
        <f>"83/93"</f>
        <v>83/93</v>
      </c>
      <c r="G912" s="10">
        <v>0.52090000000000003</v>
      </c>
    </row>
    <row r="913" spans="1:7" x14ac:dyDescent="0.2">
      <c r="A913" s="1" t="s">
        <v>124</v>
      </c>
      <c r="B913" t="s">
        <v>697</v>
      </c>
      <c r="C913">
        <v>-4.2826703491095097</v>
      </c>
      <c r="D913">
        <v>0</v>
      </c>
      <c r="E913">
        <v>0</v>
      </c>
      <c r="F913" t="str">
        <f>"97/111"</f>
        <v>97/111</v>
      </c>
      <c r="G913" s="10">
        <v>0.52929999999999999</v>
      </c>
    </row>
    <row r="914" spans="1:7" x14ac:dyDescent="0.2">
      <c r="A914" s="1" t="s">
        <v>124</v>
      </c>
      <c r="B914" t="s">
        <v>514</v>
      </c>
      <c r="C914">
        <v>-3.6370437533751301</v>
      </c>
      <c r="D914">
        <v>0</v>
      </c>
      <c r="E914">
        <v>0</v>
      </c>
      <c r="F914" t="str">
        <f>"134/205"</f>
        <v>134/205</v>
      </c>
      <c r="G914" s="10">
        <v>0.433</v>
      </c>
    </row>
    <row r="915" spans="1:7" x14ac:dyDescent="0.2">
      <c r="A915" s="1" t="s">
        <v>124</v>
      </c>
      <c r="B915" t="s">
        <v>535</v>
      </c>
      <c r="C915">
        <v>3.5815909169498301</v>
      </c>
      <c r="D915">
        <v>0</v>
      </c>
      <c r="E915">
        <v>0</v>
      </c>
      <c r="F915" t="str">
        <f>"95/126"</f>
        <v>95/126</v>
      </c>
      <c r="G915" s="10">
        <v>0.41149999999999998</v>
      </c>
    </row>
    <row r="916" spans="1:7" x14ac:dyDescent="0.2">
      <c r="A916" s="1" t="s">
        <v>124</v>
      </c>
      <c r="B916" t="s">
        <v>639</v>
      </c>
      <c r="C916">
        <v>-3.5750498005062901</v>
      </c>
      <c r="D916">
        <v>0</v>
      </c>
      <c r="E916">
        <v>0</v>
      </c>
      <c r="F916" t="str">
        <f>"127/164"</f>
        <v>127/164</v>
      </c>
      <c r="G916" s="10">
        <v>0.53210000000000002</v>
      </c>
    </row>
    <row r="917" spans="1:7" x14ac:dyDescent="0.2">
      <c r="A917" s="1" t="s">
        <v>124</v>
      </c>
      <c r="B917" t="s">
        <v>580</v>
      </c>
      <c r="C917">
        <v>3.53788062830181</v>
      </c>
      <c r="D917">
        <v>0</v>
      </c>
      <c r="E917">
        <v>0</v>
      </c>
      <c r="F917" t="str">
        <f>"63/195"</f>
        <v>63/195</v>
      </c>
      <c r="G917" s="10">
        <v>0.1275</v>
      </c>
    </row>
    <row r="918" spans="1:7" x14ac:dyDescent="0.2">
      <c r="A918" s="1" t="s">
        <v>124</v>
      </c>
      <c r="B918" t="s">
        <v>518</v>
      </c>
      <c r="C918">
        <v>3.22370389239151</v>
      </c>
      <c r="D918">
        <v>0</v>
      </c>
      <c r="E918">
        <v>0</v>
      </c>
      <c r="F918" t="str">
        <f>"258/289"</f>
        <v>258/289</v>
      </c>
      <c r="G918" s="10">
        <v>0.64200000000000002</v>
      </c>
    </row>
    <row r="919" spans="1:7" x14ac:dyDescent="0.2">
      <c r="A919" s="1" t="s">
        <v>124</v>
      </c>
      <c r="B919" t="s">
        <v>652</v>
      </c>
      <c r="C919">
        <v>3.1951144825932398</v>
      </c>
      <c r="D919">
        <v>0</v>
      </c>
      <c r="E919">
        <v>0</v>
      </c>
      <c r="F919" t="str">
        <f>"85/247"</f>
        <v>85/247</v>
      </c>
      <c r="G919" s="10">
        <v>0.18329999999999999</v>
      </c>
    </row>
    <row r="920" spans="1:7" x14ac:dyDescent="0.2">
      <c r="A920" s="1" t="s">
        <v>124</v>
      </c>
      <c r="B920" t="s">
        <v>515</v>
      </c>
      <c r="C920">
        <v>-3.1680019982971701</v>
      </c>
      <c r="D920">
        <v>0</v>
      </c>
      <c r="E920">
        <v>0</v>
      </c>
      <c r="F920" t="str">
        <f>"134/205"</f>
        <v>134/205</v>
      </c>
      <c r="G920" s="10">
        <v>0.433</v>
      </c>
    </row>
    <row r="921" spans="1:7" x14ac:dyDescent="0.2">
      <c r="A921" s="1" t="s">
        <v>124</v>
      </c>
      <c r="B921" t="s">
        <v>523</v>
      </c>
      <c r="C921">
        <v>3.1368770853975598</v>
      </c>
      <c r="D921">
        <v>0</v>
      </c>
      <c r="E921">
        <v>0</v>
      </c>
      <c r="F921" t="str">
        <f>"226/243"</f>
        <v>226/243</v>
      </c>
      <c r="G921" s="10">
        <v>0.66859999999999997</v>
      </c>
    </row>
    <row r="922" spans="1:7" x14ac:dyDescent="0.2">
      <c r="A922" s="1" t="s">
        <v>124</v>
      </c>
      <c r="B922" t="s">
        <v>609</v>
      </c>
      <c r="C922">
        <v>3.1054035861235199</v>
      </c>
      <c r="D922">
        <v>0</v>
      </c>
      <c r="E922">
        <v>0</v>
      </c>
      <c r="F922" t="str">
        <f>"52/62"</f>
        <v>52/62</v>
      </c>
      <c r="G922" s="10">
        <v>0.4657</v>
      </c>
    </row>
    <row r="923" spans="1:7" x14ac:dyDescent="0.2">
      <c r="A923" s="1" t="s">
        <v>124</v>
      </c>
      <c r="B923" t="s">
        <v>579</v>
      </c>
      <c r="C923">
        <v>3.04644623550689</v>
      </c>
      <c r="D923">
        <v>0</v>
      </c>
      <c r="E923">
        <v>0</v>
      </c>
      <c r="F923" t="str">
        <f>"33/52"</f>
        <v>33/52</v>
      </c>
      <c r="G923" s="10">
        <v>0.24529999999999999</v>
      </c>
    </row>
    <row r="924" spans="1:7" x14ac:dyDescent="0.2">
      <c r="A924" s="1" t="s">
        <v>124</v>
      </c>
      <c r="B924" t="s">
        <v>760</v>
      </c>
      <c r="C924">
        <v>3.02782738013574</v>
      </c>
      <c r="D924">
        <v>0</v>
      </c>
      <c r="E924">
        <v>0</v>
      </c>
      <c r="F924" t="str">
        <f>"30/38"</f>
        <v>30/38</v>
      </c>
      <c r="G924" s="10">
        <v>0.33260000000000001</v>
      </c>
    </row>
    <row r="925" spans="1:7" x14ac:dyDescent="0.2">
      <c r="A925" s="1" t="s">
        <v>124</v>
      </c>
      <c r="B925" t="s">
        <v>517</v>
      </c>
      <c r="C925">
        <v>3.00845640748464</v>
      </c>
      <c r="D925">
        <v>0</v>
      </c>
      <c r="E925">
        <v>0</v>
      </c>
      <c r="F925" t="str">
        <f>"247/266"</f>
        <v>247/266</v>
      </c>
      <c r="G925" s="10">
        <v>0.68410000000000004</v>
      </c>
    </row>
    <row r="926" spans="1:7" x14ac:dyDescent="0.2">
      <c r="A926" s="1" t="s">
        <v>124</v>
      </c>
      <c r="B926" t="s">
        <v>1124</v>
      </c>
      <c r="C926">
        <v>2.9998758255318299</v>
      </c>
      <c r="D926">
        <v>0</v>
      </c>
      <c r="E926">
        <v>0</v>
      </c>
      <c r="F926" t="str">
        <f>"16/30"</f>
        <v>16/30</v>
      </c>
      <c r="G926" s="10">
        <v>0.10780000000000001</v>
      </c>
    </row>
    <row r="927" spans="1:7" x14ac:dyDescent="0.2">
      <c r="A927" s="1" t="s">
        <v>124</v>
      </c>
      <c r="B927" t="s">
        <v>546</v>
      </c>
      <c r="C927">
        <v>2.99986921142176</v>
      </c>
      <c r="D927">
        <v>0</v>
      </c>
      <c r="E927">
        <v>0</v>
      </c>
      <c r="F927" t="str">
        <f>"152/181"</f>
        <v>152/181</v>
      </c>
      <c r="G927" s="10">
        <v>0.58850000000000002</v>
      </c>
    </row>
    <row r="928" spans="1:7" x14ac:dyDescent="0.2">
      <c r="A928" s="1" t="s">
        <v>124</v>
      </c>
      <c r="B928" t="s">
        <v>934</v>
      </c>
      <c r="C928">
        <v>2.9705087408458399</v>
      </c>
      <c r="D928">
        <v>0</v>
      </c>
      <c r="E928">
        <v>7.3066502365774799E-4</v>
      </c>
      <c r="F928" t="str">
        <f>"19/50"</f>
        <v>19/50</v>
      </c>
      <c r="G928" s="10">
        <v>9.8100000000000007E-2</v>
      </c>
    </row>
    <row r="929" spans="1:7" x14ac:dyDescent="0.2">
      <c r="A929" s="1" t="s">
        <v>124</v>
      </c>
      <c r="B929" t="s">
        <v>721</v>
      </c>
      <c r="C929">
        <v>-2.9417042268499598</v>
      </c>
      <c r="D929">
        <v>0</v>
      </c>
      <c r="E929">
        <v>0</v>
      </c>
      <c r="F929" t="str">
        <f>"106/147"</f>
        <v>106/147</v>
      </c>
      <c r="G929" s="10">
        <v>0.52090000000000003</v>
      </c>
    </row>
    <row r="930" spans="1:7" x14ac:dyDescent="0.2">
      <c r="A930" s="1" t="s">
        <v>124</v>
      </c>
      <c r="B930" t="s">
        <v>587</v>
      </c>
      <c r="C930">
        <v>2.9383416769912198</v>
      </c>
      <c r="D930">
        <v>0</v>
      </c>
      <c r="E930">
        <v>6.74460021837921E-4</v>
      </c>
      <c r="F930" t="str">
        <f>"118/143"</f>
        <v>118/143</v>
      </c>
      <c r="G930" s="10">
        <v>0.57289999999999996</v>
      </c>
    </row>
    <row r="931" spans="1:7" x14ac:dyDescent="0.2">
      <c r="A931" s="1" t="s">
        <v>124</v>
      </c>
      <c r="B931" t="s">
        <v>576</v>
      </c>
      <c r="C931">
        <v>2.93473082092228</v>
      </c>
      <c r="D931">
        <v>0</v>
      </c>
      <c r="E931">
        <v>6.2628430599235597E-4</v>
      </c>
      <c r="F931" t="str">
        <f>"82/120"</f>
        <v>82/120</v>
      </c>
      <c r="G931" s="10">
        <v>0.39460000000000001</v>
      </c>
    </row>
    <row r="932" spans="1:7" x14ac:dyDescent="0.2">
      <c r="A932" s="1" t="s">
        <v>124</v>
      </c>
      <c r="B932" t="s">
        <v>1125</v>
      </c>
      <c r="C932">
        <v>-2.9344026254313902</v>
      </c>
      <c r="D932">
        <v>0</v>
      </c>
      <c r="E932">
        <v>0</v>
      </c>
      <c r="F932" t="str">
        <f>"26/32"</f>
        <v>26/32</v>
      </c>
      <c r="G932" s="10">
        <v>0.4</v>
      </c>
    </row>
    <row r="933" spans="1:7" x14ac:dyDescent="0.2">
      <c r="A933" s="1" t="s">
        <v>124</v>
      </c>
      <c r="B933" t="s">
        <v>555</v>
      </c>
      <c r="C933">
        <v>2.9321178960158698</v>
      </c>
      <c r="D933">
        <v>0</v>
      </c>
      <c r="E933">
        <v>5.8453201892619798E-4</v>
      </c>
      <c r="F933" t="str">
        <f>"74/81"</f>
        <v>74/81</v>
      </c>
      <c r="G933" s="10">
        <v>0.58850000000000002</v>
      </c>
    </row>
    <row r="934" spans="1:7" x14ac:dyDescent="0.2">
      <c r="A934" s="1" t="s">
        <v>124</v>
      </c>
      <c r="B934" t="s">
        <v>1126</v>
      </c>
      <c r="C934">
        <v>2.9257715875613002</v>
      </c>
      <c r="D934">
        <v>0</v>
      </c>
      <c r="E934">
        <v>5.4799876774331104E-4</v>
      </c>
      <c r="F934" t="str">
        <f>"15/41"</f>
        <v>15/41</v>
      </c>
      <c r="G934" s="10">
        <v>7.3300000000000004E-2</v>
      </c>
    </row>
    <row r="935" spans="1:7" x14ac:dyDescent="0.2">
      <c r="A935" s="1" t="s">
        <v>124</v>
      </c>
      <c r="B935" t="s">
        <v>548</v>
      </c>
      <c r="C935">
        <v>-2.9180016202671601</v>
      </c>
      <c r="D935">
        <v>0</v>
      </c>
      <c r="E935">
        <v>0</v>
      </c>
      <c r="F935" t="str">
        <f>"82/113"</f>
        <v>82/113</v>
      </c>
      <c r="G935" s="10">
        <v>0.51249999999999996</v>
      </c>
    </row>
    <row r="936" spans="1:7" x14ac:dyDescent="0.2">
      <c r="A936" s="1" t="s">
        <v>124</v>
      </c>
      <c r="B936" t="s">
        <v>561</v>
      </c>
      <c r="C936">
        <v>2.8873227217264699</v>
      </c>
      <c r="D936">
        <v>0</v>
      </c>
      <c r="E936">
        <v>5.1576354611135105E-4</v>
      </c>
      <c r="F936" t="str">
        <f>"98/113"</f>
        <v>98/113</v>
      </c>
      <c r="G936" s="10">
        <v>0.59040000000000004</v>
      </c>
    </row>
    <row r="937" spans="1:7" x14ac:dyDescent="0.2">
      <c r="A937" s="1" t="s">
        <v>124</v>
      </c>
      <c r="B937" t="s">
        <v>7</v>
      </c>
      <c r="C937">
        <v>2.88100900864936</v>
      </c>
      <c r="D937">
        <v>0</v>
      </c>
      <c r="E937">
        <v>4.8711001577183199E-4</v>
      </c>
      <c r="F937" t="str">
        <f>"73/160"</f>
        <v>73/160</v>
      </c>
      <c r="G937" s="10">
        <v>0.2492</v>
      </c>
    </row>
    <row r="938" spans="1:7" x14ac:dyDescent="0.2">
      <c r="A938" s="1" t="s">
        <v>124</v>
      </c>
      <c r="B938" t="s">
        <v>1127</v>
      </c>
      <c r="C938">
        <v>-2.8762364067803898</v>
      </c>
      <c r="D938">
        <v>0</v>
      </c>
      <c r="E938">
        <v>0</v>
      </c>
      <c r="F938" t="str">
        <f>"213/289"</f>
        <v>213/289</v>
      </c>
      <c r="G938" s="10">
        <v>0.58189999999999997</v>
      </c>
    </row>
    <row r="939" spans="1:7" x14ac:dyDescent="0.2">
      <c r="A939" s="1" t="s">
        <v>124</v>
      </c>
      <c r="B939" t="s">
        <v>251</v>
      </c>
      <c r="C939">
        <v>2.8110032147030002</v>
      </c>
      <c r="D939">
        <v>0</v>
      </c>
      <c r="E939">
        <v>4.6147264652068301E-4</v>
      </c>
      <c r="F939" t="str">
        <f>"43/77"</f>
        <v>43/77</v>
      </c>
      <c r="G939" s="10">
        <v>0.24529999999999999</v>
      </c>
    </row>
    <row r="940" spans="1:7" x14ac:dyDescent="0.2">
      <c r="A940" s="1" t="s">
        <v>124</v>
      </c>
      <c r="B940" t="s">
        <v>1128</v>
      </c>
      <c r="C940">
        <v>2.8012500200964499</v>
      </c>
      <c r="D940">
        <v>0</v>
      </c>
      <c r="E940">
        <v>4.38399014194649E-4</v>
      </c>
      <c r="F940" t="str">
        <f>"35/118"</f>
        <v>35/118</v>
      </c>
      <c r="G940" s="10">
        <v>0.13469999999999999</v>
      </c>
    </row>
    <row r="941" spans="1:7" x14ac:dyDescent="0.2">
      <c r="A941" s="1" t="s">
        <v>124</v>
      </c>
      <c r="B941" t="s">
        <v>599</v>
      </c>
      <c r="C941">
        <v>2.7996248933782799</v>
      </c>
      <c r="D941">
        <v>0</v>
      </c>
      <c r="E941">
        <v>4.1752287066157E-4</v>
      </c>
      <c r="F941" t="str">
        <f>"94/145"</f>
        <v>94/145</v>
      </c>
      <c r="G941" s="10">
        <v>0.39460000000000001</v>
      </c>
    </row>
    <row r="942" spans="1:7" x14ac:dyDescent="0.2">
      <c r="A942" s="1" t="s">
        <v>124</v>
      </c>
      <c r="B942" t="s">
        <v>584</v>
      </c>
      <c r="C942">
        <v>2.79084855461095</v>
      </c>
      <c r="D942">
        <v>0</v>
      </c>
      <c r="E942">
        <v>3.9854455835877097E-4</v>
      </c>
      <c r="F942" t="str">
        <f>"66/106"</f>
        <v>66/106</v>
      </c>
      <c r="G942" s="10">
        <v>0.33350000000000002</v>
      </c>
    </row>
    <row r="943" spans="1:7" x14ac:dyDescent="0.2">
      <c r="A943" s="1" t="s">
        <v>124</v>
      </c>
      <c r="B943" t="s">
        <v>911</v>
      </c>
      <c r="C943">
        <v>2.7865633639412701</v>
      </c>
      <c r="D943">
        <v>0</v>
      </c>
      <c r="E943">
        <v>3.8121653408230299E-4</v>
      </c>
      <c r="F943" t="str">
        <f>"18/18"</f>
        <v>18/18</v>
      </c>
      <c r="G943" s="10">
        <v>0.33660000000000001</v>
      </c>
    </row>
    <row r="944" spans="1:7" x14ac:dyDescent="0.2">
      <c r="A944" s="1" t="s">
        <v>124</v>
      </c>
      <c r="B944" t="s">
        <v>529</v>
      </c>
      <c r="C944">
        <v>2.78426840189233</v>
      </c>
      <c r="D944">
        <v>0</v>
      </c>
      <c r="E944">
        <v>3.6533251182887399E-4</v>
      </c>
      <c r="F944" t="str">
        <f>"192/264"</f>
        <v>192/264</v>
      </c>
      <c r="G944" s="10">
        <v>0.51290000000000002</v>
      </c>
    </row>
    <row r="945" spans="1:7" x14ac:dyDescent="0.2">
      <c r="A945" s="1" t="s">
        <v>124</v>
      </c>
      <c r="B945" t="s">
        <v>1129</v>
      </c>
      <c r="C945">
        <v>-2.77546550458921</v>
      </c>
      <c r="D945">
        <v>0</v>
      </c>
      <c r="E945">
        <v>0</v>
      </c>
      <c r="F945" t="str">
        <f>"144/180"</f>
        <v>144/180</v>
      </c>
      <c r="G945" s="10">
        <v>0.65369999999999995</v>
      </c>
    </row>
    <row r="946" spans="1:7" x14ac:dyDescent="0.2">
      <c r="A946" s="1" t="s">
        <v>124</v>
      </c>
      <c r="B946" t="s">
        <v>1130</v>
      </c>
      <c r="C946">
        <v>2.7625041272592701</v>
      </c>
      <c r="D946">
        <v>0</v>
      </c>
      <c r="E946">
        <v>7.0143842271143798E-4</v>
      </c>
      <c r="F946" t="str">
        <f>"30/104"</f>
        <v>30/104</v>
      </c>
      <c r="G946" s="10">
        <v>0.13450000000000001</v>
      </c>
    </row>
    <row r="947" spans="1:7" x14ac:dyDescent="0.2">
      <c r="A947" s="1" t="s">
        <v>124</v>
      </c>
      <c r="B947" t="s">
        <v>24</v>
      </c>
      <c r="C947">
        <v>2.7370859494976201</v>
      </c>
      <c r="D947">
        <v>0</v>
      </c>
      <c r="E947">
        <v>1.0116900327568801E-3</v>
      </c>
      <c r="F947" t="str">
        <f>"119/147"</f>
        <v>119/147</v>
      </c>
      <c r="G947" s="10">
        <v>0.56740000000000002</v>
      </c>
    </row>
    <row r="948" spans="1:7" x14ac:dyDescent="0.2">
      <c r="A948" s="1" t="s">
        <v>124</v>
      </c>
      <c r="B948" t="s">
        <v>581</v>
      </c>
      <c r="C948">
        <v>2.73584282893294</v>
      </c>
      <c r="D948">
        <v>0</v>
      </c>
      <c r="E948">
        <v>9.7422003154366398E-4</v>
      </c>
      <c r="F948" t="str">
        <f>"17/27"</f>
        <v>17/27</v>
      </c>
      <c r="G948" s="10">
        <v>0.20669999999999999</v>
      </c>
    </row>
    <row r="949" spans="1:7" x14ac:dyDescent="0.2">
      <c r="A949" s="1" t="s">
        <v>124</v>
      </c>
      <c r="B949" t="s">
        <v>28</v>
      </c>
      <c r="C949">
        <v>2.7322218593836798</v>
      </c>
      <c r="D949">
        <v>0</v>
      </c>
      <c r="E949">
        <v>9.3942645898853396E-4</v>
      </c>
      <c r="F949" t="str">
        <f>"47/66"</f>
        <v>47/66</v>
      </c>
      <c r="G949" s="10">
        <v>0.38030000000000003</v>
      </c>
    </row>
    <row r="950" spans="1:7" x14ac:dyDescent="0.2">
      <c r="A950" s="1" t="s">
        <v>124</v>
      </c>
      <c r="B950" t="s">
        <v>782</v>
      </c>
      <c r="C950">
        <v>-2.7237036710979701</v>
      </c>
      <c r="D950">
        <v>0</v>
      </c>
      <c r="E950">
        <v>2.0654930353926999E-3</v>
      </c>
      <c r="F950" t="str">
        <f>"47/53"</f>
        <v>47/53</v>
      </c>
      <c r="G950" s="10">
        <v>0.57869999999999999</v>
      </c>
    </row>
    <row r="951" spans="1:7" x14ac:dyDescent="0.2">
      <c r="A951" s="1" t="s">
        <v>124</v>
      </c>
      <c r="B951" t="s">
        <v>624</v>
      </c>
      <c r="C951">
        <v>-2.7168997895209799</v>
      </c>
      <c r="D951">
        <v>0</v>
      </c>
      <c r="E951">
        <v>1.92779349969985E-3</v>
      </c>
      <c r="F951" t="str">
        <f>"76/112"</f>
        <v>76/112</v>
      </c>
      <c r="G951" s="10">
        <v>0.4163</v>
      </c>
    </row>
    <row r="952" spans="1:7" x14ac:dyDescent="0.2">
      <c r="A952" s="1" t="s">
        <v>124</v>
      </c>
      <c r="B952" t="s">
        <v>551</v>
      </c>
      <c r="C952">
        <v>2.7158495025613099</v>
      </c>
      <c r="D952">
        <v>0</v>
      </c>
      <c r="E952">
        <v>1.20937659088179E-3</v>
      </c>
      <c r="F952" t="str">
        <f>"76/87"</f>
        <v>76/87</v>
      </c>
      <c r="G952" s="10">
        <v>0.56710000000000005</v>
      </c>
    </row>
    <row r="953" spans="1:7" x14ac:dyDescent="0.2">
      <c r="A953" s="1" t="s">
        <v>124</v>
      </c>
      <c r="B953" t="s">
        <v>550</v>
      </c>
      <c r="C953">
        <v>2.7020265194224198</v>
      </c>
      <c r="D953">
        <v>0</v>
      </c>
      <c r="E953">
        <v>1.4613300473154899E-3</v>
      </c>
      <c r="F953" t="str">
        <f>"87/102"</f>
        <v>87/102</v>
      </c>
      <c r="G953" s="10">
        <v>0.56710000000000005</v>
      </c>
    </row>
    <row r="954" spans="1:7" x14ac:dyDescent="0.2">
      <c r="A954" s="1" t="s">
        <v>124</v>
      </c>
      <c r="B954" t="s">
        <v>638</v>
      </c>
      <c r="C954">
        <v>2.6771051976585798</v>
      </c>
      <c r="D954">
        <v>0</v>
      </c>
      <c r="E954">
        <v>1.97986651571777E-3</v>
      </c>
      <c r="F954" t="str">
        <f>"66/110"</f>
        <v>66/110</v>
      </c>
      <c r="G954" s="10">
        <v>0.39760000000000001</v>
      </c>
    </row>
    <row r="955" spans="1:7" x14ac:dyDescent="0.2">
      <c r="A955" s="1" t="s">
        <v>124</v>
      </c>
      <c r="B955" t="s">
        <v>626</v>
      </c>
      <c r="C955">
        <v>2.6761791978842302</v>
      </c>
      <c r="D955">
        <v>0</v>
      </c>
      <c r="E955">
        <v>1.85987460567426E-3</v>
      </c>
      <c r="F955" t="str">
        <f>"71/107"</f>
        <v>71/107</v>
      </c>
      <c r="G955" s="10">
        <v>0.45450000000000002</v>
      </c>
    </row>
    <row r="956" spans="1:7" x14ac:dyDescent="0.2">
      <c r="A956" s="1" t="s">
        <v>124</v>
      </c>
      <c r="B956" t="s">
        <v>627</v>
      </c>
      <c r="C956">
        <v>2.6761791978842302</v>
      </c>
      <c r="D956">
        <v>0</v>
      </c>
      <c r="E956">
        <v>1.85987460567426E-3</v>
      </c>
      <c r="F956" t="str">
        <f>"71/107"</f>
        <v>71/107</v>
      </c>
      <c r="G956" s="10">
        <v>0.45450000000000002</v>
      </c>
    </row>
    <row r="957" spans="1:7" x14ac:dyDescent="0.2">
      <c r="A957" s="1" t="s">
        <v>124</v>
      </c>
      <c r="B957" t="s">
        <v>831</v>
      </c>
      <c r="C957">
        <v>-2.67049652474932</v>
      </c>
      <c r="D957">
        <v>0</v>
      </c>
      <c r="E957">
        <v>1.8073064059686099E-3</v>
      </c>
      <c r="F957" t="str">
        <f>"35/46"</f>
        <v>35/46</v>
      </c>
      <c r="G957" s="10">
        <v>0.43719999999999998</v>
      </c>
    </row>
    <row r="958" spans="1:7" x14ac:dyDescent="0.2">
      <c r="A958" s="1" t="s">
        <v>124</v>
      </c>
      <c r="B958" t="s">
        <v>759</v>
      </c>
      <c r="C958">
        <v>2.6650927635372601</v>
      </c>
      <c r="D958">
        <v>0</v>
      </c>
      <c r="E958">
        <v>1.8051724113897301E-3</v>
      </c>
      <c r="F958" t="str">
        <f>"117/136"</f>
        <v>117/136</v>
      </c>
      <c r="G958" s="10">
        <v>0.61170000000000002</v>
      </c>
    </row>
    <row r="959" spans="1:7" x14ac:dyDescent="0.2">
      <c r="A959" s="1" t="s">
        <v>124</v>
      </c>
      <c r="B959" t="s">
        <v>184</v>
      </c>
      <c r="C959">
        <v>2.65236069958386</v>
      </c>
      <c r="D959">
        <v>0</v>
      </c>
      <c r="E959">
        <v>2.0041097791755301E-3</v>
      </c>
      <c r="F959" t="str">
        <f>"55/71"</f>
        <v>55/71</v>
      </c>
      <c r="G959" s="10">
        <v>0.4652</v>
      </c>
    </row>
    <row r="960" spans="1:7" x14ac:dyDescent="0.2">
      <c r="A960" s="1" t="s">
        <v>124</v>
      </c>
      <c r="B960" t="s">
        <v>622</v>
      </c>
      <c r="C960">
        <v>2.6519540908060102</v>
      </c>
      <c r="D960">
        <v>0</v>
      </c>
      <c r="E960">
        <v>1.9484400630873199E-3</v>
      </c>
      <c r="F960" t="str">
        <f>"275/305"</f>
        <v>275/305</v>
      </c>
      <c r="G960" s="10">
        <v>0.69350000000000001</v>
      </c>
    </row>
    <row r="961" spans="1:7" x14ac:dyDescent="0.2">
      <c r="A961" s="1" t="s">
        <v>124</v>
      </c>
      <c r="B961" t="s">
        <v>185</v>
      </c>
      <c r="C961">
        <v>2.6331290142822201</v>
      </c>
      <c r="D961">
        <v>0</v>
      </c>
      <c r="E961">
        <v>2.36972440105215E-3</v>
      </c>
      <c r="F961" t="str">
        <f>"50/76"</f>
        <v>50/76</v>
      </c>
      <c r="G961" s="10">
        <v>0.35780000000000001</v>
      </c>
    </row>
    <row r="962" spans="1:7" x14ac:dyDescent="0.2">
      <c r="A962" s="1" t="s">
        <v>124</v>
      </c>
      <c r="B962" t="s">
        <v>1131</v>
      </c>
      <c r="C962">
        <v>-2.6328473816422999</v>
      </c>
      <c r="D962">
        <v>0</v>
      </c>
      <c r="E962">
        <v>2.5514913966615698E-3</v>
      </c>
      <c r="F962" t="str">
        <f>"36/36"</f>
        <v>36/36</v>
      </c>
      <c r="G962" s="10">
        <v>0.63890000000000002</v>
      </c>
    </row>
    <row r="963" spans="1:7" x14ac:dyDescent="0.2">
      <c r="A963" s="1" t="s">
        <v>124</v>
      </c>
      <c r="B963" t="s">
        <v>568</v>
      </c>
      <c r="C963">
        <v>-2.6217629008582102</v>
      </c>
      <c r="D963">
        <v>0</v>
      </c>
      <c r="E963">
        <v>2.40974187462481E-3</v>
      </c>
      <c r="F963" t="str">
        <f>"65/72"</f>
        <v>65/72</v>
      </c>
      <c r="G963" s="10">
        <v>0.64739999999999998</v>
      </c>
    </row>
    <row r="964" spans="1:7" x14ac:dyDescent="0.2">
      <c r="A964" s="1" t="s">
        <v>124</v>
      </c>
      <c r="B964" t="s">
        <v>850</v>
      </c>
      <c r="C964">
        <v>2.6208614827842198</v>
      </c>
      <c r="D964">
        <v>0</v>
      </c>
      <c r="E964">
        <v>2.3073632326034098E-3</v>
      </c>
      <c r="F964" t="str">
        <f>"38/54"</f>
        <v>38/54</v>
      </c>
      <c r="G964" s="10">
        <v>0.38519999999999999</v>
      </c>
    </row>
    <row r="965" spans="1:7" x14ac:dyDescent="0.2">
      <c r="A965" s="1" t="s">
        <v>124</v>
      </c>
      <c r="B965" t="s">
        <v>586</v>
      </c>
      <c r="C965">
        <v>2.6058479933189198</v>
      </c>
      <c r="D965">
        <v>0</v>
      </c>
      <c r="E965">
        <v>2.47302008007238E-3</v>
      </c>
      <c r="F965" t="str">
        <f>"84/94"</f>
        <v>84/94</v>
      </c>
      <c r="G965" s="10">
        <v>0.61470000000000002</v>
      </c>
    </row>
    <row r="966" spans="1:7" x14ac:dyDescent="0.2">
      <c r="A966" s="1" t="s">
        <v>124</v>
      </c>
      <c r="B966" t="s">
        <v>1132</v>
      </c>
      <c r="C966">
        <v>-2.60254281881544</v>
      </c>
      <c r="D966">
        <v>0</v>
      </c>
      <c r="E966">
        <v>2.2829133549077201E-3</v>
      </c>
      <c r="F966" t="str">
        <f>"77/85"</f>
        <v>77/85</v>
      </c>
      <c r="G966" s="10">
        <v>0.70689999999999997</v>
      </c>
    </row>
    <row r="967" spans="1:7" x14ac:dyDescent="0.2">
      <c r="A967" s="1" t="s">
        <v>124</v>
      </c>
      <c r="B967" t="s">
        <v>552</v>
      </c>
      <c r="C967">
        <v>2.60005021646686</v>
      </c>
      <c r="D967">
        <v>0</v>
      </c>
      <c r="E967">
        <v>2.63039408516789E-3</v>
      </c>
      <c r="F967" t="str">
        <f>"75/87"</f>
        <v>75/87</v>
      </c>
      <c r="G967" s="10">
        <v>0.56710000000000005</v>
      </c>
    </row>
    <row r="968" spans="1:7" x14ac:dyDescent="0.2">
      <c r="A968" s="1" t="s">
        <v>124</v>
      </c>
      <c r="B968" t="s">
        <v>545</v>
      </c>
      <c r="C968">
        <v>2.5905850720790999</v>
      </c>
      <c r="D968">
        <v>0</v>
      </c>
      <c r="E968">
        <v>2.78009130952704E-3</v>
      </c>
      <c r="F968" t="str">
        <f>"85/93"</f>
        <v>85/93</v>
      </c>
      <c r="G968" s="10">
        <v>0.62180000000000002</v>
      </c>
    </row>
    <row r="969" spans="1:7" x14ac:dyDescent="0.2">
      <c r="A969" s="1" t="s">
        <v>124</v>
      </c>
      <c r="B969" t="s">
        <v>880</v>
      </c>
      <c r="C969">
        <v>2.57827470923311</v>
      </c>
      <c r="D969">
        <v>0</v>
      </c>
      <c r="E969">
        <v>3.1314215299617799E-3</v>
      </c>
      <c r="F969" t="str">
        <f>"24/33"</f>
        <v>24/33</v>
      </c>
      <c r="G969" s="10">
        <v>0.3201</v>
      </c>
    </row>
    <row r="970" spans="1:7" x14ac:dyDescent="0.2">
      <c r="A970" s="1" t="s">
        <v>124</v>
      </c>
      <c r="B970" t="s">
        <v>1133</v>
      </c>
      <c r="C970">
        <v>-2.5778437595753698</v>
      </c>
      <c r="D970">
        <v>0</v>
      </c>
      <c r="E970">
        <v>2.8916902495497799E-3</v>
      </c>
      <c r="F970" t="str">
        <f>"30/53"</f>
        <v>30/53</v>
      </c>
      <c r="G970" s="10">
        <v>0.24890000000000001</v>
      </c>
    </row>
    <row r="971" spans="1:7" x14ac:dyDescent="0.2">
      <c r="A971" s="1" t="s">
        <v>124</v>
      </c>
      <c r="B971" t="s">
        <v>1134</v>
      </c>
      <c r="C971">
        <v>-2.57686089804819</v>
      </c>
      <c r="D971">
        <v>0</v>
      </c>
      <c r="E971">
        <v>2.7539907138569302E-3</v>
      </c>
      <c r="F971" t="str">
        <f>"14/18"</f>
        <v>14/18</v>
      </c>
      <c r="G971" s="10">
        <v>0.23080000000000001</v>
      </c>
    </row>
    <row r="972" spans="1:7" x14ac:dyDescent="0.2">
      <c r="A972" s="1" t="s">
        <v>124</v>
      </c>
      <c r="B972" t="s">
        <v>637</v>
      </c>
      <c r="C972">
        <v>-2.5765719254187802</v>
      </c>
      <c r="D972">
        <v>0</v>
      </c>
      <c r="E972">
        <v>2.6288093177725198E-3</v>
      </c>
      <c r="F972" t="str">
        <f>"57/82"</f>
        <v>57/82</v>
      </c>
      <c r="G972" s="10">
        <v>0.44390000000000002</v>
      </c>
    </row>
    <row r="973" spans="1:7" x14ac:dyDescent="0.2">
      <c r="A973" s="1" t="s">
        <v>124</v>
      </c>
      <c r="B973" t="s">
        <v>1135</v>
      </c>
      <c r="C973">
        <v>2.5754541105502202</v>
      </c>
      <c r="D973">
        <v>0</v>
      </c>
      <c r="E973">
        <v>3.0585977734510399E-3</v>
      </c>
      <c r="F973" t="str">
        <f>"14/17"</f>
        <v>14/17</v>
      </c>
      <c r="G973" s="10">
        <v>0.2419</v>
      </c>
    </row>
    <row r="974" spans="1:7" x14ac:dyDescent="0.2">
      <c r="A974" s="1" t="s">
        <v>124</v>
      </c>
      <c r="B974" t="s">
        <v>242</v>
      </c>
      <c r="C974">
        <v>2.5674676208412301</v>
      </c>
      <c r="D974">
        <v>0</v>
      </c>
      <c r="E974">
        <v>3.18835646687017E-3</v>
      </c>
      <c r="F974" t="str">
        <f>"25/39"</f>
        <v>25/39</v>
      </c>
      <c r="G974" s="10">
        <v>0.2858</v>
      </c>
    </row>
    <row r="975" spans="1:7" x14ac:dyDescent="0.2">
      <c r="A975" s="1" t="s">
        <v>124</v>
      </c>
      <c r="B975" t="s">
        <v>562</v>
      </c>
      <c r="C975">
        <v>2.5668836858736599</v>
      </c>
      <c r="D975">
        <v>0</v>
      </c>
      <c r="E975">
        <v>3.1175041009397198E-3</v>
      </c>
      <c r="F975" t="str">
        <f>"90/99"</f>
        <v>90/99</v>
      </c>
      <c r="G975" s="10">
        <v>0.64200000000000002</v>
      </c>
    </row>
    <row r="976" spans="1:7" x14ac:dyDescent="0.2">
      <c r="A976" s="1" t="s">
        <v>124</v>
      </c>
      <c r="B976" t="s">
        <v>594</v>
      </c>
      <c r="C976">
        <v>2.55833531373922</v>
      </c>
      <c r="D976">
        <v>0</v>
      </c>
      <c r="E976">
        <v>3.04973227265842E-3</v>
      </c>
      <c r="F976" t="str">
        <f>"304/339"</f>
        <v>304/339</v>
      </c>
      <c r="G976" s="10">
        <v>0.70089999999999997</v>
      </c>
    </row>
    <row r="977" spans="1:7" x14ac:dyDescent="0.2">
      <c r="A977" s="1" t="s">
        <v>124</v>
      </c>
      <c r="B977" t="s">
        <v>187</v>
      </c>
      <c r="C977">
        <v>2.55706088235035</v>
      </c>
      <c r="D977">
        <v>0</v>
      </c>
      <c r="E977">
        <v>2.9226600946309902E-3</v>
      </c>
      <c r="F977" t="str">
        <f>"37/52"</f>
        <v>37/52</v>
      </c>
      <c r="G977" s="10">
        <v>0.36930000000000002</v>
      </c>
    </row>
    <row r="978" spans="1:7" x14ac:dyDescent="0.2">
      <c r="A978" s="1" t="s">
        <v>124</v>
      </c>
      <c r="B978" t="s">
        <v>188</v>
      </c>
      <c r="C978">
        <v>2.55706088235035</v>
      </c>
      <c r="D978">
        <v>0</v>
      </c>
      <c r="E978">
        <v>2.9226600946309902E-3</v>
      </c>
      <c r="F978" t="str">
        <f>"37/52"</f>
        <v>37/52</v>
      </c>
      <c r="G978" s="10">
        <v>0.36930000000000002</v>
      </c>
    </row>
    <row r="979" spans="1:7" x14ac:dyDescent="0.2">
      <c r="A979" s="1" t="s">
        <v>124</v>
      </c>
      <c r="B979" t="s">
        <v>631</v>
      </c>
      <c r="C979">
        <v>2.5555103549725602</v>
      </c>
      <c r="D979">
        <v>0</v>
      </c>
      <c r="E979">
        <v>2.8630139702507701E-3</v>
      </c>
      <c r="F979" t="str">
        <f>"106/120"</f>
        <v>106/120</v>
      </c>
      <c r="G979" s="10">
        <v>0.63619999999999999</v>
      </c>
    </row>
    <row r="980" spans="1:7" x14ac:dyDescent="0.2">
      <c r="A980" s="1" t="s">
        <v>124</v>
      </c>
      <c r="B980" t="s">
        <v>685</v>
      </c>
      <c r="C980">
        <v>2.5498945600573801</v>
      </c>
      <c r="D980">
        <v>0</v>
      </c>
      <c r="E980">
        <v>3.1564729022014698E-3</v>
      </c>
      <c r="F980" t="str">
        <f>"35/48"</f>
        <v>35/48</v>
      </c>
      <c r="G980" s="10">
        <v>0.38519999999999999</v>
      </c>
    </row>
    <row r="981" spans="1:7" x14ac:dyDescent="0.2">
      <c r="A981" s="1" t="s">
        <v>124</v>
      </c>
      <c r="B981" t="s">
        <v>769</v>
      </c>
      <c r="C981">
        <v>-2.54396648762093</v>
      </c>
      <c r="D981">
        <v>0</v>
      </c>
      <c r="E981">
        <v>3.1431415755975799E-3</v>
      </c>
      <c r="F981" t="str">
        <f>"16/18"</f>
        <v>16/18</v>
      </c>
      <c r="G981" s="10">
        <v>0.41420000000000001</v>
      </c>
    </row>
    <row r="982" spans="1:7" x14ac:dyDescent="0.2">
      <c r="A982" s="1" t="s">
        <v>124</v>
      </c>
      <c r="B982" t="s">
        <v>1018</v>
      </c>
      <c r="C982">
        <v>2.5225267767816701</v>
      </c>
      <c r="D982">
        <v>0</v>
      </c>
      <c r="E982">
        <v>3.0945812766681102E-3</v>
      </c>
      <c r="F982" t="str">
        <f>"79/98"</f>
        <v>79/98</v>
      </c>
      <c r="G982" s="10">
        <v>0.54159999999999997</v>
      </c>
    </row>
    <row r="983" spans="1:7" x14ac:dyDescent="0.2">
      <c r="A983" s="1" t="s">
        <v>124</v>
      </c>
      <c r="B983" t="s">
        <v>1136</v>
      </c>
      <c r="C983">
        <v>-2.5203230446393801</v>
      </c>
      <c r="D983">
        <v>0</v>
      </c>
      <c r="E983">
        <v>4.2170482805934297E-3</v>
      </c>
      <c r="F983" t="str">
        <f>"12/15"</f>
        <v>12/15</v>
      </c>
      <c r="G983" s="10">
        <v>0.23080000000000001</v>
      </c>
    </row>
    <row r="984" spans="1:7" x14ac:dyDescent="0.2">
      <c r="A984" s="1" t="s">
        <v>124</v>
      </c>
      <c r="B984" t="s">
        <v>671</v>
      </c>
      <c r="C984">
        <v>2.5167013363499602</v>
      </c>
      <c r="D984">
        <v>0</v>
      </c>
      <c r="E984">
        <v>2.97780462471837E-3</v>
      </c>
      <c r="F984" t="str">
        <f>"29/32"</f>
        <v>29/32</v>
      </c>
      <c r="G984" s="10">
        <v>0.50109999999999999</v>
      </c>
    </row>
    <row r="985" spans="1:7" x14ac:dyDescent="0.2">
      <c r="A985" s="1" t="s">
        <v>124</v>
      </c>
      <c r="B985" t="s">
        <v>672</v>
      </c>
      <c r="C985">
        <v>2.5167013363499602</v>
      </c>
      <c r="D985">
        <v>0</v>
      </c>
      <c r="E985">
        <v>2.97780462471837E-3</v>
      </c>
      <c r="F985" t="str">
        <f>"29/32"</f>
        <v>29/32</v>
      </c>
      <c r="G985" s="10">
        <v>0.50109999999999999</v>
      </c>
    </row>
    <row r="986" spans="1:7" x14ac:dyDescent="0.2">
      <c r="A986" s="1" t="s">
        <v>124</v>
      </c>
      <c r="B986" t="s">
        <v>588</v>
      </c>
      <c r="C986">
        <v>2.5158969710229302</v>
      </c>
      <c r="D986">
        <v>0</v>
      </c>
      <c r="E986">
        <v>2.9226600946309902E-3</v>
      </c>
      <c r="F986" t="str">
        <f>"53/72"</f>
        <v>53/72</v>
      </c>
      <c r="G986" s="10">
        <v>0.4541</v>
      </c>
    </row>
    <row r="987" spans="1:7" x14ac:dyDescent="0.2">
      <c r="A987" s="1" t="s">
        <v>124</v>
      </c>
      <c r="B987" t="s">
        <v>569</v>
      </c>
      <c r="C987">
        <v>2.5141483187495601</v>
      </c>
      <c r="D987">
        <v>0</v>
      </c>
      <c r="E987">
        <v>2.8695208201831501E-3</v>
      </c>
      <c r="F987" t="str">
        <f>"89/101"</f>
        <v>89/101</v>
      </c>
      <c r="G987" s="10">
        <v>0.61470000000000002</v>
      </c>
    </row>
    <row r="988" spans="1:7" x14ac:dyDescent="0.2">
      <c r="A988" s="1" t="s">
        <v>124</v>
      </c>
      <c r="B988" t="s">
        <v>981</v>
      </c>
      <c r="C988">
        <v>2.5022158624171502</v>
      </c>
      <c r="D988">
        <v>0</v>
      </c>
      <c r="E988">
        <v>3.2879926064598602E-3</v>
      </c>
      <c r="F988" t="str">
        <f>"182/196"</f>
        <v>182/196</v>
      </c>
      <c r="G988" s="10">
        <v>0.70089999999999997</v>
      </c>
    </row>
    <row r="989" spans="1:7" x14ac:dyDescent="0.2">
      <c r="A989" s="1" t="s">
        <v>124</v>
      </c>
      <c r="B989" t="s">
        <v>778</v>
      </c>
      <c r="C989">
        <v>2.4983444851268901</v>
      </c>
      <c r="D989">
        <v>0</v>
      </c>
      <c r="E989">
        <v>3.3841327411516702E-3</v>
      </c>
      <c r="F989" t="str">
        <f>"68/73"</f>
        <v>68/73</v>
      </c>
      <c r="G989" s="10">
        <v>0.62150000000000005</v>
      </c>
    </row>
    <row r="990" spans="1:7" x14ac:dyDescent="0.2">
      <c r="A990" s="1" t="s">
        <v>124</v>
      </c>
      <c r="B990" t="s">
        <v>719</v>
      </c>
      <c r="C990">
        <v>-2.4912859474385001</v>
      </c>
      <c r="D990">
        <v>0</v>
      </c>
      <c r="E990">
        <v>5.2050424491895996E-3</v>
      </c>
      <c r="F990" t="str">
        <f>"52/73"</f>
        <v>52/73</v>
      </c>
      <c r="G990" s="10">
        <v>0.4844</v>
      </c>
    </row>
    <row r="991" spans="1:7" x14ac:dyDescent="0.2">
      <c r="A991" s="1" t="s">
        <v>124</v>
      </c>
      <c r="B991" t="s">
        <v>1137</v>
      </c>
      <c r="C991">
        <v>-2.4894877176624401</v>
      </c>
      <c r="D991">
        <v>0</v>
      </c>
      <c r="E991">
        <v>5.0048485088361599E-3</v>
      </c>
      <c r="F991" t="str">
        <f>"25/29"</f>
        <v>25/29</v>
      </c>
      <c r="G991" s="10">
        <v>0.49409999999999998</v>
      </c>
    </row>
    <row r="992" spans="1:7" x14ac:dyDescent="0.2">
      <c r="A992" s="1" t="s">
        <v>124</v>
      </c>
      <c r="B992" t="s">
        <v>903</v>
      </c>
      <c r="C992">
        <v>2.4814896745886599</v>
      </c>
      <c r="D992">
        <v>0</v>
      </c>
      <c r="E992">
        <v>4.0816459942260401E-3</v>
      </c>
      <c r="F992" t="str">
        <f>"24/79"</f>
        <v>24/79</v>
      </c>
      <c r="G992" s="10">
        <v>0.1101</v>
      </c>
    </row>
    <row r="993" spans="1:7" x14ac:dyDescent="0.2">
      <c r="A993" s="1" t="s">
        <v>124</v>
      </c>
      <c r="B993" t="s">
        <v>1138</v>
      </c>
      <c r="C993">
        <v>2.4811808504905901</v>
      </c>
      <c r="D993">
        <v>1.26582278481012E-2</v>
      </c>
      <c r="E993">
        <v>4.0124655536459396E-3</v>
      </c>
      <c r="F993" t="str">
        <f>"15/27"</f>
        <v>15/27</v>
      </c>
      <c r="G993" s="10">
        <v>0.24</v>
      </c>
    </row>
    <row r="994" spans="1:7" x14ac:dyDescent="0.2">
      <c r="A994" s="1" t="s">
        <v>124</v>
      </c>
      <c r="B994" t="s">
        <v>619</v>
      </c>
      <c r="C994">
        <v>2.4778652633851799</v>
      </c>
      <c r="D994">
        <v>0</v>
      </c>
      <c r="E994">
        <v>3.9455911277518404E-3</v>
      </c>
      <c r="F994" t="str">
        <f>"29/47"</f>
        <v>29/47</v>
      </c>
      <c r="G994" s="10">
        <v>0.3014</v>
      </c>
    </row>
    <row r="995" spans="1:7" x14ac:dyDescent="0.2">
      <c r="A995" s="1" t="s">
        <v>124</v>
      </c>
      <c r="B995" t="s">
        <v>1139</v>
      </c>
      <c r="C995">
        <v>2.4710554669359102</v>
      </c>
      <c r="D995">
        <v>0</v>
      </c>
      <c r="E995">
        <v>4.0246466876885803E-3</v>
      </c>
      <c r="F995" t="str">
        <f>"10/35"</f>
        <v>10/35</v>
      </c>
      <c r="G995" s="10">
        <v>5.5E-2</v>
      </c>
    </row>
    <row r="996" spans="1:7" x14ac:dyDescent="0.2">
      <c r="A996" s="1" t="s">
        <v>124</v>
      </c>
      <c r="B996" t="s">
        <v>1140</v>
      </c>
      <c r="C996">
        <v>2.4687236329142399</v>
      </c>
      <c r="D996">
        <v>0</v>
      </c>
      <c r="E996">
        <v>3.9597330314355399E-3</v>
      </c>
      <c r="F996" t="str">
        <f>"53/149"</f>
        <v>53/149</v>
      </c>
      <c r="G996" s="10">
        <v>0.219</v>
      </c>
    </row>
    <row r="997" spans="1:7" x14ac:dyDescent="0.2">
      <c r="A997" s="1" t="s">
        <v>124</v>
      </c>
      <c r="B997" t="s">
        <v>648</v>
      </c>
      <c r="C997">
        <v>-2.4564469301131502</v>
      </c>
      <c r="D997">
        <v>0</v>
      </c>
      <c r="E997">
        <v>6.4259783323328398E-3</v>
      </c>
      <c r="F997" t="str">
        <f>"16/18"</f>
        <v>16/18</v>
      </c>
      <c r="G997" s="10">
        <v>0.40579999999999999</v>
      </c>
    </row>
    <row r="998" spans="1:7" x14ac:dyDescent="0.2">
      <c r="A998" s="1" t="s">
        <v>124</v>
      </c>
      <c r="B998" t="s">
        <v>688</v>
      </c>
      <c r="C998">
        <v>2.4544213987885199</v>
      </c>
      <c r="D998">
        <v>0</v>
      </c>
      <c r="E998">
        <v>4.4535772870567501E-3</v>
      </c>
      <c r="F998" t="str">
        <f>"33/36"</f>
        <v>33/36</v>
      </c>
      <c r="G998" s="10">
        <v>0.53700000000000003</v>
      </c>
    </row>
    <row r="999" spans="1:7" x14ac:dyDescent="0.2">
      <c r="A999" s="1" t="s">
        <v>124</v>
      </c>
      <c r="B999" t="s">
        <v>817</v>
      </c>
      <c r="C999">
        <v>2.45324436484441</v>
      </c>
      <c r="D999">
        <v>0</v>
      </c>
      <c r="E999">
        <v>4.3839901419464901E-3</v>
      </c>
      <c r="F999" t="str">
        <f>"45/53"</f>
        <v>45/53</v>
      </c>
      <c r="G999" s="10">
        <v>0.54320000000000002</v>
      </c>
    </row>
    <row r="1000" spans="1:7" x14ac:dyDescent="0.2">
      <c r="A1000" s="1" t="s">
        <v>124</v>
      </c>
      <c r="B1000" t="s">
        <v>1141</v>
      </c>
      <c r="C1000">
        <v>2.45166873037443</v>
      </c>
      <c r="D1000">
        <v>0</v>
      </c>
      <c r="E1000">
        <v>4.3165441397626904E-3</v>
      </c>
      <c r="F1000" t="str">
        <f>"36/36"</f>
        <v>36/36</v>
      </c>
      <c r="G1000" s="10">
        <v>0.61399999999999999</v>
      </c>
    </row>
    <row r="1001" spans="1:7" x14ac:dyDescent="0.2">
      <c r="A1001" s="1" t="s">
        <v>124</v>
      </c>
      <c r="B1001" t="s">
        <v>1142</v>
      </c>
      <c r="C1001">
        <v>-2.44951286678929</v>
      </c>
      <c r="D1001">
        <v>0</v>
      </c>
      <c r="E1001">
        <v>6.1964791061780997E-3</v>
      </c>
      <c r="F1001" t="str">
        <f>"16/23"</f>
        <v>16/23</v>
      </c>
      <c r="G1001" s="10">
        <v>0.255</v>
      </c>
    </row>
    <row r="1002" spans="1:7" x14ac:dyDescent="0.2">
      <c r="A1002" s="1" t="s">
        <v>124</v>
      </c>
      <c r="B1002" t="s">
        <v>661</v>
      </c>
      <c r="C1002">
        <v>2.4482414594775199</v>
      </c>
      <c r="D1002">
        <v>0</v>
      </c>
      <c r="E1002">
        <v>4.3839901419464901E-3</v>
      </c>
      <c r="F1002" t="str">
        <f>"31/35"</f>
        <v>31/35</v>
      </c>
      <c r="G1002" s="10">
        <v>0.50109999999999999</v>
      </c>
    </row>
    <row r="1003" spans="1:7" x14ac:dyDescent="0.2">
      <c r="A1003" s="1" t="s">
        <v>124</v>
      </c>
      <c r="B1003" t="s">
        <v>683</v>
      </c>
      <c r="C1003">
        <v>2.4446500643929099</v>
      </c>
      <c r="D1003">
        <v>0</v>
      </c>
      <c r="E1003">
        <v>4.3185574532607204E-3</v>
      </c>
      <c r="F1003" t="str">
        <f>"63/92"</f>
        <v>63/92</v>
      </c>
      <c r="G1003" s="10">
        <v>0.42699999999999999</v>
      </c>
    </row>
    <row r="1004" spans="1:7" x14ac:dyDescent="0.2">
      <c r="A1004" s="1" t="s">
        <v>124</v>
      </c>
      <c r="B1004" t="s">
        <v>12</v>
      </c>
      <c r="C1004">
        <v>2.4413926457439201</v>
      </c>
      <c r="D1004">
        <v>0</v>
      </c>
      <c r="E1004">
        <v>4.2550492554186501E-3</v>
      </c>
      <c r="F1004" t="str">
        <f>"133/173"</f>
        <v>133/173</v>
      </c>
      <c r="G1004" s="10">
        <v>0.56740000000000002</v>
      </c>
    </row>
    <row r="1005" spans="1:7" x14ac:dyDescent="0.2">
      <c r="A1005" s="1" t="s">
        <v>124</v>
      </c>
      <c r="B1005" t="s">
        <v>585</v>
      </c>
      <c r="C1005">
        <v>2.4291988167757399</v>
      </c>
      <c r="D1005">
        <v>0</v>
      </c>
      <c r="E1005">
        <v>4.4475262309602E-3</v>
      </c>
      <c r="F1005" t="str">
        <f>"82/100"</f>
        <v>82/100</v>
      </c>
      <c r="G1005" s="10">
        <v>0.56710000000000005</v>
      </c>
    </row>
    <row r="1006" spans="1:7" x14ac:dyDescent="0.2">
      <c r="A1006" s="1" t="s">
        <v>124</v>
      </c>
      <c r="B1006" t="s">
        <v>674</v>
      </c>
      <c r="C1006">
        <v>2.42657250691469</v>
      </c>
      <c r="D1006">
        <v>0</v>
      </c>
      <c r="E1006">
        <v>4.3839901419464901E-3</v>
      </c>
      <c r="F1006" t="str">
        <f>"260/299"</f>
        <v>260/299</v>
      </c>
      <c r="G1006" s="10">
        <v>0.69350000000000001</v>
      </c>
    </row>
    <row r="1007" spans="1:7" x14ac:dyDescent="0.2">
      <c r="A1007" s="1" t="s">
        <v>124</v>
      </c>
      <c r="B1007" t="s">
        <v>1143</v>
      </c>
      <c r="C1007">
        <v>-2.4254158486430502</v>
      </c>
      <c r="D1007">
        <v>0</v>
      </c>
      <c r="E1007">
        <v>6.97994198167188E-3</v>
      </c>
      <c r="F1007" t="str">
        <f>"23/27"</f>
        <v>23/27</v>
      </c>
      <c r="G1007" s="10">
        <v>0.4723</v>
      </c>
    </row>
    <row r="1008" spans="1:7" x14ac:dyDescent="0.2">
      <c r="A1008" s="1" t="s">
        <v>124</v>
      </c>
      <c r="B1008" t="s">
        <v>176</v>
      </c>
      <c r="C1008">
        <v>2.4222960242007199</v>
      </c>
      <c r="D1008">
        <v>0</v>
      </c>
      <c r="E1008">
        <v>4.56922916202873E-3</v>
      </c>
      <c r="F1008" t="str">
        <f>"59/106"</f>
        <v>59/106</v>
      </c>
      <c r="G1008" s="10">
        <v>0.32429999999999998</v>
      </c>
    </row>
    <row r="1009" spans="1:7" x14ac:dyDescent="0.2">
      <c r="A1009" s="1" t="s">
        <v>124</v>
      </c>
      <c r="B1009" t="s">
        <v>751</v>
      </c>
      <c r="C1009">
        <v>2.41851916975157</v>
      </c>
      <c r="D1009">
        <v>0</v>
      </c>
      <c r="E1009">
        <v>4.6275451498324002E-3</v>
      </c>
      <c r="F1009" t="str">
        <f>"59/93"</f>
        <v>59/93</v>
      </c>
      <c r="G1009" s="10">
        <v>0.38829999999999998</v>
      </c>
    </row>
    <row r="1010" spans="1:7" x14ac:dyDescent="0.2">
      <c r="A1010" s="1" t="s">
        <v>124</v>
      </c>
      <c r="B1010" t="s">
        <v>604</v>
      </c>
      <c r="C1010">
        <v>2.41186782397132</v>
      </c>
      <c r="D1010">
        <v>0</v>
      </c>
      <c r="E1010">
        <v>4.6842634393400801E-3</v>
      </c>
      <c r="F1010" t="str">
        <f>"86/99"</f>
        <v>86/99</v>
      </c>
      <c r="G1010" s="10">
        <v>0.61470000000000002</v>
      </c>
    </row>
    <row r="1011" spans="1:7" x14ac:dyDescent="0.2">
      <c r="A1011" s="1" t="s">
        <v>124</v>
      </c>
      <c r="B1011" t="s">
        <v>702</v>
      </c>
      <c r="C1011">
        <v>-2.4097325849775402</v>
      </c>
      <c r="D1011">
        <v>0</v>
      </c>
      <c r="E1011">
        <v>7.2292256238744501E-3</v>
      </c>
      <c r="F1011" t="str">
        <f>"19/24"</f>
        <v>19/24</v>
      </c>
      <c r="G1011" s="10">
        <v>0.39650000000000002</v>
      </c>
    </row>
    <row r="1012" spans="1:7" x14ac:dyDescent="0.2">
      <c r="A1012" s="1" t="s">
        <v>124</v>
      </c>
      <c r="B1012" t="s">
        <v>606</v>
      </c>
      <c r="C1012">
        <v>2.4093826410093002</v>
      </c>
      <c r="D1012">
        <v>0</v>
      </c>
      <c r="E1012">
        <v>4.7394488021043103E-3</v>
      </c>
      <c r="F1012" t="str">
        <f>"131/149"</f>
        <v>131/149</v>
      </c>
      <c r="G1012" s="10">
        <v>0.65749999999999997</v>
      </c>
    </row>
    <row r="1013" spans="1:7" x14ac:dyDescent="0.2">
      <c r="A1013" s="1" t="s">
        <v>124</v>
      </c>
      <c r="B1013" t="s">
        <v>704</v>
      </c>
      <c r="C1013">
        <v>2.4081360189090102</v>
      </c>
      <c r="D1013">
        <v>0</v>
      </c>
      <c r="E1013">
        <v>4.6762561514095899E-3</v>
      </c>
      <c r="F1013" t="str">
        <f>"39/51"</f>
        <v>39/51</v>
      </c>
      <c r="G1013" s="10">
        <v>0.45490000000000003</v>
      </c>
    </row>
    <row r="1014" spans="1:7" x14ac:dyDescent="0.2">
      <c r="A1014" s="1" t="s">
        <v>124</v>
      </c>
      <c r="B1014" t="s">
        <v>1144</v>
      </c>
      <c r="C1014">
        <v>-2.39955989173263</v>
      </c>
      <c r="D1014">
        <v>0</v>
      </c>
      <c r="E1014">
        <v>6.9960247972978501E-3</v>
      </c>
      <c r="F1014" t="str">
        <f>"32/36"</f>
        <v>32/36</v>
      </c>
      <c r="G1014" s="10">
        <v>0.56610000000000005</v>
      </c>
    </row>
    <row r="1015" spans="1:7" x14ac:dyDescent="0.2">
      <c r="A1015" s="1" t="s">
        <v>124</v>
      </c>
      <c r="B1015" t="s">
        <v>543</v>
      </c>
      <c r="C1015">
        <v>2.3968429665456101</v>
      </c>
      <c r="D1015">
        <v>0</v>
      </c>
      <c r="E1015">
        <v>5.7684080815085404E-3</v>
      </c>
      <c r="F1015" t="str">
        <f>"52/67"</f>
        <v>52/67</v>
      </c>
      <c r="G1015" s="10">
        <v>0.48749999999999999</v>
      </c>
    </row>
    <row r="1016" spans="1:7" x14ac:dyDescent="0.2">
      <c r="A1016" s="1" t="s">
        <v>124</v>
      </c>
      <c r="B1016" t="s">
        <v>1145</v>
      </c>
      <c r="C1016">
        <v>-2.3922487237000198</v>
      </c>
      <c r="D1016">
        <v>0</v>
      </c>
      <c r="E1016">
        <v>6.7773990223822999E-3</v>
      </c>
      <c r="F1016" t="str">
        <f>"22/26"</f>
        <v>22/26</v>
      </c>
      <c r="G1016" s="10">
        <v>0.4556</v>
      </c>
    </row>
    <row r="1017" spans="1:7" x14ac:dyDescent="0.2">
      <c r="A1017" s="1" t="s">
        <v>124</v>
      </c>
      <c r="B1017" t="s">
        <v>818</v>
      </c>
      <c r="C1017">
        <v>2.3883265733774102</v>
      </c>
      <c r="D1017">
        <v>0</v>
      </c>
      <c r="E1017">
        <v>6.1489731861067596E-3</v>
      </c>
      <c r="F1017" t="str">
        <f>"53/72"</f>
        <v>53/72</v>
      </c>
      <c r="G1017" s="10">
        <v>0.47160000000000002</v>
      </c>
    </row>
    <row r="1018" spans="1:7" x14ac:dyDescent="0.2">
      <c r="A1018" s="1" t="s">
        <v>124</v>
      </c>
      <c r="B1018" t="s">
        <v>538</v>
      </c>
      <c r="C1018">
        <v>-2.3871445103290099</v>
      </c>
      <c r="D1018">
        <v>0</v>
      </c>
      <c r="E1018">
        <v>7.4482930670221603E-3</v>
      </c>
      <c r="F1018" t="str">
        <f>"50/77"</f>
        <v>50/77</v>
      </c>
      <c r="G1018" s="10">
        <v>0.42059999999999997</v>
      </c>
    </row>
    <row r="1019" spans="1:7" x14ac:dyDescent="0.2">
      <c r="A1019" s="1" t="s">
        <v>124</v>
      </c>
      <c r="B1019" t="s">
        <v>1146</v>
      </c>
      <c r="C1019">
        <v>2.3836075784127999</v>
      </c>
      <c r="D1019">
        <v>0</v>
      </c>
      <c r="E1019">
        <v>6.2949602038205998E-3</v>
      </c>
      <c r="F1019" t="str">
        <f>"10/31"</f>
        <v>10/31</v>
      </c>
      <c r="G1019" s="10">
        <v>4.7600000000000003E-2</v>
      </c>
    </row>
    <row r="1020" spans="1:7" x14ac:dyDescent="0.2">
      <c r="A1020" s="1" t="s">
        <v>124</v>
      </c>
      <c r="B1020" t="s">
        <v>669</v>
      </c>
      <c r="C1020">
        <v>2.3769515769022802</v>
      </c>
      <c r="D1020">
        <v>0</v>
      </c>
      <c r="E1020">
        <v>6.3567857058224103E-3</v>
      </c>
      <c r="F1020" t="str">
        <f>"41/49"</f>
        <v>41/49</v>
      </c>
      <c r="G1020" s="10">
        <v>0.50109999999999999</v>
      </c>
    </row>
    <row r="1021" spans="1:7" x14ac:dyDescent="0.2">
      <c r="A1021" s="1" t="s">
        <v>124</v>
      </c>
      <c r="B1021" t="s">
        <v>668</v>
      </c>
      <c r="C1021">
        <v>2.3769515769022802</v>
      </c>
      <c r="D1021">
        <v>0</v>
      </c>
      <c r="E1021">
        <v>6.3567857058224103E-3</v>
      </c>
      <c r="F1021" t="str">
        <f>"41/49"</f>
        <v>41/49</v>
      </c>
      <c r="G1021" s="10">
        <v>0.50109999999999999</v>
      </c>
    </row>
    <row r="1022" spans="1:7" x14ac:dyDescent="0.2">
      <c r="A1022" s="1" t="s">
        <v>124</v>
      </c>
      <c r="B1022" t="s">
        <v>259</v>
      </c>
      <c r="C1022">
        <v>2.3659786814035</v>
      </c>
      <c r="D1022">
        <v>0</v>
      </c>
      <c r="E1022">
        <v>6.6030468804626104E-3</v>
      </c>
      <c r="F1022" t="str">
        <f>"21/34"</f>
        <v>21/34</v>
      </c>
      <c r="G1022" s="10">
        <v>0.27710000000000001</v>
      </c>
    </row>
    <row r="1023" spans="1:7" x14ac:dyDescent="0.2">
      <c r="A1023" s="1" t="s">
        <v>124</v>
      </c>
      <c r="B1023" t="s">
        <v>1147</v>
      </c>
      <c r="C1023">
        <v>2.3611816008510398</v>
      </c>
      <c r="D1023">
        <v>0</v>
      </c>
      <c r="E1023">
        <v>6.5225219185057496E-3</v>
      </c>
      <c r="F1023" t="str">
        <f>"27/31"</f>
        <v>27/31</v>
      </c>
      <c r="G1023" s="10">
        <v>0.45490000000000003</v>
      </c>
    </row>
    <row r="1024" spans="1:7" x14ac:dyDescent="0.2">
      <c r="A1024" s="1" t="s">
        <v>124</v>
      </c>
      <c r="B1024" t="s">
        <v>540</v>
      </c>
      <c r="C1024">
        <v>2.3592127761342598</v>
      </c>
      <c r="D1024">
        <v>0</v>
      </c>
      <c r="E1024">
        <v>6.5495756337513797E-3</v>
      </c>
      <c r="F1024" t="str">
        <f>"62/114"</f>
        <v>62/114</v>
      </c>
      <c r="G1024" s="10">
        <v>0.32429999999999998</v>
      </c>
    </row>
    <row r="1025" spans="1:7" x14ac:dyDescent="0.2">
      <c r="A1025" s="1" t="s">
        <v>124</v>
      </c>
      <c r="B1025" t="s">
        <v>754</v>
      </c>
      <c r="C1025">
        <v>2.3590075240192001</v>
      </c>
      <c r="D1025">
        <v>0</v>
      </c>
      <c r="E1025">
        <v>6.4716044952543399E-3</v>
      </c>
      <c r="F1025" t="str">
        <f>"101/171"</f>
        <v>101/171</v>
      </c>
      <c r="G1025" s="10">
        <v>0.39600000000000002</v>
      </c>
    </row>
    <row r="1026" spans="1:7" x14ac:dyDescent="0.2">
      <c r="A1026" s="1" t="s">
        <v>124</v>
      </c>
      <c r="B1026" t="s">
        <v>605</v>
      </c>
      <c r="C1026">
        <v>2.3567357438513601</v>
      </c>
      <c r="D1026">
        <v>0</v>
      </c>
      <c r="E1026">
        <v>6.6017733902253E-3</v>
      </c>
      <c r="F1026" t="str">
        <f>"221/245"</f>
        <v>221/245</v>
      </c>
      <c r="G1026" s="10">
        <v>0.71079999999999999</v>
      </c>
    </row>
    <row r="1027" spans="1:7" x14ac:dyDescent="0.2">
      <c r="A1027" s="1" t="s">
        <v>124</v>
      </c>
      <c r="B1027" t="s">
        <v>575</v>
      </c>
      <c r="C1027">
        <v>2.3561627715698399</v>
      </c>
      <c r="D1027">
        <v>0</v>
      </c>
      <c r="E1027">
        <v>6.5250085833622202E-3</v>
      </c>
      <c r="F1027" t="str">
        <f>"230/270"</f>
        <v>230/270</v>
      </c>
      <c r="G1027" s="10">
        <v>0.67230000000000001</v>
      </c>
    </row>
    <row r="1028" spans="1:7" x14ac:dyDescent="0.2">
      <c r="A1028" s="1" t="s">
        <v>124</v>
      </c>
      <c r="B1028" t="s">
        <v>897</v>
      </c>
      <c r="C1028">
        <v>2.3556107920902001</v>
      </c>
      <c r="D1028">
        <v>0</v>
      </c>
      <c r="E1028">
        <v>6.4500084847028804E-3</v>
      </c>
      <c r="F1028" t="str">
        <f>"20/28"</f>
        <v>20/28</v>
      </c>
      <c r="G1028" s="10">
        <v>0.3201</v>
      </c>
    </row>
    <row r="1029" spans="1:7" x14ac:dyDescent="0.2">
      <c r="A1029" s="1" t="s">
        <v>124</v>
      </c>
      <c r="B1029" t="s">
        <v>1148</v>
      </c>
      <c r="C1029">
        <v>2.3343947789618702</v>
      </c>
      <c r="D1029">
        <v>0</v>
      </c>
      <c r="E1029">
        <v>7.57234660881666E-3</v>
      </c>
      <c r="F1029" t="str">
        <f>"14/40"</f>
        <v>14/40</v>
      </c>
      <c r="G1029" s="10">
        <v>0.11940000000000001</v>
      </c>
    </row>
    <row r="1030" spans="1:7" x14ac:dyDescent="0.2">
      <c r="A1030" s="1" t="s">
        <v>124</v>
      </c>
      <c r="B1030" t="s">
        <v>617</v>
      </c>
      <c r="C1030">
        <v>2.31513498227805</v>
      </c>
      <c r="D1030">
        <v>0</v>
      </c>
      <c r="E1030">
        <v>8.5709470190863998E-3</v>
      </c>
      <c r="F1030" t="str">
        <f>"154/167"</f>
        <v>154/167</v>
      </c>
      <c r="G1030" s="10">
        <v>0.71220000000000006</v>
      </c>
    </row>
    <row r="1031" spans="1:7" x14ac:dyDescent="0.2">
      <c r="A1031" s="1" t="s">
        <v>124</v>
      </c>
      <c r="B1031" t="s">
        <v>618</v>
      </c>
      <c r="C1031">
        <v>2.31344690232301</v>
      </c>
      <c r="D1031">
        <v>0</v>
      </c>
      <c r="E1031">
        <v>8.5731362775842493E-3</v>
      </c>
      <c r="F1031" t="str">
        <f>"392/465"</f>
        <v>392/465</v>
      </c>
      <c r="G1031" s="10">
        <v>0.69110000000000005</v>
      </c>
    </row>
    <row r="1032" spans="1:7" x14ac:dyDescent="0.2">
      <c r="A1032" s="1" t="s">
        <v>124</v>
      </c>
      <c r="B1032" t="s">
        <v>1149</v>
      </c>
      <c r="C1032">
        <v>2.3016058653864899</v>
      </c>
      <c r="D1032">
        <v>0</v>
      </c>
      <c r="E1032">
        <v>9.7314946008043007E-3</v>
      </c>
      <c r="F1032" t="str">
        <f>"19/49"</f>
        <v>19/49</v>
      </c>
      <c r="G1032" s="10">
        <v>0.17019999999999999</v>
      </c>
    </row>
    <row r="1033" spans="1:7" x14ac:dyDescent="0.2">
      <c r="A1033" s="1" t="s">
        <v>126</v>
      </c>
      <c r="B1033" t="s">
        <v>515</v>
      </c>
      <c r="C1033">
        <v>-7.2404674402007299</v>
      </c>
      <c r="D1033">
        <v>0</v>
      </c>
      <c r="E1033">
        <v>0</v>
      </c>
      <c r="F1033" t="str">
        <f>"136/203"</f>
        <v>136/203</v>
      </c>
      <c r="G1033" s="10">
        <v>0.25090000000000001</v>
      </c>
    </row>
    <row r="1034" spans="1:7" x14ac:dyDescent="0.2">
      <c r="A1034" s="1" t="s">
        <v>126</v>
      </c>
      <c r="B1034" t="s">
        <v>514</v>
      </c>
      <c r="C1034">
        <v>-7.2367108008537198</v>
      </c>
      <c r="D1034">
        <v>0</v>
      </c>
      <c r="E1034">
        <v>0</v>
      </c>
      <c r="F1034" t="str">
        <f>"137/202"</f>
        <v>137/202</v>
      </c>
      <c r="G1034" s="10">
        <v>0.25090000000000001</v>
      </c>
    </row>
    <row r="1035" spans="1:7" x14ac:dyDescent="0.2">
      <c r="A1035" s="1" t="s">
        <v>126</v>
      </c>
      <c r="B1035" t="s">
        <v>347</v>
      </c>
      <c r="C1035">
        <v>-7.1861972536252896</v>
      </c>
      <c r="D1035">
        <v>0</v>
      </c>
      <c r="E1035">
        <v>0</v>
      </c>
      <c r="F1035" t="str">
        <f>"180/277"</f>
        <v>180/277</v>
      </c>
      <c r="G1035" s="10">
        <v>0.25669999999999998</v>
      </c>
    </row>
    <row r="1036" spans="1:7" x14ac:dyDescent="0.2">
      <c r="A1036" s="1" t="s">
        <v>126</v>
      </c>
      <c r="B1036" t="s">
        <v>516</v>
      </c>
      <c r="C1036">
        <v>-5.5415816374204603</v>
      </c>
      <c r="D1036">
        <v>0</v>
      </c>
      <c r="E1036">
        <v>0</v>
      </c>
      <c r="F1036" t="str">
        <f>"270/368"</f>
        <v>270/368</v>
      </c>
      <c r="G1036" s="10">
        <v>0.51160000000000005</v>
      </c>
    </row>
    <row r="1037" spans="1:7" x14ac:dyDescent="0.2">
      <c r="A1037" s="1" t="s">
        <v>126</v>
      </c>
      <c r="B1037" t="s">
        <v>346</v>
      </c>
      <c r="C1037">
        <v>-5.08457027781155</v>
      </c>
      <c r="D1037">
        <v>0</v>
      </c>
      <c r="E1037">
        <v>0</v>
      </c>
      <c r="F1037" t="str">
        <f>"342/454"</f>
        <v>342/454</v>
      </c>
      <c r="G1037" s="10">
        <v>0.57399999999999995</v>
      </c>
    </row>
    <row r="1038" spans="1:7" x14ac:dyDescent="0.2">
      <c r="A1038" s="1" t="s">
        <v>126</v>
      </c>
      <c r="B1038" t="s">
        <v>341</v>
      </c>
      <c r="C1038">
        <v>-4.96577704901628</v>
      </c>
      <c r="D1038">
        <v>0</v>
      </c>
      <c r="E1038">
        <v>0</v>
      </c>
      <c r="F1038" t="str">
        <f>"339/448"</f>
        <v>339/448</v>
      </c>
      <c r="G1038" s="10">
        <v>0.57399999999999995</v>
      </c>
    </row>
    <row r="1039" spans="1:7" x14ac:dyDescent="0.2">
      <c r="A1039" s="1" t="s">
        <v>126</v>
      </c>
      <c r="B1039" t="s">
        <v>343</v>
      </c>
      <c r="C1039">
        <v>-4.8235399029895802</v>
      </c>
      <c r="D1039">
        <v>0</v>
      </c>
      <c r="E1039">
        <v>0</v>
      </c>
      <c r="F1039" t="str">
        <f>"341/452"</f>
        <v>341/452</v>
      </c>
      <c r="G1039" s="10">
        <v>0.57399999999999995</v>
      </c>
    </row>
    <row r="1040" spans="1:7" x14ac:dyDescent="0.2">
      <c r="A1040" s="1" t="s">
        <v>126</v>
      </c>
      <c r="B1040" t="s">
        <v>968</v>
      </c>
      <c r="C1040">
        <v>-4.5253908873740496</v>
      </c>
      <c r="D1040">
        <v>0</v>
      </c>
      <c r="E1040">
        <v>0</v>
      </c>
      <c r="F1040" t="str">
        <f>"320/381"</f>
        <v>320/381</v>
      </c>
      <c r="G1040" s="10">
        <v>0.62</v>
      </c>
    </row>
    <row r="1041" spans="1:7" x14ac:dyDescent="0.2">
      <c r="A1041" s="1" t="s">
        <v>126</v>
      </c>
      <c r="B1041" t="s">
        <v>337</v>
      </c>
      <c r="C1041">
        <v>-4.4812974738699998</v>
      </c>
      <c r="D1041">
        <v>0</v>
      </c>
      <c r="E1041">
        <v>0</v>
      </c>
      <c r="F1041" t="str">
        <f>"60/87"</f>
        <v>60/87</v>
      </c>
      <c r="G1041" s="10">
        <v>0.25600000000000001</v>
      </c>
    </row>
    <row r="1042" spans="1:7" x14ac:dyDescent="0.2">
      <c r="A1042" s="1" t="s">
        <v>126</v>
      </c>
      <c r="B1042" t="s">
        <v>519</v>
      </c>
      <c r="C1042">
        <v>-4.3853328254559703</v>
      </c>
      <c r="D1042">
        <v>0</v>
      </c>
      <c r="E1042">
        <v>0</v>
      </c>
      <c r="F1042" t="str">
        <f>"69/89"</f>
        <v>69/89</v>
      </c>
      <c r="G1042" s="10">
        <v>0.40189999999999998</v>
      </c>
    </row>
    <row r="1043" spans="1:7" x14ac:dyDescent="0.2">
      <c r="A1043" s="1" t="s">
        <v>126</v>
      </c>
      <c r="B1043" t="s">
        <v>723</v>
      </c>
      <c r="C1043">
        <v>-4.3736576488206804</v>
      </c>
      <c r="D1043">
        <v>0</v>
      </c>
      <c r="E1043">
        <v>0</v>
      </c>
      <c r="F1043" t="str">
        <f>"83/115"</f>
        <v>83/115</v>
      </c>
      <c r="G1043" s="10">
        <v>0.39450000000000002</v>
      </c>
    </row>
    <row r="1044" spans="1:7" x14ac:dyDescent="0.2">
      <c r="A1044" s="1" t="s">
        <v>126</v>
      </c>
      <c r="B1044" t="s">
        <v>1150</v>
      </c>
      <c r="C1044">
        <v>-4.3444717310497802</v>
      </c>
      <c r="D1044">
        <v>0</v>
      </c>
      <c r="E1044">
        <v>0</v>
      </c>
      <c r="F1044" t="str">
        <f>"93/140"</f>
        <v>93/140</v>
      </c>
      <c r="G1044" s="10">
        <v>0.36890000000000001</v>
      </c>
    </row>
    <row r="1045" spans="1:7" x14ac:dyDescent="0.2">
      <c r="A1045" s="1" t="s">
        <v>126</v>
      </c>
      <c r="B1045" t="s">
        <v>1151</v>
      </c>
      <c r="C1045">
        <v>-4.2080609949704204</v>
      </c>
      <c r="D1045">
        <v>0</v>
      </c>
      <c r="E1045">
        <v>0</v>
      </c>
      <c r="F1045" t="str">
        <f>"30/36"</f>
        <v>30/36</v>
      </c>
      <c r="G1045" s="10">
        <v>0.2419</v>
      </c>
    </row>
    <row r="1046" spans="1:7" x14ac:dyDescent="0.2">
      <c r="A1046" s="1" t="s">
        <v>126</v>
      </c>
      <c r="B1046" t="s">
        <v>526</v>
      </c>
      <c r="C1046">
        <v>-4.1499392120799996</v>
      </c>
      <c r="D1046">
        <v>0</v>
      </c>
      <c r="E1046">
        <v>0</v>
      </c>
      <c r="F1046" t="str">
        <f>"150/206"</f>
        <v>150/206</v>
      </c>
      <c r="G1046" s="10">
        <v>0.51160000000000005</v>
      </c>
    </row>
    <row r="1047" spans="1:7" x14ac:dyDescent="0.2">
      <c r="A1047" s="1" t="s">
        <v>126</v>
      </c>
      <c r="B1047" t="s">
        <v>909</v>
      </c>
      <c r="C1047">
        <v>-3.9804507707427899</v>
      </c>
      <c r="D1047">
        <v>0</v>
      </c>
      <c r="E1047">
        <v>0</v>
      </c>
      <c r="F1047" t="str">
        <f>"24/29"</f>
        <v>24/29</v>
      </c>
      <c r="G1047" s="10">
        <v>0.22700000000000001</v>
      </c>
    </row>
    <row r="1048" spans="1:7" x14ac:dyDescent="0.2">
      <c r="A1048" s="1" t="s">
        <v>126</v>
      </c>
      <c r="B1048" t="s">
        <v>589</v>
      </c>
      <c r="C1048">
        <v>-3.9168627276834802</v>
      </c>
      <c r="D1048">
        <v>0</v>
      </c>
      <c r="E1048">
        <v>0</v>
      </c>
      <c r="F1048" t="str">
        <f>"42/51"</f>
        <v>42/51</v>
      </c>
      <c r="G1048" s="10">
        <v>0.3896</v>
      </c>
    </row>
    <row r="1049" spans="1:7" x14ac:dyDescent="0.2">
      <c r="A1049" s="1" t="s">
        <v>126</v>
      </c>
      <c r="B1049" t="s">
        <v>521</v>
      </c>
      <c r="C1049">
        <v>-3.89058285933227</v>
      </c>
      <c r="D1049">
        <v>0</v>
      </c>
      <c r="E1049">
        <v>0</v>
      </c>
      <c r="F1049" t="str">
        <f>"23/29"</f>
        <v>23/29</v>
      </c>
      <c r="G1049" s="10">
        <v>0.1885</v>
      </c>
    </row>
    <row r="1050" spans="1:7" x14ac:dyDescent="0.2">
      <c r="A1050" s="1" t="s">
        <v>126</v>
      </c>
      <c r="B1050" t="s">
        <v>1152</v>
      </c>
      <c r="C1050">
        <v>-3.88417008628018</v>
      </c>
      <c r="D1050">
        <v>0</v>
      </c>
      <c r="E1050">
        <v>0</v>
      </c>
      <c r="F1050" t="str">
        <f>"223/247"</f>
        <v>223/247</v>
      </c>
      <c r="G1050" s="10">
        <v>0.73340000000000005</v>
      </c>
    </row>
    <row r="1051" spans="1:7" x14ac:dyDescent="0.2">
      <c r="A1051" s="1" t="s">
        <v>126</v>
      </c>
      <c r="B1051" t="s">
        <v>522</v>
      </c>
      <c r="C1051">
        <v>-3.8758247547820499</v>
      </c>
      <c r="D1051">
        <v>0</v>
      </c>
      <c r="E1051">
        <v>0</v>
      </c>
      <c r="F1051" t="str">
        <f>"219/368"</f>
        <v>219/368</v>
      </c>
      <c r="G1051" s="10">
        <v>0.41770000000000002</v>
      </c>
    </row>
    <row r="1052" spans="1:7" x14ac:dyDescent="0.2">
      <c r="A1052" s="1" t="s">
        <v>126</v>
      </c>
      <c r="B1052" t="s">
        <v>642</v>
      </c>
      <c r="C1052">
        <v>-3.87420879593471</v>
      </c>
      <c r="D1052">
        <v>0</v>
      </c>
      <c r="E1052">
        <v>0</v>
      </c>
      <c r="F1052" t="str">
        <f>"87/90"</f>
        <v>87/90</v>
      </c>
      <c r="G1052" s="10">
        <v>0.62719999999999998</v>
      </c>
    </row>
    <row r="1053" spans="1:7" x14ac:dyDescent="0.2">
      <c r="A1053" s="1" t="s">
        <v>126</v>
      </c>
      <c r="B1053" t="s">
        <v>593</v>
      </c>
      <c r="C1053">
        <v>-3.7612881791826802</v>
      </c>
      <c r="D1053">
        <v>0</v>
      </c>
      <c r="E1053">
        <v>0</v>
      </c>
      <c r="F1053" t="str">
        <f>"90/94"</f>
        <v>90/94</v>
      </c>
      <c r="G1053" s="10">
        <v>0.63170000000000004</v>
      </c>
    </row>
    <row r="1054" spans="1:7" x14ac:dyDescent="0.2">
      <c r="A1054" s="1" t="s">
        <v>126</v>
      </c>
      <c r="B1054" t="s">
        <v>533</v>
      </c>
      <c r="C1054">
        <v>-3.6733840334975598</v>
      </c>
      <c r="D1054">
        <v>0</v>
      </c>
      <c r="E1054">
        <v>0</v>
      </c>
      <c r="F1054" t="str">
        <f>"87/181"</f>
        <v>87/181</v>
      </c>
      <c r="G1054" s="10">
        <v>0.25840000000000002</v>
      </c>
    </row>
    <row r="1055" spans="1:7" x14ac:dyDescent="0.2">
      <c r="A1055" s="1" t="s">
        <v>126</v>
      </c>
      <c r="B1055" t="s">
        <v>520</v>
      </c>
      <c r="C1055">
        <v>-3.6656539242327799</v>
      </c>
      <c r="D1055">
        <v>0</v>
      </c>
      <c r="E1055">
        <v>0</v>
      </c>
      <c r="F1055" t="str">
        <f>"82/127"</f>
        <v>82/127</v>
      </c>
      <c r="G1055" s="10">
        <v>0.32079999999999997</v>
      </c>
    </row>
    <row r="1056" spans="1:7" x14ac:dyDescent="0.2">
      <c r="A1056" s="1" t="s">
        <v>126</v>
      </c>
      <c r="B1056" t="s">
        <v>694</v>
      </c>
      <c r="C1056">
        <v>-3.6395328126463098</v>
      </c>
      <c r="D1056">
        <v>0</v>
      </c>
      <c r="E1056">
        <v>0</v>
      </c>
      <c r="F1056" t="str">
        <f>"88/93"</f>
        <v>88/93</v>
      </c>
      <c r="G1056" s="10">
        <v>0.63590000000000002</v>
      </c>
    </row>
    <row r="1057" spans="1:7" x14ac:dyDescent="0.2">
      <c r="A1057" s="1" t="s">
        <v>126</v>
      </c>
      <c r="B1057" t="s">
        <v>676</v>
      </c>
      <c r="C1057">
        <v>-3.6332928640948898</v>
      </c>
      <c r="D1057">
        <v>0</v>
      </c>
      <c r="E1057">
        <v>0</v>
      </c>
      <c r="F1057" t="str">
        <f>"97/102"</f>
        <v>97/102</v>
      </c>
      <c r="G1057" s="10">
        <v>0.64739999999999998</v>
      </c>
    </row>
    <row r="1058" spans="1:7" x14ac:dyDescent="0.2">
      <c r="A1058" s="1" t="s">
        <v>126</v>
      </c>
      <c r="B1058" t="s">
        <v>556</v>
      </c>
      <c r="C1058">
        <v>-3.6003144911963099</v>
      </c>
      <c r="D1058">
        <v>0</v>
      </c>
      <c r="E1058">
        <v>0</v>
      </c>
      <c r="F1058" t="str">
        <f>"89/134"</f>
        <v>89/134</v>
      </c>
      <c r="G1058" s="10">
        <v>0.3821</v>
      </c>
    </row>
    <row r="1059" spans="1:7" x14ac:dyDescent="0.2">
      <c r="A1059" s="1" t="s">
        <v>126</v>
      </c>
      <c r="B1059" t="s">
        <v>524</v>
      </c>
      <c r="C1059">
        <v>-3.5768363344257499</v>
      </c>
      <c r="D1059">
        <v>0</v>
      </c>
      <c r="E1059">
        <v>0</v>
      </c>
      <c r="F1059" t="str">
        <f>"80/118"</f>
        <v>80/118</v>
      </c>
      <c r="G1059" s="10">
        <v>0.376</v>
      </c>
    </row>
    <row r="1060" spans="1:7" x14ac:dyDescent="0.2">
      <c r="A1060" s="1" t="s">
        <v>126</v>
      </c>
      <c r="B1060" t="s">
        <v>530</v>
      </c>
      <c r="C1060">
        <v>-3.57289064166013</v>
      </c>
      <c r="D1060">
        <v>0</v>
      </c>
      <c r="E1060">
        <v>0</v>
      </c>
      <c r="F1060" t="str">
        <f>"42/58"</f>
        <v>42/58</v>
      </c>
      <c r="G1060" s="10">
        <v>0.32569999999999999</v>
      </c>
    </row>
    <row r="1061" spans="1:7" x14ac:dyDescent="0.2">
      <c r="A1061" s="1" t="s">
        <v>126</v>
      </c>
      <c r="B1061" t="s">
        <v>1153</v>
      </c>
      <c r="C1061">
        <v>-3.5609617849232098</v>
      </c>
      <c r="D1061">
        <v>0</v>
      </c>
      <c r="E1061">
        <v>0</v>
      </c>
      <c r="F1061" t="str">
        <f>"16/17"</f>
        <v>16/17</v>
      </c>
      <c r="G1061" s="10">
        <v>0.29430000000000001</v>
      </c>
    </row>
    <row r="1062" spans="1:7" x14ac:dyDescent="0.2">
      <c r="A1062" s="1" t="s">
        <v>126</v>
      </c>
      <c r="B1062" t="s">
        <v>304</v>
      </c>
      <c r="C1062">
        <v>-3.53850212885279</v>
      </c>
      <c r="D1062">
        <v>0</v>
      </c>
      <c r="E1062">
        <v>0</v>
      </c>
      <c r="F1062" t="str">
        <f>"92/136"</f>
        <v>92/136</v>
      </c>
      <c r="G1062" s="10">
        <v>0.41149999999999998</v>
      </c>
    </row>
    <row r="1063" spans="1:7" x14ac:dyDescent="0.2">
      <c r="A1063" s="1" t="s">
        <v>126</v>
      </c>
      <c r="B1063" t="s">
        <v>554</v>
      </c>
      <c r="C1063">
        <v>3.53649137627731</v>
      </c>
      <c r="D1063">
        <v>0</v>
      </c>
      <c r="E1063">
        <v>0</v>
      </c>
      <c r="F1063" t="str">
        <f>"182/190"</f>
        <v>182/190</v>
      </c>
      <c r="G1063" s="10">
        <v>0.69450000000000001</v>
      </c>
    </row>
    <row r="1064" spans="1:7" x14ac:dyDescent="0.2">
      <c r="A1064" s="1" t="s">
        <v>126</v>
      </c>
      <c r="B1064" t="s">
        <v>553</v>
      </c>
      <c r="C1064">
        <v>-3.4898959303414698</v>
      </c>
      <c r="D1064">
        <v>0</v>
      </c>
      <c r="E1064">
        <v>0</v>
      </c>
      <c r="F1064" t="str">
        <f>"21/28"</f>
        <v>21/28</v>
      </c>
      <c r="G1064" s="10">
        <v>0.23449999999999999</v>
      </c>
    </row>
    <row r="1065" spans="1:7" x14ac:dyDescent="0.2">
      <c r="A1065" s="1" t="s">
        <v>126</v>
      </c>
      <c r="B1065" t="s">
        <v>517</v>
      </c>
      <c r="C1065">
        <v>3.4582385549635899</v>
      </c>
      <c r="D1065">
        <v>0</v>
      </c>
      <c r="E1065">
        <v>0</v>
      </c>
      <c r="F1065" t="str">
        <f>"249/265"</f>
        <v>249/265</v>
      </c>
      <c r="G1065" s="10">
        <v>0.70379999999999998</v>
      </c>
    </row>
    <row r="1066" spans="1:7" x14ac:dyDescent="0.2">
      <c r="A1066" s="1" t="s">
        <v>126</v>
      </c>
      <c r="B1066" t="s">
        <v>578</v>
      </c>
      <c r="C1066">
        <v>3.4542931387935201</v>
      </c>
      <c r="D1066">
        <v>0</v>
      </c>
      <c r="E1066">
        <v>0</v>
      </c>
      <c r="F1066" t="str">
        <f>"175/192"</f>
        <v>175/192</v>
      </c>
      <c r="G1066" s="10">
        <v>0.65059999999999996</v>
      </c>
    </row>
    <row r="1067" spans="1:7" x14ac:dyDescent="0.2">
      <c r="A1067" s="1" t="s">
        <v>126</v>
      </c>
      <c r="B1067" t="s">
        <v>518</v>
      </c>
      <c r="C1067">
        <v>3.4505134610575001</v>
      </c>
      <c r="D1067">
        <v>0</v>
      </c>
      <c r="E1067">
        <v>0</v>
      </c>
      <c r="F1067" t="str">
        <f>"269/287"</f>
        <v>269/287</v>
      </c>
      <c r="G1067" s="10">
        <v>0.70379999999999998</v>
      </c>
    </row>
    <row r="1068" spans="1:7" x14ac:dyDescent="0.2">
      <c r="A1068" s="1" t="s">
        <v>126</v>
      </c>
      <c r="B1068" t="s">
        <v>537</v>
      </c>
      <c r="C1068">
        <v>-3.4464184448438901</v>
      </c>
      <c r="D1068">
        <v>0</v>
      </c>
      <c r="E1068">
        <v>0</v>
      </c>
      <c r="F1068" t="str">
        <f>"33/46"</f>
        <v>33/46</v>
      </c>
      <c r="G1068" s="10">
        <v>0.27160000000000001</v>
      </c>
    </row>
    <row r="1069" spans="1:7" x14ac:dyDescent="0.2">
      <c r="A1069" s="1" t="s">
        <v>126</v>
      </c>
      <c r="B1069" t="s">
        <v>708</v>
      </c>
      <c r="C1069">
        <v>-3.4311338250194598</v>
      </c>
      <c r="D1069">
        <v>0</v>
      </c>
      <c r="E1069">
        <v>0</v>
      </c>
      <c r="F1069" t="str">
        <f>"38/51"</f>
        <v>38/51</v>
      </c>
      <c r="G1069" s="10">
        <v>0.34720000000000001</v>
      </c>
    </row>
    <row r="1070" spans="1:7" x14ac:dyDescent="0.2">
      <c r="A1070" s="1" t="s">
        <v>126</v>
      </c>
      <c r="B1070" t="s">
        <v>571</v>
      </c>
      <c r="C1070">
        <v>3.41037781296773</v>
      </c>
      <c r="D1070">
        <v>0</v>
      </c>
      <c r="E1070">
        <v>0</v>
      </c>
      <c r="F1070" t="str">
        <f>"180/187"</f>
        <v>180/187</v>
      </c>
      <c r="G1070" s="10">
        <v>0.69059999999999999</v>
      </c>
    </row>
    <row r="1071" spans="1:7" x14ac:dyDescent="0.2">
      <c r="A1071" s="1" t="s">
        <v>126</v>
      </c>
      <c r="B1071" t="s">
        <v>525</v>
      </c>
      <c r="C1071">
        <v>3.4062288975419599</v>
      </c>
      <c r="D1071">
        <v>0</v>
      </c>
      <c r="E1071">
        <v>0</v>
      </c>
      <c r="F1071" t="str">
        <f>"309/339"</f>
        <v>309/339</v>
      </c>
      <c r="G1071" s="10">
        <v>0.7026</v>
      </c>
    </row>
    <row r="1072" spans="1:7" x14ac:dyDescent="0.2">
      <c r="A1072" s="1" t="s">
        <v>126</v>
      </c>
      <c r="B1072" t="s">
        <v>1154</v>
      </c>
      <c r="C1072">
        <v>-3.3984722644313901</v>
      </c>
      <c r="D1072">
        <v>0</v>
      </c>
      <c r="E1072">
        <v>0</v>
      </c>
      <c r="F1072" t="str">
        <f>"15/15"</f>
        <v>15/15</v>
      </c>
      <c r="G1072" s="10">
        <v>0.29430000000000001</v>
      </c>
    </row>
    <row r="1073" spans="1:7" x14ac:dyDescent="0.2">
      <c r="A1073" s="1" t="s">
        <v>126</v>
      </c>
      <c r="B1073" t="s">
        <v>620</v>
      </c>
      <c r="C1073">
        <v>-3.3844048419559498</v>
      </c>
      <c r="D1073">
        <v>0</v>
      </c>
      <c r="E1073">
        <v>0</v>
      </c>
      <c r="F1073" t="str">
        <f>"50/77"</f>
        <v>50/77</v>
      </c>
      <c r="G1073" s="10">
        <v>0.31109999999999999</v>
      </c>
    </row>
    <row r="1074" spans="1:7" x14ac:dyDescent="0.2">
      <c r="A1074" s="1" t="s">
        <v>126</v>
      </c>
      <c r="B1074" t="s">
        <v>1046</v>
      </c>
      <c r="C1074">
        <v>-3.3746481682165199</v>
      </c>
      <c r="D1074">
        <v>0</v>
      </c>
      <c r="E1074">
        <v>0</v>
      </c>
      <c r="F1074" t="str">
        <f>"332/379"</f>
        <v>332/379</v>
      </c>
      <c r="G1074" s="10">
        <v>0.7389</v>
      </c>
    </row>
    <row r="1075" spans="1:7" x14ac:dyDescent="0.2">
      <c r="A1075" s="1" t="s">
        <v>126</v>
      </c>
      <c r="B1075" t="s">
        <v>547</v>
      </c>
      <c r="C1075">
        <v>-3.3479038630035798</v>
      </c>
      <c r="D1075">
        <v>0</v>
      </c>
      <c r="E1075">
        <v>0</v>
      </c>
      <c r="F1075" t="str">
        <f>"130/210"</f>
        <v>130/210</v>
      </c>
      <c r="G1075" s="10">
        <v>0.3826</v>
      </c>
    </row>
    <row r="1076" spans="1:7" x14ac:dyDescent="0.2">
      <c r="A1076" s="1" t="s">
        <v>126</v>
      </c>
      <c r="B1076" t="s">
        <v>567</v>
      </c>
      <c r="C1076">
        <v>3.3371166992126402</v>
      </c>
      <c r="D1076">
        <v>0</v>
      </c>
      <c r="E1076">
        <v>0</v>
      </c>
      <c r="F1076" t="str">
        <f>"159/171"</f>
        <v>159/171</v>
      </c>
      <c r="G1076" s="10">
        <v>0.64949999999999997</v>
      </c>
    </row>
    <row r="1077" spans="1:7" x14ac:dyDescent="0.2">
      <c r="A1077" s="1" t="s">
        <v>126</v>
      </c>
      <c r="B1077" t="s">
        <v>684</v>
      </c>
      <c r="C1077">
        <v>-3.3352894995256399</v>
      </c>
      <c r="D1077">
        <v>0</v>
      </c>
      <c r="E1077">
        <v>0</v>
      </c>
      <c r="F1077" t="str">
        <f>"59/91"</f>
        <v>59/91</v>
      </c>
      <c r="G1077" s="10">
        <v>0.38009999999999999</v>
      </c>
    </row>
    <row r="1078" spans="1:7" x14ac:dyDescent="0.2">
      <c r="A1078" s="1" t="s">
        <v>126</v>
      </c>
      <c r="B1078" t="s">
        <v>771</v>
      </c>
      <c r="C1078">
        <v>-3.3310898543611702</v>
      </c>
      <c r="D1078">
        <v>0</v>
      </c>
      <c r="E1078">
        <v>0</v>
      </c>
      <c r="F1078" t="str">
        <f>"34/57"</f>
        <v>34/57</v>
      </c>
      <c r="G1078" s="10">
        <v>0.2286</v>
      </c>
    </row>
    <row r="1079" spans="1:7" x14ac:dyDescent="0.2">
      <c r="A1079" s="1" t="s">
        <v>126</v>
      </c>
      <c r="B1079" t="s">
        <v>523</v>
      </c>
      <c r="C1079">
        <v>3.3223256901534599</v>
      </c>
      <c r="D1079">
        <v>0</v>
      </c>
      <c r="E1079">
        <v>0</v>
      </c>
      <c r="F1079" t="str">
        <f>"228/242"</f>
        <v>228/242</v>
      </c>
      <c r="G1079" s="10">
        <v>0.70379999999999998</v>
      </c>
    </row>
    <row r="1080" spans="1:7" x14ac:dyDescent="0.2">
      <c r="A1080" s="1" t="s">
        <v>126</v>
      </c>
      <c r="B1080" t="s">
        <v>538</v>
      </c>
      <c r="C1080">
        <v>-3.3185898496311701</v>
      </c>
      <c r="D1080">
        <v>0</v>
      </c>
      <c r="E1080">
        <v>0</v>
      </c>
      <c r="F1080" t="str">
        <f>"59/77"</f>
        <v>59/77</v>
      </c>
      <c r="G1080" s="10">
        <v>0.4446</v>
      </c>
    </row>
    <row r="1081" spans="1:7" x14ac:dyDescent="0.2">
      <c r="A1081" s="1" t="s">
        <v>126</v>
      </c>
      <c r="B1081" t="s">
        <v>698</v>
      </c>
      <c r="C1081">
        <v>-3.2744026830650999</v>
      </c>
      <c r="D1081">
        <v>0</v>
      </c>
      <c r="E1081">
        <v>0</v>
      </c>
      <c r="F1081" t="str">
        <f>"101/162"</f>
        <v>101/162</v>
      </c>
      <c r="G1081" s="10">
        <v>0.39589999999999997</v>
      </c>
    </row>
    <row r="1082" spans="1:7" x14ac:dyDescent="0.2">
      <c r="A1082" s="1" t="s">
        <v>126</v>
      </c>
      <c r="B1082" t="s">
        <v>596</v>
      </c>
      <c r="C1082">
        <v>3.2585484117154699</v>
      </c>
      <c r="D1082">
        <v>0</v>
      </c>
      <c r="E1082">
        <v>0</v>
      </c>
      <c r="F1082" t="str">
        <f>"154/159"</f>
        <v>154/159</v>
      </c>
      <c r="G1082" s="10">
        <v>0.69059999999999999</v>
      </c>
    </row>
    <row r="1083" spans="1:7" x14ac:dyDescent="0.2">
      <c r="A1083" s="1" t="s">
        <v>126</v>
      </c>
      <c r="B1083" t="s">
        <v>639</v>
      </c>
      <c r="C1083">
        <v>3.2445641188504899</v>
      </c>
      <c r="D1083">
        <v>0</v>
      </c>
      <c r="E1083">
        <v>0</v>
      </c>
      <c r="F1083" t="str">
        <f>"157/166"</f>
        <v>157/166</v>
      </c>
      <c r="G1083" s="10">
        <v>0.69489999999999996</v>
      </c>
    </row>
    <row r="1084" spans="1:7" x14ac:dyDescent="0.2">
      <c r="A1084" s="1" t="s">
        <v>126</v>
      </c>
      <c r="B1084" t="s">
        <v>982</v>
      </c>
      <c r="C1084">
        <v>-3.2233550374451898</v>
      </c>
      <c r="D1084">
        <v>0</v>
      </c>
      <c r="E1084">
        <v>0</v>
      </c>
      <c r="F1084" t="str">
        <f>"304/343"</f>
        <v>304/343</v>
      </c>
      <c r="G1084" s="10">
        <v>0.74429999999999996</v>
      </c>
    </row>
    <row r="1085" spans="1:7" x14ac:dyDescent="0.2">
      <c r="A1085" s="1" t="s">
        <v>126</v>
      </c>
      <c r="B1085" t="s">
        <v>534</v>
      </c>
      <c r="C1085">
        <v>-3.2166345295005598</v>
      </c>
      <c r="D1085">
        <v>0</v>
      </c>
      <c r="E1085">
        <v>0</v>
      </c>
      <c r="F1085" t="str">
        <f>"24/38"</f>
        <v>24/38</v>
      </c>
      <c r="G1085" s="10">
        <v>0.1845</v>
      </c>
    </row>
    <row r="1086" spans="1:7" x14ac:dyDescent="0.2">
      <c r="A1086" s="1" t="s">
        <v>126</v>
      </c>
      <c r="B1086" t="s">
        <v>595</v>
      </c>
      <c r="C1086">
        <v>-3.2143221310705901</v>
      </c>
      <c r="D1086">
        <v>0</v>
      </c>
      <c r="E1086">
        <v>0</v>
      </c>
      <c r="F1086" t="str">
        <f>"39/50"</f>
        <v>39/50</v>
      </c>
      <c r="G1086" s="10">
        <v>0.3876</v>
      </c>
    </row>
    <row r="1087" spans="1:7" x14ac:dyDescent="0.2">
      <c r="A1087" s="1" t="s">
        <v>126</v>
      </c>
      <c r="B1087" t="s">
        <v>529</v>
      </c>
      <c r="C1087">
        <v>3.21392611686074</v>
      </c>
      <c r="D1087">
        <v>0</v>
      </c>
      <c r="E1087">
        <v>0</v>
      </c>
      <c r="F1087" t="str">
        <f>"245/270"</f>
        <v>245/270</v>
      </c>
      <c r="G1087" s="10">
        <v>0.69720000000000004</v>
      </c>
    </row>
    <row r="1088" spans="1:7" x14ac:dyDescent="0.2">
      <c r="A1088" s="1" t="s">
        <v>126</v>
      </c>
      <c r="B1088" t="s">
        <v>575</v>
      </c>
      <c r="C1088">
        <v>3.1950416047213999</v>
      </c>
      <c r="D1088">
        <v>0</v>
      </c>
      <c r="E1088">
        <v>0</v>
      </c>
      <c r="F1088" t="str">
        <f>"254/280"</f>
        <v>254/280</v>
      </c>
      <c r="G1088" s="10">
        <v>0.69720000000000004</v>
      </c>
    </row>
    <row r="1089" spans="1:7" x14ac:dyDescent="0.2">
      <c r="A1089" s="1" t="s">
        <v>126</v>
      </c>
      <c r="B1089" t="s">
        <v>1155</v>
      </c>
      <c r="C1089">
        <v>-3.1916717299328798</v>
      </c>
      <c r="D1089">
        <v>0</v>
      </c>
      <c r="E1089">
        <v>0</v>
      </c>
      <c r="F1089" t="str">
        <f>"13/15"</f>
        <v>13/15</v>
      </c>
      <c r="G1089" s="10">
        <v>0.1716</v>
      </c>
    </row>
    <row r="1090" spans="1:7" x14ac:dyDescent="0.2">
      <c r="A1090" s="1" t="s">
        <v>126</v>
      </c>
      <c r="B1090" t="s">
        <v>895</v>
      </c>
      <c r="C1090">
        <v>-3.1913025178125398</v>
      </c>
      <c r="D1090">
        <v>0</v>
      </c>
      <c r="E1090">
        <v>0</v>
      </c>
      <c r="F1090" t="str">
        <f>"330/388"</f>
        <v>330/388</v>
      </c>
      <c r="G1090" s="10">
        <v>0.7127</v>
      </c>
    </row>
    <row r="1091" spans="1:7" x14ac:dyDescent="0.2">
      <c r="A1091" s="1" t="s">
        <v>126</v>
      </c>
      <c r="B1091" t="s">
        <v>1156</v>
      </c>
      <c r="C1091">
        <v>-3.1855808529354301</v>
      </c>
      <c r="D1091">
        <v>0</v>
      </c>
      <c r="E1091">
        <v>0</v>
      </c>
      <c r="F1091" t="str">
        <f>"178/194"</f>
        <v>178/194</v>
      </c>
      <c r="G1091" s="10">
        <v>0.73340000000000005</v>
      </c>
    </row>
    <row r="1092" spans="1:7" x14ac:dyDescent="0.2">
      <c r="A1092" s="1" t="s">
        <v>126</v>
      </c>
      <c r="B1092" t="s">
        <v>549</v>
      </c>
      <c r="C1092">
        <v>-3.1850803558417899</v>
      </c>
      <c r="D1092">
        <v>0</v>
      </c>
      <c r="E1092">
        <v>0</v>
      </c>
      <c r="F1092" t="str">
        <f>"21/28"</f>
        <v>21/28</v>
      </c>
      <c r="G1092" s="10">
        <v>0.24229999999999999</v>
      </c>
    </row>
    <row r="1093" spans="1:7" x14ac:dyDescent="0.2">
      <c r="A1093" s="1" t="s">
        <v>126</v>
      </c>
      <c r="B1093" t="s">
        <v>307</v>
      </c>
      <c r="C1093">
        <v>-3.1716590051815601</v>
      </c>
      <c r="D1093">
        <v>0</v>
      </c>
      <c r="E1093">
        <v>0</v>
      </c>
      <c r="F1093" t="str">
        <f>"22/25"</f>
        <v>22/25</v>
      </c>
      <c r="G1093" s="10">
        <v>0.39389999999999997</v>
      </c>
    </row>
    <row r="1094" spans="1:7" x14ac:dyDescent="0.2">
      <c r="A1094" s="1" t="s">
        <v>126</v>
      </c>
      <c r="B1094" t="s">
        <v>532</v>
      </c>
      <c r="C1094">
        <v>-3.1676604944319302</v>
      </c>
      <c r="D1094">
        <v>0</v>
      </c>
      <c r="E1094">
        <v>0</v>
      </c>
      <c r="F1094" t="str">
        <f>"23/32"</f>
        <v>23/32</v>
      </c>
      <c r="G1094" s="10">
        <v>0.25240000000000001</v>
      </c>
    </row>
    <row r="1095" spans="1:7" x14ac:dyDescent="0.2">
      <c r="A1095" s="1" t="s">
        <v>126</v>
      </c>
      <c r="B1095" t="s">
        <v>583</v>
      </c>
      <c r="C1095">
        <v>-3.1546175264072298</v>
      </c>
      <c r="D1095">
        <v>0</v>
      </c>
      <c r="E1095">
        <v>0</v>
      </c>
      <c r="F1095" t="str">
        <f>"26/38"</f>
        <v>26/38</v>
      </c>
      <c r="G1095" s="10">
        <v>0.23350000000000001</v>
      </c>
    </row>
    <row r="1096" spans="1:7" x14ac:dyDescent="0.2">
      <c r="A1096" s="1" t="s">
        <v>126</v>
      </c>
      <c r="B1096" t="s">
        <v>697</v>
      </c>
      <c r="C1096">
        <v>3.1530564391268698</v>
      </c>
      <c r="D1096">
        <v>0</v>
      </c>
      <c r="E1096">
        <v>0</v>
      </c>
      <c r="F1096" t="str">
        <f>"109/112"</f>
        <v>109/112</v>
      </c>
      <c r="G1096" s="10">
        <v>0.69489999999999996</v>
      </c>
    </row>
    <row r="1097" spans="1:7" x14ac:dyDescent="0.2">
      <c r="A1097" s="1" t="s">
        <v>126</v>
      </c>
      <c r="B1097" t="s">
        <v>1157</v>
      </c>
      <c r="C1097">
        <v>-3.1461652139529499</v>
      </c>
      <c r="D1097">
        <v>0</v>
      </c>
      <c r="E1097">
        <v>0</v>
      </c>
      <c r="F1097" t="str">
        <f>"16/16"</f>
        <v>16/16</v>
      </c>
      <c r="G1097" s="10">
        <v>0.36130000000000001</v>
      </c>
    </row>
    <row r="1098" spans="1:7" x14ac:dyDescent="0.2">
      <c r="A1098" s="1" t="s">
        <v>126</v>
      </c>
      <c r="B1098" t="s">
        <v>539</v>
      </c>
      <c r="C1098">
        <v>3.1232473291159799</v>
      </c>
      <c r="D1098">
        <v>0</v>
      </c>
      <c r="E1098">
        <v>0</v>
      </c>
      <c r="F1098" t="str">
        <f>"269/302"</f>
        <v>269/302</v>
      </c>
      <c r="G1098" s="10">
        <v>0.69730000000000003</v>
      </c>
    </row>
    <row r="1099" spans="1:7" x14ac:dyDescent="0.2">
      <c r="A1099" s="1" t="s">
        <v>126</v>
      </c>
      <c r="B1099" t="s">
        <v>528</v>
      </c>
      <c r="C1099">
        <v>-3.1137737368135698</v>
      </c>
      <c r="D1099">
        <v>0</v>
      </c>
      <c r="E1099">
        <v>0</v>
      </c>
      <c r="F1099" t="str">
        <f>"178/252"</f>
        <v>178/252</v>
      </c>
      <c r="G1099" s="10">
        <v>0.51160000000000005</v>
      </c>
    </row>
    <row r="1100" spans="1:7" x14ac:dyDescent="0.2">
      <c r="A1100" s="1" t="s">
        <v>126</v>
      </c>
      <c r="B1100" t="s">
        <v>651</v>
      </c>
      <c r="C1100">
        <v>-3.1095463628222899</v>
      </c>
      <c r="D1100">
        <v>0</v>
      </c>
      <c r="E1100">
        <v>0</v>
      </c>
      <c r="F1100" t="str">
        <f>"60/99"</f>
        <v>60/99</v>
      </c>
      <c r="G1100" s="10">
        <v>0.33019999999999999</v>
      </c>
    </row>
    <row r="1101" spans="1:7" x14ac:dyDescent="0.2">
      <c r="A1101" s="1" t="s">
        <v>126</v>
      </c>
      <c r="B1101" t="s">
        <v>1070</v>
      </c>
      <c r="C1101">
        <v>-3.1057808112815501</v>
      </c>
      <c r="D1101">
        <v>0</v>
      </c>
      <c r="E1101">
        <v>0</v>
      </c>
      <c r="F1101" t="str">
        <f>"108/121"</f>
        <v>108/121</v>
      </c>
      <c r="G1101" s="10">
        <v>0.67520000000000002</v>
      </c>
    </row>
    <row r="1102" spans="1:7" x14ac:dyDescent="0.2">
      <c r="A1102" s="1" t="s">
        <v>126</v>
      </c>
      <c r="B1102" t="s">
        <v>560</v>
      </c>
      <c r="C1102">
        <v>-3.0998995369607298</v>
      </c>
      <c r="D1102">
        <v>0</v>
      </c>
      <c r="E1102">
        <v>0</v>
      </c>
      <c r="F1102" t="str">
        <f>"49/96"</f>
        <v>49/96</v>
      </c>
      <c r="G1102" s="10">
        <v>0.24909999999999999</v>
      </c>
    </row>
    <row r="1103" spans="1:7" x14ac:dyDescent="0.2">
      <c r="A1103" s="1" t="s">
        <v>126</v>
      </c>
      <c r="B1103" t="s">
        <v>750</v>
      </c>
      <c r="C1103">
        <v>-3.0901817141932599</v>
      </c>
      <c r="D1103">
        <v>0</v>
      </c>
      <c r="E1103">
        <v>0</v>
      </c>
      <c r="F1103" t="str">
        <f>"40/53"</f>
        <v>40/53</v>
      </c>
      <c r="G1103" s="10">
        <v>0.39389999999999997</v>
      </c>
    </row>
    <row r="1104" spans="1:7" x14ac:dyDescent="0.2">
      <c r="A1104" s="1" t="s">
        <v>126</v>
      </c>
      <c r="B1104" t="s">
        <v>1158</v>
      </c>
      <c r="C1104">
        <v>-3.0799027204333802</v>
      </c>
      <c r="D1104">
        <v>0</v>
      </c>
      <c r="E1104">
        <v>0</v>
      </c>
      <c r="F1104" t="str">
        <f>"245/279"</f>
        <v>245/279</v>
      </c>
      <c r="G1104" s="10">
        <v>0.7389</v>
      </c>
    </row>
    <row r="1105" spans="1:7" x14ac:dyDescent="0.2">
      <c r="A1105" s="1" t="s">
        <v>126</v>
      </c>
      <c r="B1105" t="s">
        <v>898</v>
      </c>
      <c r="C1105">
        <v>-3.0655767880121099</v>
      </c>
      <c r="D1105">
        <v>0</v>
      </c>
      <c r="E1105">
        <v>0</v>
      </c>
      <c r="F1105" t="str">
        <f>"164/294"</f>
        <v>164/294</v>
      </c>
      <c r="G1105" s="10">
        <v>0.4022</v>
      </c>
    </row>
    <row r="1106" spans="1:7" x14ac:dyDescent="0.2">
      <c r="A1106" s="1" t="s">
        <v>126</v>
      </c>
      <c r="B1106" t="s">
        <v>745</v>
      </c>
      <c r="C1106">
        <v>-3.0429800507226998</v>
      </c>
      <c r="D1106">
        <v>0</v>
      </c>
      <c r="E1106">
        <v>0</v>
      </c>
      <c r="F1106" t="str">
        <f>"43/88"</f>
        <v>43/88</v>
      </c>
      <c r="G1106" s="10">
        <v>0.1893</v>
      </c>
    </row>
    <row r="1107" spans="1:7" x14ac:dyDescent="0.2">
      <c r="A1107" s="1" t="s">
        <v>126</v>
      </c>
      <c r="B1107" t="s">
        <v>1127</v>
      </c>
      <c r="C1107">
        <v>-3.0416673159293199</v>
      </c>
      <c r="D1107">
        <v>0</v>
      </c>
      <c r="E1107">
        <v>0</v>
      </c>
      <c r="F1107" t="str">
        <f>"255/286"</f>
        <v>255/286</v>
      </c>
      <c r="G1107" s="10">
        <v>0.73919999999999997</v>
      </c>
    </row>
    <row r="1108" spans="1:7" x14ac:dyDescent="0.2">
      <c r="A1108" s="1" t="s">
        <v>126</v>
      </c>
      <c r="B1108" t="s">
        <v>535</v>
      </c>
      <c r="C1108">
        <v>3.0402753231402402</v>
      </c>
      <c r="D1108">
        <v>0</v>
      </c>
      <c r="E1108">
        <v>0</v>
      </c>
      <c r="F1108" t="str">
        <f>"105/127"</f>
        <v>105/127</v>
      </c>
      <c r="G1108" s="10">
        <v>0.5726</v>
      </c>
    </row>
    <row r="1109" spans="1:7" x14ac:dyDescent="0.2">
      <c r="A1109" s="1" t="s">
        <v>126</v>
      </c>
      <c r="B1109" t="s">
        <v>784</v>
      </c>
      <c r="C1109">
        <v>-3.0233222389185799</v>
      </c>
      <c r="D1109">
        <v>0</v>
      </c>
      <c r="E1109">
        <v>0</v>
      </c>
      <c r="F1109" t="str">
        <f>"44/83"</f>
        <v>44/83</v>
      </c>
      <c r="G1109" s="10">
        <v>0.2419</v>
      </c>
    </row>
    <row r="1110" spans="1:7" x14ac:dyDescent="0.2">
      <c r="A1110" s="1" t="s">
        <v>126</v>
      </c>
      <c r="B1110" t="s">
        <v>602</v>
      </c>
      <c r="C1110">
        <v>-3.0221429212498201</v>
      </c>
      <c r="D1110">
        <v>0</v>
      </c>
      <c r="E1110">
        <v>0</v>
      </c>
      <c r="F1110" t="str">
        <f>"72/109"</f>
        <v>72/109</v>
      </c>
      <c r="G1110" s="10">
        <v>0.40150000000000002</v>
      </c>
    </row>
    <row r="1111" spans="1:7" x14ac:dyDescent="0.2">
      <c r="A1111" s="1" t="s">
        <v>126</v>
      </c>
      <c r="B1111" t="s">
        <v>548</v>
      </c>
      <c r="C1111">
        <v>-3.01354974836753</v>
      </c>
      <c r="D1111">
        <v>0</v>
      </c>
      <c r="E1111">
        <v>0</v>
      </c>
      <c r="F1111" t="str">
        <f>"75/111"</f>
        <v>75/111</v>
      </c>
      <c r="G1111" s="10">
        <v>0.41149999999999998</v>
      </c>
    </row>
    <row r="1112" spans="1:7" x14ac:dyDescent="0.2">
      <c r="A1112" s="1" t="s">
        <v>126</v>
      </c>
      <c r="B1112" t="s">
        <v>885</v>
      </c>
      <c r="C1112">
        <v>-3.0060139714331</v>
      </c>
      <c r="D1112">
        <v>0</v>
      </c>
      <c r="E1112">
        <v>0</v>
      </c>
      <c r="F1112" t="str">
        <f>"46/66"</f>
        <v>46/66</v>
      </c>
      <c r="G1112" s="10">
        <v>0.39510000000000001</v>
      </c>
    </row>
    <row r="1113" spans="1:7" x14ac:dyDescent="0.2">
      <c r="A1113" s="1" t="s">
        <v>126</v>
      </c>
      <c r="B1113" t="s">
        <v>563</v>
      </c>
      <c r="C1113">
        <v>-3.0024165377587102</v>
      </c>
      <c r="D1113">
        <v>0</v>
      </c>
      <c r="E1113">
        <v>0</v>
      </c>
      <c r="F1113" t="str">
        <f>"32/50"</f>
        <v>32/50</v>
      </c>
      <c r="G1113" s="10">
        <v>0.29599999999999999</v>
      </c>
    </row>
    <row r="1114" spans="1:7" x14ac:dyDescent="0.2">
      <c r="A1114" s="1" t="s">
        <v>126</v>
      </c>
      <c r="B1114" t="s">
        <v>558</v>
      </c>
      <c r="C1114">
        <v>-2.9879947095388899</v>
      </c>
      <c r="D1114">
        <v>0</v>
      </c>
      <c r="E1114">
        <v>0</v>
      </c>
      <c r="F1114" t="str">
        <f>"65/110"</f>
        <v>65/110</v>
      </c>
      <c r="G1114" s="10">
        <v>0.33639999999999998</v>
      </c>
    </row>
    <row r="1115" spans="1:7" x14ac:dyDescent="0.2">
      <c r="A1115" s="1" t="s">
        <v>126</v>
      </c>
      <c r="B1115" t="s">
        <v>625</v>
      </c>
      <c r="C1115">
        <v>2.9869599340937998</v>
      </c>
      <c r="D1115">
        <v>0</v>
      </c>
      <c r="E1115">
        <v>0</v>
      </c>
      <c r="F1115" t="str">
        <f>"314/360"</f>
        <v>314/360</v>
      </c>
      <c r="G1115" s="10">
        <v>0.70150000000000001</v>
      </c>
    </row>
    <row r="1116" spans="1:7" x14ac:dyDescent="0.2">
      <c r="A1116" s="1" t="s">
        <v>126</v>
      </c>
      <c r="B1116" t="s">
        <v>727</v>
      </c>
      <c r="C1116">
        <v>-2.9844428647787402</v>
      </c>
      <c r="D1116">
        <v>0</v>
      </c>
      <c r="E1116">
        <v>0</v>
      </c>
      <c r="F1116" t="str">
        <f>"74/91"</f>
        <v>74/91</v>
      </c>
      <c r="G1116" s="10">
        <v>0.57779999999999998</v>
      </c>
    </row>
    <row r="1117" spans="1:7" x14ac:dyDescent="0.2">
      <c r="A1117" s="1" t="s">
        <v>126</v>
      </c>
      <c r="B1117" t="s">
        <v>816</v>
      </c>
      <c r="C1117">
        <v>-2.9832622873615802</v>
      </c>
      <c r="D1117">
        <v>0</v>
      </c>
      <c r="E1117">
        <v>0</v>
      </c>
      <c r="F1117" t="str">
        <f>"33/57"</f>
        <v>33/57</v>
      </c>
      <c r="G1117" s="10">
        <v>0.2286</v>
      </c>
    </row>
    <row r="1118" spans="1:7" x14ac:dyDescent="0.2">
      <c r="A1118" s="1" t="s">
        <v>126</v>
      </c>
      <c r="B1118" t="s">
        <v>584</v>
      </c>
      <c r="C1118">
        <v>2.9818695018649199</v>
      </c>
      <c r="D1118">
        <v>0</v>
      </c>
      <c r="E1118">
        <v>0</v>
      </c>
      <c r="F1118" t="str">
        <f>"87/108"</f>
        <v>87/108</v>
      </c>
      <c r="G1118" s="10">
        <v>0.51819999999999999</v>
      </c>
    </row>
    <row r="1119" spans="1:7" x14ac:dyDescent="0.2">
      <c r="A1119" s="1" t="s">
        <v>126</v>
      </c>
      <c r="B1119" t="s">
        <v>542</v>
      </c>
      <c r="C1119">
        <v>2.96405153132857</v>
      </c>
      <c r="D1119">
        <v>0</v>
      </c>
      <c r="E1119">
        <v>0</v>
      </c>
      <c r="F1119" t="str">
        <f>"283/334"</f>
        <v>283/334</v>
      </c>
      <c r="G1119" s="10">
        <v>0.66590000000000005</v>
      </c>
    </row>
    <row r="1120" spans="1:7" x14ac:dyDescent="0.2">
      <c r="A1120" s="1" t="s">
        <v>126</v>
      </c>
      <c r="B1120" t="s">
        <v>1159</v>
      </c>
      <c r="C1120">
        <v>-2.9577598565027299</v>
      </c>
      <c r="D1120">
        <v>0</v>
      </c>
      <c r="E1120">
        <v>0</v>
      </c>
      <c r="F1120" t="str">
        <f>"119/190"</f>
        <v>119/190</v>
      </c>
      <c r="G1120" s="10">
        <v>0.43780000000000002</v>
      </c>
    </row>
    <row r="1121" spans="1:7" x14ac:dyDescent="0.2">
      <c r="A1121" s="1" t="s">
        <v>126</v>
      </c>
      <c r="B1121" t="s">
        <v>645</v>
      </c>
      <c r="C1121">
        <v>2.95156397845789</v>
      </c>
      <c r="D1121">
        <v>0</v>
      </c>
      <c r="E1121">
        <v>0</v>
      </c>
      <c r="F1121" t="str">
        <f>"116/129"</f>
        <v>116/129</v>
      </c>
      <c r="G1121" s="10">
        <v>0.65039999999999998</v>
      </c>
    </row>
    <row r="1122" spans="1:7" x14ac:dyDescent="0.2">
      <c r="A1122" s="1" t="s">
        <v>126</v>
      </c>
      <c r="B1122" t="s">
        <v>839</v>
      </c>
      <c r="C1122">
        <v>-2.94414985824756</v>
      </c>
      <c r="D1122">
        <v>0</v>
      </c>
      <c r="E1122">
        <v>0</v>
      </c>
      <c r="F1122" t="str">
        <f>"43/49"</f>
        <v>43/49</v>
      </c>
      <c r="G1122" s="10">
        <v>0.56679999999999997</v>
      </c>
    </row>
    <row r="1123" spans="1:7" x14ac:dyDescent="0.2">
      <c r="A1123" s="1" t="s">
        <v>126</v>
      </c>
      <c r="B1123" t="s">
        <v>1160</v>
      </c>
      <c r="C1123">
        <v>-2.94228551729586</v>
      </c>
      <c r="D1123">
        <v>0</v>
      </c>
      <c r="E1123">
        <v>0</v>
      </c>
      <c r="F1123" t="str">
        <f>"35/46"</f>
        <v>35/46</v>
      </c>
      <c r="G1123" s="10">
        <v>0.40739999999999998</v>
      </c>
    </row>
    <row r="1124" spans="1:7" x14ac:dyDescent="0.2">
      <c r="A1124" s="1" t="s">
        <v>126</v>
      </c>
      <c r="B1124" t="s">
        <v>297</v>
      </c>
      <c r="C1124">
        <v>-2.9411371077963802</v>
      </c>
      <c r="D1124">
        <v>0</v>
      </c>
      <c r="E1124">
        <v>0</v>
      </c>
      <c r="F1124" t="str">
        <f>"33/59"</f>
        <v>33/59</v>
      </c>
      <c r="G1124" s="10">
        <v>0.22789999999999999</v>
      </c>
    </row>
    <row r="1125" spans="1:7" x14ac:dyDescent="0.2">
      <c r="A1125" s="1" t="s">
        <v>126</v>
      </c>
      <c r="B1125" t="s">
        <v>931</v>
      </c>
      <c r="C1125">
        <v>-2.94099113511077</v>
      </c>
      <c r="D1125">
        <v>0</v>
      </c>
      <c r="E1125">
        <v>0</v>
      </c>
      <c r="F1125" t="str">
        <f>"183/236"</f>
        <v>183/236</v>
      </c>
      <c r="G1125" s="10">
        <v>0.61240000000000006</v>
      </c>
    </row>
    <row r="1126" spans="1:7" x14ac:dyDescent="0.2">
      <c r="A1126" s="1" t="s">
        <v>126</v>
      </c>
      <c r="B1126" t="s">
        <v>681</v>
      </c>
      <c r="C1126">
        <v>-2.9328711925401101</v>
      </c>
      <c r="D1126">
        <v>0</v>
      </c>
      <c r="E1126">
        <v>0</v>
      </c>
      <c r="F1126" t="str">
        <f>"35/67"</f>
        <v>35/67</v>
      </c>
      <c r="G1126" s="10">
        <v>0.21149999999999999</v>
      </c>
    </row>
    <row r="1127" spans="1:7" x14ac:dyDescent="0.2">
      <c r="A1127" s="1" t="s">
        <v>126</v>
      </c>
      <c r="B1127" t="s">
        <v>531</v>
      </c>
      <c r="C1127">
        <v>-2.9218400478462399</v>
      </c>
      <c r="D1127">
        <v>0</v>
      </c>
      <c r="E1127">
        <v>0</v>
      </c>
      <c r="F1127" t="str">
        <f>"18/26"</f>
        <v>18/26</v>
      </c>
      <c r="G1127" s="10">
        <v>0.1845</v>
      </c>
    </row>
    <row r="1128" spans="1:7" x14ac:dyDescent="0.2">
      <c r="A1128" s="1" t="s">
        <v>126</v>
      </c>
      <c r="B1128" t="s">
        <v>657</v>
      </c>
      <c r="C1128">
        <v>-2.9208494220753098</v>
      </c>
      <c r="D1128">
        <v>0</v>
      </c>
      <c r="E1128">
        <v>0</v>
      </c>
      <c r="F1128" t="str">
        <f>"31/52"</f>
        <v>31/52</v>
      </c>
      <c r="G1128" s="10">
        <v>0.24229999999999999</v>
      </c>
    </row>
    <row r="1129" spans="1:7" x14ac:dyDescent="0.2">
      <c r="A1129" s="1" t="s">
        <v>126</v>
      </c>
      <c r="B1129" t="s">
        <v>12</v>
      </c>
      <c r="C1129">
        <v>2.9181029067245201</v>
      </c>
      <c r="D1129">
        <v>0</v>
      </c>
      <c r="E1129">
        <v>0</v>
      </c>
      <c r="F1129" t="str">
        <f>"132/174"</f>
        <v>132/174</v>
      </c>
      <c r="G1129" s="10">
        <v>0.55369999999999997</v>
      </c>
    </row>
    <row r="1130" spans="1:7" x14ac:dyDescent="0.2">
      <c r="A1130" s="1" t="s">
        <v>126</v>
      </c>
      <c r="B1130" t="s">
        <v>717</v>
      </c>
      <c r="C1130">
        <v>-2.9179637636009299</v>
      </c>
      <c r="D1130">
        <v>0</v>
      </c>
      <c r="E1130">
        <v>0</v>
      </c>
      <c r="F1130" t="str">
        <f>"35/62"</f>
        <v>35/62</v>
      </c>
      <c r="G1130" s="10">
        <v>0.24349999999999999</v>
      </c>
    </row>
    <row r="1131" spans="1:7" x14ac:dyDescent="0.2">
      <c r="A1131" s="1" t="s">
        <v>126</v>
      </c>
      <c r="B1131" t="s">
        <v>580</v>
      </c>
      <c r="C1131">
        <v>-2.9179082709591899</v>
      </c>
      <c r="D1131">
        <v>0</v>
      </c>
      <c r="E1131">
        <v>0</v>
      </c>
      <c r="F1131" t="str">
        <f>"83/175"</f>
        <v>83/175</v>
      </c>
      <c r="G1131" s="10">
        <v>0.24049999999999999</v>
      </c>
    </row>
    <row r="1132" spans="1:7" x14ac:dyDescent="0.2">
      <c r="A1132" s="1" t="s">
        <v>126</v>
      </c>
      <c r="B1132" t="s">
        <v>705</v>
      </c>
      <c r="C1132">
        <v>-2.91649326759415</v>
      </c>
      <c r="D1132">
        <v>0</v>
      </c>
      <c r="E1132">
        <v>0</v>
      </c>
      <c r="F1132" t="str">
        <f>"19/22"</f>
        <v>19/22</v>
      </c>
      <c r="G1132" s="10">
        <v>0.3896</v>
      </c>
    </row>
    <row r="1133" spans="1:7" x14ac:dyDescent="0.2">
      <c r="A1133" s="1" t="s">
        <v>126</v>
      </c>
      <c r="B1133" t="s">
        <v>630</v>
      </c>
      <c r="C1133">
        <v>-2.9144399539421499</v>
      </c>
      <c r="D1133">
        <v>0</v>
      </c>
      <c r="E1133">
        <v>0</v>
      </c>
      <c r="F1133" t="str">
        <f>"33/49"</f>
        <v>33/49</v>
      </c>
      <c r="G1133" s="10">
        <v>0.32369999999999999</v>
      </c>
    </row>
    <row r="1134" spans="1:7" x14ac:dyDescent="0.2">
      <c r="A1134" s="1" t="s">
        <v>126</v>
      </c>
      <c r="B1134" t="s">
        <v>606</v>
      </c>
      <c r="C1134">
        <v>2.9142356628427901</v>
      </c>
      <c r="D1134">
        <v>0</v>
      </c>
      <c r="E1134">
        <v>0</v>
      </c>
      <c r="F1134" t="str">
        <f>"132/153"</f>
        <v>132/153</v>
      </c>
      <c r="G1134" s="10">
        <v>0.62609999999999999</v>
      </c>
    </row>
    <row r="1135" spans="1:7" x14ac:dyDescent="0.2">
      <c r="A1135" s="1" t="s">
        <v>126</v>
      </c>
      <c r="B1135" t="s">
        <v>546</v>
      </c>
      <c r="C1135">
        <v>2.9141459780824199</v>
      </c>
      <c r="D1135">
        <v>0</v>
      </c>
      <c r="E1135">
        <v>0</v>
      </c>
      <c r="F1135" t="str">
        <f>"155/180"</f>
        <v>155/180</v>
      </c>
      <c r="G1135" s="10">
        <v>0.63990000000000002</v>
      </c>
    </row>
    <row r="1136" spans="1:7" x14ac:dyDescent="0.2">
      <c r="A1136" s="1" t="s">
        <v>126</v>
      </c>
      <c r="B1136" t="s">
        <v>1161</v>
      </c>
      <c r="C1136">
        <v>-2.90888891618168</v>
      </c>
      <c r="D1136">
        <v>0</v>
      </c>
      <c r="E1136">
        <v>0</v>
      </c>
      <c r="F1136" t="str">
        <f>"41/47"</f>
        <v>41/47</v>
      </c>
      <c r="G1136" s="10">
        <v>0.55010000000000003</v>
      </c>
    </row>
    <row r="1137" spans="1:7" x14ac:dyDescent="0.2">
      <c r="A1137" s="1" t="s">
        <v>126</v>
      </c>
      <c r="B1137" t="s">
        <v>767</v>
      </c>
      <c r="C1137">
        <v>-2.8955272448298799</v>
      </c>
      <c r="D1137">
        <v>0</v>
      </c>
      <c r="E1137">
        <v>0</v>
      </c>
      <c r="F1137" t="str">
        <f>"29/38"</f>
        <v>29/38</v>
      </c>
      <c r="G1137" s="10">
        <v>0.36130000000000001</v>
      </c>
    </row>
    <row r="1138" spans="1:7" x14ac:dyDescent="0.2">
      <c r="A1138" s="1" t="s">
        <v>126</v>
      </c>
      <c r="B1138" t="s">
        <v>637</v>
      </c>
      <c r="C1138">
        <v>-2.89168842413422</v>
      </c>
      <c r="D1138">
        <v>0</v>
      </c>
      <c r="E1138">
        <v>0</v>
      </c>
      <c r="F1138" t="str">
        <f>"69/84"</f>
        <v>69/84</v>
      </c>
      <c r="G1138" s="10">
        <v>0.57069999999999999</v>
      </c>
    </row>
    <row r="1139" spans="1:7" x14ac:dyDescent="0.2">
      <c r="A1139" s="1" t="s">
        <v>126</v>
      </c>
      <c r="B1139" t="s">
        <v>605</v>
      </c>
      <c r="C1139">
        <v>2.8781877974305798</v>
      </c>
      <c r="D1139">
        <v>0</v>
      </c>
      <c r="E1139">
        <v>0</v>
      </c>
      <c r="F1139" t="str">
        <f>"217/245"</f>
        <v>217/245</v>
      </c>
      <c r="G1139" s="10">
        <v>0.69840000000000002</v>
      </c>
    </row>
    <row r="1140" spans="1:7" x14ac:dyDescent="0.2">
      <c r="A1140" s="1" t="s">
        <v>126</v>
      </c>
      <c r="B1140" t="s">
        <v>576</v>
      </c>
      <c r="C1140">
        <v>2.8470071096468099</v>
      </c>
      <c r="D1140">
        <v>0</v>
      </c>
      <c r="E1140">
        <v>5.1767490016269696E-4</v>
      </c>
      <c r="F1140" t="str">
        <f>"106/127"</f>
        <v>106/127</v>
      </c>
      <c r="G1140" s="10">
        <v>0.59889999999999999</v>
      </c>
    </row>
    <row r="1141" spans="1:7" x14ac:dyDescent="0.2">
      <c r="A1141" s="1" t="s">
        <v>126</v>
      </c>
      <c r="B1141" t="s">
        <v>312</v>
      </c>
      <c r="C1141">
        <v>-2.8453563065415199</v>
      </c>
      <c r="D1141">
        <v>0</v>
      </c>
      <c r="E1141">
        <v>0</v>
      </c>
      <c r="F1141" t="str">
        <f>"22/33"</f>
        <v>22/33</v>
      </c>
      <c r="G1141" s="10">
        <v>0.25380000000000003</v>
      </c>
    </row>
    <row r="1142" spans="1:7" x14ac:dyDescent="0.2">
      <c r="A1142" s="1" t="s">
        <v>126</v>
      </c>
      <c r="B1142" t="s">
        <v>1162</v>
      </c>
      <c r="C1142">
        <v>-2.8273442279044998</v>
      </c>
      <c r="D1142">
        <v>0</v>
      </c>
      <c r="E1142">
        <v>2.22508233693494E-4</v>
      </c>
      <c r="F1142" t="str">
        <f>"390/459"</f>
        <v>390/459</v>
      </c>
      <c r="G1142" s="10">
        <v>0.76949999999999996</v>
      </c>
    </row>
    <row r="1143" spans="1:7" x14ac:dyDescent="0.2">
      <c r="A1143" s="1" t="s">
        <v>126</v>
      </c>
      <c r="B1143" t="s">
        <v>914</v>
      </c>
      <c r="C1143">
        <v>-2.8265208051673598</v>
      </c>
      <c r="D1143">
        <v>0</v>
      </c>
      <c r="E1143">
        <v>2.1995066778897099E-4</v>
      </c>
      <c r="F1143" t="str">
        <f>"61/82"</f>
        <v>61/82</v>
      </c>
      <c r="G1143" s="10">
        <v>0.49340000000000001</v>
      </c>
    </row>
    <row r="1144" spans="1:7" x14ac:dyDescent="0.2">
      <c r="A1144" s="1" t="s">
        <v>126</v>
      </c>
      <c r="B1144" t="s">
        <v>906</v>
      </c>
      <c r="C1144">
        <v>-2.8249201241384698</v>
      </c>
      <c r="D1144">
        <v>0</v>
      </c>
      <c r="E1144">
        <v>2.17451228382278E-4</v>
      </c>
      <c r="F1144" t="str">
        <f>"47/100"</f>
        <v>47/100</v>
      </c>
      <c r="G1144" s="10">
        <v>0.22489999999999999</v>
      </c>
    </row>
    <row r="1145" spans="1:7" x14ac:dyDescent="0.2">
      <c r="A1145" s="1" t="s">
        <v>126</v>
      </c>
      <c r="B1145" t="s">
        <v>1163</v>
      </c>
      <c r="C1145">
        <v>-2.8244191656887501</v>
      </c>
      <c r="D1145">
        <v>0</v>
      </c>
      <c r="E1145">
        <v>2.1500795615326401E-4</v>
      </c>
      <c r="F1145" t="str">
        <f>"24/41"</f>
        <v>24/41</v>
      </c>
      <c r="G1145" s="10">
        <v>0.20710000000000001</v>
      </c>
    </row>
    <row r="1146" spans="1:7" x14ac:dyDescent="0.2">
      <c r="A1146" s="1" t="s">
        <v>126</v>
      </c>
      <c r="B1146" t="s">
        <v>24</v>
      </c>
      <c r="C1146">
        <v>2.8227400568128198</v>
      </c>
      <c r="D1146">
        <v>0</v>
      </c>
      <c r="E1146">
        <v>4.9696790415618998E-4</v>
      </c>
      <c r="F1146" t="str">
        <f>"114/148"</f>
        <v>114/148</v>
      </c>
      <c r="G1146" s="10">
        <v>0.55369999999999997</v>
      </c>
    </row>
    <row r="1147" spans="1:7" x14ac:dyDescent="0.2">
      <c r="A1147" s="1" t="s">
        <v>126</v>
      </c>
      <c r="B1147" t="s">
        <v>640</v>
      </c>
      <c r="C1147">
        <v>-2.8203095285205002</v>
      </c>
      <c r="D1147">
        <v>0</v>
      </c>
      <c r="E1147">
        <v>2.1261897886267199E-4</v>
      </c>
      <c r="F1147" t="str">
        <f>"26/29"</f>
        <v>26/29</v>
      </c>
      <c r="G1147" s="10">
        <v>0.44429999999999997</v>
      </c>
    </row>
    <row r="1148" spans="1:7" x14ac:dyDescent="0.2">
      <c r="A1148" s="1" t="s">
        <v>126</v>
      </c>
      <c r="B1148" t="s">
        <v>751</v>
      </c>
      <c r="C1148">
        <v>2.81562514475702</v>
      </c>
      <c r="D1148">
        <v>0</v>
      </c>
      <c r="E1148">
        <v>4.77853753996336E-4</v>
      </c>
      <c r="F1148" t="str">
        <f>"84/95"</f>
        <v>84/95</v>
      </c>
      <c r="G1148" s="10">
        <v>0.60809999999999997</v>
      </c>
    </row>
    <row r="1149" spans="1:7" x14ac:dyDescent="0.2">
      <c r="A1149" s="1" t="s">
        <v>126</v>
      </c>
      <c r="B1149" t="s">
        <v>592</v>
      </c>
      <c r="C1149">
        <v>-2.81543811547848</v>
      </c>
      <c r="D1149">
        <v>0</v>
      </c>
      <c r="E1149">
        <v>2.1028250656747799E-4</v>
      </c>
      <c r="F1149" t="str">
        <f>"130/171"</f>
        <v>130/171</v>
      </c>
      <c r="G1149" s="10">
        <v>0.5786</v>
      </c>
    </row>
    <row r="1150" spans="1:7" x14ac:dyDescent="0.2">
      <c r="A1150" s="1" t="s">
        <v>126</v>
      </c>
      <c r="B1150" t="s">
        <v>608</v>
      </c>
      <c r="C1150">
        <v>-2.8048209940097601</v>
      </c>
      <c r="D1150">
        <v>0</v>
      </c>
      <c r="E1150">
        <v>2.0799682714826601E-4</v>
      </c>
      <c r="F1150" t="str">
        <f>"45/56"</f>
        <v>45/56</v>
      </c>
      <c r="G1150" s="10">
        <v>0.48849999999999999</v>
      </c>
    </row>
    <row r="1151" spans="1:7" x14ac:dyDescent="0.2">
      <c r="A1151" s="1" t="s">
        <v>126</v>
      </c>
      <c r="B1151" t="s">
        <v>670</v>
      </c>
      <c r="C1151">
        <v>-2.8000931372846098</v>
      </c>
      <c r="D1151">
        <v>0</v>
      </c>
      <c r="E1151">
        <v>2.0576030212516601E-4</v>
      </c>
      <c r="F1151" t="str">
        <f>"56/68"</f>
        <v>56/68</v>
      </c>
      <c r="G1151" s="10">
        <v>0.57809999999999995</v>
      </c>
    </row>
    <row r="1152" spans="1:7" x14ac:dyDescent="0.2">
      <c r="A1152" s="1" t="s">
        <v>126</v>
      </c>
      <c r="B1152" t="s">
        <v>36</v>
      </c>
      <c r="C1152">
        <v>-2.7977814667294498</v>
      </c>
      <c r="D1152">
        <v>0</v>
      </c>
      <c r="E1152">
        <v>2.0357136274085601E-4</v>
      </c>
      <c r="F1152" t="str">
        <f>"34/45"</f>
        <v>34/45</v>
      </c>
      <c r="G1152" s="10">
        <v>0.4</v>
      </c>
    </row>
    <row r="1153" spans="1:7" x14ac:dyDescent="0.2">
      <c r="A1153" s="1" t="s">
        <v>126</v>
      </c>
      <c r="B1153" t="s">
        <v>295</v>
      </c>
      <c r="C1153">
        <v>-2.7974622885431999</v>
      </c>
      <c r="D1153">
        <v>0</v>
      </c>
      <c r="E1153">
        <v>2.01428506290952E-4</v>
      </c>
      <c r="F1153" t="str">
        <f>"46/95"</f>
        <v>46/95</v>
      </c>
      <c r="G1153" s="10">
        <v>0.25779999999999997</v>
      </c>
    </row>
    <row r="1154" spans="1:7" x14ac:dyDescent="0.2">
      <c r="A1154" s="1" t="s">
        <v>126</v>
      </c>
      <c r="B1154" t="s">
        <v>652</v>
      </c>
      <c r="C1154">
        <v>-2.79367224116181</v>
      </c>
      <c r="D1154">
        <v>0</v>
      </c>
      <c r="E1154">
        <v>1.99330292683755E-4</v>
      </c>
      <c r="F1154" t="str">
        <f>"83/228"</f>
        <v>83/228</v>
      </c>
      <c r="G1154" s="10">
        <v>0.1741</v>
      </c>
    </row>
    <row r="1155" spans="1:7" x14ac:dyDescent="0.2">
      <c r="A1155" s="1" t="s">
        <v>126</v>
      </c>
      <c r="B1155" t="s">
        <v>736</v>
      </c>
      <c r="C1155">
        <v>-2.79195068111511</v>
      </c>
      <c r="D1155">
        <v>0</v>
      </c>
      <c r="E1155">
        <v>1.9727534121278799E-4</v>
      </c>
      <c r="F1155" t="str">
        <f>"32/34"</f>
        <v>32/34</v>
      </c>
      <c r="G1155" s="10">
        <v>0.55020000000000002</v>
      </c>
    </row>
    <row r="1156" spans="1:7" x14ac:dyDescent="0.2">
      <c r="A1156" s="1" t="s">
        <v>126</v>
      </c>
      <c r="B1156" t="s">
        <v>587</v>
      </c>
      <c r="C1156">
        <v>2.7919202458657302</v>
      </c>
      <c r="D1156">
        <v>0</v>
      </c>
      <c r="E1156">
        <v>4.6015546681128598E-4</v>
      </c>
      <c r="F1156" t="str">
        <f>"126/143"</f>
        <v>126/143</v>
      </c>
      <c r="G1156" s="10">
        <v>0.65290000000000004</v>
      </c>
    </row>
    <row r="1157" spans="1:7" x14ac:dyDescent="0.2">
      <c r="A1157" s="1" t="s">
        <v>126</v>
      </c>
      <c r="B1157" t="s">
        <v>865</v>
      </c>
      <c r="C1157">
        <v>-2.78801398408311</v>
      </c>
      <c r="D1157">
        <v>0</v>
      </c>
      <c r="E1157">
        <v>1.9526232752694399E-4</v>
      </c>
      <c r="F1157" t="str">
        <f>"23/34"</f>
        <v>23/34</v>
      </c>
      <c r="G1157" s="10">
        <v>0.2717</v>
      </c>
    </row>
    <row r="1158" spans="1:7" x14ac:dyDescent="0.2">
      <c r="A1158" s="1" t="s">
        <v>126</v>
      </c>
      <c r="B1158" t="s">
        <v>1164</v>
      </c>
      <c r="C1158">
        <v>-2.7862698518257498</v>
      </c>
      <c r="D1158">
        <v>0</v>
      </c>
      <c r="E1158">
        <v>1.93289980784247E-4</v>
      </c>
      <c r="F1158" t="str">
        <f>"57/72"</f>
        <v>57/72</v>
      </c>
      <c r="G1158" s="10">
        <v>0.52649999999999997</v>
      </c>
    </row>
    <row r="1159" spans="1:7" x14ac:dyDescent="0.2">
      <c r="A1159" s="1" t="s">
        <v>126</v>
      </c>
      <c r="B1159" t="s">
        <v>1165</v>
      </c>
      <c r="C1159">
        <v>-2.7775387099976099</v>
      </c>
      <c r="D1159">
        <v>0</v>
      </c>
      <c r="E1159">
        <v>1.9135708097640499E-4</v>
      </c>
      <c r="F1159" t="str">
        <f>"103/202"</f>
        <v>103/202</v>
      </c>
      <c r="G1159" s="10">
        <v>0.33139999999999997</v>
      </c>
    </row>
    <row r="1160" spans="1:7" x14ac:dyDescent="0.2">
      <c r="A1160" s="1" t="s">
        <v>126</v>
      </c>
      <c r="B1160" t="s">
        <v>527</v>
      </c>
      <c r="C1160">
        <v>-2.76972803082838</v>
      </c>
      <c r="D1160">
        <v>0</v>
      </c>
      <c r="E1160">
        <v>1.8946245641228199E-4</v>
      </c>
      <c r="F1160" t="str">
        <f>"70/147"</f>
        <v>70/147</v>
      </c>
      <c r="G1160" s="10">
        <v>0.24579999999999999</v>
      </c>
    </row>
    <row r="1161" spans="1:7" x14ac:dyDescent="0.2">
      <c r="A1161" s="1" t="s">
        <v>126</v>
      </c>
      <c r="B1161" t="s">
        <v>1133</v>
      </c>
      <c r="C1161">
        <v>-2.76615250951295</v>
      </c>
      <c r="D1161">
        <v>0</v>
      </c>
      <c r="E1161">
        <v>1.87604981349416E-4</v>
      </c>
      <c r="F1161" t="str">
        <f>"30/53"</f>
        <v>30/53</v>
      </c>
      <c r="G1161" s="10">
        <v>0.23930000000000001</v>
      </c>
    </row>
    <row r="1162" spans="1:7" x14ac:dyDescent="0.2">
      <c r="A1162" s="1" t="s">
        <v>126</v>
      </c>
      <c r="B1162" t="s">
        <v>599</v>
      </c>
      <c r="C1162">
        <v>2.7655664597176202</v>
      </c>
      <c r="D1162">
        <v>0</v>
      </c>
      <c r="E1162">
        <v>6.6558201449489699E-4</v>
      </c>
      <c r="F1162" t="str">
        <f>"123/154"</f>
        <v>123/154</v>
      </c>
      <c r="G1162" s="10">
        <v>0.58579999999999999</v>
      </c>
    </row>
    <row r="1163" spans="1:7" x14ac:dyDescent="0.2">
      <c r="A1163" s="1" t="s">
        <v>126</v>
      </c>
      <c r="B1163" t="s">
        <v>879</v>
      </c>
      <c r="C1163">
        <v>-2.7517727641440501</v>
      </c>
      <c r="D1163">
        <v>0</v>
      </c>
      <c r="E1163">
        <v>1.857835737635E-4</v>
      </c>
      <c r="F1163" t="str">
        <f>"18/21"</f>
        <v>18/21</v>
      </c>
      <c r="G1163" s="10">
        <v>0.34010000000000001</v>
      </c>
    </row>
    <row r="1164" spans="1:7" x14ac:dyDescent="0.2">
      <c r="A1164" s="1" t="s">
        <v>126</v>
      </c>
      <c r="B1164" t="s">
        <v>663</v>
      </c>
      <c r="C1164">
        <v>-2.7465975033280099</v>
      </c>
      <c r="D1164">
        <v>0</v>
      </c>
      <c r="E1164">
        <v>1.8399719324654299E-4</v>
      </c>
      <c r="F1164" t="str">
        <f>"31/49"</f>
        <v>31/49</v>
      </c>
      <c r="G1164" s="10">
        <v>0.25380000000000003</v>
      </c>
    </row>
    <row r="1165" spans="1:7" x14ac:dyDescent="0.2">
      <c r="A1165" s="1" t="s">
        <v>126</v>
      </c>
      <c r="B1165" t="s">
        <v>1166</v>
      </c>
      <c r="C1165">
        <v>-2.7456847709341901</v>
      </c>
      <c r="D1165">
        <v>0</v>
      </c>
      <c r="E1165">
        <v>1.8224483902514699E-4</v>
      </c>
      <c r="F1165" t="str">
        <f>"437/498"</f>
        <v>437/498</v>
      </c>
      <c r="G1165" s="10">
        <v>0.77310000000000001</v>
      </c>
    </row>
    <row r="1166" spans="1:7" x14ac:dyDescent="0.2">
      <c r="A1166" s="1" t="s">
        <v>126</v>
      </c>
      <c r="B1166" t="s">
        <v>573</v>
      </c>
      <c r="C1166">
        <v>-2.7436231416168302</v>
      </c>
      <c r="D1166">
        <v>0</v>
      </c>
      <c r="E1166">
        <v>1.8052554809094799E-4</v>
      </c>
      <c r="F1166" t="str">
        <f>"48/72"</f>
        <v>48/72</v>
      </c>
      <c r="G1166" s="10">
        <v>0.38400000000000001</v>
      </c>
    </row>
    <row r="1167" spans="1:7" x14ac:dyDescent="0.2">
      <c r="A1167" s="1" t="s">
        <v>126</v>
      </c>
      <c r="B1167" t="s">
        <v>1167</v>
      </c>
      <c r="C1167">
        <v>-2.7421169173073601</v>
      </c>
      <c r="D1167">
        <v>0</v>
      </c>
      <c r="E1167">
        <v>1.78838393435892E-4</v>
      </c>
      <c r="F1167" t="str">
        <f>"28/29"</f>
        <v>28/29</v>
      </c>
      <c r="G1167" s="10">
        <v>0.56359999999999999</v>
      </c>
    </row>
    <row r="1168" spans="1:7" x14ac:dyDescent="0.2">
      <c r="A1168" s="1" t="s">
        <v>126</v>
      </c>
      <c r="B1168" t="s">
        <v>1168</v>
      </c>
      <c r="C1168">
        <v>-2.7417485747596202</v>
      </c>
      <c r="D1168">
        <v>0</v>
      </c>
      <c r="E1168">
        <v>1.7718248238556E-4</v>
      </c>
      <c r="F1168" t="str">
        <f>"25/32"</f>
        <v>25/32</v>
      </c>
      <c r="G1168" s="10">
        <v>0.38009999999999999</v>
      </c>
    </row>
    <row r="1169" spans="1:7" x14ac:dyDescent="0.2">
      <c r="A1169" s="1" t="s">
        <v>126</v>
      </c>
      <c r="B1169" t="s">
        <v>702</v>
      </c>
      <c r="C1169">
        <v>-2.7413825084652501</v>
      </c>
      <c r="D1169">
        <v>0</v>
      </c>
      <c r="E1169">
        <v>1.7555695502422401E-4</v>
      </c>
      <c r="F1169" t="str">
        <f>"17/24"</f>
        <v>17/24</v>
      </c>
      <c r="G1169" s="10">
        <v>0.26119999999999999</v>
      </c>
    </row>
    <row r="1170" spans="1:7" x14ac:dyDescent="0.2">
      <c r="A1170" s="1" t="s">
        <v>126</v>
      </c>
      <c r="B1170" t="s">
        <v>636</v>
      </c>
      <c r="C1170">
        <v>-2.72681407604269</v>
      </c>
      <c r="D1170">
        <v>0</v>
      </c>
      <c r="E1170">
        <v>1.7396098270582201E-4</v>
      </c>
      <c r="F1170" t="str">
        <f>"106/242"</f>
        <v>106/242</v>
      </c>
      <c r="G1170" s="10">
        <v>0.28120000000000001</v>
      </c>
    </row>
    <row r="1171" spans="1:7" x14ac:dyDescent="0.2">
      <c r="A1171" s="1" t="s">
        <v>126</v>
      </c>
      <c r="B1171" t="s">
        <v>721</v>
      </c>
      <c r="C1171">
        <v>2.7207415325092001</v>
      </c>
      <c r="D1171">
        <v>0</v>
      </c>
      <c r="E1171">
        <v>8.5684121406239596E-4</v>
      </c>
      <c r="F1171" t="str">
        <f>"135/148"</f>
        <v>135/148</v>
      </c>
      <c r="G1171" s="10">
        <v>0.69450000000000001</v>
      </c>
    </row>
    <row r="1172" spans="1:7" x14ac:dyDescent="0.2">
      <c r="A1172" s="1" t="s">
        <v>126</v>
      </c>
      <c r="B1172" t="s">
        <v>913</v>
      </c>
      <c r="C1172">
        <v>2.71411923589682</v>
      </c>
      <c r="D1172">
        <v>0</v>
      </c>
      <c r="E1172">
        <v>8.2827984026031599E-4</v>
      </c>
      <c r="F1172" t="str">
        <f>"46/62"</f>
        <v>46/62</v>
      </c>
      <c r="G1172" s="10">
        <v>0.43490000000000001</v>
      </c>
    </row>
    <row r="1173" spans="1:7" x14ac:dyDescent="0.2">
      <c r="A1173" s="1" t="s">
        <v>126</v>
      </c>
      <c r="B1173" t="s">
        <v>805</v>
      </c>
      <c r="C1173">
        <v>-2.7117354485586902</v>
      </c>
      <c r="D1173">
        <v>0</v>
      </c>
      <c r="E1173">
        <v>1.7239376664541001E-4</v>
      </c>
      <c r="F1173" t="str">
        <f>"34/58"</f>
        <v>34/58</v>
      </c>
      <c r="G1173" s="10">
        <v>0.25380000000000003</v>
      </c>
    </row>
    <row r="1174" spans="1:7" x14ac:dyDescent="0.2">
      <c r="A1174" s="1" t="s">
        <v>126</v>
      </c>
      <c r="B1174" t="s">
        <v>1169</v>
      </c>
      <c r="C1174">
        <v>-2.7066221162217099</v>
      </c>
      <c r="D1174">
        <v>0</v>
      </c>
      <c r="E1174">
        <v>1.7085453658607599E-4</v>
      </c>
      <c r="F1174" t="str">
        <f>"39/45"</f>
        <v>39/45</v>
      </c>
      <c r="G1174" s="10">
        <v>0.55889999999999995</v>
      </c>
    </row>
    <row r="1175" spans="1:7" x14ac:dyDescent="0.2">
      <c r="A1175" s="1" t="s">
        <v>126</v>
      </c>
      <c r="B1175" t="s">
        <v>820</v>
      </c>
      <c r="C1175">
        <v>-2.7063184986972799</v>
      </c>
      <c r="D1175">
        <v>0</v>
      </c>
      <c r="E1175">
        <v>1.69342549536641E-4</v>
      </c>
      <c r="F1175" t="str">
        <f>"26/28"</f>
        <v>26/28</v>
      </c>
      <c r="G1175" s="10">
        <v>0.50090000000000001</v>
      </c>
    </row>
    <row r="1176" spans="1:7" x14ac:dyDescent="0.2">
      <c r="A1176" s="1" t="s">
        <v>126</v>
      </c>
      <c r="B1176" t="s">
        <v>824</v>
      </c>
      <c r="C1176">
        <v>-2.7043039403070801</v>
      </c>
      <c r="D1176">
        <v>0</v>
      </c>
      <c r="E1176">
        <v>1.6785708857579399E-4</v>
      </c>
      <c r="F1176" t="str">
        <f>"90/226"</f>
        <v>90/226</v>
      </c>
      <c r="G1176" s="10">
        <v>0.21440000000000001</v>
      </c>
    </row>
    <row r="1177" spans="1:7" x14ac:dyDescent="0.2">
      <c r="A1177" s="1" t="s">
        <v>126</v>
      </c>
      <c r="B1177" t="s">
        <v>1170</v>
      </c>
      <c r="C1177">
        <v>-2.7040909470243202</v>
      </c>
      <c r="D1177">
        <v>0</v>
      </c>
      <c r="E1177">
        <v>1.6639746171861301E-4</v>
      </c>
      <c r="F1177" t="str">
        <f>"34/45"</f>
        <v>34/45</v>
      </c>
      <c r="G1177" s="10">
        <v>0.40260000000000001</v>
      </c>
    </row>
    <row r="1178" spans="1:7" x14ac:dyDescent="0.2">
      <c r="A1178" s="1" t="s">
        <v>126</v>
      </c>
      <c r="B1178" t="s">
        <v>569</v>
      </c>
      <c r="C1178">
        <v>2.7028468868285498</v>
      </c>
      <c r="D1178">
        <v>0</v>
      </c>
      <c r="E1178">
        <v>1.00195141966973E-3</v>
      </c>
      <c r="F1178" t="str">
        <f>"90/102"</f>
        <v>90/102</v>
      </c>
      <c r="G1178" s="10">
        <v>0.60840000000000005</v>
      </c>
    </row>
    <row r="1179" spans="1:7" x14ac:dyDescent="0.2">
      <c r="A1179" s="1" t="s">
        <v>126</v>
      </c>
      <c r="B1179" t="s">
        <v>611</v>
      </c>
      <c r="C1179">
        <v>-2.6974569922385099</v>
      </c>
      <c r="D1179">
        <v>0</v>
      </c>
      <c r="E1179">
        <v>1.6496300084172801E-4</v>
      </c>
      <c r="F1179" t="str">
        <f>"14/19"</f>
        <v>14/19</v>
      </c>
      <c r="G1179" s="10">
        <v>0.22320000000000001</v>
      </c>
    </row>
    <row r="1180" spans="1:7" x14ac:dyDescent="0.2">
      <c r="A1180" s="1" t="s">
        <v>126</v>
      </c>
      <c r="B1180" t="s">
        <v>847</v>
      </c>
      <c r="C1180">
        <v>-2.6872330988222202</v>
      </c>
      <c r="D1180">
        <v>0</v>
      </c>
      <c r="E1180">
        <v>1.6355306066359401E-4</v>
      </c>
      <c r="F1180" t="str">
        <f>"52/125"</f>
        <v>52/125</v>
      </c>
      <c r="G1180" s="10">
        <v>0.1716</v>
      </c>
    </row>
    <row r="1181" spans="1:7" x14ac:dyDescent="0.2">
      <c r="A1181" s="1" t="s">
        <v>126</v>
      </c>
      <c r="B1181" t="s">
        <v>1171</v>
      </c>
      <c r="C1181">
        <v>-2.68716943671431</v>
      </c>
      <c r="D1181">
        <v>0</v>
      </c>
      <c r="E1181">
        <v>1.6216701777661401E-4</v>
      </c>
      <c r="F1181" t="str">
        <f>"18/24"</f>
        <v>18/24</v>
      </c>
      <c r="G1181" s="10">
        <v>0.24299999999999999</v>
      </c>
    </row>
    <row r="1182" spans="1:7" x14ac:dyDescent="0.2">
      <c r="A1182" s="1" t="s">
        <v>126</v>
      </c>
      <c r="B1182" t="s">
        <v>617</v>
      </c>
      <c r="C1182">
        <v>2.6861929456434601</v>
      </c>
      <c r="D1182">
        <v>0</v>
      </c>
      <c r="E1182">
        <v>9.7064043780505798E-4</v>
      </c>
      <c r="F1182" t="str">
        <f>"143/164"</f>
        <v>143/164</v>
      </c>
      <c r="G1182" s="10">
        <v>0.65039999999999998</v>
      </c>
    </row>
    <row r="1183" spans="1:7" x14ac:dyDescent="0.2">
      <c r="A1183" s="1" t="s">
        <v>126</v>
      </c>
      <c r="B1183" t="s">
        <v>1172</v>
      </c>
      <c r="C1183">
        <v>-2.6835603872128901</v>
      </c>
      <c r="D1183">
        <v>0</v>
      </c>
      <c r="E1183">
        <v>1.60804269728071E-4</v>
      </c>
      <c r="F1183" t="str">
        <f>"50/59"</f>
        <v>50/59</v>
      </c>
      <c r="G1183" s="10">
        <v>0.56569999999999998</v>
      </c>
    </row>
    <row r="1184" spans="1:7" x14ac:dyDescent="0.2">
      <c r="A1184" s="1" t="s">
        <v>126</v>
      </c>
      <c r="B1184" t="s">
        <v>1173</v>
      </c>
      <c r="C1184">
        <v>-2.6687285565366201</v>
      </c>
      <c r="D1184">
        <v>0</v>
      </c>
      <c r="E1184">
        <v>1.5946423414700401E-4</v>
      </c>
      <c r="F1184" t="str">
        <f>"57/72"</f>
        <v>57/72</v>
      </c>
      <c r="G1184" s="10">
        <v>0.55379999999999996</v>
      </c>
    </row>
    <row r="1185" spans="1:7" x14ac:dyDescent="0.2">
      <c r="A1185" s="1" t="s">
        <v>126</v>
      </c>
      <c r="B1185" t="s">
        <v>550</v>
      </c>
      <c r="C1185">
        <v>2.6607056060051701</v>
      </c>
      <c r="D1185">
        <v>0</v>
      </c>
      <c r="E1185">
        <v>1.1294725094458801E-3</v>
      </c>
      <c r="F1185" t="str">
        <f>"98/103"</f>
        <v>98/103</v>
      </c>
      <c r="G1185" s="10">
        <v>0.68400000000000005</v>
      </c>
    </row>
    <row r="1186" spans="1:7" x14ac:dyDescent="0.2">
      <c r="A1186" s="1" t="s">
        <v>126</v>
      </c>
      <c r="B1186" t="s">
        <v>562</v>
      </c>
      <c r="C1186">
        <v>2.6559850058882599</v>
      </c>
      <c r="D1186">
        <v>0</v>
      </c>
      <c r="E1186">
        <v>1.0962527297562999E-3</v>
      </c>
      <c r="F1186" t="str">
        <f>"87/99"</f>
        <v>87/99</v>
      </c>
      <c r="G1186" s="10">
        <v>0.60840000000000005</v>
      </c>
    </row>
    <row r="1187" spans="1:7" x14ac:dyDescent="0.2">
      <c r="A1187" s="1" t="s">
        <v>126</v>
      </c>
      <c r="B1187" t="s">
        <v>664</v>
      </c>
      <c r="C1187">
        <v>-2.6516091106620401</v>
      </c>
      <c r="D1187">
        <v>0</v>
      </c>
      <c r="E1187">
        <v>4.7443904374315298E-4</v>
      </c>
      <c r="F1187" t="str">
        <f>"16/19"</f>
        <v>16/19</v>
      </c>
      <c r="G1187" s="10">
        <v>0.32369999999999999</v>
      </c>
    </row>
    <row r="1188" spans="1:7" x14ac:dyDescent="0.2">
      <c r="A1188" s="1" t="s">
        <v>126</v>
      </c>
      <c r="B1188" t="s">
        <v>861</v>
      </c>
      <c r="C1188">
        <v>-2.65138678176484</v>
      </c>
      <c r="D1188">
        <v>0</v>
      </c>
      <c r="E1188">
        <v>4.7055019912230699E-4</v>
      </c>
      <c r="F1188" t="str">
        <f>"42/81"</f>
        <v>42/81</v>
      </c>
      <c r="G1188" s="10">
        <v>0.25569999999999998</v>
      </c>
    </row>
    <row r="1189" spans="1:7" x14ac:dyDescent="0.2">
      <c r="A1189" s="1" t="s">
        <v>126</v>
      </c>
      <c r="B1189" t="s">
        <v>880</v>
      </c>
      <c r="C1189">
        <v>2.6422769635923502</v>
      </c>
      <c r="D1189">
        <v>0</v>
      </c>
      <c r="E1189">
        <v>1.24241976039047E-3</v>
      </c>
      <c r="F1189" t="str">
        <f>"26/36"</f>
        <v>26/36</v>
      </c>
      <c r="G1189" s="10">
        <v>0.33210000000000001</v>
      </c>
    </row>
    <row r="1190" spans="1:7" x14ac:dyDescent="0.2">
      <c r="A1190" s="1" t="s">
        <v>126</v>
      </c>
      <c r="B1190" t="s">
        <v>1174</v>
      </c>
      <c r="C1190">
        <v>-2.64137447617113</v>
      </c>
      <c r="D1190">
        <v>0</v>
      </c>
      <c r="E1190">
        <v>4.6672458774732901E-4</v>
      </c>
      <c r="F1190" t="str">
        <f>"133/159"</f>
        <v>133/159</v>
      </c>
      <c r="G1190" s="10">
        <v>0.67359999999999998</v>
      </c>
    </row>
    <row r="1191" spans="1:7" x14ac:dyDescent="0.2">
      <c r="A1191" s="1" t="s">
        <v>126</v>
      </c>
      <c r="B1191" t="s">
        <v>782</v>
      </c>
      <c r="C1191">
        <v>-2.6400356772281799</v>
      </c>
      <c r="D1191">
        <v>0</v>
      </c>
      <c r="E1191">
        <v>4.6296067978162498E-4</v>
      </c>
      <c r="F1191" t="str">
        <f>"48/53"</f>
        <v>48/53</v>
      </c>
      <c r="G1191" s="10">
        <v>0.62290000000000001</v>
      </c>
    </row>
    <row r="1192" spans="1:7" x14ac:dyDescent="0.2">
      <c r="A1192" s="1" t="s">
        <v>126</v>
      </c>
      <c r="B1192" t="s">
        <v>798</v>
      </c>
      <c r="C1192">
        <v>-2.6341739125333401</v>
      </c>
      <c r="D1192">
        <v>0</v>
      </c>
      <c r="E1192">
        <v>4.5925699434337203E-4</v>
      </c>
      <c r="F1192" t="str">
        <f>"46/124"</f>
        <v>46/124</v>
      </c>
      <c r="G1192" s="10">
        <v>0.1532</v>
      </c>
    </row>
    <row r="1193" spans="1:7" x14ac:dyDescent="0.2">
      <c r="A1193" s="1" t="s">
        <v>126</v>
      </c>
      <c r="B1193" t="s">
        <v>629</v>
      </c>
      <c r="C1193">
        <v>2.6328241320851999</v>
      </c>
      <c r="D1193">
        <v>0</v>
      </c>
      <c r="E1193">
        <v>1.2079081003796199E-3</v>
      </c>
      <c r="F1193" t="str">
        <f>"207/236"</f>
        <v>207/236</v>
      </c>
      <c r="G1193" s="10">
        <v>0.69840000000000002</v>
      </c>
    </row>
    <row r="1194" spans="1:7" x14ac:dyDescent="0.2">
      <c r="A1194" s="1" t="s">
        <v>126</v>
      </c>
      <c r="B1194" t="s">
        <v>746</v>
      </c>
      <c r="C1194">
        <v>-2.6266771288645199</v>
      </c>
      <c r="D1194">
        <v>0</v>
      </c>
      <c r="E1194">
        <v>4.5561209756286901E-4</v>
      </c>
      <c r="F1194" t="str">
        <f>"20/33"</f>
        <v>20/33</v>
      </c>
      <c r="G1194" s="10">
        <v>0.19139999999999999</v>
      </c>
    </row>
    <row r="1195" spans="1:7" x14ac:dyDescent="0.2">
      <c r="A1195" s="1" t="s">
        <v>126</v>
      </c>
      <c r="B1195" t="s">
        <v>585</v>
      </c>
      <c r="C1195">
        <v>2.6249448768110599</v>
      </c>
      <c r="D1195">
        <v>0</v>
      </c>
      <c r="E1195">
        <v>1.1752619355045E-3</v>
      </c>
      <c r="F1195" t="str">
        <f>"97/102"</f>
        <v>97/102</v>
      </c>
      <c r="G1195" s="10">
        <v>0.68400000000000005</v>
      </c>
    </row>
    <row r="1196" spans="1:7" x14ac:dyDescent="0.2">
      <c r="A1196" s="1" t="s">
        <v>126</v>
      </c>
      <c r="B1196" t="s">
        <v>658</v>
      </c>
      <c r="C1196">
        <v>-2.6232829315352602</v>
      </c>
      <c r="D1196">
        <v>0</v>
      </c>
      <c r="E1196">
        <v>4.5202460073166502E-4</v>
      </c>
      <c r="F1196" t="str">
        <f>"67/106"</f>
        <v>67/106</v>
      </c>
      <c r="G1196" s="10">
        <v>0.40050000000000002</v>
      </c>
    </row>
    <row r="1197" spans="1:7" x14ac:dyDescent="0.2">
      <c r="A1197" s="1" t="s">
        <v>126</v>
      </c>
      <c r="B1197" t="s">
        <v>594</v>
      </c>
      <c r="C1197">
        <v>2.62313018071147</v>
      </c>
      <c r="D1197">
        <v>0</v>
      </c>
      <c r="E1197">
        <v>1.1443339898333301E-3</v>
      </c>
      <c r="F1197" t="str">
        <f>"299/338"</f>
        <v>299/338</v>
      </c>
      <c r="G1197" s="10">
        <v>0.73109999999999997</v>
      </c>
    </row>
    <row r="1198" spans="1:7" x14ac:dyDescent="0.2">
      <c r="A1198" s="1" t="s">
        <v>126</v>
      </c>
      <c r="B1198" t="s">
        <v>1175</v>
      </c>
      <c r="C1198">
        <v>-2.61926572992994</v>
      </c>
      <c r="D1198">
        <v>0</v>
      </c>
      <c r="E1198">
        <v>4.4849315853844897E-4</v>
      </c>
      <c r="F1198" t="str">
        <f>"27/31"</f>
        <v>27/31</v>
      </c>
      <c r="G1198" s="10">
        <v>0.49320000000000003</v>
      </c>
    </row>
    <row r="1199" spans="1:7" x14ac:dyDescent="0.2">
      <c r="A1199" s="1" t="s">
        <v>126</v>
      </c>
      <c r="B1199" t="s">
        <v>893</v>
      </c>
      <c r="C1199">
        <v>-2.6110898817689701</v>
      </c>
      <c r="D1199">
        <v>0</v>
      </c>
      <c r="E1199">
        <v>4.4501646738698801E-4</v>
      </c>
      <c r="F1199" t="str">
        <f>"13/17"</f>
        <v>13/17</v>
      </c>
      <c r="G1199" s="10">
        <v>0.21240000000000001</v>
      </c>
    </row>
    <row r="1200" spans="1:7" x14ac:dyDescent="0.2">
      <c r="A1200" s="1" t="s">
        <v>126</v>
      </c>
      <c r="B1200" t="s">
        <v>800</v>
      </c>
      <c r="C1200">
        <v>2.60516768446838</v>
      </c>
      <c r="D1200">
        <v>0</v>
      </c>
      <c r="E1200">
        <v>1.1149920926581099E-3</v>
      </c>
      <c r="F1200" t="str">
        <f>"26/37"</f>
        <v>26/37</v>
      </c>
      <c r="G1200" s="10">
        <v>0.32990000000000003</v>
      </c>
    </row>
    <row r="1201" spans="1:7" x14ac:dyDescent="0.2">
      <c r="A1201" s="1" t="s">
        <v>126</v>
      </c>
      <c r="B1201" t="s">
        <v>988</v>
      </c>
      <c r="C1201">
        <v>-2.6006898329259398</v>
      </c>
      <c r="D1201">
        <v>0</v>
      </c>
      <c r="E1201">
        <v>5.8879101838893899E-4</v>
      </c>
      <c r="F1201" t="str">
        <f>"12/15"</f>
        <v>12/15</v>
      </c>
      <c r="G1201" s="10">
        <v>0.22850000000000001</v>
      </c>
    </row>
    <row r="1202" spans="1:7" x14ac:dyDescent="0.2">
      <c r="A1202" s="1" t="s">
        <v>126</v>
      </c>
      <c r="B1202" t="s">
        <v>545</v>
      </c>
      <c r="C1202">
        <v>2.5939707109442698</v>
      </c>
      <c r="D1202">
        <v>0</v>
      </c>
      <c r="E1202">
        <v>1.0871172903416601E-3</v>
      </c>
      <c r="F1202" t="str">
        <f>"90/94"</f>
        <v>90/94</v>
      </c>
      <c r="G1202" s="10">
        <v>0.68400000000000005</v>
      </c>
    </row>
    <row r="1203" spans="1:7" x14ac:dyDescent="0.2">
      <c r="A1203" s="1" t="s">
        <v>126</v>
      </c>
      <c r="B1203" t="s">
        <v>1176</v>
      </c>
      <c r="C1203">
        <v>-2.5921329671534701</v>
      </c>
      <c r="D1203">
        <v>0</v>
      </c>
      <c r="E1203">
        <v>5.8429643046230598E-4</v>
      </c>
      <c r="F1203" t="str">
        <f>"43/56"</f>
        <v>43/56</v>
      </c>
      <c r="G1203" s="10">
        <v>0.47599999999999998</v>
      </c>
    </row>
    <row r="1204" spans="1:7" x14ac:dyDescent="0.2">
      <c r="A1204" s="1" t="s">
        <v>126</v>
      </c>
      <c r="B1204" t="s">
        <v>1177</v>
      </c>
      <c r="C1204">
        <v>-2.5877970157086199</v>
      </c>
      <c r="D1204">
        <v>0</v>
      </c>
      <c r="E1204">
        <v>5.7986994235274304E-4</v>
      </c>
      <c r="F1204" t="str">
        <f>"31/34"</f>
        <v>31/34</v>
      </c>
      <c r="G1204" s="10">
        <v>0.55010000000000003</v>
      </c>
    </row>
    <row r="1205" spans="1:7" x14ac:dyDescent="0.2">
      <c r="A1205" s="1" t="s">
        <v>126</v>
      </c>
      <c r="B1205" t="s">
        <v>1178</v>
      </c>
      <c r="C1205">
        <v>-2.5825659463237698</v>
      </c>
      <c r="D1205">
        <v>0</v>
      </c>
      <c r="E1205">
        <v>5.7551001797415103E-4</v>
      </c>
      <c r="F1205" t="str">
        <f>"75/142"</f>
        <v>75/142</v>
      </c>
      <c r="G1205" s="10">
        <v>0.33139999999999997</v>
      </c>
    </row>
    <row r="1206" spans="1:7" x14ac:dyDescent="0.2">
      <c r="A1206" s="1" t="s">
        <v>126</v>
      </c>
      <c r="B1206" t="s">
        <v>328</v>
      </c>
      <c r="C1206">
        <v>-2.5770346646748998</v>
      </c>
      <c r="D1206">
        <v>0</v>
      </c>
      <c r="E1206">
        <v>5.7121516709374696E-4</v>
      </c>
      <c r="F1206" t="str">
        <f>"155/318"</f>
        <v>155/318</v>
      </c>
      <c r="G1206" s="10">
        <v>0.34110000000000001</v>
      </c>
    </row>
    <row r="1207" spans="1:7" x14ac:dyDescent="0.2">
      <c r="A1207" s="1" t="s">
        <v>126</v>
      </c>
      <c r="B1207" t="s">
        <v>86</v>
      </c>
      <c r="C1207">
        <v>-2.5701116509708699</v>
      </c>
      <c r="D1207">
        <v>0</v>
      </c>
      <c r="E1207">
        <v>5.6698394363379303E-4</v>
      </c>
      <c r="F1207" t="str">
        <f>"31/35"</f>
        <v>31/35</v>
      </c>
      <c r="G1207" s="10">
        <v>0.53700000000000003</v>
      </c>
    </row>
    <row r="1208" spans="1:7" x14ac:dyDescent="0.2">
      <c r="A1208" s="1" t="s">
        <v>126</v>
      </c>
      <c r="B1208" t="s">
        <v>737</v>
      </c>
      <c r="C1208">
        <v>-2.5690461651766299</v>
      </c>
      <c r="D1208">
        <v>0</v>
      </c>
      <c r="E1208">
        <v>5.6281494404824997E-4</v>
      </c>
      <c r="F1208" t="str">
        <f>"11/15"</f>
        <v>11/15</v>
      </c>
      <c r="G1208" s="10">
        <v>0.1424</v>
      </c>
    </row>
    <row r="1209" spans="1:7" x14ac:dyDescent="0.2">
      <c r="A1209" s="1" t="s">
        <v>126</v>
      </c>
      <c r="B1209" t="s">
        <v>678</v>
      </c>
      <c r="C1209">
        <v>-2.5685785037877</v>
      </c>
      <c r="D1209">
        <v>0</v>
      </c>
      <c r="E1209">
        <v>5.58706805770526E-4</v>
      </c>
      <c r="F1209" t="str">
        <f>"19/19"</f>
        <v>19/19</v>
      </c>
      <c r="G1209" s="10">
        <v>0.53369999999999995</v>
      </c>
    </row>
    <row r="1210" spans="1:7" x14ac:dyDescent="0.2">
      <c r="A1210" s="1" t="s">
        <v>126</v>
      </c>
      <c r="B1210" t="s">
        <v>574</v>
      </c>
      <c r="C1210">
        <v>-2.5571025103660499</v>
      </c>
      <c r="D1210">
        <v>0</v>
      </c>
      <c r="E1210">
        <v>6.9332275716088804E-4</v>
      </c>
      <c r="F1210" t="str">
        <f>"109/145"</f>
        <v>109/145</v>
      </c>
      <c r="G1210" s="10">
        <v>0.56869999999999998</v>
      </c>
    </row>
    <row r="1211" spans="1:7" x14ac:dyDescent="0.2">
      <c r="A1211" s="1" t="s">
        <v>126</v>
      </c>
      <c r="B1211" t="s">
        <v>1179</v>
      </c>
      <c r="C1211">
        <v>-2.55616784789235</v>
      </c>
      <c r="D1211">
        <v>0</v>
      </c>
      <c r="E1211">
        <v>6.8833482365613296E-4</v>
      </c>
      <c r="F1211" t="str">
        <f>"29/41"</f>
        <v>29/41</v>
      </c>
      <c r="G1211" s="10">
        <v>0.36130000000000001</v>
      </c>
    </row>
    <row r="1212" spans="1:7" x14ac:dyDescent="0.2">
      <c r="A1212" s="1" t="s">
        <v>126</v>
      </c>
      <c r="B1212" t="s">
        <v>674</v>
      </c>
      <c r="C1212">
        <v>2.5471583458499598</v>
      </c>
      <c r="D1212">
        <v>0</v>
      </c>
      <c r="E1212">
        <v>1.3636314443310001E-3</v>
      </c>
      <c r="F1212" t="str">
        <f>"262/297"</f>
        <v>262/297</v>
      </c>
      <c r="G1212" s="10">
        <v>0.72430000000000005</v>
      </c>
    </row>
    <row r="1213" spans="1:7" x14ac:dyDescent="0.2">
      <c r="A1213" s="1" t="s">
        <v>126</v>
      </c>
      <c r="B1213" t="s">
        <v>618</v>
      </c>
      <c r="C1213">
        <v>2.54712947181932</v>
      </c>
      <c r="D1213">
        <v>0</v>
      </c>
      <c r="E1213">
        <v>1.3311640289897901E-3</v>
      </c>
      <c r="F1213" t="str">
        <f>"391/462"</f>
        <v>391/462</v>
      </c>
      <c r="G1213" s="10">
        <v>0.71199999999999997</v>
      </c>
    </row>
    <row r="1214" spans="1:7" x14ac:dyDescent="0.2">
      <c r="A1214" s="1" t="s">
        <v>126</v>
      </c>
      <c r="B1214" t="s">
        <v>801</v>
      </c>
      <c r="C1214">
        <v>2.5463692053208402</v>
      </c>
      <c r="D1214">
        <v>0</v>
      </c>
      <c r="E1214">
        <v>1.30020672599003E-3</v>
      </c>
      <c r="F1214" t="str">
        <f>"43/57"</f>
        <v>43/57</v>
      </c>
      <c r="G1214" s="10">
        <v>0.44269999999999998</v>
      </c>
    </row>
    <row r="1215" spans="1:7" x14ac:dyDescent="0.2">
      <c r="A1215" s="1" t="s">
        <v>126</v>
      </c>
      <c r="B1215" t="s">
        <v>586</v>
      </c>
      <c r="C1215">
        <v>2.5445420292456902</v>
      </c>
      <c r="D1215">
        <v>0</v>
      </c>
      <c r="E1215">
        <v>1.2706565731266199E-3</v>
      </c>
      <c r="F1215" t="str">
        <f>"83/95"</f>
        <v>83/95</v>
      </c>
      <c r="G1215" s="10">
        <v>0.60840000000000005</v>
      </c>
    </row>
    <row r="1216" spans="1:7" x14ac:dyDescent="0.2">
      <c r="A1216" s="1" t="s">
        <v>126</v>
      </c>
      <c r="B1216" t="s">
        <v>692</v>
      </c>
      <c r="C1216">
        <v>-2.5436990986760302</v>
      </c>
      <c r="D1216">
        <v>0</v>
      </c>
      <c r="E1216">
        <v>6.8341814634430395E-4</v>
      </c>
      <c r="F1216" t="str">
        <f>"28/34"</f>
        <v>28/34</v>
      </c>
      <c r="G1216" s="10">
        <v>0.46150000000000002</v>
      </c>
    </row>
    <row r="1217" spans="1:7" x14ac:dyDescent="0.2">
      <c r="A1217" s="1" t="s">
        <v>126</v>
      </c>
      <c r="B1217" t="s">
        <v>1030</v>
      </c>
      <c r="C1217">
        <v>-2.5367860695240201</v>
      </c>
      <c r="D1217">
        <v>0</v>
      </c>
      <c r="E1217">
        <v>6.7857120913618796E-4</v>
      </c>
      <c r="F1217" t="str">
        <f>"280/314"</f>
        <v>280/314</v>
      </c>
      <c r="G1217" s="10">
        <v>0.77659999999999996</v>
      </c>
    </row>
    <row r="1218" spans="1:7" x14ac:dyDescent="0.2">
      <c r="A1218" s="1" t="s">
        <v>126</v>
      </c>
      <c r="B1218" t="s">
        <v>811</v>
      </c>
      <c r="C1218">
        <v>-2.5301031798053599</v>
      </c>
      <c r="D1218">
        <v>0</v>
      </c>
      <c r="E1218">
        <v>8.0855104637917699E-4</v>
      </c>
      <c r="F1218" t="str">
        <f>"17/21"</f>
        <v>17/21</v>
      </c>
      <c r="G1218" s="10">
        <v>0.35149999999999998</v>
      </c>
    </row>
    <row r="1219" spans="1:7" x14ac:dyDescent="0.2">
      <c r="A1219" s="1" t="s">
        <v>126</v>
      </c>
      <c r="B1219" t="s">
        <v>1180</v>
      </c>
      <c r="C1219">
        <v>-2.5256680194956198</v>
      </c>
      <c r="D1219">
        <v>0</v>
      </c>
      <c r="E1219">
        <v>8.0289684325764404E-4</v>
      </c>
      <c r="F1219" t="str">
        <f>"60/104"</f>
        <v>60/104</v>
      </c>
      <c r="G1219" s="10">
        <v>0.33119999999999999</v>
      </c>
    </row>
    <row r="1220" spans="1:7" x14ac:dyDescent="0.2">
      <c r="A1220" s="1" t="s">
        <v>126</v>
      </c>
      <c r="B1220" t="s">
        <v>1181</v>
      </c>
      <c r="C1220">
        <v>-2.5248192688672901</v>
      </c>
      <c r="D1220">
        <v>0</v>
      </c>
      <c r="E1220">
        <v>9.3020803252419197E-4</v>
      </c>
      <c r="F1220" t="str">
        <f>"25/26"</f>
        <v>25/26</v>
      </c>
      <c r="G1220" s="10">
        <v>0.58530000000000004</v>
      </c>
    </row>
    <row r="1221" spans="1:7" x14ac:dyDescent="0.2">
      <c r="A1221" s="1" t="s">
        <v>126</v>
      </c>
      <c r="B1221" t="s">
        <v>306</v>
      </c>
      <c r="C1221">
        <v>-2.5238279899123102</v>
      </c>
      <c r="D1221">
        <v>0</v>
      </c>
      <c r="E1221">
        <v>9.2379280471368002E-4</v>
      </c>
      <c r="F1221" t="str">
        <f>"19/23"</f>
        <v>19/23</v>
      </c>
      <c r="G1221" s="10">
        <v>0.38159999999999999</v>
      </c>
    </row>
    <row r="1222" spans="1:7" x14ac:dyDescent="0.2">
      <c r="A1222" s="1" t="s">
        <v>126</v>
      </c>
      <c r="B1222" t="s">
        <v>1182</v>
      </c>
      <c r="C1222">
        <v>-2.51993893023878</v>
      </c>
      <c r="D1222">
        <v>0</v>
      </c>
      <c r="E1222">
        <v>9.1746545673618903E-4</v>
      </c>
      <c r="F1222" t="str">
        <f>"45/79"</f>
        <v>45/79</v>
      </c>
      <c r="G1222" s="10">
        <v>0.30659999999999998</v>
      </c>
    </row>
    <row r="1223" spans="1:7" x14ac:dyDescent="0.2">
      <c r="A1223" s="1" t="s">
        <v>126</v>
      </c>
      <c r="B1223" t="s">
        <v>552</v>
      </c>
      <c r="C1223">
        <v>2.5167972034246402</v>
      </c>
      <c r="D1223">
        <v>0</v>
      </c>
      <c r="E1223">
        <v>1.38046640043386E-3</v>
      </c>
      <c r="F1223" t="str">
        <f>"84/88"</f>
        <v>84/88</v>
      </c>
      <c r="G1223" s="10">
        <v>0.68400000000000005</v>
      </c>
    </row>
    <row r="1224" spans="1:7" x14ac:dyDescent="0.2">
      <c r="A1224" s="1" t="s">
        <v>126</v>
      </c>
      <c r="B1224" t="s">
        <v>851</v>
      </c>
      <c r="C1224">
        <v>-2.5133928516121502</v>
      </c>
      <c r="D1224">
        <v>0</v>
      </c>
      <c r="E1224">
        <v>9.11224195125739E-4</v>
      </c>
      <c r="F1224" t="str">
        <f>"15/17"</f>
        <v>15/17</v>
      </c>
      <c r="G1224" s="10">
        <v>0.3896</v>
      </c>
    </row>
    <row r="1225" spans="1:7" x14ac:dyDescent="0.2">
      <c r="A1225" s="1" t="s">
        <v>126</v>
      </c>
      <c r="B1225" t="s">
        <v>866</v>
      </c>
      <c r="C1225">
        <v>-2.5105422102994401</v>
      </c>
      <c r="D1225">
        <v>0</v>
      </c>
      <c r="E1225">
        <v>1.0343625998724599E-3</v>
      </c>
      <c r="F1225" t="str">
        <f>"31/55"</f>
        <v>31/55</v>
      </c>
      <c r="G1225" s="10">
        <v>0.25380000000000003</v>
      </c>
    </row>
    <row r="1226" spans="1:7" x14ac:dyDescent="0.2">
      <c r="A1226" s="1" t="s">
        <v>126</v>
      </c>
      <c r="B1226" t="s">
        <v>695</v>
      </c>
      <c r="C1226">
        <v>2.5090523648322098</v>
      </c>
      <c r="D1226">
        <v>0</v>
      </c>
      <c r="E1226">
        <v>1.4855018874233899E-3</v>
      </c>
      <c r="F1226" t="str">
        <f>"83/99"</f>
        <v>83/99</v>
      </c>
      <c r="G1226" s="10">
        <v>0.61360000000000003</v>
      </c>
    </row>
    <row r="1227" spans="1:7" x14ac:dyDescent="0.2">
      <c r="A1227" s="1" t="s">
        <v>126</v>
      </c>
      <c r="B1227" t="s">
        <v>604</v>
      </c>
      <c r="C1227">
        <v>2.50233591555395</v>
      </c>
      <c r="D1227">
        <v>0</v>
      </c>
      <c r="E1227">
        <v>1.4538954642867199E-3</v>
      </c>
      <c r="F1227" t="str">
        <f>"86/99"</f>
        <v>86/99</v>
      </c>
      <c r="G1227" s="10">
        <v>0.60840000000000005</v>
      </c>
    </row>
    <row r="1228" spans="1:7" x14ac:dyDescent="0.2">
      <c r="A1228" s="1" t="s">
        <v>126</v>
      </c>
      <c r="B1228" t="s">
        <v>1006</v>
      </c>
      <c r="C1228">
        <v>-2.5021216847342198</v>
      </c>
      <c r="D1228">
        <v>0</v>
      </c>
      <c r="E1228">
        <v>1.02742056900083E-3</v>
      </c>
      <c r="F1228" t="str">
        <f>"46/53"</f>
        <v>46/53</v>
      </c>
      <c r="G1228" s="10">
        <v>0.58979999999999999</v>
      </c>
    </row>
    <row r="1229" spans="1:7" x14ac:dyDescent="0.2">
      <c r="A1229" s="1" t="s">
        <v>126</v>
      </c>
      <c r="B1229" t="s">
        <v>315</v>
      </c>
      <c r="C1229">
        <v>-2.4977603484893001</v>
      </c>
      <c r="D1229">
        <v>0</v>
      </c>
      <c r="E1229">
        <v>1.0205710985408201E-3</v>
      </c>
      <c r="F1229" t="str">
        <f>"23/41"</f>
        <v>23/41</v>
      </c>
      <c r="G1229" s="10">
        <v>0.22789999999999999</v>
      </c>
    </row>
    <row r="1230" spans="1:7" x14ac:dyDescent="0.2">
      <c r="A1230" s="1" t="s">
        <v>126</v>
      </c>
      <c r="B1230" t="s">
        <v>1183</v>
      </c>
      <c r="C1230">
        <v>-2.4974808790072101</v>
      </c>
      <c r="D1230">
        <v>0</v>
      </c>
      <c r="E1230">
        <v>1.01381234954386E-3</v>
      </c>
      <c r="F1230" t="str">
        <f>"13/16"</f>
        <v>13/16</v>
      </c>
      <c r="G1230" s="10">
        <v>0.32369999999999999</v>
      </c>
    </row>
    <row r="1231" spans="1:7" x14ac:dyDescent="0.2">
      <c r="A1231" s="1" t="s">
        <v>126</v>
      </c>
      <c r="B1231" t="s">
        <v>366</v>
      </c>
      <c r="C1231">
        <v>-2.4892986384945699</v>
      </c>
      <c r="D1231">
        <v>0</v>
      </c>
      <c r="E1231">
        <v>1.0071425314547599E-3</v>
      </c>
      <c r="F1231" t="str">
        <f>"33/45"</f>
        <v>33/45</v>
      </c>
      <c r="G1231" s="10">
        <v>0.4</v>
      </c>
    </row>
    <row r="1232" spans="1:7" x14ac:dyDescent="0.2">
      <c r="A1232" s="1" t="s">
        <v>126</v>
      </c>
      <c r="B1232" t="s">
        <v>713</v>
      </c>
      <c r="C1232">
        <v>-2.4886447878292999</v>
      </c>
      <c r="D1232">
        <v>0</v>
      </c>
      <c r="E1232">
        <v>1.0005599005302201E-3</v>
      </c>
      <c r="F1232" t="str">
        <f>"299/375"</f>
        <v>299/375</v>
      </c>
      <c r="G1232" s="10">
        <v>0.68569999999999998</v>
      </c>
    </row>
    <row r="1233" spans="1:7" x14ac:dyDescent="0.2">
      <c r="A1233" s="1" t="s">
        <v>126</v>
      </c>
      <c r="B1233" t="s">
        <v>754</v>
      </c>
      <c r="C1233">
        <v>2.4866440604123898</v>
      </c>
      <c r="D1233">
        <v>0</v>
      </c>
      <c r="E1233">
        <v>1.81186215056944E-3</v>
      </c>
      <c r="F1233" t="str">
        <f>"129/171"</f>
        <v>129/171</v>
      </c>
      <c r="G1233" s="10">
        <v>0.5756</v>
      </c>
    </row>
    <row r="1234" spans="1:7" x14ac:dyDescent="0.2">
      <c r="A1234" s="1" t="s">
        <v>126</v>
      </c>
      <c r="B1234" t="s">
        <v>1065</v>
      </c>
      <c r="C1234">
        <v>-2.4766449294305599</v>
      </c>
      <c r="D1234">
        <v>0</v>
      </c>
      <c r="E1234">
        <v>9.940627583189881E-4</v>
      </c>
      <c r="F1234" t="str">
        <f>"51/59"</f>
        <v>51/59</v>
      </c>
      <c r="G1234" s="10">
        <v>0.59260000000000002</v>
      </c>
    </row>
    <row r="1235" spans="1:7" x14ac:dyDescent="0.2">
      <c r="A1235" s="1" t="s">
        <v>126</v>
      </c>
      <c r="B1235" t="s">
        <v>365</v>
      </c>
      <c r="C1235">
        <v>-2.4739322190247099</v>
      </c>
      <c r="D1235">
        <v>0</v>
      </c>
      <c r="E1235">
        <v>1.1111056314759E-3</v>
      </c>
      <c r="F1235" t="str">
        <f>"31/41"</f>
        <v>31/41</v>
      </c>
      <c r="G1235" s="10">
        <v>0.4</v>
      </c>
    </row>
    <row r="1236" spans="1:7" x14ac:dyDescent="0.2">
      <c r="A1236" s="1" t="s">
        <v>126</v>
      </c>
      <c r="B1236" t="s">
        <v>1184</v>
      </c>
      <c r="C1236">
        <v>-2.4727707280304299</v>
      </c>
      <c r="D1236">
        <v>0</v>
      </c>
      <c r="E1236">
        <v>1.1039831594792601E-3</v>
      </c>
      <c r="F1236" t="str">
        <f>"22/31"</f>
        <v>22/31</v>
      </c>
      <c r="G1236" s="10">
        <v>0.29449999999999998</v>
      </c>
    </row>
    <row r="1237" spans="1:7" x14ac:dyDescent="0.2">
      <c r="A1237" s="1" t="s">
        <v>126</v>
      </c>
      <c r="B1237" t="s">
        <v>872</v>
      </c>
      <c r="C1237">
        <v>2.4688700640818499</v>
      </c>
      <c r="D1237">
        <v>0</v>
      </c>
      <c r="E1237">
        <v>2.0284404251273E-3</v>
      </c>
      <c r="F1237" t="str">
        <f>"67/77"</f>
        <v>67/77</v>
      </c>
      <c r="G1237" s="10">
        <v>0.60809999999999997</v>
      </c>
    </row>
    <row r="1238" spans="1:7" x14ac:dyDescent="0.2">
      <c r="A1238" s="1" t="s">
        <v>126</v>
      </c>
      <c r="B1238" t="s">
        <v>263</v>
      </c>
      <c r="C1238">
        <v>-2.4688467710029798</v>
      </c>
      <c r="D1238">
        <v>0</v>
      </c>
      <c r="E1238">
        <v>1.0969514196099599E-3</v>
      </c>
      <c r="F1238" t="str">
        <f>"200/278"</f>
        <v>200/278</v>
      </c>
      <c r="G1238" s="10">
        <v>0.59260000000000002</v>
      </c>
    </row>
    <row r="1239" spans="1:7" x14ac:dyDescent="0.2">
      <c r="A1239" s="1" t="s">
        <v>126</v>
      </c>
      <c r="B1239" t="s">
        <v>1185</v>
      </c>
      <c r="C1239">
        <v>-2.4643554051423902</v>
      </c>
      <c r="D1239">
        <v>0</v>
      </c>
      <c r="E1239">
        <v>1.0900086891061E-3</v>
      </c>
      <c r="F1239" t="str">
        <f>"41/75"</f>
        <v>41/75</v>
      </c>
      <c r="G1239" s="10">
        <v>0.30380000000000001</v>
      </c>
    </row>
    <row r="1240" spans="1:7" x14ac:dyDescent="0.2">
      <c r="A1240" s="1" t="s">
        <v>126</v>
      </c>
      <c r="B1240" t="s">
        <v>34</v>
      </c>
      <c r="C1240">
        <v>-2.4616471168990302</v>
      </c>
      <c r="D1240">
        <v>0</v>
      </c>
      <c r="E1240">
        <v>1.0831532885456801E-3</v>
      </c>
      <c r="F1240" t="str">
        <f>"107/199"</f>
        <v>107/199</v>
      </c>
      <c r="G1240" s="10">
        <v>0.36349999999999999</v>
      </c>
    </row>
    <row r="1241" spans="1:7" x14ac:dyDescent="0.2">
      <c r="A1241" s="1" t="s">
        <v>126</v>
      </c>
      <c r="B1241" t="s">
        <v>659</v>
      </c>
      <c r="C1241">
        <v>-2.4614219150275201</v>
      </c>
      <c r="D1241">
        <v>0</v>
      </c>
      <c r="E1241">
        <v>1.0763835804922699E-3</v>
      </c>
      <c r="F1241" t="str">
        <f>"12/16"</f>
        <v>12/16</v>
      </c>
      <c r="G1241" s="10">
        <v>0.2069</v>
      </c>
    </row>
    <row r="1242" spans="1:7" x14ac:dyDescent="0.2">
      <c r="A1242" s="1" t="s">
        <v>126</v>
      </c>
      <c r="B1242" t="s">
        <v>833</v>
      </c>
      <c r="C1242">
        <v>2.4611729263664501</v>
      </c>
      <c r="D1242">
        <v>0</v>
      </c>
      <c r="E1242">
        <v>2.07069960065079E-3</v>
      </c>
      <c r="F1242" t="str">
        <f>"21/29"</f>
        <v>21/29</v>
      </c>
      <c r="G1242" s="10">
        <v>0.31869999999999998</v>
      </c>
    </row>
    <row r="1243" spans="1:7" x14ac:dyDescent="0.2">
      <c r="A1243" s="1" t="s">
        <v>126</v>
      </c>
      <c r="B1243" t="s">
        <v>832</v>
      </c>
      <c r="C1243">
        <v>2.4611729263664501</v>
      </c>
      <c r="D1243">
        <v>0</v>
      </c>
      <c r="E1243">
        <v>2.07069960065079E-3</v>
      </c>
      <c r="F1243" t="str">
        <f>"21/29"</f>
        <v>21/29</v>
      </c>
      <c r="G1243" s="10">
        <v>0.31869999999999998</v>
      </c>
    </row>
    <row r="1244" spans="1:7" x14ac:dyDescent="0.2">
      <c r="A1244" s="1" t="s">
        <v>126</v>
      </c>
      <c r="B1244" t="s">
        <v>690</v>
      </c>
      <c r="C1244">
        <v>-2.45813459788583</v>
      </c>
      <c r="D1244">
        <v>0</v>
      </c>
      <c r="E1244">
        <v>1.0696979681910799E-3</v>
      </c>
      <c r="F1244" t="str">
        <f>"13/16"</f>
        <v>13/16</v>
      </c>
      <c r="G1244" s="10">
        <v>0.3075</v>
      </c>
    </row>
    <row r="1245" spans="1:7" x14ac:dyDescent="0.2">
      <c r="A1245" s="1" t="s">
        <v>126</v>
      </c>
      <c r="B1245" t="s">
        <v>1186</v>
      </c>
      <c r="C1245">
        <v>-2.4522231537672798</v>
      </c>
      <c r="D1245">
        <v>0</v>
      </c>
      <c r="E1245">
        <v>1.06309489431336E-3</v>
      </c>
      <c r="F1245" t="str">
        <f>"24/32"</f>
        <v>24/32</v>
      </c>
      <c r="G1245" s="10">
        <v>0.39389999999999997</v>
      </c>
    </row>
    <row r="1246" spans="1:7" x14ac:dyDescent="0.2">
      <c r="A1246" s="1" t="s">
        <v>126</v>
      </c>
      <c r="B1246" t="s">
        <v>597</v>
      </c>
      <c r="C1246">
        <v>-2.4509609731023501</v>
      </c>
      <c r="D1246">
        <v>0</v>
      </c>
      <c r="E1246">
        <v>1.0565728397470199E-3</v>
      </c>
      <c r="F1246" t="str">
        <f>"28/41"</f>
        <v>28/41</v>
      </c>
      <c r="G1246" s="10">
        <v>0.35149999999999998</v>
      </c>
    </row>
    <row r="1247" spans="1:7" x14ac:dyDescent="0.2">
      <c r="A1247" s="1" t="s">
        <v>126</v>
      </c>
      <c r="B1247" t="s">
        <v>862</v>
      </c>
      <c r="C1247">
        <v>-2.45079053961619</v>
      </c>
      <c r="D1247">
        <v>0</v>
      </c>
      <c r="E1247">
        <v>1.05013032243149E-3</v>
      </c>
      <c r="F1247" t="str">
        <f>"67/68"</f>
        <v>67/68</v>
      </c>
      <c r="G1247" s="10">
        <v>0.7611</v>
      </c>
    </row>
    <row r="1248" spans="1:7" x14ac:dyDescent="0.2">
      <c r="A1248" s="1" t="s">
        <v>126</v>
      </c>
      <c r="B1248" t="s">
        <v>7</v>
      </c>
      <c r="C1248">
        <v>2.44978196943809</v>
      </c>
      <c r="D1248">
        <v>0</v>
      </c>
      <c r="E1248">
        <v>2.1503418929835101E-3</v>
      </c>
      <c r="F1248" t="str">
        <f>"74/163"</f>
        <v>74/163</v>
      </c>
      <c r="G1248" s="10">
        <v>0.28420000000000001</v>
      </c>
    </row>
    <row r="1249" spans="1:7" x14ac:dyDescent="0.2">
      <c r="A1249" s="1" t="s">
        <v>126</v>
      </c>
      <c r="B1249" t="s">
        <v>985</v>
      </c>
      <c r="C1249">
        <v>-2.4496886557486199</v>
      </c>
      <c r="D1249">
        <v>0</v>
      </c>
      <c r="E1249">
        <v>1.2757138731760299E-3</v>
      </c>
      <c r="F1249" t="str">
        <f>"14/20"</f>
        <v>14/20</v>
      </c>
      <c r="G1249" s="10">
        <v>0.2233</v>
      </c>
    </row>
    <row r="1250" spans="1:7" x14ac:dyDescent="0.2">
      <c r="A1250" s="1" t="s">
        <v>126</v>
      </c>
      <c r="B1250" t="s">
        <v>1187</v>
      </c>
      <c r="C1250">
        <v>-2.44691813383348</v>
      </c>
      <c r="D1250">
        <v>0</v>
      </c>
      <c r="E1250">
        <v>1.38330419982943E-3</v>
      </c>
      <c r="F1250" t="str">
        <f>"18/25"</f>
        <v>18/25</v>
      </c>
      <c r="G1250" s="10">
        <v>0.29930000000000001</v>
      </c>
    </row>
    <row r="1251" spans="1:7" x14ac:dyDescent="0.2">
      <c r="A1251" s="1" t="s">
        <v>126</v>
      </c>
      <c r="B1251" t="s">
        <v>969</v>
      </c>
      <c r="C1251">
        <v>-2.4467223175052402</v>
      </c>
      <c r="D1251">
        <v>0</v>
      </c>
      <c r="E1251">
        <v>1.4896060195767999E-3</v>
      </c>
      <c r="F1251" t="str">
        <f>"86/99"</f>
        <v>86/99</v>
      </c>
      <c r="G1251" s="10">
        <v>0.67520000000000002</v>
      </c>
    </row>
    <row r="1252" spans="1:7" x14ac:dyDescent="0.2">
      <c r="A1252" s="1" t="s">
        <v>126</v>
      </c>
      <c r="B1252" t="s">
        <v>643</v>
      </c>
      <c r="C1252">
        <v>-2.4458660791414402</v>
      </c>
      <c r="D1252">
        <v>0</v>
      </c>
      <c r="E1252">
        <v>1.4807393170793201E-3</v>
      </c>
      <c r="F1252" t="str">
        <f>"15/18"</f>
        <v>15/18</v>
      </c>
      <c r="G1252" s="10">
        <v>0.3508</v>
      </c>
    </row>
    <row r="1253" spans="1:7" x14ac:dyDescent="0.2">
      <c r="A1253" s="1" t="s">
        <v>126</v>
      </c>
      <c r="B1253" t="s">
        <v>897</v>
      </c>
      <c r="C1253">
        <v>2.4415972271507398</v>
      </c>
      <c r="D1253">
        <v>0</v>
      </c>
      <c r="E1253">
        <v>2.4613976385094299E-3</v>
      </c>
      <c r="F1253" t="str">
        <f>"22/31"</f>
        <v>22/31</v>
      </c>
      <c r="G1253" s="10">
        <v>0.31869999999999998</v>
      </c>
    </row>
    <row r="1254" spans="1:7" x14ac:dyDescent="0.2">
      <c r="A1254" s="1" t="s">
        <v>126</v>
      </c>
      <c r="B1254" t="s">
        <v>551</v>
      </c>
      <c r="C1254">
        <v>2.4415446797415399</v>
      </c>
      <c r="D1254">
        <v>0</v>
      </c>
      <c r="E1254">
        <v>2.4158162007592498E-3</v>
      </c>
      <c r="F1254" t="str">
        <f>"83/88"</f>
        <v>83/88</v>
      </c>
      <c r="G1254" s="10">
        <v>0.68400000000000005</v>
      </c>
    </row>
    <row r="1255" spans="1:7" x14ac:dyDescent="0.2">
      <c r="A1255" s="1" t="s">
        <v>126</v>
      </c>
      <c r="B1255" t="s">
        <v>1188</v>
      </c>
      <c r="C1255">
        <v>-2.4405633722609199</v>
      </c>
      <c r="D1255">
        <v>0</v>
      </c>
      <c r="E1255">
        <v>1.47197754597234E-3</v>
      </c>
      <c r="F1255" t="str">
        <f>"24/30"</f>
        <v>24/30</v>
      </c>
      <c r="G1255" s="10">
        <v>0.42009999999999997</v>
      </c>
    </row>
    <row r="1256" spans="1:7" x14ac:dyDescent="0.2">
      <c r="A1256" s="1" t="s">
        <v>126</v>
      </c>
      <c r="B1256" t="s">
        <v>1007</v>
      </c>
      <c r="C1256">
        <v>-2.4262379005476502</v>
      </c>
      <c r="D1256">
        <v>0</v>
      </c>
      <c r="E1256">
        <v>1.4633188545254501E-3</v>
      </c>
      <c r="F1256" t="str">
        <f>"67/71"</f>
        <v>67/71</v>
      </c>
      <c r="G1256" s="10">
        <v>0.73660000000000003</v>
      </c>
    </row>
    <row r="1257" spans="1:7" x14ac:dyDescent="0.2">
      <c r="A1257" s="1" t="s">
        <v>126</v>
      </c>
      <c r="B1257" t="s">
        <v>1189</v>
      </c>
      <c r="C1257">
        <v>-2.4243625670067299</v>
      </c>
      <c r="D1257">
        <v>0</v>
      </c>
      <c r="E1257">
        <v>1.56666616004074E-3</v>
      </c>
      <c r="F1257" t="str">
        <f>"44/67"</f>
        <v>44/67</v>
      </c>
      <c r="G1257" s="10">
        <v>0.3977</v>
      </c>
    </row>
    <row r="1258" spans="1:7" x14ac:dyDescent="0.2">
      <c r="A1258" s="1" t="s">
        <v>126</v>
      </c>
      <c r="B1258" t="s">
        <v>977</v>
      </c>
      <c r="C1258">
        <v>-2.42069259199276</v>
      </c>
      <c r="D1258">
        <v>0</v>
      </c>
      <c r="E1258">
        <v>1.55755763585446E-3</v>
      </c>
      <c r="F1258" t="str">
        <f>"135/175"</f>
        <v>135/175</v>
      </c>
      <c r="G1258" s="10">
        <v>0.61240000000000006</v>
      </c>
    </row>
    <row r="1259" spans="1:7" x14ac:dyDescent="0.2">
      <c r="A1259" s="1" t="s">
        <v>126</v>
      </c>
      <c r="B1259" t="s">
        <v>1190</v>
      </c>
      <c r="C1259">
        <v>-2.4201720789971302</v>
      </c>
      <c r="D1259">
        <v>0</v>
      </c>
      <c r="E1259">
        <v>1.5485544125258201E-3</v>
      </c>
      <c r="F1259" t="str">
        <f>"40/59"</f>
        <v>40/59</v>
      </c>
      <c r="G1259" s="10">
        <v>0.41149999999999998</v>
      </c>
    </row>
    <row r="1260" spans="1:7" x14ac:dyDescent="0.2">
      <c r="A1260" s="1" t="s">
        <v>126</v>
      </c>
      <c r="B1260" t="s">
        <v>1191</v>
      </c>
      <c r="C1260">
        <v>-2.4121325323879099</v>
      </c>
      <c r="D1260">
        <v>0</v>
      </c>
      <c r="E1260">
        <v>1.7596053423117701E-3</v>
      </c>
      <c r="F1260" t="str">
        <f>"10/15"</f>
        <v>10/15</v>
      </c>
      <c r="G1260" s="10">
        <v>0.1303</v>
      </c>
    </row>
    <row r="1261" spans="1:7" x14ac:dyDescent="0.2">
      <c r="A1261" s="1" t="s">
        <v>126</v>
      </c>
      <c r="B1261" t="s">
        <v>1192</v>
      </c>
      <c r="C1261">
        <v>-2.4066168256313301</v>
      </c>
      <c r="D1261">
        <v>0</v>
      </c>
      <c r="E1261">
        <v>1.9682442614715901E-3</v>
      </c>
      <c r="F1261" t="str">
        <f>"27/29"</f>
        <v>27/29</v>
      </c>
      <c r="G1261" s="10">
        <v>0.5696</v>
      </c>
    </row>
    <row r="1262" spans="1:7" x14ac:dyDescent="0.2">
      <c r="A1262" s="1" t="s">
        <v>126</v>
      </c>
      <c r="B1262" t="s">
        <v>555</v>
      </c>
      <c r="C1262">
        <v>2.4057072935577599</v>
      </c>
      <c r="D1262">
        <v>0</v>
      </c>
      <c r="E1262">
        <v>3.72725928117142E-3</v>
      </c>
      <c r="F1262" t="str">
        <f>"66/80"</f>
        <v>66/80</v>
      </c>
      <c r="G1262" s="10">
        <v>0.57369999999999999</v>
      </c>
    </row>
    <row r="1263" spans="1:7" x14ac:dyDescent="0.2">
      <c r="A1263" s="1" t="s">
        <v>126</v>
      </c>
      <c r="B1263" t="s">
        <v>878</v>
      </c>
      <c r="C1263">
        <v>-2.4006726158465002</v>
      </c>
      <c r="D1263">
        <v>0</v>
      </c>
      <c r="E1263">
        <v>1.9570610554404998E-3</v>
      </c>
      <c r="F1263" t="str">
        <f>"68/69"</f>
        <v>68/69</v>
      </c>
      <c r="G1263" s="10">
        <v>0.7611</v>
      </c>
    </row>
    <row r="1264" spans="1:7" x14ac:dyDescent="0.2">
      <c r="A1264" s="1" t="s">
        <v>126</v>
      </c>
      <c r="B1264" t="s">
        <v>1193</v>
      </c>
      <c r="C1264">
        <v>-2.4000602361538901</v>
      </c>
      <c r="D1264">
        <v>0</v>
      </c>
      <c r="E1264">
        <v>1.9460042133193701E-3</v>
      </c>
      <c r="F1264" t="str">
        <f>"181/234"</f>
        <v>181/234</v>
      </c>
      <c r="G1264" s="10">
        <v>0.64349999999999996</v>
      </c>
    </row>
    <row r="1265" spans="1:7" x14ac:dyDescent="0.2">
      <c r="A1265" s="1" t="s">
        <v>126</v>
      </c>
      <c r="B1265" t="s">
        <v>1194</v>
      </c>
      <c r="C1265">
        <v>-2.3972211172208802</v>
      </c>
      <c r="D1265">
        <v>0</v>
      </c>
      <c r="E1265">
        <v>1.9350716053793699E-3</v>
      </c>
      <c r="F1265" t="str">
        <f>"22/29"</f>
        <v>22/29</v>
      </c>
      <c r="G1265" s="10">
        <v>0.39389999999999997</v>
      </c>
    </row>
    <row r="1266" spans="1:7" x14ac:dyDescent="0.2">
      <c r="A1266" s="1" t="s">
        <v>126</v>
      </c>
      <c r="B1266" t="s">
        <v>1195</v>
      </c>
      <c r="C1266">
        <v>-2.3897439074456099</v>
      </c>
      <c r="D1266">
        <v>0</v>
      </c>
      <c r="E1266">
        <v>2.0311645466769201E-3</v>
      </c>
      <c r="F1266" t="str">
        <f>"109/113"</f>
        <v>109/113</v>
      </c>
      <c r="G1266" s="10">
        <v>0.79279999999999995</v>
      </c>
    </row>
    <row r="1267" spans="1:7" x14ac:dyDescent="0.2">
      <c r="A1267" s="1" t="s">
        <v>126</v>
      </c>
      <c r="B1267" t="s">
        <v>1129</v>
      </c>
      <c r="C1267">
        <v>-2.38947899215689</v>
      </c>
      <c r="D1267">
        <v>0</v>
      </c>
      <c r="E1267">
        <v>2.0198802991953802E-3</v>
      </c>
      <c r="F1267" t="str">
        <f>"159/185"</f>
        <v>159/185</v>
      </c>
      <c r="G1267" s="10">
        <v>0.72619999999999996</v>
      </c>
    </row>
    <row r="1268" spans="1:7" x14ac:dyDescent="0.2">
      <c r="A1268" s="1" t="s">
        <v>126</v>
      </c>
      <c r="B1268" t="s">
        <v>588</v>
      </c>
      <c r="C1268">
        <v>2.3883497747050701</v>
      </c>
      <c r="D1268">
        <v>0</v>
      </c>
      <c r="E1268">
        <v>4.3262830942168299E-3</v>
      </c>
      <c r="F1268" t="str">
        <f>"58/72"</f>
        <v>58/72</v>
      </c>
      <c r="G1268" s="10">
        <v>0.53810000000000002</v>
      </c>
    </row>
    <row r="1269" spans="1:7" x14ac:dyDescent="0.2">
      <c r="A1269" s="1" t="s">
        <v>126</v>
      </c>
      <c r="B1269" t="s">
        <v>1196</v>
      </c>
      <c r="C1269">
        <v>-2.38337937670781</v>
      </c>
      <c r="D1269">
        <v>0</v>
      </c>
      <c r="E1269">
        <v>2.0087207395313202E-3</v>
      </c>
      <c r="F1269" t="str">
        <f>"57/65"</f>
        <v>57/65</v>
      </c>
      <c r="G1269" s="10">
        <v>0.63580000000000003</v>
      </c>
    </row>
    <row r="1270" spans="1:7" x14ac:dyDescent="0.2">
      <c r="A1270" s="1" t="s">
        <v>126</v>
      </c>
      <c r="B1270" t="s">
        <v>1197</v>
      </c>
      <c r="C1270">
        <v>-2.3792886286017101</v>
      </c>
      <c r="D1270">
        <v>0</v>
      </c>
      <c r="E1270">
        <v>1.99768381239104E-3</v>
      </c>
      <c r="F1270" t="str">
        <f>"50/69"</f>
        <v>50/69</v>
      </c>
      <c r="G1270" s="10">
        <v>0.47720000000000001</v>
      </c>
    </row>
    <row r="1271" spans="1:7" x14ac:dyDescent="0.2">
      <c r="A1271" s="1" t="s">
        <v>126</v>
      </c>
      <c r="B1271" t="s">
        <v>666</v>
      </c>
      <c r="C1271">
        <v>2.3736466191690799</v>
      </c>
      <c r="D1271">
        <v>0</v>
      </c>
      <c r="E1271">
        <v>4.4683517698253898E-3</v>
      </c>
      <c r="F1271" t="str">
        <f>"82/96"</f>
        <v>82/96</v>
      </c>
      <c r="G1271" s="10">
        <v>0.621</v>
      </c>
    </row>
    <row r="1272" spans="1:7" x14ac:dyDescent="0.2">
      <c r="A1272" s="1" t="s">
        <v>126</v>
      </c>
      <c r="B1272" t="s">
        <v>1198</v>
      </c>
      <c r="C1272">
        <v>-2.3722592368053901</v>
      </c>
      <c r="D1272">
        <v>0</v>
      </c>
      <c r="E1272">
        <v>2.1959009292374298E-3</v>
      </c>
      <c r="F1272" t="str">
        <f>"13/17"</f>
        <v>13/17</v>
      </c>
      <c r="G1272" s="10">
        <v>0.2631</v>
      </c>
    </row>
    <row r="1273" spans="1:7" x14ac:dyDescent="0.2">
      <c r="A1273" s="1" t="s">
        <v>126</v>
      </c>
      <c r="B1273" t="s">
        <v>1199</v>
      </c>
      <c r="C1273">
        <v>-2.3709271444726299</v>
      </c>
      <c r="D1273">
        <v>0</v>
      </c>
      <c r="E1273">
        <v>2.1839666850567898E-3</v>
      </c>
      <c r="F1273" t="str">
        <f>"49/81"</f>
        <v>49/81</v>
      </c>
      <c r="G1273" s="10">
        <v>0.35709999999999997</v>
      </c>
    </row>
    <row r="1274" spans="1:7" x14ac:dyDescent="0.2">
      <c r="A1274" s="1" t="s">
        <v>126</v>
      </c>
      <c r="B1274" t="s">
        <v>1200</v>
      </c>
      <c r="C1274">
        <v>-2.3681122506518002</v>
      </c>
      <c r="D1274">
        <v>0</v>
      </c>
      <c r="E1274">
        <v>2.17216145973216E-3</v>
      </c>
      <c r="F1274" t="str">
        <f>"24/27"</f>
        <v>24/27</v>
      </c>
      <c r="G1274" s="10">
        <v>0.51170000000000004</v>
      </c>
    </row>
    <row r="1275" spans="1:7" x14ac:dyDescent="0.2">
      <c r="A1275" s="1" t="s">
        <v>126</v>
      </c>
      <c r="B1275" t="s">
        <v>561</v>
      </c>
      <c r="C1275">
        <v>2.3660485596143301</v>
      </c>
      <c r="D1275">
        <v>0</v>
      </c>
      <c r="E1275">
        <v>4.4984163738275799E-3</v>
      </c>
      <c r="F1275" t="str">
        <f>"98/113"</f>
        <v>98/113</v>
      </c>
      <c r="G1275" s="10">
        <v>0.66039999999999999</v>
      </c>
    </row>
    <row r="1276" spans="1:7" x14ac:dyDescent="0.2">
      <c r="A1276" s="1" t="s">
        <v>126</v>
      </c>
      <c r="B1276" t="s">
        <v>644</v>
      </c>
      <c r="C1276">
        <v>-2.3637847676761599</v>
      </c>
      <c r="D1276">
        <v>0</v>
      </c>
      <c r="E1276">
        <v>2.16048317231425E-3</v>
      </c>
      <c r="F1276" t="str">
        <f>"33/58"</f>
        <v>33/58</v>
      </c>
      <c r="G1276" s="10">
        <v>0.27879999999999999</v>
      </c>
    </row>
    <row r="1277" spans="1:7" x14ac:dyDescent="0.2">
      <c r="A1277" s="1" t="s">
        <v>126</v>
      </c>
      <c r="B1277" t="s">
        <v>1201</v>
      </c>
      <c r="C1277">
        <v>-2.3548366442324902</v>
      </c>
      <c r="D1277">
        <v>0</v>
      </c>
      <c r="E1277">
        <v>2.5582497456738602E-3</v>
      </c>
      <c r="F1277" t="str">
        <f>"123/134"</f>
        <v>123/134</v>
      </c>
      <c r="G1277" s="10">
        <v>0.75280000000000002</v>
      </c>
    </row>
    <row r="1278" spans="1:7" x14ac:dyDescent="0.2">
      <c r="A1278" s="1" t="s">
        <v>126</v>
      </c>
      <c r="B1278" t="s">
        <v>1202</v>
      </c>
      <c r="C1278">
        <v>-2.3544737891468701</v>
      </c>
      <c r="D1278">
        <v>0</v>
      </c>
      <c r="E1278">
        <v>2.5446420342606999E-3</v>
      </c>
      <c r="F1278" t="str">
        <f>"46/59"</f>
        <v>46/59</v>
      </c>
      <c r="G1278" s="10">
        <v>0.51980000000000004</v>
      </c>
    </row>
    <row r="1279" spans="1:7" x14ac:dyDescent="0.2">
      <c r="A1279" s="1" t="s">
        <v>126</v>
      </c>
      <c r="B1279" t="s">
        <v>619</v>
      </c>
      <c r="C1279">
        <v>2.3489633599575099</v>
      </c>
      <c r="D1279">
        <v>0</v>
      </c>
      <c r="E1279">
        <v>5.3697803203317102E-3</v>
      </c>
      <c r="F1279" t="str">
        <f>"29/47"</f>
        <v>29/47</v>
      </c>
      <c r="G1279" s="10">
        <v>0.31690000000000002</v>
      </c>
    </row>
    <row r="1280" spans="1:7" x14ac:dyDescent="0.2">
      <c r="A1280" s="1" t="s">
        <v>126</v>
      </c>
      <c r="B1280" t="s">
        <v>1130</v>
      </c>
      <c r="C1280">
        <v>-2.3445186317527398</v>
      </c>
      <c r="D1280">
        <v>0</v>
      </c>
      <c r="E1280">
        <v>2.83491971816896E-3</v>
      </c>
      <c r="F1280" t="str">
        <f>"45/99"</f>
        <v>45/99</v>
      </c>
      <c r="G1280" s="10">
        <v>0.2001</v>
      </c>
    </row>
    <row r="1281" spans="1:7" x14ac:dyDescent="0.2">
      <c r="A1281" s="1" t="s">
        <v>126</v>
      </c>
      <c r="B1281" t="s">
        <v>1203</v>
      </c>
      <c r="C1281">
        <v>-2.3438410461107502</v>
      </c>
      <c r="D1281">
        <v>0</v>
      </c>
      <c r="E1281">
        <v>2.81999908807334E-3</v>
      </c>
      <c r="F1281" t="str">
        <f>"106/116"</f>
        <v>106/116</v>
      </c>
      <c r="G1281" s="10">
        <v>0.73799999999999999</v>
      </c>
    </row>
    <row r="1282" spans="1:7" x14ac:dyDescent="0.2">
      <c r="A1282" s="1" t="s">
        <v>126</v>
      </c>
      <c r="B1282" t="s">
        <v>942</v>
      </c>
      <c r="C1282">
        <v>-2.34033344265909</v>
      </c>
      <c r="D1282">
        <v>0</v>
      </c>
      <c r="E1282">
        <v>3.1057955551144299E-3</v>
      </c>
      <c r="F1282" t="str">
        <f>"120/152"</f>
        <v>120/152</v>
      </c>
      <c r="G1282" s="10">
        <v>0.61240000000000006</v>
      </c>
    </row>
    <row r="1283" spans="1:7" x14ac:dyDescent="0.2">
      <c r="A1283" s="1" t="s">
        <v>126</v>
      </c>
      <c r="B1283" t="s">
        <v>716</v>
      </c>
      <c r="C1283">
        <v>-2.3382259621321602</v>
      </c>
      <c r="D1283">
        <v>0</v>
      </c>
      <c r="E1283">
        <v>3.2889498292819602E-3</v>
      </c>
      <c r="F1283" t="str">
        <f>"75/144"</f>
        <v>75/144</v>
      </c>
      <c r="G1283" s="10">
        <v>0.32779999999999998</v>
      </c>
    </row>
    <row r="1284" spans="1:7" x14ac:dyDescent="0.2">
      <c r="A1284" s="1" t="s">
        <v>126</v>
      </c>
      <c r="B1284" t="s">
        <v>1204</v>
      </c>
      <c r="C1284">
        <v>-2.3370576112023498</v>
      </c>
      <c r="D1284">
        <v>0</v>
      </c>
      <c r="E1284">
        <v>3.4702061316964601E-3</v>
      </c>
      <c r="F1284" t="str">
        <f>"26/41"</f>
        <v>26/41</v>
      </c>
      <c r="G1284" s="10">
        <v>0.31140000000000001</v>
      </c>
    </row>
    <row r="1285" spans="1:7" x14ac:dyDescent="0.2">
      <c r="A1285" s="1" t="s">
        <v>126</v>
      </c>
      <c r="B1285" t="s">
        <v>1205</v>
      </c>
      <c r="C1285">
        <v>-2.33687424031835</v>
      </c>
      <c r="D1285">
        <v>0</v>
      </c>
      <c r="E1285">
        <v>3.4523184712237998E-3</v>
      </c>
      <c r="F1285" t="str">
        <f>"12/15"</f>
        <v>12/15</v>
      </c>
      <c r="G1285" s="10">
        <v>0.24299999999999999</v>
      </c>
    </row>
    <row r="1286" spans="1:7" x14ac:dyDescent="0.2">
      <c r="A1286" s="1" t="s">
        <v>126</v>
      </c>
      <c r="B1286" t="s">
        <v>845</v>
      </c>
      <c r="C1286">
        <v>-2.33468551884827</v>
      </c>
      <c r="D1286">
        <v>0</v>
      </c>
      <c r="E1286">
        <v>3.4346142739354701E-3</v>
      </c>
      <c r="F1286" t="str">
        <f>"40/77"</f>
        <v>40/77</v>
      </c>
      <c r="G1286" s="10">
        <v>0.25380000000000003</v>
      </c>
    </row>
    <row r="1287" spans="1:7" x14ac:dyDescent="0.2">
      <c r="A1287" s="1" t="s">
        <v>126</v>
      </c>
      <c r="B1287" t="s">
        <v>683</v>
      </c>
      <c r="C1287">
        <v>2.3339644660469498</v>
      </c>
      <c r="D1287">
        <v>0</v>
      </c>
      <c r="E1287">
        <v>6.2120988019523701E-3</v>
      </c>
      <c r="F1287" t="str">
        <f>"73/91"</f>
        <v>73/91</v>
      </c>
      <c r="G1287" s="10">
        <v>0.57369999999999999</v>
      </c>
    </row>
    <row r="1288" spans="1:7" x14ac:dyDescent="0.2">
      <c r="A1288" s="1" t="s">
        <v>126</v>
      </c>
      <c r="B1288" t="s">
        <v>785</v>
      </c>
      <c r="C1288">
        <v>-2.3294995959265199</v>
      </c>
      <c r="D1288">
        <v>0</v>
      </c>
      <c r="E1288">
        <v>3.8076153867754102E-3</v>
      </c>
      <c r="F1288" t="str">
        <f>"18/25"</f>
        <v>18/25</v>
      </c>
      <c r="G1288" s="10">
        <v>0.34029999999999999</v>
      </c>
    </row>
    <row r="1289" spans="1:7" x14ac:dyDescent="0.2">
      <c r="A1289" s="1" t="s">
        <v>126</v>
      </c>
      <c r="B1289" t="s">
        <v>1206</v>
      </c>
      <c r="C1289">
        <v>-2.32790523264759</v>
      </c>
      <c r="D1289">
        <v>0</v>
      </c>
      <c r="E1289">
        <v>3.8854229639879198E-3</v>
      </c>
      <c r="F1289" t="str">
        <f>"28/32"</f>
        <v>28/32</v>
      </c>
      <c r="G1289" s="10">
        <v>0.5524</v>
      </c>
    </row>
    <row r="1290" spans="1:7" x14ac:dyDescent="0.2">
      <c r="A1290" s="1" t="s">
        <v>126</v>
      </c>
      <c r="B1290" t="s">
        <v>1019</v>
      </c>
      <c r="C1290">
        <v>-2.32506644315237</v>
      </c>
      <c r="D1290">
        <v>0</v>
      </c>
      <c r="E1290">
        <v>3.8657996156849501E-3</v>
      </c>
      <c r="F1290" t="str">
        <f>"15/19"</f>
        <v>15/19</v>
      </c>
      <c r="G1290" s="10">
        <v>0.31040000000000001</v>
      </c>
    </row>
    <row r="1291" spans="1:7" x14ac:dyDescent="0.2">
      <c r="A1291" s="1" t="s">
        <v>126</v>
      </c>
      <c r="B1291" t="s">
        <v>1207</v>
      </c>
      <c r="C1291">
        <v>-2.3212055254582298</v>
      </c>
      <c r="D1291">
        <v>0</v>
      </c>
      <c r="E1291">
        <v>3.9425328241369899E-3</v>
      </c>
      <c r="F1291" t="str">
        <f>"51/57"</f>
        <v>51/57</v>
      </c>
      <c r="G1291" s="10">
        <v>0.65190000000000003</v>
      </c>
    </row>
    <row r="1292" spans="1:7" x14ac:dyDescent="0.2">
      <c r="A1292" s="1" t="s">
        <v>126</v>
      </c>
      <c r="B1292" t="s">
        <v>1208</v>
      </c>
      <c r="C1292">
        <v>-2.3197537656543799</v>
      </c>
      <c r="D1292">
        <v>0</v>
      </c>
      <c r="E1292">
        <v>4.01849870050451E-3</v>
      </c>
      <c r="F1292" t="str">
        <f>"14/20"</f>
        <v>14/20</v>
      </c>
      <c r="G1292" s="10">
        <v>0.27</v>
      </c>
    </row>
    <row r="1293" spans="1:7" x14ac:dyDescent="0.2">
      <c r="A1293" s="1" t="s">
        <v>126</v>
      </c>
      <c r="B1293" t="s">
        <v>1099</v>
      </c>
      <c r="C1293">
        <v>-2.3162959367700102</v>
      </c>
      <c r="D1293">
        <v>0</v>
      </c>
      <c r="E1293">
        <v>4.0937086975051801E-3</v>
      </c>
      <c r="F1293" t="str">
        <f>"57/64"</f>
        <v>57/64</v>
      </c>
      <c r="G1293" s="10">
        <v>0.64259999999999995</v>
      </c>
    </row>
    <row r="1294" spans="1:7" x14ac:dyDescent="0.2">
      <c r="A1294" s="1" t="s">
        <v>126</v>
      </c>
      <c r="B1294" t="s">
        <v>1209</v>
      </c>
      <c r="C1294">
        <v>2.3112898947224401</v>
      </c>
      <c r="D1294">
        <v>0</v>
      </c>
      <c r="E1294">
        <v>7.4341510252872601E-3</v>
      </c>
      <c r="F1294" t="str">
        <f>"26/33"</f>
        <v>26/33</v>
      </c>
      <c r="G1294" s="10">
        <v>0.43490000000000001</v>
      </c>
    </row>
    <row r="1295" spans="1:7" x14ac:dyDescent="0.2">
      <c r="A1295" s="1" t="s">
        <v>126</v>
      </c>
      <c r="B1295" t="s">
        <v>749</v>
      </c>
      <c r="C1295">
        <v>-2.31035054288995</v>
      </c>
      <c r="D1295">
        <v>0</v>
      </c>
      <c r="E1295">
        <v>4.2629052692763503E-3</v>
      </c>
      <c r="F1295" t="str">
        <f>"15/21"</f>
        <v>15/21</v>
      </c>
      <c r="G1295" s="10">
        <v>0.29430000000000001</v>
      </c>
    </row>
    <row r="1296" spans="1:7" x14ac:dyDescent="0.2">
      <c r="A1296" s="1" t="s">
        <v>126</v>
      </c>
      <c r="B1296" t="s">
        <v>675</v>
      </c>
      <c r="C1296">
        <v>-2.3092474713454099</v>
      </c>
      <c r="D1296">
        <v>0</v>
      </c>
      <c r="E1296">
        <v>4.2419057359301604E-3</v>
      </c>
      <c r="F1296" t="str">
        <f>"32/45"</f>
        <v>32/45</v>
      </c>
      <c r="G1296" s="10">
        <v>0.41049999999999998</v>
      </c>
    </row>
    <row r="1297" spans="1:7" x14ac:dyDescent="0.2">
      <c r="A1297" s="1" t="s">
        <v>126</v>
      </c>
      <c r="B1297" t="s">
        <v>1210</v>
      </c>
      <c r="C1297">
        <v>-2.3061380794559301</v>
      </c>
      <c r="D1297">
        <v>0</v>
      </c>
      <c r="E1297">
        <v>4.4087170617112901E-3</v>
      </c>
      <c r="F1297" t="str">
        <f>"71/86"</f>
        <v>71/86</v>
      </c>
      <c r="G1297" s="10">
        <v>0.60189999999999999</v>
      </c>
    </row>
    <row r="1298" spans="1:7" x14ac:dyDescent="0.2">
      <c r="A1298" s="1" t="s">
        <v>126</v>
      </c>
      <c r="B1298" t="s">
        <v>1211</v>
      </c>
      <c r="C1298">
        <v>-2.30410016335729</v>
      </c>
      <c r="D1298">
        <v>0</v>
      </c>
      <c r="E1298">
        <v>4.3872111248248998E-3</v>
      </c>
      <c r="F1298" t="str">
        <f>"47/71"</f>
        <v>47/71</v>
      </c>
      <c r="G1298" s="10">
        <v>0.39389999999999997</v>
      </c>
    </row>
    <row r="1299" spans="1:7" x14ac:dyDescent="0.2">
      <c r="A1299" s="1" t="s">
        <v>126</v>
      </c>
      <c r="B1299" t="s">
        <v>722</v>
      </c>
      <c r="C1299">
        <v>2.3039291028448101</v>
      </c>
      <c r="D1299">
        <v>0</v>
      </c>
      <c r="E1299">
        <v>7.7150259314569796E-3</v>
      </c>
      <c r="F1299" t="str">
        <f>"29/37"</f>
        <v>29/37</v>
      </c>
      <c r="G1299" s="10">
        <v>0.43109999999999998</v>
      </c>
    </row>
    <row r="1300" spans="1:7" x14ac:dyDescent="0.2">
      <c r="A1300" s="1" t="s">
        <v>126</v>
      </c>
      <c r="B1300" t="s">
        <v>1212</v>
      </c>
      <c r="C1300">
        <v>-2.3006926926430098</v>
      </c>
      <c r="D1300">
        <v>0</v>
      </c>
      <c r="E1300">
        <v>4.3659139834422503E-3</v>
      </c>
      <c r="F1300" t="str">
        <f>"10/15"</f>
        <v>10/15</v>
      </c>
      <c r="G1300" s="10">
        <v>0.1482</v>
      </c>
    </row>
    <row r="1301" spans="1:7" x14ac:dyDescent="0.2">
      <c r="A1301" s="1" t="s">
        <v>126</v>
      </c>
      <c r="B1301" t="s">
        <v>1213</v>
      </c>
      <c r="C1301">
        <v>-2.2997430701819801</v>
      </c>
      <c r="D1301">
        <v>0</v>
      </c>
      <c r="E1301">
        <v>4.3448226115415604E-3</v>
      </c>
      <c r="F1301" t="str">
        <f>"21/31"</f>
        <v>21/31</v>
      </c>
      <c r="G1301" s="10">
        <v>0.33479999999999999</v>
      </c>
    </row>
    <row r="1302" spans="1:7" x14ac:dyDescent="0.2">
      <c r="A1302" s="1" t="s">
        <v>126</v>
      </c>
      <c r="B1302" t="s">
        <v>622</v>
      </c>
      <c r="C1302">
        <v>2.2991381994931399</v>
      </c>
      <c r="D1302">
        <v>0</v>
      </c>
      <c r="E1302">
        <v>7.8883794310506301E-3</v>
      </c>
      <c r="F1302" t="str">
        <f>"256/303"</f>
        <v>256/303</v>
      </c>
      <c r="G1302" s="10">
        <v>0.70030000000000003</v>
      </c>
    </row>
    <row r="1303" spans="1:7" x14ac:dyDescent="0.2">
      <c r="A1303" s="1" t="s">
        <v>126</v>
      </c>
      <c r="B1303" t="s">
        <v>665</v>
      </c>
      <c r="C1303">
        <v>-2.2982177761235199</v>
      </c>
      <c r="D1303">
        <v>0</v>
      </c>
      <c r="E1303">
        <v>4.3239340412937703E-3</v>
      </c>
      <c r="F1303" t="str">
        <f>"13/16"</f>
        <v>13/16</v>
      </c>
      <c r="G1303" s="10">
        <v>0.3165</v>
      </c>
    </row>
    <row r="1304" spans="1:7" x14ac:dyDescent="0.2">
      <c r="A1304" s="1" t="s">
        <v>126</v>
      </c>
      <c r="B1304" t="s">
        <v>1214</v>
      </c>
      <c r="C1304">
        <v>-2.2975348870104502</v>
      </c>
      <c r="D1304">
        <v>0</v>
      </c>
      <c r="E1304">
        <v>4.3032453616703497E-3</v>
      </c>
      <c r="F1304" t="str">
        <f>"13/15"</f>
        <v>13/15</v>
      </c>
      <c r="G1304" s="10">
        <v>0.40189999999999998</v>
      </c>
    </row>
    <row r="1305" spans="1:7" x14ac:dyDescent="0.2">
      <c r="A1305" s="1" t="s">
        <v>126</v>
      </c>
      <c r="B1305" t="s">
        <v>937</v>
      </c>
      <c r="C1305">
        <v>-2.2965555270604399</v>
      </c>
      <c r="D1305">
        <v>0</v>
      </c>
      <c r="E1305">
        <v>4.2827537170909702E-3</v>
      </c>
      <c r="F1305" t="str">
        <f>"65/70"</f>
        <v>65/70</v>
      </c>
      <c r="G1305" s="10">
        <v>0.70820000000000005</v>
      </c>
    </row>
    <row r="1306" spans="1:7" x14ac:dyDescent="0.2">
      <c r="A1306" s="1" t="s">
        <v>126</v>
      </c>
      <c r="B1306" t="s">
        <v>582</v>
      </c>
      <c r="C1306">
        <v>-2.2916995611964102</v>
      </c>
      <c r="D1306">
        <v>0</v>
      </c>
      <c r="E1306">
        <v>4.3531468658139496E-3</v>
      </c>
      <c r="F1306" t="str">
        <f>"35/43"</f>
        <v>35/43</v>
      </c>
      <c r="G1306" s="10">
        <v>0.52680000000000005</v>
      </c>
    </row>
    <row r="1307" spans="1:7" x14ac:dyDescent="0.2">
      <c r="A1307" s="1" t="s">
        <v>126</v>
      </c>
      <c r="B1307" t="s">
        <v>1215</v>
      </c>
      <c r="C1307">
        <v>2.2901390463079898</v>
      </c>
      <c r="D1307">
        <v>0</v>
      </c>
      <c r="E1307">
        <v>8.2504437213429902E-3</v>
      </c>
      <c r="F1307" t="str">
        <f>"65/89"</f>
        <v>65/89</v>
      </c>
      <c r="G1307" s="10">
        <v>0.5181</v>
      </c>
    </row>
    <row r="1308" spans="1:7" x14ac:dyDescent="0.2">
      <c r="A1308" s="1" t="s">
        <v>126</v>
      </c>
      <c r="B1308" t="s">
        <v>1216</v>
      </c>
      <c r="C1308">
        <v>-2.2887602808608398</v>
      </c>
      <c r="D1308">
        <v>0</v>
      </c>
      <c r="E1308">
        <v>4.4228759282282301E-3</v>
      </c>
      <c r="F1308" t="str">
        <f>"23/27"</f>
        <v>23/27</v>
      </c>
      <c r="G1308" s="10">
        <v>0.48060000000000003</v>
      </c>
    </row>
    <row r="1309" spans="1:7" x14ac:dyDescent="0.2">
      <c r="A1309" s="1" t="s">
        <v>126</v>
      </c>
      <c r="B1309" t="s">
        <v>282</v>
      </c>
      <c r="C1309">
        <v>2.2873783381702402</v>
      </c>
      <c r="D1309">
        <v>0</v>
      </c>
      <c r="E1309">
        <v>8.3146553195362505E-3</v>
      </c>
      <c r="F1309" t="str">
        <f>"95/112"</f>
        <v>95/112</v>
      </c>
      <c r="G1309" s="10">
        <v>0.6522</v>
      </c>
    </row>
    <row r="1310" spans="1:7" x14ac:dyDescent="0.2">
      <c r="A1310" s="1" t="s">
        <v>126</v>
      </c>
      <c r="B1310" t="s">
        <v>1013</v>
      </c>
      <c r="C1310">
        <v>-2.2865592268563901</v>
      </c>
      <c r="D1310">
        <v>0</v>
      </c>
      <c r="E1310">
        <v>4.4919502576620902E-3</v>
      </c>
      <c r="F1310" t="str">
        <f>"16/22"</f>
        <v>16/22</v>
      </c>
      <c r="G1310" s="10">
        <v>0.32350000000000001</v>
      </c>
    </row>
    <row r="1311" spans="1:7" x14ac:dyDescent="0.2">
      <c r="A1311" s="1" t="s">
        <v>126</v>
      </c>
      <c r="B1311" t="s">
        <v>308</v>
      </c>
      <c r="C1311">
        <v>-2.2838019323478398</v>
      </c>
      <c r="D1311">
        <v>0</v>
      </c>
      <c r="E1311">
        <v>4.4709598358973097E-3</v>
      </c>
      <c r="F1311" t="str">
        <f>"21/28"</f>
        <v>21/28</v>
      </c>
      <c r="G1311" s="10">
        <v>0.38159999999999999</v>
      </c>
    </row>
    <row r="1312" spans="1:7" x14ac:dyDescent="0.2">
      <c r="A1312" s="1" t="s">
        <v>126</v>
      </c>
      <c r="B1312" t="s">
        <v>1217</v>
      </c>
      <c r="C1312">
        <v>-2.28270505885191</v>
      </c>
      <c r="D1312">
        <v>0</v>
      </c>
      <c r="E1312">
        <v>4.5391679673472797E-3</v>
      </c>
      <c r="F1312" t="str">
        <f>"29/29"</f>
        <v>29/29</v>
      </c>
      <c r="G1312" s="10">
        <v>0.67379999999999995</v>
      </c>
    </row>
    <row r="1313" spans="1:7" x14ac:dyDescent="0.2">
      <c r="A1313" s="1" t="s">
        <v>126</v>
      </c>
      <c r="B1313" t="s">
        <v>1218</v>
      </c>
      <c r="C1313">
        <v>-2.2814523984638799</v>
      </c>
      <c r="D1313">
        <v>0</v>
      </c>
      <c r="E1313">
        <v>4.6067445420245696E-3</v>
      </c>
      <c r="F1313" t="str">
        <f>"21/40"</f>
        <v>21/40</v>
      </c>
      <c r="G1313" s="10">
        <v>0.20469999999999999</v>
      </c>
    </row>
    <row r="1314" spans="1:7" x14ac:dyDescent="0.2">
      <c r="A1314" s="1" t="s">
        <v>126</v>
      </c>
      <c r="B1314" t="s">
        <v>730</v>
      </c>
      <c r="C1314">
        <v>-2.2796202347954702</v>
      </c>
      <c r="D1314">
        <v>0</v>
      </c>
      <c r="E1314">
        <v>4.5855153045037201E-3</v>
      </c>
      <c r="F1314" t="str">
        <f>"21/36"</f>
        <v>21/36</v>
      </c>
      <c r="G1314" s="10">
        <v>0.2291</v>
      </c>
    </row>
    <row r="1315" spans="1:7" x14ac:dyDescent="0.2">
      <c r="A1315" s="1" t="s">
        <v>126</v>
      </c>
      <c r="B1315" t="s">
        <v>770</v>
      </c>
      <c r="C1315">
        <v>2.2783853166423702</v>
      </c>
      <c r="D1315">
        <v>0</v>
      </c>
      <c r="E1315">
        <v>9.3181482029285594E-3</v>
      </c>
      <c r="F1315" t="str">
        <f>"176/195"</f>
        <v>176/195</v>
      </c>
      <c r="G1315" s="10">
        <v>0.73550000000000004</v>
      </c>
    </row>
    <row r="1316" spans="1:7" x14ac:dyDescent="0.2">
      <c r="A1316" s="1" t="s">
        <v>126</v>
      </c>
      <c r="B1316" t="s">
        <v>1128</v>
      </c>
      <c r="C1316">
        <v>-2.27727936399187</v>
      </c>
      <c r="D1316">
        <v>0</v>
      </c>
      <c r="E1316">
        <v>4.5644808306298497E-3</v>
      </c>
      <c r="F1316" t="str">
        <f>"50/112"</f>
        <v>50/112</v>
      </c>
      <c r="G1316" s="10">
        <v>0.2001</v>
      </c>
    </row>
    <row r="1317" spans="1:7" x14ac:dyDescent="0.2">
      <c r="A1317" s="1" t="s">
        <v>126</v>
      </c>
      <c r="B1317" t="s">
        <v>1219</v>
      </c>
      <c r="C1317">
        <v>-2.2765700734837702</v>
      </c>
      <c r="D1317">
        <v>0</v>
      </c>
      <c r="E1317">
        <v>4.5436384524077901E-3</v>
      </c>
      <c r="F1317" t="str">
        <f>"59/61"</f>
        <v>59/61</v>
      </c>
      <c r="G1317" s="10">
        <v>0.73660000000000003</v>
      </c>
    </row>
    <row r="1318" spans="1:7" x14ac:dyDescent="0.2">
      <c r="A1318" s="1" t="s">
        <v>126</v>
      </c>
      <c r="B1318" t="s">
        <v>1220</v>
      </c>
      <c r="C1318">
        <v>-2.2734143297532698</v>
      </c>
      <c r="D1318">
        <v>0</v>
      </c>
      <c r="E1318">
        <v>4.5229855503513897E-3</v>
      </c>
      <c r="F1318" t="str">
        <f>"15/17"</f>
        <v>15/17</v>
      </c>
      <c r="G1318" s="10">
        <v>0.41770000000000002</v>
      </c>
    </row>
    <row r="1319" spans="1:7" x14ac:dyDescent="0.2">
      <c r="A1319" s="1" t="s">
        <v>126</v>
      </c>
      <c r="B1319" t="s">
        <v>682</v>
      </c>
      <c r="C1319">
        <v>-2.27038738670044</v>
      </c>
      <c r="D1319">
        <v>0</v>
      </c>
      <c r="E1319">
        <v>4.6756933813239202E-3</v>
      </c>
      <c r="F1319" t="str">
        <f>"96/108"</f>
        <v>96/108</v>
      </c>
      <c r="G1319" s="10">
        <v>0.68799999999999994</v>
      </c>
    </row>
    <row r="1320" spans="1:7" x14ac:dyDescent="0.2">
      <c r="A1320" s="1" t="s">
        <v>126</v>
      </c>
      <c r="B1320" t="s">
        <v>1221</v>
      </c>
      <c r="C1320">
        <v>-2.2691506823327399</v>
      </c>
      <c r="D1320">
        <v>0</v>
      </c>
      <c r="E1320">
        <v>4.6546316994260702E-3</v>
      </c>
      <c r="F1320" t="str">
        <f>"24/26"</f>
        <v>24/26</v>
      </c>
      <c r="G1320" s="10">
        <v>0.5696</v>
      </c>
    </row>
    <row r="1321" spans="1:7" x14ac:dyDescent="0.2">
      <c r="A1321" s="1" t="s">
        <v>126</v>
      </c>
      <c r="B1321" t="s">
        <v>1222</v>
      </c>
      <c r="C1321">
        <v>-2.2618639971427399</v>
      </c>
      <c r="D1321">
        <v>0</v>
      </c>
      <c r="E1321">
        <v>4.80537961196354E-3</v>
      </c>
      <c r="F1321" t="str">
        <f>"56/63"</f>
        <v>56/63</v>
      </c>
      <c r="G1321" s="10">
        <v>0.64259999999999995</v>
      </c>
    </row>
    <row r="1322" spans="1:7" x14ac:dyDescent="0.2">
      <c r="A1322" s="1" t="s">
        <v>126</v>
      </c>
      <c r="B1322" t="s">
        <v>896</v>
      </c>
      <c r="C1322">
        <v>-2.2593962688447098</v>
      </c>
      <c r="D1322">
        <v>0</v>
      </c>
      <c r="E1322">
        <v>4.7839270244101296E-3</v>
      </c>
      <c r="F1322" t="str">
        <f>"28/52"</f>
        <v>28/52</v>
      </c>
      <c r="G1322" s="10">
        <v>0.25380000000000003</v>
      </c>
    </row>
    <row r="1323" spans="1:7" x14ac:dyDescent="0.2">
      <c r="A1323" s="1" t="s">
        <v>126</v>
      </c>
      <c r="B1323" t="s">
        <v>1223</v>
      </c>
      <c r="C1323">
        <v>-2.2571967076556398</v>
      </c>
      <c r="D1323">
        <v>0</v>
      </c>
      <c r="E1323">
        <v>4.7626651265238601E-3</v>
      </c>
      <c r="F1323" t="str">
        <f>"46/56"</f>
        <v>46/56</v>
      </c>
      <c r="G1323" s="10">
        <v>0.57599999999999996</v>
      </c>
    </row>
    <row r="1324" spans="1:7" x14ac:dyDescent="0.2">
      <c r="A1324" s="1" t="s">
        <v>126</v>
      </c>
      <c r="B1324" t="s">
        <v>950</v>
      </c>
      <c r="C1324">
        <v>-2.25391414670543</v>
      </c>
      <c r="D1324">
        <v>0</v>
      </c>
      <c r="E1324">
        <v>4.9109339365626097E-3</v>
      </c>
      <c r="F1324" t="str">
        <f>"164/180"</f>
        <v>164/180</v>
      </c>
      <c r="G1324" s="10">
        <v>0.74450000000000005</v>
      </c>
    </row>
    <row r="1325" spans="1:7" x14ac:dyDescent="0.2">
      <c r="A1325" s="1" t="s">
        <v>126</v>
      </c>
      <c r="B1325" t="s">
        <v>768</v>
      </c>
      <c r="C1325">
        <v>-2.2519896199407601</v>
      </c>
      <c r="D1325">
        <v>0</v>
      </c>
      <c r="E1325">
        <v>4.8892998663574898E-3</v>
      </c>
      <c r="F1325" t="str">
        <f>"57/132"</f>
        <v>57/132</v>
      </c>
      <c r="G1325" s="10">
        <v>0.24460000000000001</v>
      </c>
    </row>
    <row r="1326" spans="1:7" x14ac:dyDescent="0.2">
      <c r="A1326" s="1" t="s">
        <v>126</v>
      </c>
      <c r="B1326" t="s">
        <v>1224</v>
      </c>
      <c r="C1326">
        <v>-2.2504837081458402</v>
      </c>
      <c r="D1326">
        <v>0</v>
      </c>
      <c r="E1326">
        <v>4.86785556869802E-3</v>
      </c>
      <c r="F1326" t="str">
        <f>"76/80"</f>
        <v>76/80</v>
      </c>
      <c r="G1326" s="10">
        <v>0.74609999999999999</v>
      </c>
    </row>
    <row r="1327" spans="1:7" x14ac:dyDescent="0.2">
      <c r="A1327" s="1" t="s">
        <v>126</v>
      </c>
      <c r="B1327" t="s">
        <v>1225</v>
      </c>
      <c r="C1327">
        <v>-2.24908542949228</v>
      </c>
      <c r="D1327">
        <v>0</v>
      </c>
      <c r="E1327">
        <v>4.8465985574810003E-3</v>
      </c>
      <c r="F1327" t="str">
        <f>"22/22"</f>
        <v>22/22</v>
      </c>
      <c r="G1327" s="10">
        <v>0.63249999999999995</v>
      </c>
    </row>
    <row r="1328" spans="1:7" x14ac:dyDescent="0.2">
      <c r="A1328" s="1" t="s">
        <v>126</v>
      </c>
      <c r="B1328" t="s">
        <v>732</v>
      </c>
      <c r="C1328">
        <v>-2.24762330326022</v>
      </c>
      <c r="D1328">
        <v>0</v>
      </c>
      <c r="E1328">
        <v>4.8255263898397804E-3</v>
      </c>
      <c r="F1328" t="str">
        <f>"19/30"</f>
        <v>19/30</v>
      </c>
      <c r="G1328" s="10">
        <v>0.26779999999999998</v>
      </c>
    </row>
    <row r="1329" spans="1:7" x14ac:dyDescent="0.2">
      <c r="A1329" s="1" t="s">
        <v>126</v>
      </c>
      <c r="B1329" t="s">
        <v>1226</v>
      </c>
      <c r="C1329">
        <v>-2.2471455979269099</v>
      </c>
      <c r="D1329">
        <v>0</v>
      </c>
      <c r="E1329">
        <v>4.8874752284016904E-3</v>
      </c>
      <c r="F1329" t="str">
        <f>"24/33"</f>
        <v>24/33</v>
      </c>
      <c r="G1329" s="10">
        <v>0.39389999999999997</v>
      </c>
    </row>
    <row r="1330" spans="1:7" x14ac:dyDescent="0.2">
      <c r="A1330" s="1" t="s">
        <v>126</v>
      </c>
      <c r="B1330" t="s">
        <v>1227</v>
      </c>
      <c r="C1330">
        <v>-2.2456765400009702</v>
      </c>
      <c r="D1330">
        <v>0</v>
      </c>
      <c r="E1330">
        <v>4.9488900252518597E-3</v>
      </c>
      <c r="F1330" t="str">
        <f>"35/71"</f>
        <v>35/71</v>
      </c>
      <c r="G1330" s="10">
        <v>0.23910000000000001</v>
      </c>
    </row>
    <row r="1331" spans="1:7" x14ac:dyDescent="0.2">
      <c r="A1331" s="1" t="s">
        <v>126</v>
      </c>
      <c r="B1331" t="s">
        <v>975</v>
      </c>
      <c r="C1331">
        <v>-2.2449273183509399</v>
      </c>
      <c r="D1331">
        <v>0</v>
      </c>
      <c r="E1331">
        <v>5.0097776564638199E-3</v>
      </c>
      <c r="F1331" t="str">
        <f>"108/116"</f>
        <v>108/116</v>
      </c>
      <c r="G1331" s="10">
        <v>0.76529999999999998</v>
      </c>
    </row>
    <row r="1332" spans="1:7" x14ac:dyDescent="0.2">
      <c r="A1332" s="1" t="s">
        <v>126</v>
      </c>
      <c r="B1332" t="s">
        <v>1228</v>
      </c>
      <c r="C1332">
        <v>-2.2443784019110198</v>
      </c>
      <c r="D1332">
        <v>0</v>
      </c>
      <c r="E1332">
        <v>4.9883683502396203E-3</v>
      </c>
      <c r="F1332" t="str">
        <f>"308/497"</f>
        <v>308/497</v>
      </c>
      <c r="G1332" s="10">
        <v>0.50860000000000005</v>
      </c>
    </row>
    <row r="1333" spans="1:7" x14ac:dyDescent="0.2">
      <c r="A1333" s="1" t="s">
        <v>126</v>
      </c>
      <c r="B1333" t="s">
        <v>903</v>
      </c>
      <c r="C1333">
        <v>-2.23907609703569</v>
      </c>
      <c r="D1333">
        <v>0</v>
      </c>
      <c r="E1333">
        <v>5.2928554312622698E-3</v>
      </c>
      <c r="F1333" t="str">
        <f>"38/74"</f>
        <v>38/74</v>
      </c>
      <c r="G1333" s="10">
        <v>0.27110000000000001</v>
      </c>
    </row>
    <row r="1334" spans="1:7" x14ac:dyDescent="0.2">
      <c r="A1334" s="1" t="s">
        <v>126</v>
      </c>
      <c r="B1334" t="s">
        <v>1229</v>
      </c>
      <c r="C1334">
        <v>-2.2388220860583901</v>
      </c>
      <c r="D1334">
        <v>0</v>
      </c>
      <c r="E1334">
        <v>5.2704280777399696E-3</v>
      </c>
      <c r="F1334" t="str">
        <f>"14/15"</f>
        <v>14/15</v>
      </c>
      <c r="G1334" s="10">
        <v>0.48599999999999999</v>
      </c>
    </row>
    <row r="1335" spans="1:7" x14ac:dyDescent="0.2">
      <c r="A1335" s="1" t="s">
        <v>126</v>
      </c>
      <c r="B1335" t="s">
        <v>703</v>
      </c>
      <c r="C1335">
        <v>-2.23612572290578</v>
      </c>
      <c r="D1335">
        <v>0</v>
      </c>
      <c r="E1335">
        <v>5.2481899845849504E-3</v>
      </c>
      <c r="F1335" t="str">
        <f>"39/60"</f>
        <v>39/60</v>
      </c>
      <c r="G1335" s="10">
        <v>0.38300000000000001</v>
      </c>
    </row>
    <row r="1336" spans="1:7" x14ac:dyDescent="0.2">
      <c r="A1336" s="1" t="s">
        <v>126</v>
      </c>
      <c r="B1336" t="s">
        <v>1064</v>
      </c>
      <c r="C1336">
        <v>-2.2349311436517398</v>
      </c>
      <c r="D1336">
        <v>0</v>
      </c>
      <c r="E1336">
        <v>5.2261387661623202E-3</v>
      </c>
      <c r="F1336" t="str">
        <f>"13/17"</f>
        <v>13/17</v>
      </c>
      <c r="G1336" s="10">
        <v>0.32350000000000001</v>
      </c>
    </row>
    <row r="1337" spans="1:7" x14ac:dyDescent="0.2">
      <c r="A1337" s="1" t="s">
        <v>126</v>
      </c>
      <c r="B1337" t="s">
        <v>1230</v>
      </c>
      <c r="C1337">
        <v>-2.2321506170307299</v>
      </c>
      <c r="D1337">
        <v>0</v>
      </c>
      <c r="E1337">
        <v>5.2843378010220604E-3</v>
      </c>
      <c r="F1337" t="str">
        <f>"17/19"</f>
        <v>17/19</v>
      </c>
      <c r="G1337" s="10">
        <v>0.49230000000000002</v>
      </c>
    </row>
    <row r="1338" spans="1:7" x14ac:dyDescent="0.2">
      <c r="A1338" s="1" t="s">
        <v>126</v>
      </c>
      <c r="B1338" t="s">
        <v>1231</v>
      </c>
      <c r="C1338">
        <v>-2.21905916294003</v>
      </c>
      <c r="D1338">
        <v>0</v>
      </c>
      <c r="E1338">
        <v>5.7407124292921498E-3</v>
      </c>
      <c r="F1338" t="str">
        <f>"73/89"</f>
        <v>73/89</v>
      </c>
      <c r="G1338" s="10">
        <v>0.62629999999999997</v>
      </c>
    </row>
    <row r="1339" spans="1:7" x14ac:dyDescent="0.2">
      <c r="A1339" s="1" t="s">
        <v>126</v>
      </c>
      <c r="B1339" t="s">
        <v>870</v>
      </c>
      <c r="C1339">
        <v>-2.21096768993683</v>
      </c>
      <c r="D1339">
        <v>0</v>
      </c>
      <c r="E1339">
        <v>6.11389843783535E-3</v>
      </c>
      <c r="F1339" t="str">
        <f>"12/17"</f>
        <v>12/17</v>
      </c>
      <c r="G1339" s="10">
        <v>0.25380000000000003</v>
      </c>
    </row>
    <row r="1340" spans="1:7" x14ac:dyDescent="0.2">
      <c r="A1340" s="1" t="s">
        <v>126</v>
      </c>
      <c r="B1340" t="s">
        <v>1232</v>
      </c>
      <c r="C1340">
        <v>-2.2106377472938998</v>
      </c>
      <c r="D1340">
        <v>0</v>
      </c>
      <c r="E1340">
        <v>6.1677075686609904E-3</v>
      </c>
      <c r="F1340" t="str">
        <f>"11/16"</f>
        <v>11/16</v>
      </c>
      <c r="G1340" s="10">
        <v>0.1885</v>
      </c>
    </row>
    <row r="1341" spans="1:7" x14ac:dyDescent="0.2">
      <c r="A1341" s="1" t="s">
        <v>126</v>
      </c>
      <c r="B1341" t="s">
        <v>1233</v>
      </c>
      <c r="C1341">
        <v>-2.2086217407525202</v>
      </c>
      <c r="D1341">
        <v>0</v>
      </c>
      <c r="E1341">
        <v>6.2210738259818902E-3</v>
      </c>
      <c r="F1341" t="str">
        <f>"107/129"</f>
        <v>107/129</v>
      </c>
      <c r="G1341" s="10">
        <v>0.66690000000000005</v>
      </c>
    </row>
    <row r="1342" spans="1:7" x14ac:dyDescent="0.2">
      <c r="A1342" s="1" t="s">
        <v>126</v>
      </c>
      <c r="B1342" t="s">
        <v>1234</v>
      </c>
      <c r="C1342">
        <v>-2.2049442878103398</v>
      </c>
      <c r="D1342">
        <v>0</v>
      </c>
      <c r="E1342">
        <v>6.3524276881511497E-3</v>
      </c>
      <c r="F1342" t="str">
        <f>"22/25"</f>
        <v>22/25</v>
      </c>
      <c r="G1342" s="10">
        <v>0.50860000000000005</v>
      </c>
    </row>
    <row r="1343" spans="1:7" x14ac:dyDescent="0.2">
      <c r="A1343" s="1" t="s">
        <v>126</v>
      </c>
      <c r="B1343" t="s">
        <v>568</v>
      </c>
      <c r="C1343">
        <v>-2.2010638334135701</v>
      </c>
      <c r="D1343">
        <v>0</v>
      </c>
      <c r="E1343">
        <v>6.56081420490532E-3</v>
      </c>
      <c r="F1343" t="str">
        <f>"51/75"</f>
        <v>51/75</v>
      </c>
      <c r="G1343" s="10">
        <v>0.44419999999999998</v>
      </c>
    </row>
    <row r="1344" spans="1:7" x14ac:dyDescent="0.2">
      <c r="A1344" s="1" t="s">
        <v>126</v>
      </c>
      <c r="B1344" t="s">
        <v>1235</v>
      </c>
      <c r="C1344">
        <v>-2.1949523000837998</v>
      </c>
      <c r="D1344">
        <v>0</v>
      </c>
      <c r="E1344">
        <v>6.6897190910450597E-3</v>
      </c>
      <c r="F1344" t="str">
        <f>"20/31"</f>
        <v>20/31</v>
      </c>
      <c r="G1344" s="10">
        <v>0.3075</v>
      </c>
    </row>
    <row r="1345" spans="1:7" x14ac:dyDescent="0.2">
      <c r="A1345" s="1" t="s">
        <v>126</v>
      </c>
      <c r="B1345" t="s">
        <v>1236</v>
      </c>
      <c r="C1345">
        <v>-2.1928880198149701</v>
      </c>
      <c r="D1345">
        <v>0</v>
      </c>
      <c r="E1345">
        <v>6.7401077105049599E-3</v>
      </c>
      <c r="F1345" t="str">
        <f>"41/76"</f>
        <v>41/76</v>
      </c>
      <c r="G1345" s="10">
        <v>0.3075</v>
      </c>
    </row>
    <row r="1346" spans="1:7" x14ac:dyDescent="0.2">
      <c r="A1346" s="1" t="s">
        <v>126</v>
      </c>
      <c r="B1346" t="s">
        <v>1237</v>
      </c>
      <c r="C1346">
        <v>-2.1927722319345002</v>
      </c>
      <c r="D1346">
        <v>0</v>
      </c>
      <c r="E1346">
        <v>6.7129298568335697E-3</v>
      </c>
      <c r="F1346" t="str">
        <f>"25/39"</f>
        <v>25/39</v>
      </c>
      <c r="G1346" s="10">
        <v>0.35320000000000001</v>
      </c>
    </row>
    <row r="1347" spans="1:7" x14ac:dyDescent="0.2">
      <c r="A1347" s="1" t="s">
        <v>126</v>
      </c>
      <c r="B1347" t="s">
        <v>1238</v>
      </c>
      <c r="C1347">
        <v>-2.1917003810720801</v>
      </c>
      <c r="D1347">
        <v>0</v>
      </c>
      <c r="E1347">
        <v>6.6859702991756004E-3</v>
      </c>
      <c r="F1347" t="str">
        <f>"18/30"</f>
        <v>18/30</v>
      </c>
      <c r="G1347" s="10">
        <v>0.2631</v>
      </c>
    </row>
    <row r="1348" spans="1:7" x14ac:dyDescent="0.2">
      <c r="A1348" s="1" t="s">
        <v>126</v>
      </c>
      <c r="B1348" t="s">
        <v>1239</v>
      </c>
      <c r="C1348">
        <v>-2.1915611177098602</v>
      </c>
      <c r="D1348">
        <v>0</v>
      </c>
      <c r="E1348">
        <v>6.6592264179788996E-3</v>
      </c>
      <c r="F1348" t="str">
        <f>"55/98"</f>
        <v>55/98</v>
      </c>
      <c r="G1348" s="10">
        <v>0.33389999999999997</v>
      </c>
    </row>
    <row r="1349" spans="1:7" x14ac:dyDescent="0.2">
      <c r="A1349" s="1" t="s">
        <v>126</v>
      </c>
      <c r="B1349" t="s">
        <v>859</v>
      </c>
      <c r="C1349">
        <v>-2.1909442845890399</v>
      </c>
      <c r="D1349">
        <v>0</v>
      </c>
      <c r="E1349">
        <v>6.63269563543715E-3</v>
      </c>
      <c r="F1349" t="str">
        <f>"35/42"</f>
        <v>35/42</v>
      </c>
      <c r="G1349" s="10">
        <v>0.55010000000000003</v>
      </c>
    </row>
    <row r="1350" spans="1:7" x14ac:dyDescent="0.2">
      <c r="A1350" s="1" t="s">
        <v>126</v>
      </c>
      <c r="B1350" t="s">
        <v>314</v>
      </c>
      <c r="C1350">
        <v>-2.1840937120549002</v>
      </c>
      <c r="D1350">
        <v>0</v>
      </c>
      <c r="E1350">
        <v>6.83418146344304E-3</v>
      </c>
      <c r="F1350" t="str">
        <f>"23/39"</f>
        <v>23/39</v>
      </c>
      <c r="G1350" s="10">
        <v>0.25380000000000003</v>
      </c>
    </row>
    <row r="1351" spans="1:7" x14ac:dyDescent="0.2">
      <c r="A1351" s="1" t="s">
        <v>126</v>
      </c>
      <c r="B1351" t="s">
        <v>1240</v>
      </c>
      <c r="C1351">
        <v>-2.1839832918718698</v>
      </c>
      <c r="D1351">
        <v>0</v>
      </c>
      <c r="E1351">
        <v>6.8071688884887198E-3</v>
      </c>
      <c r="F1351" t="str">
        <f>"37/44"</f>
        <v>37/44</v>
      </c>
      <c r="G1351" s="10">
        <v>0.59079999999999999</v>
      </c>
    </row>
    <row r="1352" spans="1:7" x14ac:dyDescent="0.2">
      <c r="A1352" s="1" t="s">
        <v>126</v>
      </c>
      <c r="B1352" t="s">
        <v>1241</v>
      </c>
      <c r="C1352">
        <v>-2.1839812868589998</v>
      </c>
      <c r="D1352">
        <v>0</v>
      </c>
      <c r="E1352">
        <v>6.7803690109749801E-3</v>
      </c>
      <c r="F1352" t="str">
        <f>"149/157"</f>
        <v>149/157</v>
      </c>
      <c r="G1352" s="10">
        <v>0.80900000000000005</v>
      </c>
    </row>
    <row r="1353" spans="1:7" x14ac:dyDescent="0.2">
      <c r="A1353" s="1" t="s">
        <v>126</v>
      </c>
      <c r="B1353" t="s">
        <v>963</v>
      </c>
      <c r="C1353">
        <v>-2.1838711991450799</v>
      </c>
      <c r="D1353">
        <v>0</v>
      </c>
      <c r="E1353">
        <v>6.7012207345822803E-3</v>
      </c>
      <c r="F1353" t="str">
        <f>"58/63"</f>
        <v>58/63</v>
      </c>
      <c r="G1353" s="10">
        <v>0.70009999999999994</v>
      </c>
    </row>
    <row r="1354" spans="1:7" x14ac:dyDescent="0.2">
      <c r="A1354" s="1" t="s">
        <v>126</v>
      </c>
      <c r="B1354" t="s">
        <v>961</v>
      </c>
      <c r="C1354">
        <v>-2.1838711991450799</v>
      </c>
      <c r="D1354">
        <v>0</v>
      </c>
      <c r="E1354">
        <v>6.7012207345822803E-3</v>
      </c>
      <c r="F1354" t="str">
        <f>"58/63"</f>
        <v>58/63</v>
      </c>
      <c r="G1354" s="10">
        <v>0.70009999999999994</v>
      </c>
    </row>
    <row r="1355" spans="1:7" x14ac:dyDescent="0.2">
      <c r="A1355" s="1" t="s">
        <v>126</v>
      </c>
      <c r="B1355" t="s">
        <v>962</v>
      </c>
      <c r="C1355">
        <v>-2.1838711991450799</v>
      </c>
      <c r="D1355">
        <v>0</v>
      </c>
      <c r="E1355">
        <v>6.7012207345822803E-3</v>
      </c>
      <c r="F1355" t="str">
        <f>"58/63"</f>
        <v>58/63</v>
      </c>
      <c r="G1355" s="10">
        <v>0.70009999999999994</v>
      </c>
    </row>
    <row r="1356" spans="1:7" x14ac:dyDescent="0.2">
      <c r="A1356" s="1" t="s">
        <v>126</v>
      </c>
      <c r="B1356" t="s">
        <v>1003</v>
      </c>
      <c r="C1356">
        <v>-2.1796323530356201</v>
      </c>
      <c r="D1356">
        <v>0</v>
      </c>
      <c r="E1356">
        <v>7.0460940669606498E-3</v>
      </c>
      <c r="F1356" t="str">
        <f>"94/158"</f>
        <v>94/158</v>
      </c>
      <c r="G1356" s="10">
        <v>0.40450000000000003</v>
      </c>
    </row>
    <row r="1357" spans="1:7" x14ac:dyDescent="0.2">
      <c r="A1357" s="1" t="s">
        <v>126</v>
      </c>
      <c r="B1357" t="s">
        <v>1242</v>
      </c>
      <c r="C1357">
        <v>-2.1780806923465499</v>
      </c>
      <c r="D1357">
        <v>0</v>
      </c>
      <c r="E1357">
        <v>7.1666551562591897E-3</v>
      </c>
      <c r="F1357" t="str">
        <f>"39/86"</f>
        <v>39/86</v>
      </c>
      <c r="G1357" s="10">
        <v>0.24390000000000001</v>
      </c>
    </row>
    <row r="1358" spans="1:7" x14ac:dyDescent="0.2">
      <c r="A1358" s="1" t="s">
        <v>126</v>
      </c>
      <c r="B1358" t="s">
        <v>1243</v>
      </c>
      <c r="C1358">
        <v>-2.1750294380078499</v>
      </c>
      <c r="D1358">
        <v>0</v>
      </c>
      <c r="E1358">
        <v>7.2126899752644998E-3</v>
      </c>
      <c r="F1358" t="str">
        <f>"39/48"</f>
        <v>39/48</v>
      </c>
      <c r="G1358" s="10">
        <v>0.55010000000000003</v>
      </c>
    </row>
    <row r="1359" spans="1:7" x14ac:dyDescent="0.2">
      <c r="A1359" s="1" t="s">
        <v>126</v>
      </c>
      <c r="B1359" t="s">
        <v>1244</v>
      </c>
      <c r="C1359">
        <v>-2.17353390526003</v>
      </c>
      <c r="D1359">
        <v>0</v>
      </c>
      <c r="E1359">
        <v>7.4050058155620399E-3</v>
      </c>
      <c r="F1359" t="str">
        <f>"143/185"</f>
        <v>143/185</v>
      </c>
      <c r="G1359" s="10">
        <v>0.63490000000000002</v>
      </c>
    </row>
    <row r="1360" spans="1:7" x14ac:dyDescent="0.2">
      <c r="A1360" s="1" t="s">
        <v>126</v>
      </c>
      <c r="B1360" t="s">
        <v>808</v>
      </c>
      <c r="C1360">
        <v>-2.1652003881292998</v>
      </c>
      <c r="D1360">
        <v>0</v>
      </c>
      <c r="E1360">
        <v>8.1071129726644903E-3</v>
      </c>
      <c r="F1360" t="str">
        <f>"12/15"</f>
        <v>12/15</v>
      </c>
      <c r="G1360" s="10">
        <v>0.38119999999999998</v>
      </c>
    </row>
    <row r="1361" spans="1:7" x14ac:dyDescent="0.2">
      <c r="A1361" s="1" t="s">
        <v>126</v>
      </c>
      <c r="B1361" t="s">
        <v>883</v>
      </c>
      <c r="C1361">
        <v>-2.1617898817821199</v>
      </c>
      <c r="D1361">
        <v>0</v>
      </c>
      <c r="E1361">
        <v>8.1490467944324609E-3</v>
      </c>
      <c r="F1361" t="str">
        <f>"10/15"</f>
        <v>10/15</v>
      </c>
      <c r="G1361" s="10">
        <v>0.20580000000000001</v>
      </c>
    </row>
    <row r="1362" spans="1:7" x14ac:dyDescent="0.2">
      <c r="A1362" s="1" t="s">
        <v>126</v>
      </c>
      <c r="B1362" t="s">
        <v>891</v>
      </c>
      <c r="C1362">
        <v>-2.1608448958994702</v>
      </c>
      <c r="D1362">
        <v>0</v>
      </c>
      <c r="E1362">
        <v>8.1906629357324894E-3</v>
      </c>
      <c r="F1362" t="str">
        <f>"24/37"</f>
        <v>24/37</v>
      </c>
      <c r="G1362" s="10">
        <v>0.32290000000000002</v>
      </c>
    </row>
    <row r="1363" spans="1:7" x14ac:dyDescent="0.2">
      <c r="A1363" s="1" t="s">
        <v>126</v>
      </c>
      <c r="B1363" t="s">
        <v>1002</v>
      </c>
      <c r="C1363">
        <v>-2.15430071418379</v>
      </c>
      <c r="D1363">
        <v>0</v>
      </c>
      <c r="E1363">
        <v>8.6652263083655204E-3</v>
      </c>
      <c r="F1363" t="str">
        <f>"14/21"</f>
        <v>14/21</v>
      </c>
      <c r="G1363" s="10">
        <v>0.2233</v>
      </c>
    </row>
    <row r="1364" spans="1:7" x14ac:dyDescent="0.2">
      <c r="A1364" s="1" t="s">
        <v>126</v>
      </c>
      <c r="B1364" t="s">
        <v>613</v>
      </c>
      <c r="C1364">
        <v>-2.1480711707851601</v>
      </c>
      <c r="D1364">
        <v>0</v>
      </c>
      <c r="E1364">
        <v>9.2081602875864095E-3</v>
      </c>
      <c r="F1364" t="str">
        <f>"12/16"</f>
        <v>12/16</v>
      </c>
      <c r="G1364" s="10">
        <v>0.25380000000000003</v>
      </c>
    </row>
    <row r="1365" spans="1:7" x14ac:dyDescent="0.2">
      <c r="A1365" s="1" t="s">
        <v>126</v>
      </c>
      <c r="B1365" t="s">
        <v>1245</v>
      </c>
      <c r="C1365">
        <v>-2.1466006615748299</v>
      </c>
      <c r="D1365">
        <v>0</v>
      </c>
      <c r="E1365">
        <v>9.2453421145903599E-3</v>
      </c>
      <c r="F1365" t="str">
        <f>"33/54"</f>
        <v>33/54</v>
      </c>
      <c r="G1365" s="10">
        <v>0.36220000000000002</v>
      </c>
    </row>
    <row r="1366" spans="1:7" x14ac:dyDescent="0.2">
      <c r="A1366" s="1" t="s">
        <v>126</v>
      </c>
      <c r="B1366" t="s">
        <v>1246</v>
      </c>
      <c r="C1366">
        <v>-2.1427234233880701</v>
      </c>
      <c r="D1366">
        <v>0</v>
      </c>
      <c r="E1366">
        <v>9.4250502570468204E-3</v>
      </c>
      <c r="F1366" t="str">
        <f>"22/32"</f>
        <v>22/32</v>
      </c>
      <c r="G1366" s="10">
        <v>0.376</v>
      </c>
    </row>
    <row r="1367" spans="1:7" x14ac:dyDescent="0.2">
      <c r="A1367" s="1" t="s">
        <v>126</v>
      </c>
      <c r="B1367" t="s">
        <v>1247</v>
      </c>
      <c r="C1367">
        <v>-2.1413533324783001</v>
      </c>
      <c r="D1367">
        <v>0</v>
      </c>
      <c r="E1367">
        <v>9.3900128954964596E-3</v>
      </c>
      <c r="F1367" t="str">
        <f>"12/18"</f>
        <v>12/18</v>
      </c>
      <c r="G1367" s="10">
        <v>0.2198</v>
      </c>
    </row>
    <row r="1368" spans="1:7" x14ac:dyDescent="0.2">
      <c r="A1368" s="1" t="s">
        <v>126</v>
      </c>
      <c r="B1368" t="s">
        <v>646</v>
      </c>
      <c r="C1368">
        <v>-2.1404090983785702</v>
      </c>
      <c r="D1368">
        <v>0</v>
      </c>
      <c r="E1368">
        <v>9.35523506995759E-3</v>
      </c>
      <c r="F1368" t="str">
        <f>"46/86"</f>
        <v>46/86</v>
      </c>
      <c r="G1368" s="10">
        <v>0.2913</v>
      </c>
    </row>
    <row r="1369" spans="1:7" x14ac:dyDescent="0.2">
      <c r="A1369" s="1" t="s">
        <v>126</v>
      </c>
      <c r="B1369" t="s">
        <v>536</v>
      </c>
      <c r="C1369">
        <v>-2.1378860786749398</v>
      </c>
      <c r="D1369">
        <v>0</v>
      </c>
      <c r="E1369">
        <v>9.3913253763328007E-3</v>
      </c>
      <c r="F1369" t="str">
        <f>"103/188"</f>
        <v>103/188</v>
      </c>
      <c r="G1369" s="10">
        <v>0.3891</v>
      </c>
    </row>
    <row r="1370" spans="1:7" x14ac:dyDescent="0.2">
      <c r="A1370" s="1" t="s">
        <v>126</v>
      </c>
      <c r="B1370" t="s">
        <v>632</v>
      </c>
      <c r="C1370">
        <v>-2.13764768358004</v>
      </c>
      <c r="D1370">
        <v>0</v>
      </c>
      <c r="E1370">
        <v>9.3567984448021599E-3</v>
      </c>
      <c r="F1370" t="str">
        <f>"143/223"</f>
        <v>143/223</v>
      </c>
      <c r="G1370" s="10">
        <v>0.51160000000000005</v>
      </c>
    </row>
    <row r="1371" spans="1:7" x14ac:dyDescent="0.2">
      <c r="A1371" s="1" t="s">
        <v>126</v>
      </c>
      <c r="B1371" t="s">
        <v>735</v>
      </c>
      <c r="C1371">
        <v>-2.1369606063476398</v>
      </c>
      <c r="D1371">
        <v>0</v>
      </c>
      <c r="E1371">
        <v>9.3926186266806901E-3</v>
      </c>
      <c r="F1371" t="str">
        <f>"27/41"</f>
        <v>27/41</v>
      </c>
      <c r="G1371" s="10">
        <v>0.34860000000000002</v>
      </c>
    </row>
    <row r="1372" spans="1:7" x14ac:dyDescent="0.2">
      <c r="A1372" s="1" t="s">
        <v>126</v>
      </c>
      <c r="B1372" t="s">
        <v>1248</v>
      </c>
      <c r="C1372">
        <v>-2.1336001444977</v>
      </c>
      <c r="D1372">
        <v>0</v>
      </c>
      <c r="E1372">
        <v>9.6376923995415698E-3</v>
      </c>
      <c r="F1372" t="str">
        <f>"22/51"</f>
        <v>22/51</v>
      </c>
      <c r="G1372" s="10">
        <v>0.17299999999999999</v>
      </c>
    </row>
    <row r="1373" spans="1:7" x14ac:dyDescent="0.2">
      <c r="A1373" s="1" t="s">
        <v>126</v>
      </c>
      <c r="B1373" t="s">
        <v>1249</v>
      </c>
      <c r="C1373">
        <v>-2.1331080573794998</v>
      </c>
      <c r="D1373">
        <v>0</v>
      </c>
      <c r="E1373">
        <v>9.6026462453614198E-3</v>
      </c>
      <c r="F1373" t="str">
        <f>"207/326"</f>
        <v>207/326</v>
      </c>
      <c r="G1373" s="10">
        <v>0.50949999999999995</v>
      </c>
    </row>
    <row r="1374" spans="1:7" x14ac:dyDescent="0.2">
      <c r="A1374" s="1" t="s">
        <v>126</v>
      </c>
      <c r="B1374" t="s">
        <v>1250</v>
      </c>
      <c r="C1374">
        <v>-2.1318583351056901</v>
      </c>
      <c r="D1374">
        <v>0</v>
      </c>
      <c r="E1374">
        <v>9.5678540488202592E-3</v>
      </c>
      <c r="F1374" t="str">
        <f>"13/15"</f>
        <v>13/15</v>
      </c>
      <c r="G1374" s="10">
        <v>0.40450000000000003</v>
      </c>
    </row>
    <row r="1375" spans="1:7" x14ac:dyDescent="0.2">
      <c r="A1375" s="1" t="s">
        <v>126</v>
      </c>
      <c r="B1375" t="s">
        <v>1251</v>
      </c>
      <c r="C1375">
        <v>-2.1308628091959001</v>
      </c>
      <c r="D1375">
        <v>0</v>
      </c>
      <c r="E1375">
        <v>9.5333130594743402E-3</v>
      </c>
      <c r="F1375" t="str">
        <f>"16/27"</f>
        <v>16/27</v>
      </c>
      <c r="G1375" s="10">
        <v>0.2198</v>
      </c>
    </row>
    <row r="1376" spans="1:7" x14ac:dyDescent="0.2">
      <c r="A1376" s="1" t="s">
        <v>126</v>
      </c>
      <c r="B1376" t="s">
        <v>1004</v>
      </c>
      <c r="C1376">
        <v>-2.1307193039284602</v>
      </c>
      <c r="D1376">
        <v>0</v>
      </c>
      <c r="E1376">
        <v>9.5678540488202592E-3</v>
      </c>
      <c r="F1376" t="str">
        <f>"190/258"</f>
        <v>190/258</v>
      </c>
      <c r="G1376" s="10">
        <v>0.60799999999999998</v>
      </c>
    </row>
    <row r="1377" spans="1:7" x14ac:dyDescent="0.2">
      <c r="A1377" s="1" t="s">
        <v>126</v>
      </c>
      <c r="B1377" t="s">
        <v>1252</v>
      </c>
      <c r="C1377">
        <v>-2.1299730019663601</v>
      </c>
      <c r="D1377">
        <v>0</v>
      </c>
      <c r="E1377">
        <v>9.5335606651327301E-3</v>
      </c>
      <c r="F1377" t="str">
        <f>"46/55"</f>
        <v>46/55</v>
      </c>
      <c r="G1377" s="10">
        <v>0.57289999999999996</v>
      </c>
    </row>
    <row r="1378" spans="1:7" x14ac:dyDescent="0.2">
      <c r="A1378" s="1" t="s">
        <v>126</v>
      </c>
      <c r="B1378" t="s">
        <v>1253</v>
      </c>
      <c r="C1378">
        <v>-2.12808359451234</v>
      </c>
      <c r="D1378">
        <v>0</v>
      </c>
      <c r="E1378">
        <v>9.5678540488202592E-3</v>
      </c>
      <c r="F1378" t="str">
        <f>"9/15"</f>
        <v>9/15</v>
      </c>
      <c r="G1378" s="10">
        <v>0.1336</v>
      </c>
    </row>
    <row r="1379" spans="1:7" x14ac:dyDescent="0.2">
      <c r="A1379" s="1" t="s">
        <v>126</v>
      </c>
      <c r="B1379" t="s">
        <v>1254</v>
      </c>
      <c r="C1379">
        <v>-2.1270023517874499</v>
      </c>
      <c r="D1379">
        <v>0</v>
      </c>
      <c r="E1379">
        <v>9.5338047461554203E-3</v>
      </c>
      <c r="F1379" t="str">
        <f>"32/35"</f>
        <v>32/35</v>
      </c>
      <c r="G1379" s="10">
        <v>0.65410000000000001</v>
      </c>
    </row>
    <row r="1380" spans="1:7" x14ac:dyDescent="0.2">
      <c r="A1380" s="1" t="s">
        <v>126</v>
      </c>
      <c r="B1380" t="s">
        <v>1255</v>
      </c>
      <c r="C1380">
        <v>-2.1239370732371299</v>
      </c>
      <c r="D1380">
        <v>0</v>
      </c>
      <c r="E1380">
        <v>9.5678540488202592E-3</v>
      </c>
      <c r="F1380" t="str">
        <f>"13/15"</f>
        <v>13/15</v>
      </c>
      <c r="G1380" s="10">
        <v>0.3876</v>
      </c>
    </row>
    <row r="1381" spans="1:7" x14ac:dyDescent="0.2">
      <c r="A1381" s="1" t="s">
        <v>126</v>
      </c>
      <c r="B1381" t="s">
        <v>1256</v>
      </c>
      <c r="C1381">
        <v>-2.1213137012701599</v>
      </c>
      <c r="D1381">
        <v>0</v>
      </c>
      <c r="E1381">
        <v>9.6016627203708606E-3</v>
      </c>
      <c r="F1381" t="str">
        <f>"15/25"</f>
        <v>15/25</v>
      </c>
      <c r="G1381" s="10">
        <v>0.22789999999999999</v>
      </c>
    </row>
    <row r="1382" spans="1:7" x14ac:dyDescent="0.2">
      <c r="A1382" s="1" t="s">
        <v>122</v>
      </c>
      <c r="B1382" t="s">
        <v>525</v>
      </c>
      <c r="C1382">
        <v>-10.2414852028399</v>
      </c>
      <c r="D1382">
        <v>0</v>
      </c>
      <c r="E1382">
        <v>0</v>
      </c>
      <c r="F1382" t="str">
        <f>"307/343"</f>
        <v>307/343</v>
      </c>
      <c r="G1382" s="10">
        <v>0.47149999999999997</v>
      </c>
    </row>
    <row r="1383" spans="1:7" x14ac:dyDescent="0.2">
      <c r="A1383" s="1" t="s">
        <v>122</v>
      </c>
      <c r="B1383" t="s">
        <v>518</v>
      </c>
      <c r="C1383">
        <v>-10.1823250579682</v>
      </c>
      <c r="D1383">
        <v>0</v>
      </c>
      <c r="E1383">
        <v>0</v>
      </c>
      <c r="F1383" t="str">
        <f>"272/289"</f>
        <v>272/289</v>
      </c>
      <c r="G1383" s="10">
        <v>0.48759999999999998</v>
      </c>
    </row>
    <row r="1384" spans="1:7" x14ac:dyDescent="0.2">
      <c r="A1384" s="1" t="s">
        <v>122</v>
      </c>
      <c r="B1384" t="s">
        <v>594</v>
      </c>
      <c r="C1384">
        <v>-10.0607305520852</v>
      </c>
      <c r="D1384">
        <v>0</v>
      </c>
      <c r="E1384">
        <v>0</v>
      </c>
      <c r="F1384" t="str">
        <f>"301/341"</f>
        <v>301/341</v>
      </c>
      <c r="G1384" s="10">
        <v>0.47810000000000002</v>
      </c>
    </row>
    <row r="1385" spans="1:7" x14ac:dyDescent="0.2">
      <c r="A1385" s="1" t="s">
        <v>122</v>
      </c>
      <c r="B1385" t="s">
        <v>517</v>
      </c>
      <c r="C1385">
        <v>-9.7664846202384101</v>
      </c>
      <c r="D1385">
        <v>0</v>
      </c>
      <c r="E1385">
        <v>0</v>
      </c>
      <c r="F1385" t="str">
        <f>"253/266"</f>
        <v>253/266</v>
      </c>
      <c r="G1385" s="10">
        <v>0.50719999999999998</v>
      </c>
    </row>
    <row r="1386" spans="1:7" x14ac:dyDescent="0.2">
      <c r="A1386" s="1" t="s">
        <v>122</v>
      </c>
      <c r="B1386" t="s">
        <v>542</v>
      </c>
      <c r="C1386">
        <v>-9.5971152969459403</v>
      </c>
      <c r="D1386">
        <v>0</v>
      </c>
      <c r="E1386">
        <v>0</v>
      </c>
      <c r="F1386" t="str">
        <f>"302/332"</f>
        <v>302/332</v>
      </c>
      <c r="G1386" s="10">
        <v>0.53990000000000005</v>
      </c>
    </row>
    <row r="1387" spans="1:7" x14ac:dyDescent="0.2">
      <c r="A1387" s="1" t="s">
        <v>122</v>
      </c>
      <c r="B1387" t="s">
        <v>618</v>
      </c>
      <c r="C1387">
        <v>-9.5744214040072197</v>
      </c>
      <c r="D1387">
        <v>0</v>
      </c>
      <c r="E1387">
        <v>0</v>
      </c>
      <c r="F1387" t="str">
        <f>"423/492"</f>
        <v>423/492</v>
      </c>
      <c r="G1387" s="10">
        <v>0.52990000000000004</v>
      </c>
    </row>
    <row r="1388" spans="1:7" x14ac:dyDescent="0.2">
      <c r="A1388" s="1" t="s">
        <v>122</v>
      </c>
      <c r="B1388" t="s">
        <v>1046</v>
      </c>
      <c r="C1388">
        <v>-9.3858337240856198</v>
      </c>
      <c r="D1388">
        <v>0</v>
      </c>
      <c r="E1388">
        <v>0</v>
      </c>
      <c r="F1388" t="str">
        <f>"344/397"</f>
        <v>344/397</v>
      </c>
      <c r="G1388" s="10">
        <v>0.5121</v>
      </c>
    </row>
    <row r="1389" spans="1:7" x14ac:dyDescent="0.2">
      <c r="A1389" s="1" t="s">
        <v>122</v>
      </c>
      <c r="B1389" t="s">
        <v>978</v>
      </c>
      <c r="C1389">
        <v>-9.3345161943153396</v>
      </c>
      <c r="D1389">
        <v>0</v>
      </c>
      <c r="E1389">
        <v>0</v>
      </c>
      <c r="F1389" t="str">
        <f>"283/314"</f>
        <v>283/314</v>
      </c>
      <c r="G1389" s="10">
        <v>0.51790000000000003</v>
      </c>
    </row>
    <row r="1390" spans="1:7" x14ac:dyDescent="0.2">
      <c r="A1390" s="1" t="s">
        <v>122</v>
      </c>
      <c r="B1390" t="s">
        <v>895</v>
      </c>
      <c r="C1390">
        <v>-9.3187235673774005</v>
      </c>
      <c r="D1390">
        <v>0</v>
      </c>
      <c r="E1390">
        <v>0</v>
      </c>
      <c r="F1390" t="str">
        <f>"354/406"</f>
        <v>354/406</v>
      </c>
      <c r="G1390" s="10">
        <v>0.52529999999999999</v>
      </c>
    </row>
    <row r="1391" spans="1:7" x14ac:dyDescent="0.2">
      <c r="A1391" s="1" t="s">
        <v>122</v>
      </c>
      <c r="B1391" t="s">
        <v>523</v>
      </c>
      <c r="C1391">
        <v>-9.0843587060178308</v>
      </c>
      <c r="D1391">
        <v>0</v>
      </c>
      <c r="E1391">
        <v>0</v>
      </c>
      <c r="F1391" t="str">
        <f>"231/243"</f>
        <v>231/243</v>
      </c>
      <c r="G1391" s="10">
        <v>0.50209999999999999</v>
      </c>
    </row>
    <row r="1392" spans="1:7" x14ac:dyDescent="0.2">
      <c r="A1392" s="1" t="s">
        <v>122</v>
      </c>
      <c r="B1392" t="s">
        <v>346</v>
      </c>
      <c r="C1392">
        <v>-8.9744782735309503</v>
      </c>
      <c r="D1392">
        <v>0</v>
      </c>
      <c r="E1392">
        <v>0</v>
      </c>
      <c r="F1392" t="str">
        <f>"404/477"</f>
        <v>404/477</v>
      </c>
      <c r="G1392" s="10">
        <v>0.50680000000000003</v>
      </c>
    </row>
    <row r="1393" spans="1:7" x14ac:dyDescent="0.2">
      <c r="A1393" s="1" t="s">
        <v>122</v>
      </c>
      <c r="B1393" t="s">
        <v>1738</v>
      </c>
      <c r="C1393">
        <v>-8.8736588392339009</v>
      </c>
      <c r="D1393">
        <v>0</v>
      </c>
      <c r="E1393">
        <v>0</v>
      </c>
      <c r="F1393" t="str">
        <f>"384/421"</f>
        <v>384/421</v>
      </c>
      <c r="G1393" s="10">
        <v>0.58750000000000002</v>
      </c>
    </row>
    <row r="1394" spans="1:7" x14ac:dyDescent="0.2">
      <c r="A1394" s="1" t="s">
        <v>122</v>
      </c>
      <c r="B1394" t="s">
        <v>622</v>
      </c>
      <c r="C1394">
        <v>-8.8577768517620097</v>
      </c>
      <c r="D1394">
        <v>0</v>
      </c>
      <c r="E1394">
        <v>0</v>
      </c>
      <c r="F1394" t="str">
        <f>"267/311"</f>
        <v>267/311</v>
      </c>
      <c r="G1394" s="10">
        <v>0.47810000000000002</v>
      </c>
    </row>
    <row r="1395" spans="1:7" x14ac:dyDescent="0.2">
      <c r="A1395" s="1" t="s">
        <v>122</v>
      </c>
      <c r="B1395" t="s">
        <v>341</v>
      </c>
      <c r="C1395">
        <v>-8.8062123893968103</v>
      </c>
      <c r="D1395">
        <v>0</v>
      </c>
      <c r="E1395">
        <v>0</v>
      </c>
      <c r="F1395" t="str">
        <f>"399/470"</f>
        <v>399/470</v>
      </c>
      <c r="G1395" s="10">
        <v>0.50680000000000003</v>
      </c>
    </row>
    <row r="1396" spans="1:7" x14ac:dyDescent="0.2">
      <c r="A1396" s="1" t="s">
        <v>122</v>
      </c>
      <c r="B1396" t="s">
        <v>625</v>
      </c>
      <c r="C1396">
        <v>-8.7369168413001201</v>
      </c>
      <c r="D1396">
        <v>0</v>
      </c>
      <c r="E1396">
        <v>0</v>
      </c>
      <c r="F1396" t="str">
        <f>"331/383"</f>
        <v>331/383</v>
      </c>
      <c r="G1396" s="10">
        <v>0.52949999999999997</v>
      </c>
    </row>
    <row r="1397" spans="1:7" x14ac:dyDescent="0.2">
      <c r="A1397" s="1" t="s">
        <v>122</v>
      </c>
      <c r="B1397" t="s">
        <v>343</v>
      </c>
      <c r="C1397">
        <v>-8.6878001420734599</v>
      </c>
      <c r="D1397">
        <v>0</v>
      </c>
      <c r="E1397">
        <v>0</v>
      </c>
      <c r="F1397" t="str">
        <f>"401/474"</f>
        <v>401/474</v>
      </c>
      <c r="G1397" s="10">
        <v>0.50680000000000003</v>
      </c>
    </row>
    <row r="1398" spans="1:7" x14ac:dyDescent="0.2">
      <c r="A1398" s="1" t="s">
        <v>122</v>
      </c>
      <c r="B1398" t="s">
        <v>571</v>
      </c>
      <c r="C1398">
        <v>-8.6702251722220698</v>
      </c>
      <c r="D1398">
        <v>0</v>
      </c>
      <c r="E1398">
        <v>0</v>
      </c>
      <c r="F1398" t="str">
        <f>"180/185"</f>
        <v>180/185</v>
      </c>
      <c r="G1398" s="10">
        <v>0.4708</v>
      </c>
    </row>
    <row r="1399" spans="1:7" x14ac:dyDescent="0.2">
      <c r="A1399" s="1" t="s">
        <v>122</v>
      </c>
      <c r="B1399" t="s">
        <v>1739</v>
      </c>
      <c r="C1399">
        <v>-8.6490486232911099</v>
      </c>
      <c r="D1399">
        <v>0</v>
      </c>
      <c r="E1399">
        <v>0</v>
      </c>
      <c r="F1399" t="str">
        <f>"403/483"</f>
        <v>403/483</v>
      </c>
      <c r="G1399" s="10">
        <v>0.53439999999999999</v>
      </c>
    </row>
    <row r="1400" spans="1:7" x14ac:dyDescent="0.2">
      <c r="A1400" s="1" t="s">
        <v>122</v>
      </c>
      <c r="B1400" t="s">
        <v>593</v>
      </c>
      <c r="C1400">
        <v>-8.63536804315852</v>
      </c>
      <c r="D1400">
        <v>0</v>
      </c>
      <c r="E1400">
        <v>0</v>
      </c>
      <c r="F1400" t="str">
        <f>"89/94"</f>
        <v>89/94</v>
      </c>
      <c r="G1400" s="10">
        <v>0.22209999999999999</v>
      </c>
    </row>
    <row r="1401" spans="1:7" x14ac:dyDescent="0.2">
      <c r="A1401" s="1" t="s">
        <v>122</v>
      </c>
      <c r="B1401" t="s">
        <v>982</v>
      </c>
      <c r="C1401">
        <v>-8.3890468974637198</v>
      </c>
      <c r="D1401">
        <v>0</v>
      </c>
      <c r="E1401">
        <v>0</v>
      </c>
      <c r="F1401" t="str">
        <f>"308/350"</f>
        <v>308/350</v>
      </c>
      <c r="G1401" s="10">
        <v>0.51790000000000003</v>
      </c>
    </row>
    <row r="1402" spans="1:7" x14ac:dyDescent="0.2">
      <c r="A1402" s="1" t="s">
        <v>122</v>
      </c>
      <c r="B1402" t="s">
        <v>575</v>
      </c>
      <c r="C1402">
        <v>-8.3829810582445496</v>
      </c>
      <c r="D1402">
        <v>0</v>
      </c>
      <c r="E1402">
        <v>0</v>
      </c>
      <c r="F1402" t="str">
        <f>"270/281"</f>
        <v>270/281</v>
      </c>
      <c r="G1402" s="10">
        <v>0.56359999999999999</v>
      </c>
    </row>
    <row r="1403" spans="1:7" x14ac:dyDescent="0.2">
      <c r="A1403" s="1" t="s">
        <v>122</v>
      </c>
      <c r="B1403" t="s">
        <v>567</v>
      </c>
      <c r="C1403">
        <v>-8.3755399062391902</v>
      </c>
      <c r="D1403">
        <v>0</v>
      </c>
      <c r="E1403">
        <v>0</v>
      </c>
      <c r="F1403" t="str">
        <f>"164/169"</f>
        <v>164/169</v>
      </c>
      <c r="G1403" s="10">
        <v>0.4708</v>
      </c>
    </row>
    <row r="1404" spans="1:7" x14ac:dyDescent="0.2">
      <c r="A1404" s="1" t="s">
        <v>122</v>
      </c>
      <c r="B1404" t="s">
        <v>539</v>
      </c>
      <c r="C1404">
        <v>-8.3515102897949003</v>
      </c>
      <c r="D1404">
        <v>0</v>
      </c>
      <c r="E1404">
        <v>0</v>
      </c>
      <c r="F1404" t="str">
        <f>"263/304"</f>
        <v>263/304</v>
      </c>
      <c r="G1404" s="10">
        <v>0.47</v>
      </c>
    </row>
    <row r="1405" spans="1:7" x14ac:dyDescent="0.2">
      <c r="A1405" s="1" t="s">
        <v>122</v>
      </c>
      <c r="B1405" t="s">
        <v>674</v>
      </c>
      <c r="C1405">
        <v>-8.3277378345296906</v>
      </c>
      <c r="D1405">
        <v>0</v>
      </c>
      <c r="E1405">
        <v>0</v>
      </c>
      <c r="F1405" t="str">
        <f>"282/304"</f>
        <v>282/304</v>
      </c>
      <c r="G1405" s="10">
        <v>0.55410000000000004</v>
      </c>
    </row>
    <row r="1406" spans="1:7" x14ac:dyDescent="0.2">
      <c r="A1406" s="1" t="s">
        <v>122</v>
      </c>
      <c r="B1406" t="s">
        <v>694</v>
      </c>
      <c r="C1406">
        <v>-8.2984955051812399</v>
      </c>
      <c r="D1406">
        <v>0</v>
      </c>
      <c r="E1406">
        <v>0</v>
      </c>
      <c r="F1406" t="str">
        <f>"82/93"</f>
        <v>82/93</v>
      </c>
      <c r="G1406" s="10">
        <v>0.1956</v>
      </c>
    </row>
    <row r="1407" spans="1:7" x14ac:dyDescent="0.2">
      <c r="A1407" s="1" t="s">
        <v>122</v>
      </c>
      <c r="B1407" t="s">
        <v>770</v>
      </c>
      <c r="C1407">
        <v>-8.2968484290055393</v>
      </c>
      <c r="D1407">
        <v>0</v>
      </c>
      <c r="E1407">
        <v>0</v>
      </c>
      <c r="F1407" t="str">
        <f>"181/195"</f>
        <v>181/195</v>
      </c>
      <c r="G1407" s="10">
        <v>0.50360000000000005</v>
      </c>
    </row>
    <row r="1408" spans="1:7" x14ac:dyDescent="0.2">
      <c r="A1408" s="1" t="s">
        <v>122</v>
      </c>
      <c r="B1408" t="s">
        <v>676</v>
      </c>
      <c r="C1408">
        <v>-8.1300644371514696</v>
      </c>
      <c r="D1408">
        <v>0</v>
      </c>
      <c r="E1408">
        <v>0</v>
      </c>
      <c r="F1408" t="str">
        <f>"91/102"</f>
        <v>91/102</v>
      </c>
      <c r="G1408" s="10">
        <v>0.22209999999999999</v>
      </c>
    </row>
    <row r="1409" spans="1:7" x14ac:dyDescent="0.2">
      <c r="A1409" s="1" t="s">
        <v>122</v>
      </c>
      <c r="B1409" t="s">
        <v>642</v>
      </c>
      <c r="C1409">
        <v>-8.0454126734458402</v>
      </c>
      <c r="D1409">
        <v>0</v>
      </c>
      <c r="E1409">
        <v>0</v>
      </c>
      <c r="F1409" t="str">
        <f>"84/90"</f>
        <v>84/90</v>
      </c>
      <c r="G1409" s="10">
        <v>0.20849999999999999</v>
      </c>
    </row>
    <row r="1410" spans="1:7" x14ac:dyDescent="0.2">
      <c r="A1410" s="1" t="s">
        <v>122</v>
      </c>
      <c r="B1410" t="s">
        <v>1740</v>
      </c>
      <c r="C1410">
        <v>-7.9567153278890803</v>
      </c>
      <c r="D1410">
        <v>0</v>
      </c>
      <c r="E1410">
        <v>0</v>
      </c>
      <c r="F1410" t="str">
        <f>"344/388"</f>
        <v>344/388</v>
      </c>
      <c r="G1410" s="10">
        <v>0.56969999999999998</v>
      </c>
    </row>
    <row r="1411" spans="1:7" x14ac:dyDescent="0.2">
      <c r="A1411" s="1" t="s">
        <v>122</v>
      </c>
      <c r="B1411" t="s">
        <v>546</v>
      </c>
      <c r="C1411">
        <v>-7.9225074174151402</v>
      </c>
      <c r="D1411">
        <v>0</v>
      </c>
      <c r="E1411">
        <v>0</v>
      </c>
      <c r="F1411" t="str">
        <f>"173/185"</f>
        <v>173/185</v>
      </c>
      <c r="G1411" s="10">
        <v>0.50880000000000003</v>
      </c>
    </row>
    <row r="1412" spans="1:7" x14ac:dyDescent="0.2">
      <c r="A1412" s="1" t="s">
        <v>122</v>
      </c>
      <c r="B1412" t="s">
        <v>1741</v>
      </c>
      <c r="C1412">
        <v>-7.9121881264581004</v>
      </c>
      <c r="D1412">
        <v>0</v>
      </c>
      <c r="E1412">
        <v>0</v>
      </c>
      <c r="F1412" t="str">
        <f>"367/453"</f>
        <v>367/453</v>
      </c>
      <c r="G1412" s="10">
        <v>0.51739999999999997</v>
      </c>
    </row>
    <row r="1413" spans="1:7" x14ac:dyDescent="0.2">
      <c r="A1413" s="1" t="s">
        <v>122</v>
      </c>
      <c r="B1413" t="s">
        <v>578</v>
      </c>
      <c r="C1413">
        <v>-7.9011449785589001</v>
      </c>
      <c r="D1413">
        <v>0</v>
      </c>
      <c r="E1413">
        <v>0</v>
      </c>
      <c r="F1413" t="str">
        <f>"181/191"</f>
        <v>181/191</v>
      </c>
      <c r="G1413" s="10">
        <v>0.48130000000000001</v>
      </c>
    </row>
    <row r="1414" spans="1:7" x14ac:dyDescent="0.2">
      <c r="A1414" s="1" t="s">
        <v>122</v>
      </c>
      <c r="B1414" t="s">
        <v>529</v>
      </c>
      <c r="C1414">
        <v>-7.8621833541207202</v>
      </c>
      <c r="D1414">
        <v>0</v>
      </c>
      <c r="E1414">
        <v>0</v>
      </c>
      <c r="F1414" t="str">
        <f>"258/269"</f>
        <v>258/269</v>
      </c>
      <c r="G1414" s="10">
        <v>0.56359999999999999</v>
      </c>
    </row>
    <row r="1415" spans="1:7" x14ac:dyDescent="0.2">
      <c r="A1415" s="1" t="s">
        <v>122</v>
      </c>
      <c r="B1415" t="s">
        <v>1004</v>
      </c>
      <c r="C1415">
        <v>-7.7418106465243204</v>
      </c>
      <c r="D1415">
        <v>0</v>
      </c>
      <c r="E1415">
        <v>0</v>
      </c>
      <c r="F1415" t="str">
        <f>"237/259"</f>
        <v>237/259</v>
      </c>
      <c r="G1415" s="10">
        <v>0.52949999999999997</v>
      </c>
    </row>
    <row r="1416" spans="1:7" x14ac:dyDescent="0.2">
      <c r="A1416" s="1" t="s">
        <v>122</v>
      </c>
      <c r="B1416" t="s">
        <v>639</v>
      </c>
      <c r="C1416">
        <v>-7.7027064100353604</v>
      </c>
      <c r="D1416">
        <v>0</v>
      </c>
      <c r="E1416">
        <v>0</v>
      </c>
      <c r="F1416" t="str">
        <f>"135/164"</f>
        <v>135/164</v>
      </c>
      <c r="G1416" s="10">
        <v>0.33229999999999998</v>
      </c>
    </row>
    <row r="1417" spans="1:7" x14ac:dyDescent="0.2">
      <c r="A1417" s="1" t="s">
        <v>122</v>
      </c>
      <c r="B1417" t="s">
        <v>554</v>
      </c>
      <c r="C1417">
        <v>-7.6982957027719099</v>
      </c>
      <c r="D1417">
        <v>0</v>
      </c>
      <c r="E1417">
        <v>0</v>
      </c>
      <c r="F1417" t="str">
        <f>"179/192"</f>
        <v>179/192</v>
      </c>
      <c r="G1417" s="10">
        <v>0.44719999999999999</v>
      </c>
    </row>
    <row r="1418" spans="1:7" x14ac:dyDescent="0.2">
      <c r="A1418" s="1" t="s">
        <v>122</v>
      </c>
      <c r="B1418" t="s">
        <v>1696</v>
      </c>
      <c r="C1418">
        <v>-7.6267059457915698</v>
      </c>
      <c r="D1418">
        <v>0</v>
      </c>
      <c r="E1418">
        <v>0</v>
      </c>
      <c r="F1418" t="str">
        <f>"281/371"</f>
        <v>281/371</v>
      </c>
      <c r="G1418" s="10">
        <v>0.45469999999999999</v>
      </c>
    </row>
    <row r="1419" spans="1:7" x14ac:dyDescent="0.2">
      <c r="A1419" s="1" t="s">
        <v>122</v>
      </c>
      <c r="B1419" t="s">
        <v>596</v>
      </c>
      <c r="C1419">
        <v>-7.5988156488835301</v>
      </c>
      <c r="D1419">
        <v>0</v>
      </c>
      <c r="E1419">
        <v>0</v>
      </c>
      <c r="F1419" t="str">
        <f>"145/157"</f>
        <v>145/157</v>
      </c>
      <c r="G1419" s="10">
        <v>0.43640000000000001</v>
      </c>
    </row>
    <row r="1420" spans="1:7" x14ac:dyDescent="0.2">
      <c r="A1420" s="1" t="s">
        <v>122</v>
      </c>
      <c r="B1420" t="s">
        <v>877</v>
      </c>
      <c r="C1420">
        <v>-7.5857941199037002</v>
      </c>
      <c r="D1420">
        <v>0</v>
      </c>
      <c r="E1420">
        <v>0</v>
      </c>
      <c r="F1420" t="str">
        <f>"271/306"</f>
        <v>271/306</v>
      </c>
      <c r="G1420" s="10">
        <v>0.51349999999999996</v>
      </c>
    </row>
    <row r="1421" spans="1:7" x14ac:dyDescent="0.2">
      <c r="A1421" s="1" t="s">
        <v>122</v>
      </c>
      <c r="B1421" t="s">
        <v>1158</v>
      </c>
      <c r="C1421">
        <v>-7.5830736713969698</v>
      </c>
      <c r="D1421">
        <v>0</v>
      </c>
      <c r="E1421">
        <v>0</v>
      </c>
      <c r="F1421" t="str">
        <f>"234/286"</f>
        <v>234/286</v>
      </c>
      <c r="G1421" s="10">
        <v>0.45839999999999997</v>
      </c>
    </row>
    <row r="1422" spans="1:7" x14ac:dyDescent="0.2">
      <c r="A1422" s="1" t="s">
        <v>122</v>
      </c>
      <c r="B1422" t="s">
        <v>1742</v>
      </c>
      <c r="C1422">
        <v>-7.5564235932383603</v>
      </c>
      <c r="D1422">
        <v>0</v>
      </c>
      <c r="E1422">
        <v>0</v>
      </c>
      <c r="F1422" t="str">
        <f>"336/417"</f>
        <v>336/417</v>
      </c>
      <c r="G1422" s="10">
        <v>0.51739999999999997</v>
      </c>
    </row>
    <row r="1423" spans="1:7" x14ac:dyDescent="0.2">
      <c r="A1423" s="1" t="s">
        <v>122</v>
      </c>
      <c r="B1423" t="s">
        <v>1162</v>
      </c>
      <c r="C1423">
        <v>-7.2211485686308796</v>
      </c>
      <c r="D1423">
        <v>0</v>
      </c>
      <c r="E1423">
        <v>0</v>
      </c>
      <c r="F1423" t="str">
        <f>"381/498"</f>
        <v>381/498</v>
      </c>
      <c r="G1423" s="10">
        <v>0.50639999999999996</v>
      </c>
    </row>
    <row r="1424" spans="1:7" x14ac:dyDescent="0.2">
      <c r="A1424" s="1" t="s">
        <v>122</v>
      </c>
      <c r="B1424" t="s">
        <v>697</v>
      </c>
      <c r="C1424">
        <v>-7.1897477227846496</v>
      </c>
      <c r="D1424">
        <v>0</v>
      </c>
      <c r="E1424">
        <v>0</v>
      </c>
      <c r="F1424" t="str">
        <f>"88/110"</f>
        <v>88/110</v>
      </c>
      <c r="G1424" s="10">
        <v>0.20849999999999999</v>
      </c>
    </row>
    <row r="1425" spans="1:7" x14ac:dyDescent="0.2">
      <c r="A1425" s="1" t="s">
        <v>122</v>
      </c>
      <c r="B1425" t="s">
        <v>797</v>
      </c>
      <c r="C1425">
        <v>-7.1336828128832197</v>
      </c>
      <c r="D1425">
        <v>0</v>
      </c>
      <c r="E1425">
        <v>0</v>
      </c>
      <c r="F1425" t="str">
        <f>"188/206"</f>
        <v>188/206</v>
      </c>
      <c r="G1425" s="10">
        <v>0.51529999999999998</v>
      </c>
    </row>
    <row r="1426" spans="1:7" x14ac:dyDescent="0.2">
      <c r="A1426" s="1" t="s">
        <v>122</v>
      </c>
      <c r="B1426" t="s">
        <v>838</v>
      </c>
      <c r="C1426">
        <v>-7.0777698710706298</v>
      </c>
      <c r="D1426">
        <v>0</v>
      </c>
      <c r="E1426">
        <v>0</v>
      </c>
      <c r="F1426" t="str">
        <f>"195/223"</f>
        <v>195/223</v>
      </c>
      <c r="G1426" s="10">
        <v>0.4924</v>
      </c>
    </row>
    <row r="1427" spans="1:7" x14ac:dyDescent="0.2">
      <c r="A1427" s="1" t="s">
        <v>122</v>
      </c>
      <c r="B1427" t="s">
        <v>1743</v>
      </c>
      <c r="C1427">
        <v>-7.0368270542104998</v>
      </c>
      <c r="D1427">
        <v>0</v>
      </c>
      <c r="E1427">
        <v>0</v>
      </c>
      <c r="F1427" t="str">
        <f>"368/451"</f>
        <v>368/451</v>
      </c>
      <c r="G1427" s="10">
        <v>0.55249999999999999</v>
      </c>
    </row>
    <row r="1428" spans="1:7" x14ac:dyDescent="0.2">
      <c r="A1428" s="1" t="s">
        <v>122</v>
      </c>
      <c r="B1428" t="s">
        <v>1689</v>
      </c>
      <c r="C1428">
        <v>-7.0346024970021599</v>
      </c>
      <c r="D1428">
        <v>0</v>
      </c>
      <c r="E1428">
        <v>0</v>
      </c>
      <c r="F1428" t="str">
        <f>"365/471"</f>
        <v>365/471</v>
      </c>
      <c r="G1428" s="10">
        <v>0.51280000000000003</v>
      </c>
    </row>
    <row r="1429" spans="1:7" x14ac:dyDescent="0.2">
      <c r="A1429" s="1" t="s">
        <v>122</v>
      </c>
      <c r="B1429" t="s">
        <v>952</v>
      </c>
      <c r="C1429">
        <v>-6.9878064559135398</v>
      </c>
      <c r="D1429">
        <v>0</v>
      </c>
      <c r="E1429">
        <v>0</v>
      </c>
      <c r="F1429" t="str">
        <f>"147/165"</f>
        <v>147/165</v>
      </c>
      <c r="G1429" s="10">
        <v>0.4819</v>
      </c>
    </row>
    <row r="1430" spans="1:7" x14ac:dyDescent="0.2">
      <c r="A1430" s="1" t="s">
        <v>122</v>
      </c>
      <c r="B1430" t="s">
        <v>689</v>
      </c>
      <c r="C1430">
        <v>-6.9797454744441696</v>
      </c>
      <c r="D1430">
        <v>0</v>
      </c>
      <c r="E1430">
        <v>0</v>
      </c>
      <c r="F1430" t="str">
        <f>"188/210"</f>
        <v>188/210</v>
      </c>
      <c r="G1430" s="10">
        <v>0.50829999999999997</v>
      </c>
    </row>
    <row r="1431" spans="1:7" x14ac:dyDescent="0.2">
      <c r="A1431" s="1" t="s">
        <v>122</v>
      </c>
      <c r="B1431" t="s">
        <v>968</v>
      </c>
      <c r="C1431">
        <v>-6.8817369980271001</v>
      </c>
      <c r="D1431">
        <v>0</v>
      </c>
      <c r="E1431">
        <v>0</v>
      </c>
      <c r="F1431" t="str">
        <f>"286/405"</f>
        <v>286/405</v>
      </c>
      <c r="G1431" s="10">
        <v>0.40910000000000002</v>
      </c>
    </row>
    <row r="1432" spans="1:7" x14ac:dyDescent="0.2">
      <c r="A1432" s="1" t="s">
        <v>122</v>
      </c>
      <c r="B1432" t="s">
        <v>981</v>
      </c>
      <c r="C1432">
        <v>-6.8685461259938903</v>
      </c>
      <c r="D1432">
        <v>0</v>
      </c>
      <c r="E1432">
        <v>0</v>
      </c>
      <c r="F1432" t="str">
        <f>"179/200"</f>
        <v>179/200</v>
      </c>
      <c r="G1432" s="10">
        <v>0.48380000000000001</v>
      </c>
    </row>
    <row r="1433" spans="1:7" x14ac:dyDescent="0.2">
      <c r="A1433" s="1" t="s">
        <v>122</v>
      </c>
      <c r="B1433" t="s">
        <v>605</v>
      </c>
      <c r="C1433">
        <v>-6.8574409671183201</v>
      </c>
      <c r="D1433">
        <v>0</v>
      </c>
      <c r="E1433">
        <v>0</v>
      </c>
      <c r="F1433" t="str">
        <f>"227/263"</f>
        <v>227/263</v>
      </c>
      <c r="G1433" s="10">
        <v>0.51219999999999999</v>
      </c>
    </row>
    <row r="1434" spans="1:7" x14ac:dyDescent="0.2">
      <c r="A1434" s="1" t="s">
        <v>122</v>
      </c>
      <c r="B1434" t="s">
        <v>713</v>
      </c>
      <c r="C1434">
        <v>-6.8438171177847096</v>
      </c>
      <c r="D1434">
        <v>0</v>
      </c>
      <c r="E1434">
        <v>0</v>
      </c>
      <c r="F1434" t="str">
        <f>"356/401"</f>
        <v>356/401</v>
      </c>
      <c r="G1434" s="10">
        <v>0.61670000000000003</v>
      </c>
    </row>
    <row r="1435" spans="1:7" x14ac:dyDescent="0.2">
      <c r="A1435" s="1" t="s">
        <v>122</v>
      </c>
      <c r="B1435" t="s">
        <v>1152</v>
      </c>
      <c r="C1435">
        <v>-6.8214761169840399</v>
      </c>
      <c r="D1435">
        <v>0</v>
      </c>
      <c r="E1435">
        <v>0</v>
      </c>
      <c r="F1435" t="str">
        <f>"229/252"</f>
        <v>229/252</v>
      </c>
      <c r="G1435" s="10">
        <v>0.5484</v>
      </c>
    </row>
    <row r="1436" spans="1:7" x14ac:dyDescent="0.2">
      <c r="A1436" s="1" t="s">
        <v>122</v>
      </c>
      <c r="B1436" t="s">
        <v>157</v>
      </c>
      <c r="C1436">
        <v>-6.8020858302697</v>
      </c>
      <c r="D1436">
        <v>0</v>
      </c>
      <c r="E1436">
        <v>0</v>
      </c>
      <c r="F1436" t="str">
        <f>"235/281"</f>
        <v>235/281</v>
      </c>
      <c r="G1436" s="10">
        <v>0.53990000000000005</v>
      </c>
    </row>
    <row r="1437" spans="1:7" x14ac:dyDescent="0.2">
      <c r="A1437" s="1" t="s">
        <v>122</v>
      </c>
      <c r="B1437" t="s">
        <v>1030</v>
      </c>
      <c r="C1437">
        <v>-6.7270453780887003</v>
      </c>
      <c r="D1437">
        <v>0</v>
      </c>
      <c r="E1437">
        <v>0</v>
      </c>
      <c r="F1437" t="str">
        <f>"308/340"</f>
        <v>308/340</v>
      </c>
      <c r="G1437" s="10">
        <v>0.61060000000000003</v>
      </c>
    </row>
    <row r="1438" spans="1:7" x14ac:dyDescent="0.2">
      <c r="A1438" s="1" t="s">
        <v>122</v>
      </c>
      <c r="B1438" t="s">
        <v>617</v>
      </c>
      <c r="C1438">
        <v>-6.7206845901319996</v>
      </c>
      <c r="D1438">
        <v>0</v>
      </c>
      <c r="E1438">
        <v>0</v>
      </c>
      <c r="F1438" t="str">
        <f>"153/169"</f>
        <v>153/169</v>
      </c>
      <c r="G1438" s="10">
        <v>0.50170000000000003</v>
      </c>
    </row>
    <row r="1439" spans="1:7" x14ac:dyDescent="0.2">
      <c r="A1439" s="1" t="s">
        <v>122</v>
      </c>
      <c r="B1439" t="s">
        <v>957</v>
      </c>
      <c r="C1439">
        <v>-6.7205556923793601</v>
      </c>
      <c r="D1439">
        <v>0</v>
      </c>
      <c r="E1439">
        <v>0</v>
      </c>
      <c r="F1439" t="str">
        <f>"202/218"</f>
        <v>202/218</v>
      </c>
      <c r="G1439" s="10">
        <v>0.54500000000000004</v>
      </c>
    </row>
    <row r="1440" spans="1:7" x14ac:dyDescent="0.2">
      <c r="A1440" s="1" t="s">
        <v>122</v>
      </c>
      <c r="B1440" t="s">
        <v>1127</v>
      </c>
      <c r="C1440">
        <v>-6.70894333528042</v>
      </c>
      <c r="D1440">
        <v>0</v>
      </c>
      <c r="E1440">
        <v>0</v>
      </c>
      <c r="F1440" t="str">
        <f>"258/295"</f>
        <v>258/295</v>
      </c>
      <c r="G1440" s="10">
        <v>0.55110000000000003</v>
      </c>
    </row>
    <row r="1441" spans="1:7" x14ac:dyDescent="0.2">
      <c r="A1441" s="1" t="s">
        <v>122</v>
      </c>
      <c r="B1441" t="s">
        <v>629</v>
      </c>
      <c r="C1441">
        <v>-6.6942357630341203</v>
      </c>
      <c r="D1441">
        <v>0</v>
      </c>
      <c r="E1441">
        <v>0</v>
      </c>
      <c r="F1441" t="str">
        <f>"216/252"</f>
        <v>216/252</v>
      </c>
      <c r="G1441" s="10">
        <v>0.51219999999999999</v>
      </c>
    </row>
    <row r="1442" spans="1:7" x14ac:dyDescent="0.2">
      <c r="A1442" s="1" t="s">
        <v>122</v>
      </c>
      <c r="B1442" t="s">
        <v>759</v>
      </c>
      <c r="C1442">
        <v>-6.6664879782892603</v>
      </c>
      <c r="D1442">
        <v>0</v>
      </c>
      <c r="E1442">
        <v>0</v>
      </c>
      <c r="F1442" t="str">
        <f>"128/139"</f>
        <v>128/139</v>
      </c>
      <c r="G1442" s="10">
        <v>0.4768</v>
      </c>
    </row>
    <row r="1443" spans="1:7" x14ac:dyDescent="0.2">
      <c r="A1443" s="1" t="s">
        <v>122</v>
      </c>
      <c r="B1443" t="s">
        <v>1744</v>
      </c>
      <c r="C1443">
        <v>-6.6221945767930501</v>
      </c>
      <c r="D1443">
        <v>0</v>
      </c>
      <c r="E1443">
        <v>0</v>
      </c>
      <c r="F1443" t="str">
        <f>"258/302"</f>
        <v>258/302</v>
      </c>
      <c r="G1443" s="10">
        <v>0.5625</v>
      </c>
    </row>
    <row r="1444" spans="1:7" x14ac:dyDescent="0.2">
      <c r="A1444" s="1" t="s">
        <v>122</v>
      </c>
      <c r="B1444" t="s">
        <v>599</v>
      </c>
      <c r="C1444">
        <v>-6.62153353664596</v>
      </c>
      <c r="D1444">
        <v>0</v>
      </c>
      <c r="E1444">
        <v>0</v>
      </c>
      <c r="F1444" t="str">
        <f>"140/151"</f>
        <v>140/151</v>
      </c>
      <c r="G1444" s="10">
        <v>0.48409999999999997</v>
      </c>
    </row>
    <row r="1445" spans="1:7" x14ac:dyDescent="0.2">
      <c r="A1445" s="1" t="s">
        <v>122</v>
      </c>
      <c r="B1445" t="s">
        <v>721</v>
      </c>
      <c r="C1445">
        <v>-6.5735580026855702</v>
      </c>
      <c r="D1445">
        <v>0</v>
      </c>
      <c r="E1445">
        <v>0</v>
      </c>
      <c r="F1445" t="str">
        <f>"107/152"</f>
        <v>107/152</v>
      </c>
      <c r="G1445" s="10">
        <v>0.2399</v>
      </c>
    </row>
    <row r="1446" spans="1:7" x14ac:dyDescent="0.2">
      <c r="A1446" s="1" t="s">
        <v>122</v>
      </c>
      <c r="B1446" t="s">
        <v>587</v>
      </c>
      <c r="C1446">
        <v>-6.5633256697548896</v>
      </c>
      <c r="D1446">
        <v>0</v>
      </c>
      <c r="E1446">
        <v>0</v>
      </c>
      <c r="F1446" t="str">
        <f>"124/146"</f>
        <v>124/146</v>
      </c>
      <c r="G1446" s="10">
        <v>0.42270000000000002</v>
      </c>
    </row>
    <row r="1447" spans="1:7" x14ac:dyDescent="0.2">
      <c r="A1447" s="1" t="s">
        <v>122</v>
      </c>
      <c r="B1447" t="s">
        <v>999</v>
      </c>
      <c r="C1447">
        <v>-6.5101547440676502</v>
      </c>
      <c r="D1447">
        <v>0</v>
      </c>
      <c r="E1447">
        <v>0</v>
      </c>
      <c r="F1447" t="str">
        <f>"147/173"</f>
        <v>147/173</v>
      </c>
      <c r="G1447" s="10">
        <v>0.45329999999999998</v>
      </c>
    </row>
    <row r="1448" spans="1:7" x14ac:dyDescent="0.2">
      <c r="A1448" s="1" t="s">
        <v>122</v>
      </c>
      <c r="B1448" t="s">
        <v>561</v>
      </c>
      <c r="C1448">
        <v>-6.4652009192698401</v>
      </c>
      <c r="D1448">
        <v>0</v>
      </c>
      <c r="E1448">
        <v>0</v>
      </c>
      <c r="F1448" t="str">
        <f>"106/114"</f>
        <v>106/114</v>
      </c>
      <c r="G1448" s="10">
        <v>0.45960000000000001</v>
      </c>
    </row>
    <row r="1449" spans="1:7" x14ac:dyDescent="0.2">
      <c r="A1449" s="1" t="s">
        <v>122</v>
      </c>
      <c r="B1449" t="s">
        <v>155</v>
      </c>
      <c r="C1449">
        <v>-6.4503255594765703</v>
      </c>
      <c r="D1449">
        <v>0</v>
      </c>
      <c r="E1449">
        <v>0</v>
      </c>
      <c r="F1449" t="str">
        <f>"198/224"</f>
        <v>198/224</v>
      </c>
      <c r="G1449" s="10">
        <v>0.56720000000000004</v>
      </c>
    </row>
    <row r="1450" spans="1:7" x14ac:dyDescent="0.2">
      <c r="A1450" s="1" t="s">
        <v>122</v>
      </c>
      <c r="B1450" t="s">
        <v>1062</v>
      </c>
      <c r="C1450">
        <v>-6.4489101801328701</v>
      </c>
      <c r="D1450">
        <v>0</v>
      </c>
      <c r="E1450">
        <v>0</v>
      </c>
      <c r="F1450" t="str">
        <f>"202/239"</f>
        <v>202/239</v>
      </c>
      <c r="G1450" s="10">
        <v>0.5171</v>
      </c>
    </row>
    <row r="1451" spans="1:7" x14ac:dyDescent="0.2">
      <c r="A1451" s="1" t="s">
        <v>122</v>
      </c>
      <c r="B1451" t="s">
        <v>1174</v>
      </c>
      <c r="C1451">
        <v>-6.3865194457359102</v>
      </c>
      <c r="D1451">
        <v>0</v>
      </c>
      <c r="E1451">
        <v>0</v>
      </c>
      <c r="F1451" t="str">
        <f>"143/168"</f>
        <v>143/168</v>
      </c>
      <c r="G1451" s="10">
        <v>0.4839</v>
      </c>
    </row>
    <row r="1452" spans="1:7" x14ac:dyDescent="0.2">
      <c r="A1452" s="1" t="s">
        <v>122</v>
      </c>
      <c r="B1452" t="s">
        <v>569</v>
      </c>
      <c r="C1452">
        <v>-6.3863508895105596</v>
      </c>
      <c r="D1452">
        <v>0</v>
      </c>
      <c r="E1452">
        <v>0</v>
      </c>
      <c r="F1452" t="str">
        <f>"98/101"</f>
        <v>98/101</v>
      </c>
      <c r="G1452" s="10">
        <v>0.4773</v>
      </c>
    </row>
    <row r="1453" spans="1:7" x14ac:dyDescent="0.2">
      <c r="A1453" s="1" t="s">
        <v>122</v>
      </c>
      <c r="B1453" t="s">
        <v>862</v>
      </c>
      <c r="C1453">
        <v>-6.3857032508788798</v>
      </c>
      <c r="D1453">
        <v>0</v>
      </c>
      <c r="E1453">
        <v>0</v>
      </c>
      <c r="F1453" t="str">
        <f>"65/69"</f>
        <v>65/69</v>
      </c>
      <c r="G1453" s="10">
        <v>0.35659999999999997</v>
      </c>
    </row>
    <row r="1454" spans="1:7" x14ac:dyDescent="0.2">
      <c r="A1454" s="1" t="s">
        <v>122</v>
      </c>
      <c r="B1454" t="s">
        <v>586</v>
      </c>
      <c r="C1454">
        <v>-6.3777722937853598</v>
      </c>
      <c r="D1454">
        <v>0</v>
      </c>
      <c r="E1454">
        <v>0</v>
      </c>
      <c r="F1454" t="str">
        <f>"91/94"</f>
        <v>91/94</v>
      </c>
      <c r="G1454" s="10">
        <v>0.4773</v>
      </c>
    </row>
    <row r="1455" spans="1:7" x14ac:dyDescent="0.2">
      <c r="A1455" s="1" t="s">
        <v>122</v>
      </c>
      <c r="B1455" t="s">
        <v>711</v>
      </c>
      <c r="C1455">
        <v>-6.37072206004789</v>
      </c>
      <c r="D1455">
        <v>0</v>
      </c>
      <c r="E1455">
        <v>0</v>
      </c>
      <c r="F1455" t="str">
        <f>"85/92"</f>
        <v>85/92</v>
      </c>
      <c r="G1455" s="10">
        <v>0.4541</v>
      </c>
    </row>
    <row r="1456" spans="1:7" x14ac:dyDescent="0.2">
      <c r="A1456" s="1" t="s">
        <v>122</v>
      </c>
      <c r="B1456" t="s">
        <v>631</v>
      </c>
      <c r="C1456">
        <v>-6.3554334016498402</v>
      </c>
      <c r="D1456">
        <v>0</v>
      </c>
      <c r="E1456">
        <v>0</v>
      </c>
      <c r="F1456" t="str">
        <f>"101/120"</f>
        <v>101/120</v>
      </c>
      <c r="G1456" s="10">
        <v>0.37190000000000001</v>
      </c>
    </row>
    <row r="1457" spans="1:7" x14ac:dyDescent="0.2">
      <c r="A1457" s="1" t="s">
        <v>122</v>
      </c>
      <c r="B1457" t="s">
        <v>550</v>
      </c>
      <c r="C1457">
        <v>-6.3118332277589602</v>
      </c>
      <c r="D1457">
        <v>0</v>
      </c>
      <c r="E1457">
        <v>0</v>
      </c>
      <c r="F1457" t="str">
        <f>"95/101"</f>
        <v>95/101</v>
      </c>
      <c r="G1457" s="10">
        <v>0.45319999999999999</v>
      </c>
    </row>
    <row r="1458" spans="1:7" x14ac:dyDescent="0.2">
      <c r="A1458" s="1" t="s">
        <v>122</v>
      </c>
      <c r="B1458" t="s">
        <v>1745</v>
      </c>
      <c r="C1458">
        <v>-6.2417493238611703</v>
      </c>
      <c r="D1458">
        <v>0</v>
      </c>
      <c r="E1458">
        <v>0</v>
      </c>
      <c r="F1458" t="str">
        <f>"145/154"</f>
        <v>145/154</v>
      </c>
      <c r="G1458" s="10">
        <v>0.56969999999999998</v>
      </c>
    </row>
    <row r="1459" spans="1:7" x14ac:dyDescent="0.2">
      <c r="A1459" s="1" t="s">
        <v>122</v>
      </c>
      <c r="B1459" t="s">
        <v>528</v>
      </c>
      <c r="C1459">
        <v>-6.2098217365865596</v>
      </c>
      <c r="D1459">
        <v>0</v>
      </c>
      <c r="E1459">
        <v>0</v>
      </c>
      <c r="F1459" t="str">
        <f>"235/259"</f>
        <v>235/259</v>
      </c>
      <c r="G1459" s="10">
        <v>0.61570000000000003</v>
      </c>
    </row>
    <row r="1460" spans="1:7" x14ac:dyDescent="0.2">
      <c r="A1460" s="1" t="s">
        <v>122</v>
      </c>
      <c r="B1460" t="s">
        <v>950</v>
      </c>
      <c r="C1460">
        <v>-6.1756927907972399</v>
      </c>
      <c r="D1460">
        <v>0</v>
      </c>
      <c r="E1460">
        <v>0</v>
      </c>
      <c r="F1460" t="str">
        <f>"162/183"</f>
        <v>162/183</v>
      </c>
      <c r="G1460" s="10">
        <v>0.50349999999999995</v>
      </c>
    </row>
    <row r="1461" spans="1:7" x14ac:dyDescent="0.2">
      <c r="A1461" s="1" t="s">
        <v>122</v>
      </c>
      <c r="B1461" t="s">
        <v>1129</v>
      </c>
      <c r="C1461">
        <v>-6.1696792257298503</v>
      </c>
      <c r="D1461">
        <v>0</v>
      </c>
      <c r="E1461">
        <v>0</v>
      </c>
      <c r="F1461" t="str">
        <f>"169/191"</f>
        <v>169/191</v>
      </c>
      <c r="G1461" s="10">
        <v>0.52510000000000001</v>
      </c>
    </row>
    <row r="1462" spans="1:7" x14ac:dyDescent="0.2">
      <c r="A1462" s="1" t="s">
        <v>122</v>
      </c>
      <c r="B1462" t="s">
        <v>878</v>
      </c>
      <c r="C1462">
        <v>-6.1558283589454996</v>
      </c>
      <c r="D1462">
        <v>0</v>
      </c>
      <c r="E1462">
        <v>0</v>
      </c>
      <c r="F1462" t="str">
        <f>"65/70"</f>
        <v>65/70</v>
      </c>
      <c r="G1462" s="10">
        <v>0.35659999999999997</v>
      </c>
    </row>
    <row r="1463" spans="1:7" x14ac:dyDescent="0.2">
      <c r="A1463" s="1" t="s">
        <v>122</v>
      </c>
      <c r="B1463" t="s">
        <v>516</v>
      </c>
      <c r="C1463">
        <v>-6.1550249863963602</v>
      </c>
      <c r="D1463">
        <v>0</v>
      </c>
      <c r="E1463">
        <v>0</v>
      </c>
      <c r="F1463" t="str">
        <f>"333/389"</f>
        <v>333/389</v>
      </c>
      <c r="G1463" s="10">
        <v>0.62139999999999995</v>
      </c>
    </row>
    <row r="1464" spans="1:7" x14ac:dyDescent="0.2">
      <c r="A1464" s="1" t="s">
        <v>122</v>
      </c>
      <c r="B1464" t="s">
        <v>562</v>
      </c>
      <c r="C1464">
        <v>-6.1548419402991401</v>
      </c>
      <c r="D1464">
        <v>0</v>
      </c>
      <c r="E1464">
        <v>0</v>
      </c>
      <c r="F1464" t="str">
        <f>"96/101"</f>
        <v>96/101</v>
      </c>
      <c r="G1464" s="10">
        <v>0.4773</v>
      </c>
    </row>
    <row r="1465" spans="1:7" x14ac:dyDescent="0.2">
      <c r="A1465" s="1" t="s">
        <v>122</v>
      </c>
      <c r="B1465" t="s">
        <v>1067</v>
      </c>
      <c r="C1465">
        <v>-6.1037322108939502</v>
      </c>
      <c r="D1465">
        <v>0</v>
      </c>
      <c r="E1465">
        <v>0</v>
      </c>
      <c r="F1465" t="str">
        <f>"248/288"</f>
        <v>248/288</v>
      </c>
      <c r="G1465" s="10">
        <v>0.57379999999999998</v>
      </c>
    </row>
    <row r="1466" spans="1:7" x14ac:dyDescent="0.2">
      <c r="A1466" s="1" t="s">
        <v>122</v>
      </c>
      <c r="B1466" t="s">
        <v>1009</v>
      </c>
      <c r="C1466">
        <v>-6.0916498499659699</v>
      </c>
      <c r="D1466">
        <v>0</v>
      </c>
      <c r="E1466">
        <v>0</v>
      </c>
      <c r="F1466" t="str">
        <f>"73/84"</f>
        <v>73/84</v>
      </c>
      <c r="G1466" s="10">
        <v>0.36809999999999998</v>
      </c>
    </row>
    <row r="1467" spans="1:7" x14ac:dyDescent="0.2">
      <c r="A1467" s="1" t="s">
        <v>122</v>
      </c>
      <c r="B1467" t="s">
        <v>606</v>
      </c>
      <c r="C1467">
        <v>-6.0661391081484703</v>
      </c>
      <c r="D1467">
        <v>0</v>
      </c>
      <c r="E1467">
        <v>0</v>
      </c>
      <c r="F1467" t="str">
        <f>"147/152"</f>
        <v>147/152</v>
      </c>
      <c r="G1467" s="10">
        <v>0.5625</v>
      </c>
    </row>
    <row r="1468" spans="1:7" x14ac:dyDescent="0.2">
      <c r="A1468" s="1" t="s">
        <v>122</v>
      </c>
      <c r="B1468" t="s">
        <v>604</v>
      </c>
      <c r="C1468">
        <v>-6.0421957127923704</v>
      </c>
      <c r="D1468">
        <v>0</v>
      </c>
      <c r="E1468">
        <v>0</v>
      </c>
      <c r="F1468" t="str">
        <f>"94/99"</f>
        <v>94/99</v>
      </c>
      <c r="G1468" s="10">
        <v>0.4773</v>
      </c>
    </row>
    <row r="1469" spans="1:7" x14ac:dyDescent="0.2">
      <c r="A1469" s="1" t="s">
        <v>122</v>
      </c>
      <c r="B1469" t="s">
        <v>1746</v>
      </c>
      <c r="C1469">
        <v>-6.03827162136281</v>
      </c>
      <c r="D1469">
        <v>0</v>
      </c>
      <c r="E1469">
        <v>0</v>
      </c>
      <c r="F1469" t="str">
        <f>"289/311"</f>
        <v>289/311</v>
      </c>
      <c r="G1469" s="10">
        <v>0.64849999999999997</v>
      </c>
    </row>
    <row r="1470" spans="1:7" x14ac:dyDescent="0.2">
      <c r="A1470" s="1" t="s">
        <v>122</v>
      </c>
      <c r="B1470" t="s">
        <v>695</v>
      </c>
      <c r="C1470">
        <v>-5.9869896095719</v>
      </c>
      <c r="D1470">
        <v>0</v>
      </c>
      <c r="E1470">
        <v>0</v>
      </c>
      <c r="F1470" t="str">
        <f>"90/99"</f>
        <v>90/99</v>
      </c>
      <c r="G1470" s="10">
        <v>0.46439999999999998</v>
      </c>
    </row>
    <row r="1471" spans="1:7" x14ac:dyDescent="0.2">
      <c r="A1471" s="1" t="s">
        <v>122</v>
      </c>
      <c r="B1471" t="s">
        <v>628</v>
      </c>
      <c r="C1471">
        <v>-5.9802487090548597</v>
      </c>
      <c r="D1471">
        <v>0</v>
      </c>
      <c r="E1471">
        <v>0</v>
      </c>
      <c r="F1471" t="str">
        <f>"104/109"</f>
        <v>104/109</v>
      </c>
      <c r="G1471" s="10">
        <v>0.49170000000000003</v>
      </c>
    </row>
    <row r="1472" spans="1:7" x14ac:dyDescent="0.2">
      <c r="A1472" s="1" t="s">
        <v>122</v>
      </c>
      <c r="B1472" t="s">
        <v>41</v>
      </c>
      <c r="C1472">
        <v>-5.9737254171353502</v>
      </c>
      <c r="D1472">
        <v>0</v>
      </c>
      <c r="E1472">
        <v>0</v>
      </c>
      <c r="F1472" t="str">
        <f>"285/326"</f>
        <v>285/326</v>
      </c>
      <c r="G1472" s="10">
        <v>0.61419999999999997</v>
      </c>
    </row>
    <row r="1473" spans="1:7" x14ac:dyDescent="0.2">
      <c r="A1473" s="1" t="s">
        <v>122</v>
      </c>
      <c r="B1473" t="s">
        <v>535</v>
      </c>
      <c r="C1473">
        <v>-5.9609695943628598</v>
      </c>
      <c r="D1473">
        <v>0</v>
      </c>
      <c r="E1473">
        <v>0</v>
      </c>
      <c r="F1473" t="str">
        <f>"114/127"</f>
        <v>114/127</v>
      </c>
      <c r="G1473" s="10">
        <v>0.4698</v>
      </c>
    </row>
    <row r="1474" spans="1:7" x14ac:dyDescent="0.2">
      <c r="A1474" s="1" t="s">
        <v>122</v>
      </c>
      <c r="B1474" t="s">
        <v>1747</v>
      </c>
      <c r="C1474">
        <v>-5.9447635979794899</v>
      </c>
      <c r="D1474">
        <v>0</v>
      </c>
      <c r="E1474">
        <v>0</v>
      </c>
      <c r="F1474" t="str">
        <f>"118/127"</f>
        <v>118/127</v>
      </c>
      <c r="G1474" s="10">
        <v>0.51759999999999995</v>
      </c>
    </row>
    <row r="1475" spans="1:7" x14ac:dyDescent="0.2">
      <c r="A1475" s="1" t="s">
        <v>122</v>
      </c>
      <c r="B1475" t="s">
        <v>1748</v>
      </c>
      <c r="C1475">
        <v>-5.9409489550796701</v>
      </c>
      <c r="D1475">
        <v>0</v>
      </c>
      <c r="E1475">
        <v>0</v>
      </c>
      <c r="F1475" t="str">
        <f>"100/108"</f>
        <v>100/108</v>
      </c>
      <c r="G1475" s="10">
        <v>0.48039999999999999</v>
      </c>
    </row>
    <row r="1476" spans="1:7" x14ac:dyDescent="0.2">
      <c r="A1476" s="1" t="s">
        <v>122</v>
      </c>
      <c r="B1476" t="s">
        <v>645</v>
      </c>
      <c r="C1476">
        <v>-5.9408759945134797</v>
      </c>
      <c r="D1476">
        <v>0</v>
      </c>
      <c r="E1476">
        <v>0</v>
      </c>
      <c r="F1476" t="str">
        <f>"113/130"</f>
        <v>113/130</v>
      </c>
      <c r="G1476" s="10">
        <v>0.44280000000000003</v>
      </c>
    </row>
    <row r="1477" spans="1:7" x14ac:dyDescent="0.2">
      <c r="A1477" s="1" t="s">
        <v>122</v>
      </c>
      <c r="B1477" t="s">
        <v>585</v>
      </c>
      <c r="C1477">
        <v>-5.9157018262949999</v>
      </c>
      <c r="D1477">
        <v>0</v>
      </c>
      <c r="E1477">
        <v>0</v>
      </c>
      <c r="F1477" t="str">
        <f>"94/100"</f>
        <v>94/100</v>
      </c>
      <c r="G1477" s="10">
        <v>0.45319999999999999</v>
      </c>
    </row>
    <row r="1478" spans="1:7" x14ac:dyDescent="0.2">
      <c r="A1478" s="1" t="s">
        <v>122</v>
      </c>
      <c r="B1478" t="s">
        <v>1008</v>
      </c>
      <c r="C1478">
        <v>-5.8990970404103003</v>
      </c>
      <c r="D1478">
        <v>0</v>
      </c>
      <c r="E1478">
        <v>0</v>
      </c>
      <c r="F1478" t="str">
        <f>"220/241"</f>
        <v>220/241</v>
      </c>
      <c r="G1478" s="10">
        <v>0.62480000000000002</v>
      </c>
    </row>
    <row r="1479" spans="1:7" x14ac:dyDescent="0.2">
      <c r="A1479" s="1" t="s">
        <v>122</v>
      </c>
      <c r="B1479" t="s">
        <v>1156</v>
      </c>
      <c r="C1479">
        <v>-5.89064291933615</v>
      </c>
      <c r="D1479">
        <v>0</v>
      </c>
      <c r="E1479">
        <v>0</v>
      </c>
      <c r="F1479" t="str">
        <f>"183/203"</f>
        <v>183/203</v>
      </c>
      <c r="G1479" s="10">
        <v>0.55269999999999997</v>
      </c>
    </row>
    <row r="1480" spans="1:7" x14ac:dyDescent="0.2">
      <c r="A1480" s="1" t="s">
        <v>122</v>
      </c>
      <c r="B1480" t="s">
        <v>1749</v>
      </c>
      <c r="C1480">
        <v>-5.88907629415848</v>
      </c>
      <c r="D1480">
        <v>0</v>
      </c>
      <c r="E1480">
        <v>0</v>
      </c>
      <c r="F1480" t="str">
        <f>"146/165"</f>
        <v>146/165</v>
      </c>
      <c r="G1480" s="10">
        <v>0.53139999999999998</v>
      </c>
    </row>
    <row r="1481" spans="1:7" x14ac:dyDescent="0.2">
      <c r="A1481" s="1" t="s">
        <v>122</v>
      </c>
      <c r="B1481" t="s">
        <v>1750</v>
      </c>
      <c r="C1481">
        <v>-5.8726101294206803</v>
      </c>
      <c r="D1481">
        <v>0</v>
      </c>
      <c r="E1481">
        <v>0</v>
      </c>
      <c r="F1481" t="str">
        <f>"139/160"</f>
        <v>139/160</v>
      </c>
      <c r="G1481" s="10">
        <v>0.48880000000000001</v>
      </c>
    </row>
    <row r="1482" spans="1:7" x14ac:dyDescent="0.2">
      <c r="A1482" s="1" t="s">
        <v>122</v>
      </c>
      <c r="B1482" t="s">
        <v>728</v>
      </c>
      <c r="C1482">
        <v>-5.8650110323802203</v>
      </c>
      <c r="D1482">
        <v>0</v>
      </c>
      <c r="E1482">
        <v>0</v>
      </c>
      <c r="F1482" t="str">
        <f>"114/129"</f>
        <v>114/129</v>
      </c>
      <c r="G1482" s="10">
        <v>0.49020000000000002</v>
      </c>
    </row>
    <row r="1483" spans="1:7" x14ac:dyDescent="0.2">
      <c r="A1483" s="1" t="s">
        <v>122</v>
      </c>
      <c r="B1483" t="s">
        <v>738</v>
      </c>
      <c r="C1483">
        <v>-5.8516115385538399</v>
      </c>
      <c r="D1483">
        <v>0</v>
      </c>
      <c r="E1483">
        <v>0</v>
      </c>
      <c r="F1483" t="str">
        <f>"101/105"</f>
        <v>101/105</v>
      </c>
      <c r="G1483" s="10">
        <v>0.51219999999999999</v>
      </c>
    </row>
    <row r="1484" spans="1:7" x14ac:dyDescent="0.2">
      <c r="A1484" s="1" t="s">
        <v>122</v>
      </c>
      <c r="B1484" t="s">
        <v>1685</v>
      </c>
      <c r="C1484">
        <v>-5.8266271921472699</v>
      </c>
      <c r="D1484">
        <v>0</v>
      </c>
      <c r="E1484">
        <v>0</v>
      </c>
      <c r="F1484" t="str">
        <f>"405/468"</f>
        <v>405/468</v>
      </c>
      <c r="G1484" s="10">
        <v>0.65159999999999996</v>
      </c>
    </row>
    <row r="1485" spans="1:7" x14ac:dyDescent="0.2">
      <c r="A1485" s="1" t="s">
        <v>122</v>
      </c>
      <c r="B1485" t="s">
        <v>634</v>
      </c>
      <c r="C1485">
        <v>-5.7935614564443298</v>
      </c>
      <c r="D1485">
        <v>0</v>
      </c>
      <c r="E1485">
        <v>0</v>
      </c>
      <c r="F1485" t="str">
        <f>"105/110"</f>
        <v>105/110</v>
      </c>
      <c r="G1485" s="10">
        <v>0.49170000000000003</v>
      </c>
    </row>
    <row r="1486" spans="1:7" x14ac:dyDescent="0.2">
      <c r="A1486" s="1" t="s">
        <v>122</v>
      </c>
      <c r="B1486" t="s">
        <v>666</v>
      </c>
      <c r="C1486">
        <v>-5.7813119029461904</v>
      </c>
      <c r="D1486">
        <v>0</v>
      </c>
      <c r="E1486">
        <v>0</v>
      </c>
      <c r="F1486" t="str">
        <f>"87/95"</f>
        <v>87/95</v>
      </c>
      <c r="G1486" s="10">
        <v>0.46579999999999999</v>
      </c>
    </row>
    <row r="1487" spans="1:7" x14ac:dyDescent="0.2">
      <c r="A1487" s="1" t="s">
        <v>122</v>
      </c>
      <c r="B1487" t="s">
        <v>576</v>
      </c>
      <c r="C1487">
        <v>-5.76909741970141</v>
      </c>
      <c r="D1487">
        <v>0</v>
      </c>
      <c r="E1487">
        <v>0</v>
      </c>
      <c r="F1487" t="str">
        <f>"117/126"</f>
        <v>117/126</v>
      </c>
      <c r="G1487" s="10">
        <v>0.48409999999999997</v>
      </c>
    </row>
    <row r="1488" spans="1:7" x14ac:dyDescent="0.2">
      <c r="A1488" s="1" t="s">
        <v>122</v>
      </c>
      <c r="B1488" t="s">
        <v>937</v>
      </c>
      <c r="C1488">
        <v>-5.7652772659339497</v>
      </c>
      <c r="D1488">
        <v>0</v>
      </c>
      <c r="E1488">
        <v>0</v>
      </c>
      <c r="F1488" t="str">
        <f>"60/69"</f>
        <v>60/69</v>
      </c>
      <c r="G1488" s="10">
        <v>0.36870000000000003</v>
      </c>
    </row>
    <row r="1489" spans="1:7" x14ac:dyDescent="0.2">
      <c r="A1489" s="1" t="s">
        <v>122</v>
      </c>
      <c r="B1489" t="s">
        <v>1751</v>
      </c>
      <c r="C1489">
        <v>-5.7492392893985</v>
      </c>
      <c r="D1489">
        <v>0</v>
      </c>
      <c r="E1489">
        <v>0</v>
      </c>
      <c r="F1489" t="str">
        <f>"222/248"</f>
        <v>222/248</v>
      </c>
      <c r="G1489" s="10">
        <v>0.57289999999999996</v>
      </c>
    </row>
    <row r="1490" spans="1:7" x14ac:dyDescent="0.2">
      <c r="A1490" s="1" t="s">
        <v>122</v>
      </c>
      <c r="B1490" t="s">
        <v>863</v>
      </c>
      <c r="C1490">
        <v>-5.7331744521982104</v>
      </c>
      <c r="D1490">
        <v>0</v>
      </c>
      <c r="E1490">
        <v>0</v>
      </c>
      <c r="F1490" t="str">
        <f>"153/166"</f>
        <v>153/166</v>
      </c>
      <c r="G1490" s="10">
        <v>0.54479999999999995</v>
      </c>
    </row>
    <row r="1491" spans="1:7" x14ac:dyDescent="0.2">
      <c r="A1491" s="1" t="s">
        <v>122</v>
      </c>
      <c r="B1491" t="s">
        <v>12</v>
      </c>
      <c r="C1491">
        <v>-5.7327582299751603</v>
      </c>
      <c r="D1491">
        <v>0</v>
      </c>
      <c r="E1491">
        <v>0</v>
      </c>
      <c r="F1491" t="str">
        <f>"152/178"</f>
        <v>152/178</v>
      </c>
      <c r="G1491" s="10">
        <v>0.47210000000000002</v>
      </c>
    </row>
    <row r="1492" spans="1:7" x14ac:dyDescent="0.2">
      <c r="A1492" s="1" t="s">
        <v>122</v>
      </c>
      <c r="B1492" t="s">
        <v>24</v>
      </c>
      <c r="C1492">
        <v>-5.7000233449861302</v>
      </c>
      <c r="D1492">
        <v>0</v>
      </c>
      <c r="E1492">
        <v>0</v>
      </c>
      <c r="F1492" t="str">
        <f>"128/151"</f>
        <v>128/151</v>
      </c>
      <c r="G1492" s="10">
        <v>0.44390000000000002</v>
      </c>
    </row>
    <row r="1493" spans="1:7" x14ac:dyDescent="0.2">
      <c r="A1493" s="1" t="s">
        <v>122</v>
      </c>
      <c r="B1493" t="s">
        <v>609</v>
      </c>
      <c r="C1493">
        <v>-5.6980975375181799</v>
      </c>
      <c r="D1493">
        <v>0</v>
      </c>
      <c r="E1493">
        <v>0</v>
      </c>
      <c r="F1493" t="str">
        <f>"57/63"</f>
        <v>57/63</v>
      </c>
      <c r="G1493" s="10">
        <v>0.36809999999999998</v>
      </c>
    </row>
    <row r="1494" spans="1:7" x14ac:dyDescent="0.2">
      <c r="A1494" s="1" t="s">
        <v>122</v>
      </c>
      <c r="B1494" t="s">
        <v>1049</v>
      </c>
      <c r="C1494">
        <v>-5.6515682234595896</v>
      </c>
      <c r="D1494">
        <v>0</v>
      </c>
      <c r="E1494">
        <v>0</v>
      </c>
      <c r="F1494" t="str">
        <f>"93/102"</f>
        <v>93/102</v>
      </c>
      <c r="G1494" s="10">
        <v>0.50839999999999996</v>
      </c>
    </row>
    <row r="1495" spans="1:7" x14ac:dyDescent="0.2">
      <c r="A1495" s="1" t="s">
        <v>122</v>
      </c>
      <c r="B1495" t="s">
        <v>871</v>
      </c>
      <c r="C1495">
        <v>-5.64572704440425</v>
      </c>
      <c r="D1495">
        <v>0</v>
      </c>
      <c r="E1495">
        <v>0</v>
      </c>
      <c r="F1495" t="str">
        <f>"121/129"</f>
        <v>121/129</v>
      </c>
      <c r="G1495" s="10">
        <v>0.51529999999999998</v>
      </c>
    </row>
    <row r="1496" spans="1:7" x14ac:dyDescent="0.2">
      <c r="A1496" s="1" t="s">
        <v>122</v>
      </c>
      <c r="B1496" t="s">
        <v>1752</v>
      </c>
      <c r="C1496">
        <v>-5.64493050277812</v>
      </c>
      <c r="D1496">
        <v>0</v>
      </c>
      <c r="E1496">
        <v>0</v>
      </c>
      <c r="F1496" t="str">
        <f>"336/361"</f>
        <v>336/361</v>
      </c>
      <c r="G1496" s="10">
        <v>0.67200000000000004</v>
      </c>
    </row>
    <row r="1497" spans="1:7" x14ac:dyDescent="0.2">
      <c r="A1497" s="1" t="s">
        <v>122</v>
      </c>
      <c r="B1497" t="s">
        <v>1195</v>
      </c>
      <c r="C1497">
        <v>-5.6408621503989096</v>
      </c>
      <c r="D1497">
        <v>0</v>
      </c>
      <c r="E1497">
        <v>0</v>
      </c>
      <c r="F1497" t="str">
        <f>"102/114"</f>
        <v>102/114</v>
      </c>
      <c r="G1497" s="10">
        <v>0.48039999999999999</v>
      </c>
    </row>
    <row r="1498" spans="1:7" x14ac:dyDescent="0.2">
      <c r="A1498" s="1" t="s">
        <v>122</v>
      </c>
      <c r="B1498" t="s">
        <v>1753</v>
      </c>
      <c r="C1498">
        <v>-5.6405577560627096</v>
      </c>
      <c r="D1498">
        <v>0</v>
      </c>
      <c r="E1498">
        <v>0</v>
      </c>
      <c r="F1498" t="str">
        <f>"63/72"</f>
        <v>63/72</v>
      </c>
      <c r="G1498" s="10">
        <v>0.36809999999999998</v>
      </c>
    </row>
    <row r="1499" spans="1:7" x14ac:dyDescent="0.2">
      <c r="A1499" s="1" t="s">
        <v>122</v>
      </c>
      <c r="B1499" t="s">
        <v>555</v>
      </c>
      <c r="C1499">
        <v>-5.6373284347675199</v>
      </c>
      <c r="D1499">
        <v>0</v>
      </c>
      <c r="E1499">
        <v>0</v>
      </c>
      <c r="F1499" t="str">
        <f>"71/82"</f>
        <v>71/82</v>
      </c>
      <c r="G1499" s="10">
        <v>0.38750000000000001</v>
      </c>
    </row>
    <row r="1500" spans="1:7" x14ac:dyDescent="0.2">
      <c r="A1500" s="1" t="s">
        <v>122</v>
      </c>
      <c r="B1500" t="s">
        <v>754</v>
      </c>
      <c r="C1500">
        <v>-5.6352009259070304</v>
      </c>
      <c r="D1500">
        <v>0</v>
      </c>
      <c r="E1500">
        <v>0</v>
      </c>
      <c r="F1500" t="str">
        <f>"158/175"</f>
        <v>158/175</v>
      </c>
      <c r="G1500" s="10">
        <v>0.55569999999999997</v>
      </c>
    </row>
    <row r="1501" spans="1:7" x14ac:dyDescent="0.2">
      <c r="A1501" s="1" t="s">
        <v>122</v>
      </c>
      <c r="B1501" t="s">
        <v>551</v>
      </c>
      <c r="C1501">
        <v>-5.63052085355217</v>
      </c>
      <c r="D1501">
        <v>0</v>
      </c>
      <c r="E1501">
        <v>0</v>
      </c>
      <c r="F1501" t="str">
        <f>"81/86"</f>
        <v>81/86</v>
      </c>
      <c r="G1501" s="10">
        <v>0.45319999999999999</v>
      </c>
    </row>
    <row r="1502" spans="1:7" x14ac:dyDescent="0.2">
      <c r="A1502" s="1" t="s">
        <v>122</v>
      </c>
      <c r="B1502" t="s">
        <v>623</v>
      </c>
      <c r="C1502">
        <v>-5.6273806873483396</v>
      </c>
      <c r="D1502">
        <v>0</v>
      </c>
      <c r="E1502">
        <v>0</v>
      </c>
      <c r="F1502" t="str">
        <f>"74/86"</f>
        <v>74/86</v>
      </c>
      <c r="G1502" s="10">
        <v>0.38719999999999999</v>
      </c>
    </row>
    <row r="1503" spans="1:7" x14ac:dyDescent="0.2">
      <c r="A1503" s="1" t="s">
        <v>122</v>
      </c>
      <c r="B1503" t="s">
        <v>1754</v>
      </c>
      <c r="C1503">
        <v>-5.6252486965874704</v>
      </c>
      <c r="D1503">
        <v>0</v>
      </c>
      <c r="E1503">
        <v>0</v>
      </c>
      <c r="F1503" t="str">
        <f>"168/186"</f>
        <v>168/186</v>
      </c>
      <c r="G1503" s="10">
        <v>0.5917</v>
      </c>
    </row>
    <row r="1504" spans="1:7" x14ac:dyDescent="0.2">
      <c r="A1504" s="1" t="s">
        <v>122</v>
      </c>
      <c r="B1504" t="s">
        <v>683</v>
      </c>
      <c r="C1504">
        <v>-5.6223336685039698</v>
      </c>
      <c r="D1504">
        <v>0</v>
      </c>
      <c r="E1504">
        <v>0</v>
      </c>
      <c r="F1504" t="str">
        <f>"87/93"</f>
        <v>87/93</v>
      </c>
      <c r="G1504" s="10">
        <v>0.503</v>
      </c>
    </row>
    <row r="1505" spans="1:7" x14ac:dyDescent="0.2">
      <c r="A1505" s="1" t="s">
        <v>122</v>
      </c>
      <c r="B1505" t="s">
        <v>1755</v>
      </c>
      <c r="C1505">
        <v>-5.6039023739717004</v>
      </c>
      <c r="D1505">
        <v>0</v>
      </c>
      <c r="E1505">
        <v>0</v>
      </c>
      <c r="F1505" t="str">
        <f>"170/190"</f>
        <v>170/190</v>
      </c>
      <c r="G1505" s="10">
        <v>0.55100000000000005</v>
      </c>
    </row>
    <row r="1506" spans="1:7" x14ac:dyDescent="0.2">
      <c r="A1506" s="1" t="s">
        <v>122</v>
      </c>
      <c r="B1506" t="s">
        <v>835</v>
      </c>
      <c r="C1506">
        <v>-5.5956262843022797</v>
      </c>
      <c r="D1506">
        <v>0</v>
      </c>
      <c r="E1506">
        <v>0</v>
      </c>
      <c r="F1506" t="str">
        <f>"116/137"</f>
        <v>116/137</v>
      </c>
      <c r="G1506" s="10">
        <v>0.47749999999999998</v>
      </c>
    </row>
    <row r="1507" spans="1:7" x14ac:dyDescent="0.2">
      <c r="A1507" s="1" t="s">
        <v>122</v>
      </c>
      <c r="B1507" t="s">
        <v>545</v>
      </c>
      <c r="C1507">
        <v>-5.5854359351802199</v>
      </c>
      <c r="D1507">
        <v>0</v>
      </c>
      <c r="E1507">
        <v>0</v>
      </c>
      <c r="F1507" t="str">
        <f>"85/92"</f>
        <v>85/92</v>
      </c>
      <c r="G1507" s="10">
        <v>0.45319999999999999</v>
      </c>
    </row>
    <row r="1508" spans="1:7" x14ac:dyDescent="0.2">
      <c r="A1508" s="1" t="s">
        <v>122</v>
      </c>
      <c r="B1508" t="s">
        <v>1201</v>
      </c>
      <c r="C1508">
        <v>-5.5805813341392696</v>
      </c>
      <c r="D1508">
        <v>0</v>
      </c>
      <c r="E1508">
        <v>0</v>
      </c>
      <c r="F1508" t="str">
        <f>"113/135"</f>
        <v>113/135</v>
      </c>
      <c r="G1508" s="10">
        <v>0.46760000000000002</v>
      </c>
    </row>
    <row r="1509" spans="1:7" x14ac:dyDescent="0.2">
      <c r="A1509" s="1" t="s">
        <v>122</v>
      </c>
      <c r="B1509" t="s">
        <v>328</v>
      </c>
      <c r="C1509">
        <v>-5.5726379044349699</v>
      </c>
      <c r="D1509">
        <v>0</v>
      </c>
      <c r="E1509">
        <v>0</v>
      </c>
      <c r="F1509" t="str">
        <f>"293/337"</f>
        <v>293/337</v>
      </c>
      <c r="G1509" s="10">
        <v>0.59209999999999996</v>
      </c>
    </row>
    <row r="1510" spans="1:7" x14ac:dyDescent="0.2">
      <c r="A1510" s="1" t="s">
        <v>122</v>
      </c>
      <c r="B1510" t="s">
        <v>714</v>
      </c>
      <c r="C1510">
        <v>-5.5623517079005804</v>
      </c>
      <c r="D1510">
        <v>0</v>
      </c>
      <c r="E1510">
        <v>0</v>
      </c>
      <c r="F1510" t="str">
        <f>"54/55"</f>
        <v>54/55</v>
      </c>
      <c r="G1510" s="10">
        <v>0.38719999999999999</v>
      </c>
    </row>
    <row r="1511" spans="1:7" x14ac:dyDescent="0.2">
      <c r="A1511" s="1" t="s">
        <v>122</v>
      </c>
      <c r="B1511" t="s">
        <v>715</v>
      </c>
      <c r="C1511">
        <v>-5.5623517079005804</v>
      </c>
      <c r="D1511">
        <v>0</v>
      </c>
      <c r="E1511">
        <v>0</v>
      </c>
      <c r="F1511" t="str">
        <f>"54/55"</f>
        <v>54/55</v>
      </c>
      <c r="G1511" s="10">
        <v>0.38719999999999999</v>
      </c>
    </row>
    <row r="1512" spans="1:7" x14ac:dyDescent="0.2">
      <c r="A1512" s="1" t="s">
        <v>122</v>
      </c>
      <c r="B1512" t="s">
        <v>975</v>
      </c>
      <c r="C1512">
        <v>-5.5528582054190698</v>
      </c>
      <c r="D1512">
        <v>0</v>
      </c>
      <c r="E1512">
        <v>0</v>
      </c>
      <c r="F1512" t="str">
        <f>"110/116"</f>
        <v>110/116</v>
      </c>
      <c r="G1512" s="10">
        <v>0.52290000000000003</v>
      </c>
    </row>
    <row r="1513" spans="1:7" x14ac:dyDescent="0.2">
      <c r="A1513" s="1" t="s">
        <v>122</v>
      </c>
      <c r="B1513" t="s">
        <v>641</v>
      </c>
      <c r="C1513">
        <v>-5.5272412034165104</v>
      </c>
      <c r="D1513">
        <v>0</v>
      </c>
      <c r="E1513">
        <v>0</v>
      </c>
      <c r="F1513" t="str">
        <f>"141/149"</f>
        <v>141/149</v>
      </c>
      <c r="G1513" s="10">
        <v>0.57630000000000003</v>
      </c>
    </row>
    <row r="1514" spans="1:7" x14ac:dyDescent="0.2">
      <c r="A1514" s="1" t="s">
        <v>122</v>
      </c>
      <c r="B1514" t="s">
        <v>1093</v>
      </c>
      <c r="C1514">
        <v>-5.5216478213115199</v>
      </c>
      <c r="D1514">
        <v>0</v>
      </c>
      <c r="E1514">
        <v>0</v>
      </c>
      <c r="F1514" t="str">
        <f>"114/129"</f>
        <v>114/129</v>
      </c>
      <c r="G1514" s="10">
        <v>0.497</v>
      </c>
    </row>
    <row r="1515" spans="1:7" x14ac:dyDescent="0.2">
      <c r="A1515" s="1" t="s">
        <v>122</v>
      </c>
      <c r="B1515" t="s">
        <v>778</v>
      </c>
      <c r="C1515">
        <v>-5.51172233335455</v>
      </c>
      <c r="D1515">
        <v>0</v>
      </c>
      <c r="E1515">
        <v>0</v>
      </c>
      <c r="F1515" t="str">
        <f>"71/73"</f>
        <v>71/73</v>
      </c>
      <c r="G1515" s="10">
        <v>0.4869</v>
      </c>
    </row>
    <row r="1516" spans="1:7" x14ac:dyDescent="0.2">
      <c r="A1516" s="1" t="s">
        <v>122</v>
      </c>
      <c r="B1516" t="s">
        <v>994</v>
      </c>
      <c r="C1516">
        <v>-5.5091435022884001</v>
      </c>
      <c r="D1516">
        <v>0</v>
      </c>
      <c r="E1516">
        <v>0</v>
      </c>
      <c r="F1516" t="str">
        <f>"105/108"</f>
        <v>105/108</v>
      </c>
      <c r="G1516" s="10">
        <v>0.54179999999999995</v>
      </c>
    </row>
    <row r="1517" spans="1:7" x14ac:dyDescent="0.2">
      <c r="A1517" s="1" t="s">
        <v>122</v>
      </c>
      <c r="B1517" t="s">
        <v>788</v>
      </c>
      <c r="C1517">
        <v>-5.4996476358940303</v>
      </c>
      <c r="D1517">
        <v>0</v>
      </c>
      <c r="E1517">
        <v>0</v>
      </c>
      <c r="F1517" t="str">
        <f>"85/93"</f>
        <v>85/93</v>
      </c>
      <c r="G1517" s="10">
        <v>0.45390000000000003</v>
      </c>
    </row>
    <row r="1518" spans="1:7" x14ac:dyDescent="0.2">
      <c r="A1518" s="1" t="s">
        <v>122</v>
      </c>
      <c r="B1518" t="s">
        <v>1070</v>
      </c>
      <c r="C1518">
        <v>-5.4846079412693998</v>
      </c>
      <c r="D1518">
        <v>0</v>
      </c>
      <c r="E1518">
        <v>0</v>
      </c>
      <c r="F1518" t="str">
        <f>"106/123"</f>
        <v>106/123</v>
      </c>
      <c r="G1518" s="10">
        <v>0.4748</v>
      </c>
    </row>
    <row r="1519" spans="1:7" x14ac:dyDescent="0.2">
      <c r="A1519" s="1" t="s">
        <v>122</v>
      </c>
      <c r="B1519" t="s">
        <v>45</v>
      </c>
      <c r="C1519">
        <v>-5.4781877322465098</v>
      </c>
      <c r="D1519">
        <v>0</v>
      </c>
      <c r="E1519">
        <v>0</v>
      </c>
      <c r="F1519" t="str">
        <f>"90/101"</f>
        <v>90/101</v>
      </c>
      <c r="G1519" s="10">
        <v>0.47570000000000001</v>
      </c>
    </row>
    <row r="1520" spans="1:7" x14ac:dyDescent="0.2">
      <c r="A1520" s="1" t="s">
        <v>122</v>
      </c>
      <c r="B1520" t="s">
        <v>1756</v>
      </c>
      <c r="C1520">
        <v>-5.46703467418416</v>
      </c>
      <c r="D1520">
        <v>0</v>
      </c>
      <c r="E1520">
        <v>0</v>
      </c>
      <c r="F1520" t="str">
        <f>"125/138"</f>
        <v>125/138</v>
      </c>
      <c r="G1520" s="10">
        <v>0.54330000000000001</v>
      </c>
    </row>
    <row r="1521" spans="1:7" x14ac:dyDescent="0.2">
      <c r="A1521" s="1" t="s">
        <v>122</v>
      </c>
      <c r="B1521" t="s">
        <v>905</v>
      </c>
      <c r="C1521">
        <v>-5.46535655602686</v>
      </c>
      <c r="D1521">
        <v>0</v>
      </c>
      <c r="E1521">
        <v>0</v>
      </c>
      <c r="F1521" t="str">
        <f>"120/128"</f>
        <v>120/128</v>
      </c>
      <c r="G1521" s="10">
        <v>0.51529999999999998</v>
      </c>
    </row>
    <row r="1522" spans="1:7" x14ac:dyDescent="0.2">
      <c r="A1522" s="1" t="s">
        <v>122</v>
      </c>
      <c r="B1522" t="s">
        <v>926</v>
      </c>
      <c r="C1522">
        <v>-5.4608092929921002</v>
      </c>
      <c r="D1522">
        <v>0</v>
      </c>
      <c r="E1522">
        <v>0</v>
      </c>
      <c r="F1522" t="str">
        <f>"81/86"</f>
        <v>81/86</v>
      </c>
      <c r="G1522" s="10">
        <v>0.49969999999999998</v>
      </c>
    </row>
    <row r="1523" spans="1:7" x14ac:dyDescent="0.2">
      <c r="A1523" s="1" t="s">
        <v>122</v>
      </c>
      <c r="B1523" t="s">
        <v>931</v>
      </c>
      <c r="C1523">
        <v>-5.4290401968341699</v>
      </c>
      <c r="D1523">
        <v>0</v>
      </c>
      <c r="E1523">
        <v>0</v>
      </c>
      <c r="F1523" t="str">
        <f>"185/246"</f>
        <v>185/246</v>
      </c>
      <c r="G1523" s="10">
        <v>0.47839999999999999</v>
      </c>
    </row>
    <row r="1524" spans="1:7" x14ac:dyDescent="0.2">
      <c r="A1524" s="1" t="s">
        <v>122</v>
      </c>
      <c r="B1524" t="s">
        <v>1018</v>
      </c>
      <c r="C1524">
        <v>-5.4285485033750502</v>
      </c>
      <c r="D1524">
        <v>0</v>
      </c>
      <c r="E1524">
        <v>0</v>
      </c>
      <c r="F1524" t="str">
        <f>"91/101"</f>
        <v>91/101</v>
      </c>
      <c r="G1524" s="10">
        <v>0.46350000000000002</v>
      </c>
    </row>
    <row r="1525" spans="1:7" x14ac:dyDescent="0.2">
      <c r="A1525" s="1" t="s">
        <v>122</v>
      </c>
      <c r="B1525" t="s">
        <v>1098</v>
      </c>
      <c r="C1525">
        <v>-5.4275298321751002</v>
      </c>
      <c r="D1525">
        <v>0</v>
      </c>
      <c r="E1525">
        <v>0</v>
      </c>
      <c r="F1525" t="str">
        <f>"128/147"</f>
        <v>128/147</v>
      </c>
      <c r="G1525" s="10">
        <v>0.47410000000000002</v>
      </c>
    </row>
    <row r="1526" spans="1:7" x14ac:dyDescent="0.2">
      <c r="A1526" s="1" t="s">
        <v>122</v>
      </c>
      <c r="B1526" t="s">
        <v>1241</v>
      </c>
      <c r="C1526">
        <v>-5.4098716621370899</v>
      </c>
      <c r="D1526">
        <v>0</v>
      </c>
      <c r="E1526">
        <v>0</v>
      </c>
      <c r="F1526" t="str">
        <f>"137/160"</f>
        <v>137/160</v>
      </c>
      <c r="G1526" s="10">
        <v>0.4738</v>
      </c>
    </row>
    <row r="1527" spans="1:7" x14ac:dyDescent="0.2">
      <c r="A1527" s="1" t="s">
        <v>122</v>
      </c>
      <c r="B1527" t="s">
        <v>1150</v>
      </c>
      <c r="C1527">
        <v>-5.4016818057742704</v>
      </c>
      <c r="D1527">
        <v>0</v>
      </c>
      <c r="E1527">
        <v>0</v>
      </c>
      <c r="F1527" t="str">
        <f>"128/142"</f>
        <v>128/142</v>
      </c>
      <c r="G1527" s="10">
        <v>0.56630000000000003</v>
      </c>
    </row>
    <row r="1528" spans="1:7" x14ac:dyDescent="0.2">
      <c r="A1528" s="1" t="s">
        <v>122</v>
      </c>
      <c r="B1528" t="s">
        <v>1529</v>
      </c>
      <c r="C1528">
        <v>-5.3925211201419296</v>
      </c>
      <c r="D1528">
        <v>0</v>
      </c>
      <c r="E1528">
        <v>0</v>
      </c>
      <c r="F1528" t="str">
        <f>"173/204"</f>
        <v>173/204</v>
      </c>
      <c r="G1528" s="10">
        <v>0.54749999999999999</v>
      </c>
    </row>
    <row r="1529" spans="1:7" x14ac:dyDescent="0.2">
      <c r="A1529" s="1" t="s">
        <v>122</v>
      </c>
      <c r="B1529" t="s">
        <v>1757</v>
      </c>
      <c r="C1529">
        <v>-5.3800123988359703</v>
      </c>
      <c r="D1529">
        <v>0</v>
      </c>
      <c r="E1529">
        <v>0</v>
      </c>
      <c r="F1529" t="str">
        <f>"94/126"</f>
        <v>94/126</v>
      </c>
      <c r="G1529" s="10">
        <v>0.37019999999999997</v>
      </c>
    </row>
    <row r="1530" spans="1:7" x14ac:dyDescent="0.2">
      <c r="A1530" s="1" t="s">
        <v>122</v>
      </c>
      <c r="B1530" t="s">
        <v>588</v>
      </c>
      <c r="C1530">
        <v>-5.3740626024987597</v>
      </c>
      <c r="D1530">
        <v>0</v>
      </c>
      <c r="E1530">
        <v>0</v>
      </c>
      <c r="F1530" t="str">
        <f>"67/73"</f>
        <v>67/73</v>
      </c>
      <c r="G1530" s="10">
        <v>0.441</v>
      </c>
    </row>
    <row r="1531" spans="1:7" x14ac:dyDescent="0.2">
      <c r="A1531" s="1" t="s">
        <v>122</v>
      </c>
      <c r="B1531" t="s">
        <v>1758</v>
      </c>
      <c r="C1531">
        <v>-5.3579067245450096</v>
      </c>
      <c r="D1531">
        <v>0</v>
      </c>
      <c r="E1531">
        <v>0</v>
      </c>
      <c r="F1531" t="str">
        <f>"238/296"</f>
        <v>238/296</v>
      </c>
      <c r="G1531" s="10">
        <v>0.55600000000000005</v>
      </c>
    </row>
    <row r="1532" spans="1:7" x14ac:dyDescent="0.2">
      <c r="A1532" s="1" t="s">
        <v>122</v>
      </c>
      <c r="B1532" t="s">
        <v>230</v>
      </c>
      <c r="C1532">
        <v>-5.3443973520471504</v>
      </c>
      <c r="D1532">
        <v>0</v>
      </c>
      <c r="E1532">
        <v>0</v>
      </c>
      <c r="F1532" t="str">
        <f>"381/463"</f>
        <v>381/463</v>
      </c>
      <c r="G1532" s="10">
        <v>0.62150000000000005</v>
      </c>
    </row>
    <row r="1533" spans="1:7" x14ac:dyDescent="0.2">
      <c r="A1533" s="1" t="s">
        <v>122</v>
      </c>
      <c r="B1533" t="s">
        <v>956</v>
      </c>
      <c r="C1533">
        <v>-5.31540622579515</v>
      </c>
      <c r="D1533">
        <v>0</v>
      </c>
      <c r="E1533">
        <v>0</v>
      </c>
      <c r="F1533" t="str">
        <f>"85/96"</f>
        <v>85/96</v>
      </c>
      <c r="G1533" s="10">
        <v>0.47570000000000001</v>
      </c>
    </row>
    <row r="1534" spans="1:7" x14ac:dyDescent="0.2">
      <c r="A1534" s="1" t="s">
        <v>122</v>
      </c>
      <c r="B1534" t="s">
        <v>947</v>
      </c>
      <c r="C1534">
        <v>-5.31540622579515</v>
      </c>
      <c r="D1534">
        <v>0</v>
      </c>
      <c r="E1534">
        <v>0</v>
      </c>
      <c r="F1534" t="str">
        <f>"85/96"</f>
        <v>85/96</v>
      </c>
      <c r="G1534" s="10">
        <v>0.47570000000000001</v>
      </c>
    </row>
    <row r="1535" spans="1:7" x14ac:dyDescent="0.2">
      <c r="A1535" s="1" t="s">
        <v>122</v>
      </c>
      <c r="B1535" t="s">
        <v>552</v>
      </c>
      <c r="C1535">
        <v>-5.31301080594542</v>
      </c>
      <c r="D1535">
        <v>0</v>
      </c>
      <c r="E1535">
        <v>0</v>
      </c>
      <c r="F1535" t="str">
        <f>"80/86"</f>
        <v>80/86</v>
      </c>
      <c r="G1535" s="10">
        <v>0.45319999999999999</v>
      </c>
    </row>
    <row r="1536" spans="1:7" x14ac:dyDescent="0.2">
      <c r="A1536" s="1" t="s">
        <v>122</v>
      </c>
      <c r="B1536" t="s">
        <v>185</v>
      </c>
      <c r="C1536">
        <v>-5.2951052506137399</v>
      </c>
      <c r="D1536">
        <v>0</v>
      </c>
      <c r="E1536">
        <v>0</v>
      </c>
      <c r="F1536" t="str">
        <f>"70/75"</f>
        <v>70/75</v>
      </c>
      <c r="G1536" s="10">
        <v>0.45190000000000002</v>
      </c>
    </row>
    <row r="1537" spans="1:7" x14ac:dyDescent="0.2">
      <c r="A1537" s="1" t="s">
        <v>122</v>
      </c>
      <c r="B1537" t="s">
        <v>1033</v>
      </c>
      <c r="C1537">
        <v>-5.2481939080115696</v>
      </c>
      <c r="D1537">
        <v>0</v>
      </c>
      <c r="E1537">
        <v>0</v>
      </c>
      <c r="F1537" t="str">
        <f>"140/153"</f>
        <v>140/153</v>
      </c>
      <c r="G1537" s="10">
        <v>0.60229999999999995</v>
      </c>
    </row>
    <row r="1538" spans="1:7" x14ac:dyDescent="0.2">
      <c r="A1538" s="1" t="s">
        <v>122</v>
      </c>
      <c r="B1538" t="s">
        <v>1108</v>
      </c>
      <c r="C1538">
        <v>-5.2394922697505404</v>
      </c>
      <c r="D1538">
        <v>0</v>
      </c>
      <c r="E1538">
        <v>0</v>
      </c>
      <c r="F1538" t="str">
        <f>"60/64"</f>
        <v>60/64</v>
      </c>
      <c r="G1538" s="10">
        <v>0.39779999999999999</v>
      </c>
    </row>
    <row r="1539" spans="1:7" x14ac:dyDescent="0.2">
      <c r="A1539" s="1" t="s">
        <v>122</v>
      </c>
      <c r="B1539" t="s">
        <v>1759</v>
      </c>
      <c r="C1539">
        <v>-5.2327248247452998</v>
      </c>
      <c r="D1539">
        <v>0</v>
      </c>
      <c r="E1539">
        <v>0</v>
      </c>
      <c r="F1539" t="str">
        <f>"128/136"</f>
        <v>128/136</v>
      </c>
      <c r="G1539" s="10">
        <v>0.58130000000000004</v>
      </c>
    </row>
    <row r="1540" spans="1:7" x14ac:dyDescent="0.2">
      <c r="A1540" s="1" t="s">
        <v>122</v>
      </c>
      <c r="B1540" t="s">
        <v>1249</v>
      </c>
      <c r="C1540">
        <v>-5.2312042802666801</v>
      </c>
      <c r="D1540">
        <v>0</v>
      </c>
      <c r="E1540">
        <v>0</v>
      </c>
      <c r="F1540" t="str">
        <f>"307/362"</f>
        <v>307/362</v>
      </c>
      <c r="G1540" s="10">
        <v>0.60870000000000002</v>
      </c>
    </row>
    <row r="1541" spans="1:7" x14ac:dyDescent="0.2">
      <c r="A1541" s="1" t="s">
        <v>122</v>
      </c>
      <c r="B1541" t="s">
        <v>840</v>
      </c>
      <c r="C1541">
        <v>-5.2306936907065396</v>
      </c>
      <c r="D1541">
        <v>0</v>
      </c>
      <c r="E1541">
        <v>0</v>
      </c>
      <c r="F1541" t="str">
        <f>"90/102"</f>
        <v>90/102</v>
      </c>
      <c r="G1541" s="10">
        <v>0.47749999999999998</v>
      </c>
    </row>
    <row r="1542" spans="1:7" x14ac:dyDescent="0.2">
      <c r="A1542" s="1" t="s">
        <v>122</v>
      </c>
      <c r="B1542" t="s">
        <v>263</v>
      </c>
      <c r="C1542">
        <v>-5.2261215675040402</v>
      </c>
      <c r="D1542">
        <v>0</v>
      </c>
      <c r="E1542">
        <v>0</v>
      </c>
      <c r="F1542" t="str">
        <f>"278/315"</f>
        <v>278/315</v>
      </c>
      <c r="G1542" s="10">
        <v>0.67269999999999996</v>
      </c>
    </row>
    <row r="1543" spans="1:7" x14ac:dyDescent="0.2">
      <c r="A1543" s="1" t="s">
        <v>122</v>
      </c>
      <c r="B1543" t="s">
        <v>752</v>
      </c>
      <c r="C1543">
        <v>-5.2251602473848804</v>
      </c>
      <c r="D1543">
        <v>0</v>
      </c>
      <c r="E1543">
        <v>0</v>
      </c>
      <c r="F1543" t="str">
        <f>"39/39"</f>
        <v>39/39</v>
      </c>
      <c r="G1543" s="10">
        <v>0.35659999999999997</v>
      </c>
    </row>
    <row r="1544" spans="1:7" x14ac:dyDescent="0.2">
      <c r="A1544" s="1" t="s">
        <v>122</v>
      </c>
      <c r="B1544" t="s">
        <v>1106</v>
      </c>
      <c r="C1544">
        <v>-5.2120936123975401</v>
      </c>
      <c r="D1544">
        <v>0</v>
      </c>
      <c r="E1544">
        <v>0</v>
      </c>
      <c r="F1544" t="str">
        <f>"55/56"</f>
        <v>55/56</v>
      </c>
      <c r="G1544" s="10">
        <v>0.44800000000000001</v>
      </c>
    </row>
    <row r="1545" spans="1:7" x14ac:dyDescent="0.2">
      <c r="A1545" s="1" t="s">
        <v>122</v>
      </c>
      <c r="B1545" t="s">
        <v>1760</v>
      </c>
      <c r="C1545">
        <v>-5.1837059992313099</v>
      </c>
      <c r="D1545">
        <v>0</v>
      </c>
      <c r="E1545">
        <v>0</v>
      </c>
      <c r="F1545" t="str">
        <f>"90/95"</f>
        <v>90/95</v>
      </c>
      <c r="G1545" s="10">
        <v>0.52500000000000002</v>
      </c>
    </row>
    <row r="1546" spans="1:7" x14ac:dyDescent="0.2">
      <c r="A1546" s="1" t="s">
        <v>122</v>
      </c>
      <c r="B1546" t="s">
        <v>930</v>
      </c>
      <c r="C1546">
        <v>-5.1607554311399602</v>
      </c>
      <c r="D1546">
        <v>0</v>
      </c>
      <c r="E1546">
        <v>0</v>
      </c>
      <c r="F1546" t="str">
        <f>"73/80"</f>
        <v>73/80</v>
      </c>
      <c r="G1546" s="10">
        <v>0.45929999999999999</v>
      </c>
    </row>
    <row r="1547" spans="1:7" x14ac:dyDescent="0.2">
      <c r="A1547" s="1" t="s">
        <v>122</v>
      </c>
      <c r="B1547" t="s">
        <v>946</v>
      </c>
      <c r="C1547">
        <v>-5.1582280016206203</v>
      </c>
      <c r="D1547">
        <v>0</v>
      </c>
      <c r="E1547">
        <v>0</v>
      </c>
      <c r="F1547" t="str">
        <f>"107/124"</f>
        <v>107/124</v>
      </c>
      <c r="G1547" s="10">
        <v>0.51100000000000001</v>
      </c>
    </row>
    <row r="1548" spans="1:7" x14ac:dyDescent="0.2">
      <c r="A1548" s="1" t="s">
        <v>122</v>
      </c>
      <c r="B1548" t="s">
        <v>1012</v>
      </c>
      <c r="C1548">
        <v>-5.1501772619162498</v>
      </c>
      <c r="D1548">
        <v>0</v>
      </c>
      <c r="E1548">
        <v>0</v>
      </c>
      <c r="F1548" t="str">
        <f>"113/118"</f>
        <v>113/118</v>
      </c>
      <c r="G1548" s="10">
        <v>0.6018</v>
      </c>
    </row>
    <row r="1549" spans="1:7" x14ac:dyDescent="0.2">
      <c r="A1549" s="1" t="s">
        <v>122</v>
      </c>
      <c r="B1549" t="s">
        <v>742</v>
      </c>
      <c r="C1549">
        <v>-5.1446438218998898</v>
      </c>
      <c r="D1549">
        <v>0</v>
      </c>
      <c r="E1549">
        <v>0</v>
      </c>
      <c r="F1549" t="str">
        <f>"70/76"</f>
        <v>70/76</v>
      </c>
      <c r="G1549" s="10">
        <v>0.46129999999999999</v>
      </c>
    </row>
    <row r="1550" spans="1:7" x14ac:dyDescent="0.2">
      <c r="A1550" s="1" t="s">
        <v>122</v>
      </c>
      <c r="B1550" t="s">
        <v>970</v>
      </c>
      <c r="C1550">
        <v>-5.1164946900388397</v>
      </c>
      <c r="D1550">
        <v>0</v>
      </c>
      <c r="E1550">
        <v>0</v>
      </c>
      <c r="F1550" t="str">
        <f>"85/93"</f>
        <v>85/93</v>
      </c>
      <c r="G1550" s="10">
        <v>0.50209999999999999</v>
      </c>
    </row>
    <row r="1551" spans="1:7" x14ac:dyDescent="0.2">
      <c r="A1551" s="1" t="s">
        <v>122</v>
      </c>
      <c r="B1551" t="s">
        <v>962</v>
      </c>
      <c r="C1551">
        <v>-5.1044881013964201</v>
      </c>
      <c r="D1551">
        <v>0</v>
      </c>
      <c r="E1551">
        <v>0</v>
      </c>
      <c r="F1551" t="str">
        <f>"53/62"</f>
        <v>53/62</v>
      </c>
      <c r="G1551" s="10">
        <v>0.36870000000000003</v>
      </c>
    </row>
    <row r="1552" spans="1:7" x14ac:dyDescent="0.2">
      <c r="A1552" s="1" t="s">
        <v>122</v>
      </c>
      <c r="B1552" t="s">
        <v>961</v>
      </c>
      <c r="C1552">
        <v>-5.1044881013964201</v>
      </c>
      <c r="D1552">
        <v>0</v>
      </c>
      <c r="E1552">
        <v>0</v>
      </c>
      <c r="F1552" t="str">
        <f>"53/62"</f>
        <v>53/62</v>
      </c>
      <c r="G1552" s="10">
        <v>0.36870000000000003</v>
      </c>
    </row>
    <row r="1553" spans="1:7" x14ac:dyDescent="0.2">
      <c r="A1553" s="1" t="s">
        <v>122</v>
      </c>
      <c r="B1553" t="s">
        <v>963</v>
      </c>
      <c r="C1553">
        <v>-5.1044881013964201</v>
      </c>
      <c r="D1553">
        <v>0</v>
      </c>
      <c r="E1553">
        <v>0</v>
      </c>
      <c r="F1553" t="str">
        <f>"53/62"</f>
        <v>53/62</v>
      </c>
      <c r="G1553" s="10">
        <v>0.36870000000000003</v>
      </c>
    </row>
    <row r="1554" spans="1:7" x14ac:dyDescent="0.2">
      <c r="A1554" s="1" t="s">
        <v>122</v>
      </c>
      <c r="B1554" t="s">
        <v>1761</v>
      </c>
      <c r="C1554">
        <v>-5.1034379916462704</v>
      </c>
      <c r="D1554">
        <v>0</v>
      </c>
      <c r="E1554">
        <v>0</v>
      </c>
      <c r="F1554" t="str">
        <f>"135/150"</f>
        <v>135/150</v>
      </c>
      <c r="G1554" s="10">
        <v>0.56479999999999997</v>
      </c>
    </row>
    <row r="1555" spans="1:7" x14ac:dyDescent="0.2">
      <c r="A1555" s="1" t="s">
        <v>122</v>
      </c>
      <c r="B1555" t="s">
        <v>936</v>
      </c>
      <c r="C1555">
        <v>-5.0761999727921197</v>
      </c>
      <c r="D1555">
        <v>0</v>
      </c>
      <c r="E1555">
        <v>0</v>
      </c>
      <c r="F1555" t="str">
        <f>"78/80"</f>
        <v>78/80</v>
      </c>
      <c r="G1555" s="10">
        <v>0.54179999999999995</v>
      </c>
    </row>
    <row r="1556" spans="1:7" x14ac:dyDescent="0.2">
      <c r="A1556" s="1" t="s">
        <v>122</v>
      </c>
      <c r="B1556" t="s">
        <v>1762</v>
      </c>
      <c r="C1556">
        <v>-5.0670746432286897</v>
      </c>
      <c r="D1556">
        <v>0</v>
      </c>
      <c r="E1556">
        <v>0</v>
      </c>
      <c r="F1556" t="str">
        <f>"118/136"</f>
        <v>118/136</v>
      </c>
      <c r="G1556" s="10">
        <v>0.50829999999999997</v>
      </c>
    </row>
    <row r="1557" spans="1:7" x14ac:dyDescent="0.2">
      <c r="A1557" s="1" t="s">
        <v>122</v>
      </c>
      <c r="B1557" t="s">
        <v>1763</v>
      </c>
      <c r="C1557">
        <v>-5.0613294653051204</v>
      </c>
      <c r="D1557">
        <v>0</v>
      </c>
      <c r="E1557">
        <v>0</v>
      </c>
      <c r="F1557" t="str">
        <f>"91/100"</f>
        <v>91/100</v>
      </c>
      <c r="G1557" s="10">
        <v>0.52769999999999995</v>
      </c>
    </row>
    <row r="1558" spans="1:7" x14ac:dyDescent="0.2">
      <c r="A1558" s="1" t="s">
        <v>122</v>
      </c>
      <c r="B1558" t="s">
        <v>818</v>
      </c>
      <c r="C1558">
        <v>-5.0562133861395298</v>
      </c>
      <c r="D1558">
        <v>0</v>
      </c>
      <c r="E1558">
        <v>0</v>
      </c>
      <c r="F1558" t="str">
        <f>"62/74"</f>
        <v>62/74</v>
      </c>
      <c r="G1558" s="10">
        <v>0.38750000000000001</v>
      </c>
    </row>
    <row r="1559" spans="1:7" x14ac:dyDescent="0.2">
      <c r="A1559" s="1" t="s">
        <v>122</v>
      </c>
      <c r="B1559" t="s">
        <v>1764</v>
      </c>
      <c r="C1559">
        <v>-5.02636726724303</v>
      </c>
      <c r="D1559">
        <v>0</v>
      </c>
      <c r="E1559">
        <v>0</v>
      </c>
      <c r="F1559" t="str">
        <f>"95/109"</f>
        <v>95/109</v>
      </c>
      <c r="G1559" s="10">
        <v>0.46310000000000001</v>
      </c>
    </row>
    <row r="1560" spans="1:7" x14ac:dyDescent="0.2">
      <c r="A1560" s="1" t="s">
        <v>122</v>
      </c>
      <c r="B1560" t="s">
        <v>924</v>
      </c>
      <c r="C1560">
        <v>-5.0104996085222702</v>
      </c>
      <c r="D1560">
        <v>0</v>
      </c>
      <c r="E1560">
        <v>0</v>
      </c>
      <c r="F1560" t="str">
        <f>"74/77"</f>
        <v>74/77</v>
      </c>
      <c r="G1560" s="10">
        <v>0.52500000000000002</v>
      </c>
    </row>
    <row r="1561" spans="1:7" x14ac:dyDescent="0.2">
      <c r="A1561" s="1" t="s">
        <v>122</v>
      </c>
      <c r="B1561" t="s">
        <v>650</v>
      </c>
      <c r="C1561">
        <v>-5.0083668877625298</v>
      </c>
      <c r="D1561">
        <v>0</v>
      </c>
      <c r="E1561">
        <v>0</v>
      </c>
      <c r="F1561" t="str">
        <f>"68/73"</f>
        <v>68/73</v>
      </c>
      <c r="G1561" s="10">
        <v>0.47549999999999998</v>
      </c>
    </row>
    <row r="1562" spans="1:7" x14ac:dyDescent="0.2">
      <c r="A1562" s="1" t="s">
        <v>122</v>
      </c>
      <c r="B1562" t="s">
        <v>1132</v>
      </c>
      <c r="C1562">
        <v>-4.98538743060963</v>
      </c>
      <c r="D1562">
        <v>0</v>
      </c>
      <c r="E1562">
        <v>0</v>
      </c>
      <c r="F1562" t="str">
        <f>"83/86"</f>
        <v>83/86</v>
      </c>
      <c r="G1562" s="10">
        <v>0.54390000000000005</v>
      </c>
    </row>
    <row r="1563" spans="1:7" x14ac:dyDescent="0.2">
      <c r="A1563" s="1" t="s">
        <v>122</v>
      </c>
      <c r="B1563" t="s">
        <v>184</v>
      </c>
      <c r="C1563">
        <v>-4.9683127972698404</v>
      </c>
      <c r="D1563">
        <v>0</v>
      </c>
      <c r="E1563">
        <v>0</v>
      </c>
      <c r="F1563" t="str">
        <f>"60/70"</f>
        <v>60/70</v>
      </c>
      <c r="G1563" s="10">
        <v>0.36809999999999998</v>
      </c>
    </row>
    <row r="1564" spans="1:7" x14ac:dyDescent="0.2">
      <c r="A1564" s="1" t="s">
        <v>122</v>
      </c>
      <c r="B1564" t="s">
        <v>1765</v>
      </c>
      <c r="C1564">
        <v>-4.9619180433419903</v>
      </c>
      <c r="D1564">
        <v>0</v>
      </c>
      <c r="E1564">
        <v>0</v>
      </c>
      <c r="F1564" t="str">
        <f>"112/137"</f>
        <v>112/137</v>
      </c>
      <c r="G1564" s="10">
        <v>0.49819999999999998</v>
      </c>
    </row>
    <row r="1565" spans="1:7" x14ac:dyDescent="0.2">
      <c r="A1565" s="1" t="s">
        <v>122</v>
      </c>
      <c r="B1565" t="s">
        <v>1766</v>
      </c>
      <c r="C1565">
        <v>-4.9468902354448199</v>
      </c>
      <c r="D1565">
        <v>0</v>
      </c>
      <c r="E1565">
        <v>0</v>
      </c>
      <c r="F1565" t="str">
        <f>"116/151"</f>
        <v>116/151</v>
      </c>
      <c r="G1565" s="10">
        <v>0.44919999999999999</v>
      </c>
    </row>
    <row r="1566" spans="1:7" x14ac:dyDescent="0.2">
      <c r="A1566" s="1" t="s">
        <v>122</v>
      </c>
      <c r="B1566" t="s">
        <v>1767</v>
      </c>
      <c r="C1566">
        <v>-4.9414607523492897</v>
      </c>
      <c r="D1566">
        <v>0</v>
      </c>
      <c r="E1566">
        <v>0</v>
      </c>
      <c r="F1566" t="str">
        <f>"99/106"</f>
        <v>99/106</v>
      </c>
      <c r="G1566" s="10">
        <v>0.51090000000000002</v>
      </c>
    </row>
    <row r="1567" spans="1:7" x14ac:dyDescent="0.2">
      <c r="A1567" s="1" t="s">
        <v>122</v>
      </c>
      <c r="B1567" t="s">
        <v>584</v>
      </c>
      <c r="C1567">
        <v>-4.9413191853547396</v>
      </c>
      <c r="D1567">
        <v>0</v>
      </c>
      <c r="E1567">
        <v>0</v>
      </c>
      <c r="F1567" t="str">
        <f>"104/106"</f>
        <v>104/106</v>
      </c>
      <c r="G1567" s="10">
        <v>0.58179999999999998</v>
      </c>
    </row>
    <row r="1568" spans="1:7" x14ac:dyDescent="0.2">
      <c r="A1568" s="1" t="s">
        <v>122</v>
      </c>
      <c r="B1568" t="s">
        <v>282</v>
      </c>
      <c r="C1568">
        <v>-4.94064880334889</v>
      </c>
      <c r="D1568">
        <v>0</v>
      </c>
      <c r="E1568">
        <v>0</v>
      </c>
      <c r="F1568" t="str">
        <f>"102/115"</f>
        <v>102/115</v>
      </c>
      <c r="G1568" s="10">
        <v>0.50549999999999995</v>
      </c>
    </row>
    <row r="1569" spans="1:7" x14ac:dyDescent="0.2">
      <c r="A1569" s="1" t="s">
        <v>122</v>
      </c>
      <c r="B1569" t="s">
        <v>969</v>
      </c>
      <c r="C1569">
        <v>-4.92743590308935</v>
      </c>
      <c r="D1569">
        <v>0</v>
      </c>
      <c r="E1569">
        <v>0</v>
      </c>
      <c r="F1569" t="str">
        <f>"87/100"</f>
        <v>87/100</v>
      </c>
      <c r="G1569" s="10">
        <v>0.4748</v>
      </c>
    </row>
    <row r="1570" spans="1:7" x14ac:dyDescent="0.2">
      <c r="A1570" s="1" t="s">
        <v>122</v>
      </c>
      <c r="B1570" t="s">
        <v>1768</v>
      </c>
      <c r="C1570">
        <v>-4.9241741094503997</v>
      </c>
      <c r="D1570">
        <v>0</v>
      </c>
      <c r="E1570">
        <v>0</v>
      </c>
      <c r="F1570" t="str">
        <f>"88/100"</f>
        <v>88/100</v>
      </c>
      <c r="G1570" s="10">
        <v>0.5101</v>
      </c>
    </row>
    <row r="1571" spans="1:7" x14ac:dyDescent="0.2">
      <c r="A1571" s="1" t="s">
        <v>122</v>
      </c>
      <c r="B1571" t="s">
        <v>300</v>
      </c>
      <c r="C1571">
        <v>-4.9237363309174</v>
      </c>
      <c r="D1571">
        <v>0</v>
      </c>
      <c r="E1571">
        <v>0</v>
      </c>
      <c r="F1571" t="str">
        <f>"97/102"</f>
        <v>97/102</v>
      </c>
      <c r="G1571" s="10">
        <v>0.55459999999999998</v>
      </c>
    </row>
    <row r="1572" spans="1:7" x14ac:dyDescent="0.2">
      <c r="A1572" s="1" t="s">
        <v>122</v>
      </c>
      <c r="B1572" t="s">
        <v>696</v>
      </c>
      <c r="C1572">
        <v>-4.9231761978068</v>
      </c>
      <c r="D1572">
        <v>0</v>
      </c>
      <c r="E1572">
        <v>0</v>
      </c>
      <c r="F1572" t="str">
        <f>"154/180"</f>
        <v>154/180</v>
      </c>
      <c r="G1572" s="10">
        <v>0.56699999999999995</v>
      </c>
    </row>
    <row r="1573" spans="1:7" x14ac:dyDescent="0.2">
      <c r="A1573" s="1" t="s">
        <v>122</v>
      </c>
      <c r="B1573" t="s">
        <v>526</v>
      </c>
      <c r="C1573">
        <v>-4.9098545869282599</v>
      </c>
      <c r="D1573">
        <v>0</v>
      </c>
      <c r="E1573">
        <v>0</v>
      </c>
      <c r="F1573" t="str">
        <f>"187/211"</f>
        <v>187/211</v>
      </c>
      <c r="G1573" s="10">
        <v>0.61570000000000003</v>
      </c>
    </row>
    <row r="1574" spans="1:7" x14ac:dyDescent="0.2">
      <c r="A1574" s="1" t="s">
        <v>122</v>
      </c>
      <c r="B1574" t="s">
        <v>626</v>
      </c>
      <c r="C1574">
        <v>-4.90808289672984</v>
      </c>
      <c r="D1574">
        <v>0</v>
      </c>
      <c r="E1574">
        <v>0</v>
      </c>
      <c r="F1574" t="str">
        <f>"93/112"</f>
        <v>93/112</v>
      </c>
      <c r="G1574" s="10">
        <v>0.47470000000000001</v>
      </c>
    </row>
    <row r="1575" spans="1:7" x14ac:dyDescent="0.2">
      <c r="A1575" s="1" t="s">
        <v>122</v>
      </c>
      <c r="B1575" t="s">
        <v>627</v>
      </c>
      <c r="C1575">
        <v>-4.90808289672984</v>
      </c>
      <c r="D1575">
        <v>0</v>
      </c>
      <c r="E1575">
        <v>0</v>
      </c>
      <c r="F1575" t="str">
        <f>"93/112"</f>
        <v>93/112</v>
      </c>
      <c r="G1575" s="10">
        <v>0.47470000000000001</v>
      </c>
    </row>
    <row r="1576" spans="1:7" x14ac:dyDescent="0.2">
      <c r="A1576" s="1" t="s">
        <v>122</v>
      </c>
      <c r="B1576" t="s">
        <v>1769</v>
      </c>
      <c r="C1576">
        <v>-4.8981220759590798</v>
      </c>
      <c r="D1576">
        <v>0</v>
      </c>
      <c r="E1576">
        <v>0</v>
      </c>
      <c r="F1576" t="str">
        <f>"81/86"</f>
        <v>81/86</v>
      </c>
      <c r="G1576" s="10">
        <v>0.54349999999999998</v>
      </c>
    </row>
    <row r="1577" spans="1:7" x14ac:dyDescent="0.2">
      <c r="A1577" s="1" t="s">
        <v>122</v>
      </c>
      <c r="B1577" t="s">
        <v>815</v>
      </c>
      <c r="C1577">
        <v>-4.8921693121413599</v>
      </c>
      <c r="D1577">
        <v>0</v>
      </c>
      <c r="E1577">
        <v>0</v>
      </c>
      <c r="F1577" t="str">
        <f>"60/62"</f>
        <v>60/62</v>
      </c>
      <c r="G1577" s="10">
        <v>0.47539999999999999</v>
      </c>
    </row>
    <row r="1578" spans="1:7" x14ac:dyDescent="0.2">
      <c r="A1578" s="1" t="s">
        <v>122</v>
      </c>
      <c r="B1578" t="s">
        <v>1770</v>
      </c>
      <c r="C1578">
        <v>-4.8545866292761897</v>
      </c>
      <c r="D1578">
        <v>0</v>
      </c>
      <c r="E1578">
        <v>0</v>
      </c>
      <c r="F1578" t="str">
        <f>"76/83"</f>
        <v>76/83</v>
      </c>
      <c r="G1578" s="10">
        <v>0.45610000000000001</v>
      </c>
    </row>
    <row r="1579" spans="1:7" x14ac:dyDescent="0.2">
      <c r="A1579" s="1" t="s">
        <v>122</v>
      </c>
      <c r="B1579" t="s">
        <v>850</v>
      </c>
      <c r="C1579">
        <v>-4.8495554684364501</v>
      </c>
      <c r="D1579">
        <v>0</v>
      </c>
      <c r="E1579">
        <v>0</v>
      </c>
      <c r="F1579" t="str">
        <f>"51/55"</f>
        <v>51/55</v>
      </c>
      <c r="G1579" s="10">
        <v>0.39779999999999999</v>
      </c>
    </row>
    <row r="1580" spans="1:7" x14ac:dyDescent="0.2">
      <c r="A1580" s="1" t="s">
        <v>122</v>
      </c>
      <c r="B1580" t="s">
        <v>980</v>
      </c>
      <c r="C1580">
        <v>-4.8487157755455401</v>
      </c>
      <c r="D1580">
        <v>0</v>
      </c>
      <c r="E1580">
        <v>0</v>
      </c>
      <c r="F1580" t="str">
        <f>"152/173"</f>
        <v>152/173</v>
      </c>
      <c r="G1580" s="10">
        <v>0.6018</v>
      </c>
    </row>
    <row r="1581" spans="1:7" x14ac:dyDescent="0.2">
      <c r="A1581" s="1" t="s">
        <v>122</v>
      </c>
      <c r="B1581" t="s">
        <v>1063</v>
      </c>
      <c r="C1581">
        <v>-4.8403883978979696</v>
      </c>
      <c r="D1581">
        <v>0</v>
      </c>
      <c r="E1581">
        <v>0</v>
      </c>
      <c r="F1581" t="str">
        <f>"155/188"</f>
        <v>155/188</v>
      </c>
      <c r="G1581" s="10">
        <v>0.55249999999999999</v>
      </c>
    </row>
    <row r="1582" spans="1:7" x14ac:dyDescent="0.2">
      <c r="A1582" s="1" t="s">
        <v>122</v>
      </c>
      <c r="B1582" t="s">
        <v>1771</v>
      </c>
      <c r="C1582">
        <v>-4.8374261669180099</v>
      </c>
      <c r="D1582">
        <v>0</v>
      </c>
      <c r="E1582">
        <v>0</v>
      </c>
      <c r="F1582" t="str">
        <f>"60/61"</f>
        <v>60/61</v>
      </c>
      <c r="G1582" s="10">
        <v>0.47</v>
      </c>
    </row>
    <row r="1583" spans="1:7" x14ac:dyDescent="0.2">
      <c r="A1583" s="1" t="s">
        <v>122</v>
      </c>
      <c r="B1583" t="s">
        <v>1224</v>
      </c>
      <c r="C1583">
        <v>-4.8366729852688302</v>
      </c>
      <c r="D1583">
        <v>0</v>
      </c>
      <c r="E1583">
        <v>0</v>
      </c>
      <c r="F1583" t="str">
        <f>"73/81"</f>
        <v>73/81</v>
      </c>
      <c r="G1583" s="10">
        <v>0.46250000000000002</v>
      </c>
    </row>
    <row r="1584" spans="1:7" x14ac:dyDescent="0.2">
      <c r="A1584" s="1" t="s">
        <v>122</v>
      </c>
      <c r="B1584" t="s">
        <v>616</v>
      </c>
      <c r="C1584">
        <v>-4.8356227782090198</v>
      </c>
      <c r="D1584">
        <v>0</v>
      </c>
      <c r="E1584">
        <v>0</v>
      </c>
      <c r="F1584" t="str">
        <f>"217/239"</f>
        <v>217/239</v>
      </c>
      <c r="G1584" s="10">
        <v>0.66249999999999998</v>
      </c>
    </row>
    <row r="1585" spans="1:7" x14ac:dyDescent="0.2">
      <c r="A1585" s="1" t="s">
        <v>122</v>
      </c>
      <c r="B1585" t="s">
        <v>1772</v>
      </c>
      <c r="C1585">
        <v>-4.8303995937330102</v>
      </c>
      <c r="D1585">
        <v>0</v>
      </c>
      <c r="E1585">
        <v>0</v>
      </c>
      <c r="F1585" t="str">
        <f>"95/103"</f>
        <v>95/103</v>
      </c>
      <c r="G1585" s="10">
        <v>0.55569999999999997</v>
      </c>
    </row>
    <row r="1586" spans="1:7" x14ac:dyDescent="0.2">
      <c r="A1586" s="1" t="s">
        <v>122</v>
      </c>
      <c r="B1586" t="s">
        <v>707</v>
      </c>
      <c r="C1586">
        <v>-4.8242414612371203</v>
      </c>
      <c r="D1586">
        <v>0</v>
      </c>
      <c r="E1586">
        <v>0</v>
      </c>
      <c r="F1586" t="str">
        <f>"54/63"</f>
        <v>54/63</v>
      </c>
      <c r="G1586" s="10">
        <v>0.37019999999999997</v>
      </c>
    </row>
    <row r="1587" spans="1:7" x14ac:dyDescent="0.2">
      <c r="A1587" s="1" t="s">
        <v>122</v>
      </c>
      <c r="B1587" t="s">
        <v>795</v>
      </c>
      <c r="C1587">
        <v>-4.8219483183596399</v>
      </c>
      <c r="D1587">
        <v>0</v>
      </c>
      <c r="E1587">
        <v>0</v>
      </c>
      <c r="F1587" t="str">
        <f>"70/75"</f>
        <v>70/75</v>
      </c>
      <c r="G1587" s="10">
        <v>0.5071</v>
      </c>
    </row>
    <row r="1588" spans="1:7" x14ac:dyDescent="0.2">
      <c r="A1588" s="1" t="s">
        <v>122</v>
      </c>
      <c r="B1588" t="s">
        <v>1773</v>
      </c>
      <c r="C1588">
        <v>-4.81160120333388</v>
      </c>
      <c r="D1588">
        <v>0</v>
      </c>
      <c r="E1588">
        <v>0</v>
      </c>
      <c r="F1588" t="str">
        <f>"131/158"</f>
        <v>131/158</v>
      </c>
      <c r="G1588" s="10">
        <v>0.51619999999999999</v>
      </c>
    </row>
    <row r="1589" spans="1:7" x14ac:dyDescent="0.2">
      <c r="A1589" s="1" t="s">
        <v>122</v>
      </c>
      <c r="B1589" t="s">
        <v>347</v>
      </c>
      <c r="C1589">
        <v>-4.7812269608289304</v>
      </c>
      <c r="D1589">
        <v>0</v>
      </c>
      <c r="E1589">
        <v>0</v>
      </c>
      <c r="F1589" t="str">
        <f>"264/292"</f>
        <v>264/292</v>
      </c>
      <c r="G1589" s="10">
        <v>0.68079999999999996</v>
      </c>
    </row>
    <row r="1590" spans="1:7" x14ac:dyDescent="0.2">
      <c r="A1590" s="1" t="s">
        <v>122</v>
      </c>
      <c r="B1590" t="s">
        <v>764</v>
      </c>
      <c r="C1590">
        <v>-4.7743379086386604</v>
      </c>
      <c r="D1590">
        <v>0</v>
      </c>
      <c r="E1590">
        <v>0</v>
      </c>
      <c r="F1590" t="str">
        <f>"72/87"</f>
        <v>72/87</v>
      </c>
      <c r="G1590" s="10">
        <v>0.441</v>
      </c>
    </row>
    <row r="1591" spans="1:7" x14ac:dyDescent="0.2">
      <c r="A1591" s="1" t="s">
        <v>122</v>
      </c>
      <c r="B1591" t="s">
        <v>1038</v>
      </c>
      <c r="C1591">
        <v>-4.7658527479128399</v>
      </c>
      <c r="D1591">
        <v>0</v>
      </c>
      <c r="E1591">
        <v>0</v>
      </c>
      <c r="F1591" t="str">
        <f>"66/67"</f>
        <v>66/67</v>
      </c>
      <c r="G1591" s="10">
        <v>0.51349999999999996</v>
      </c>
    </row>
    <row r="1592" spans="1:7" x14ac:dyDescent="0.2">
      <c r="A1592" s="1" t="s">
        <v>122</v>
      </c>
      <c r="B1592" t="s">
        <v>1016</v>
      </c>
      <c r="C1592">
        <v>-4.7584934986551897</v>
      </c>
      <c r="D1592">
        <v>0</v>
      </c>
      <c r="E1592">
        <v>0</v>
      </c>
      <c r="F1592" t="str">
        <f>"93/105"</f>
        <v>93/105</v>
      </c>
      <c r="G1592" s="10">
        <v>0.50560000000000005</v>
      </c>
    </row>
    <row r="1593" spans="1:7" x14ac:dyDescent="0.2">
      <c r="A1593" s="1" t="s">
        <v>122</v>
      </c>
      <c r="B1593" t="s">
        <v>1010</v>
      </c>
      <c r="C1593">
        <v>-4.7446768814838096</v>
      </c>
      <c r="D1593">
        <v>0</v>
      </c>
      <c r="E1593">
        <v>0</v>
      </c>
      <c r="F1593" t="str">
        <f>"50/53"</f>
        <v>50/53</v>
      </c>
      <c r="G1593" s="10">
        <v>0.43809999999999999</v>
      </c>
    </row>
    <row r="1594" spans="1:7" x14ac:dyDescent="0.2">
      <c r="A1594" s="1" t="s">
        <v>122</v>
      </c>
      <c r="B1594" t="s">
        <v>1774</v>
      </c>
      <c r="C1594">
        <v>-4.7439931942902698</v>
      </c>
      <c r="D1594">
        <v>0</v>
      </c>
      <c r="E1594">
        <v>0</v>
      </c>
      <c r="F1594" t="str">
        <f>"66/74"</f>
        <v>66/74</v>
      </c>
      <c r="G1594" s="10">
        <v>0.46250000000000002</v>
      </c>
    </row>
    <row r="1595" spans="1:7" x14ac:dyDescent="0.2">
      <c r="A1595" s="1" t="s">
        <v>122</v>
      </c>
      <c r="B1595" t="s">
        <v>791</v>
      </c>
      <c r="C1595">
        <v>-4.73745110857356</v>
      </c>
      <c r="D1595">
        <v>0</v>
      </c>
      <c r="E1595">
        <v>0</v>
      </c>
      <c r="F1595" t="str">
        <f>"61/72"</f>
        <v>61/72</v>
      </c>
      <c r="G1595" s="10">
        <v>0.37830000000000003</v>
      </c>
    </row>
    <row r="1596" spans="1:7" x14ac:dyDescent="0.2">
      <c r="A1596" s="1" t="s">
        <v>122</v>
      </c>
      <c r="B1596" t="s">
        <v>704</v>
      </c>
      <c r="C1596">
        <v>-4.7223688359444997</v>
      </c>
      <c r="D1596">
        <v>0</v>
      </c>
      <c r="E1596">
        <v>0</v>
      </c>
      <c r="F1596" t="str">
        <f>"47/53"</f>
        <v>47/53</v>
      </c>
      <c r="G1596" s="10">
        <v>0.36809999999999998</v>
      </c>
    </row>
    <row r="1597" spans="1:7" x14ac:dyDescent="0.2">
      <c r="A1597" s="1" t="s">
        <v>122</v>
      </c>
      <c r="B1597" t="s">
        <v>758</v>
      </c>
      <c r="C1597">
        <v>-4.7186544130442796</v>
      </c>
      <c r="D1597">
        <v>0</v>
      </c>
      <c r="E1597">
        <v>0</v>
      </c>
      <c r="F1597" t="str">
        <f>"394/461"</f>
        <v>394/461</v>
      </c>
      <c r="G1597" s="10">
        <v>0.67659999999999998</v>
      </c>
    </row>
    <row r="1598" spans="1:7" x14ac:dyDescent="0.2">
      <c r="A1598" s="1" t="s">
        <v>122</v>
      </c>
      <c r="B1598" t="s">
        <v>1048</v>
      </c>
      <c r="C1598">
        <v>-4.71575471721893</v>
      </c>
      <c r="D1598">
        <v>0</v>
      </c>
      <c r="E1598">
        <v>0</v>
      </c>
      <c r="F1598" t="str">
        <f>"82/96"</f>
        <v>82/96</v>
      </c>
      <c r="G1598" s="10">
        <v>0.46389999999999998</v>
      </c>
    </row>
    <row r="1599" spans="1:7" x14ac:dyDescent="0.2">
      <c r="A1599" s="1" t="s">
        <v>122</v>
      </c>
      <c r="B1599" t="s">
        <v>1775</v>
      </c>
      <c r="C1599">
        <v>-4.7154363787259603</v>
      </c>
      <c r="D1599">
        <v>0</v>
      </c>
      <c r="E1599">
        <v>0</v>
      </c>
      <c r="F1599" t="str">
        <f>"78/91"</f>
        <v>78/91</v>
      </c>
      <c r="G1599" s="10">
        <v>0.44330000000000003</v>
      </c>
    </row>
    <row r="1600" spans="1:7" x14ac:dyDescent="0.2">
      <c r="A1600" s="1" t="s">
        <v>122</v>
      </c>
      <c r="B1600" t="s">
        <v>1193</v>
      </c>
      <c r="C1600">
        <v>-4.7086790660159599</v>
      </c>
      <c r="D1600">
        <v>0</v>
      </c>
      <c r="E1600">
        <v>0</v>
      </c>
      <c r="F1600" t="str">
        <f>"211/257"</f>
        <v>211/257</v>
      </c>
      <c r="G1600" s="10">
        <v>0.57620000000000005</v>
      </c>
    </row>
    <row r="1601" spans="1:7" x14ac:dyDescent="0.2">
      <c r="A1601" s="1" t="s">
        <v>122</v>
      </c>
      <c r="B1601" t="s">
        <v>1244</v>
      </c>
      <c r="C1601">
        <v>-4.6984823107521096</v>
      </c>
      <c r="D1601">
        <v>0</v>
      </c>
      <c r="E1601">
        <v>0</v>
      </c>
      <c r="F1601" t="str">
        <f>"156/189"</f>
        <v>156/189</v>
      </c>
      <c r="G1601" s="10">
        <v>0.55789999999999995</v>
      </c>
    </row>
    <row r="1602" spans="1:7" x14ac:dyDescent="0.2">
      <c r="A1602" s="1" t="s">
        <v>122</v>
      </c>
      <c r="B1602" t="s">
        <v>916</v>
      </c>
      <c r="C1602">
        <v>-4.69032577029403</v>
      </c>
      <c r="D1602">
        <v>0</v>
      </c>
      <c r="E1602">
        <v>0</v>
      </c>
      <c r="F1602" t="str">
        <f>"69/74"</f>
        <v>69/74</v>
      </c>
      <c r="G1602" s="10">
        <v>0.49969999999999998</v>
      </c>
    </row>
    <row r="1603" spans="1:7" x14ac:dyDescent="0.2">
      <c r="A1603" s="1" t="s">
        <v>122</v>
      </c>
      <c r="B1603" t="s">
        <v>685</v>
      </c>
      <c r="C1603">
        <v>-4.6880685472204204</v>
      </c>
      <c r="D1603">
        <v>0</v>
      </c>
      <c r="E1603">
        <v>0</v>
      </c>
      <c r="F1603" t="str">
        <f>"46/50"</f>
        <v>46/50</v>
      </c>
      <c r="G1603" s="10">
        <v>0.38750000000000001</v>
      </c>
    </row>
    <row r="1604" spans="1:7" x14ac:dyDescent="0.2">
      <c r="A1604" s="1" t="s">
        <v>122</v>
      </c>
      <c r="B1604" t="s">
        <v>638</v>
      </c>
      <c r="C1604">
        <v>-4.6789954604575303</v>
      </c>
      <c r="D1604">
        <v>0</v>
      </c>
      <c r="E1604">
        <v>0</v>
      </c>
      <c r="F1604" t="str">
        <f>"104/115"</f>
        <v>104/115</v>
      </c>
      <c r="G1604" s="10">
        <v>0.56979999999999997</v>
      </c>
    </row>
    <row r="1605" spans="1:7" x14ac:dyDescent="0.2">
      <c r="A1605" s="1" t="s">
        <v>122</v>
      </c>
      <c r="B1605" t="s">
        <v>1080</v>
      </c>
      <c r="C1605">
        <v>-4.6787694800600397</v>
      </c>
      <c r="D1605">
        <v>0</v>
      </c>
      <c r="E1605">
        <v>0</v>
      </c>
      <c r="F1605" t="str">
        <f>"66/74"</f>
        <v>66/74</v>
      </c>
      <c r="G1605" s="10">
        <v>0.46250000000000002</v>
      </c>
    </row>
    <row r="1606" spans="1:7" x14ac:dyDescent="0.2">
      <c r="A1606" s="1" t="s">
        <v>122</v>
      </c>
      <c r="B1606" t="s">
        <v>1776</v>
      </c>
      <c r="C1606">
        <v>-4.6741817098012497</v>
      </c>
      <c r="D1606">
        <v>0</v>
      </c>
      <c r="E1606">
        <v>0</v>
      </c>
      <c r="F1606" t="str">
        <f>"59/70"</f>
        <v>59/70</v>
      </c>
      <c r="G1606" s="10">
        <v>0.38750000000000001</v>
      </c>
    </row>
    <row r="1607" spans="1:7" x14ac:dyDescent="0.2">
      <c r="A1607" s="1" t="s">
        <v>122</v>
      </c>
      <c r="B1607" t="s">
        <v>1777</v>
      </c>
      <c r="C1607">
        <v>-4.6741695089322004</v>
      </c>
      <c r="D1607">
        <v>0</v>
      </c>
      <c r="E1607">
        <v>0</v>
      </c>
      <c r="F1607" t="str">
        <f>"100/128"</f>
        <v>100/128</v>
      </c>
      <c r="G1607" s="10">
        <v>0.44919999999999999</v>
      </c>
    </row>
    <row r="1608" spans="1:7" x14ac:dyDescent="0.2">
      <c r="A1608" s="1" t="s">
        <v>122</v>
      </c>
      <c r="B1608" t="s">
        <v>1778</v>
      </c>
      <c r="C1608">
        <v>-4.6684336371198203</v>
      </c>
      <c r="D1608">
        <v>0</v>
      </c>
      <c r="E1608">
        <v>0</v>
      </c>
      <c r="F1608" t="str">
        <f>"102/113"</f>
        <v>102/113</v>
      </c>
      <c r="G1608" s="10">
        <v>0.54349999999999998</v>
      </c>
    </row>
    <row r="1609" spans="1:7" x14ac:dyDescent="0.2">
      <c r="A1609" s="1" t="s">
        <v>122</v>
      </c>
      <c r="B1609" t="s">
        <v>923</v>
      </c>
      <c r="C1609">
        <v>-4.6656491803503597</v>
      </c>
      <c r="D1609">
        <v>0</v>
      </c>
      <c r="E1609">
        <v>0</v>
      </c>
      <c r="F1609" t="str">
        <f>"108/143"</f>
        <v>108/143</v>
      </c>
      <c r="G1609" s="10">
        <v>0.44679999999999997</v>
      </c>
    </row>
    <row r="1610" spans="1:7" x14ac:dyDescent="0.2">
      <c r="A1610" s="1" t="s">
        <v>122</v>
      </c>
      <c r="B1610" t="s">
        <v>1779</v>
      </c>
      <c r="C1610">
        <v>-4.6637830647443597</v>
      </c>
      <c r="D1610">
        <v>0</v>
      </c>
      <c r="E1610">
        <v>0</v>
      </c>
      <c r="F1610" t="str">
        <f>"325/373"</f>
        <v>325/373</v>
      </c>
      <c r="G1610" s="10">
        <v>0.67100000000000004</v>
      </c>
    </row>
    <row r="1611" spans="1:7" x14ac:dyDescent="0.2">
      <c r="A1611" s="1" t="s">
        <v>122</v>
      </c>
      <c r="B1611" t="s">
        <v>899</v>
      </c>
      <c r="C1611">
        <v>-4.6525467069877804</v>
      </c>
      <c r="D1611">
        <v>0</v>
      </c>
      <c r="E1611">
        <v>0</v>
      </c>
      <c r="F1611" t="str">
        <f>"61/64"</f>
        <v>61/64</v>
      </c>
      <c r="G1611" s="10">
        <v>0.47539999999999999</v>
      </c>
    </row>
    <row r="1612" spans="1:7" x14ac:dyDescent="0.2">
      <c r="A1612" s="1" t="s">
        <v>122</v>
      </c>
      <c r="B1612" t="s">
        <v>1780</v>
      </c>
      <c r="C1612">
        <v>-4.6506761008003998</v>
      </c>
      <c r="D1612">
        <v>0</v>
      </c>
      <c r="E1612">
        <v>0</v>
      </c>
      <c r="F1612" t="str">
        <f>"129/147"</f>
        <v>129/147</v>
      </c>
      <c r="G1612" s="10">
        <v>0.5665</v>
      </c>
    </row>
    <row r="1613" spans="1:7" x14ac:dyDescent="0.2">
      <c r="A1613" s="1" t="s">
        <v>122</v>
      </c>
      <c r="B1613" t="s">
        <v>802</v>
      </c>
      <c r="C1613">
        <v>-4.6335169222114896</v>
      </c>
      <c r="D1613">
        <v>0</v>
      </c>
      <c r="E1613">
        <v>0</v>
      </c>
      <c r="F1613" t="str">
        <f>"52/54"</f>
        <v>52/54</v>
      </c>
      <c r="G1613" s="10">
        <v>0.45150000000000001</v>
      </c>
    </row>
    <row r="1614" spans="1:7" x14ac:dyDescent="0.2">
      <c r="A1614" s="1" t="s">
        <v>122</v>
      </c>
      <c r="B1614" t="s">
        <v>706</v>
      </c>
      <c r="C1614">
        <v>-4.6282027471813301</v>
      </c>
      <c r="D1614">
        <v>0</v>
      </c>
      <c r="E1614">
        <v>0</v>
      </c>
      <c r="F1614" t="str">
        <f>"59/63"</f>
        <v>59/63</v>
      </c>
      <c r="G1614" s="10">
        <v>0.45929999999999999</v>
      </c>
    </row>
    <row r="1615" spans="1:7" x14ac:dyDescent="0.2">
      <c r="A1615" s="1" t="s">
        <v>122</v>
      </c>
      <c r="B1615" t="s">
        <v>1781</v>
      </c>
      <c r="C1615">
        <v>-4.62649476290136</v>
      </c>
      <c r="D1615">
        <v>0</v>
      </c>
      <c r="E1615">
        <v>0</v>
      </c>
      <c r="F1615" t="str">
        <f>"103/119"</f>
        <v>103/119</v>
      </c>
      <c r="G1615" s="10">
        <v>0.52659999999999996</v>
      </c>
    </row>
    <row r="1616" spans="1:7" x14ac:dyDescent="0.2">
      <c r="A1616" s="1" t="s">
        <v>122</v>
      </c>
      <c r="B1616" t="s">
        <v>1782</v>
      </c>
      <c r="C1616">
        <v>-4.6251357231677597</v>
      </c>
      <c r="D1616">
        <v>0</v>
      </c>
      <c r="E1616">
        <v>0</v>
      </c>
      <c r="F1616" t="str">
        <f>"91/109"</f>
        <v>91/109</v>
      </c>
      <c r="G1616" s="10">
        <v>0.49120000000000003</v>
      </c>
    </row>
    <row r="1617" spans="1:7" x14ac:dyDescent="0.2">
      <c r="A1617" s="1" t="s">
        <v>122</v>
      </c>
      <c r="B1617" t="s">
        <v>1037</v>
      </c>
      <c r="C1617">
        <v>-4.62099571045212</v>
      </c>
      <c r="D1617">
        <v>0</v>
      </c>
      <c r="E1617">
        <v>0</v>
      </c>
      <c r="F1617" t="str">
        <f>"59/68"</f>
        <v>59/68</v>
      </c>
      <c r="G1617" s="10">
        <v>0.43380000000000002</v>
      </c>
    </row>
    <row r="1618" spans="1:7" x14ac:dyDescent="0.2">
      <c r="A1618" s="1" t="s">
        <v>122</v>
      </c>
      <c r="B1618" t="s">
        <v>699</v>
      </c>
      <c r="C1618">
        <v>-4.6190375094482397</v>
      </c>
      <c r="D1618">
        <v>0</v>
      </c>
      <c r="E1618">
        <v>0</v>
      </c>
      <c r="F1618" t="str">
        <f>"69/71"</f>
        <v>69/71</v>
      </c>
      <c r="G1618" s="10">
        <v>0.54459999999999997</v>
      </c>
    </row>
    <row r="1619" spans="1:7" x14ac:dyDescent="0.2">
      <c r="A1619" s="1" t="s">
        <v>122</v>
      </c>
      <c r="B1619" t="s">
        <v>1783</v>
      </c>
      <c r="C1619">
        <v>-4.6036993104995902</v>
      </c>
      <c r="D1619">
        <v>0</v>
      </c>
      <c r="E1619">
        <v>0</v>
      </c>
      <c r="F1619" t="str">
        <f>"108/120"</f>
        <v>108/120</v>
      </c>
      <c r="G1619" s="10">
        <v>0.56850000000000001</v>
      </c>
    </row>
    <row r="1620" spans="1:7" x14ac:dyDescent="0.2">
      <c r="A1620" s="1" t="s">
        <v>122</v>
      </c>
      <c r="B1620" t="s">
        <v>825</v>
      </c>
      <c r="C1620">
        <v>-4.5901491690565202</v>
      </c>
      <c r="D1620">
        <v>0</v>
      </c>
      <c r="E1620">
        <v>0</v>
      </c>
      <c r="F1620" t="str">
        <f>"62/66"</f>
        <v>62/66</v>
      </c>
      <c r="G1620" s="10">
        <v>0.48370000000000002</v>
      </c>
    </row>
    <row r="1621" spans="1:7" x14ac:dyDescent="0.2">
      <c r="A1621" s="1" t="s">
        <v>122</v>
      </c>
      <c r="B1621" t="s">
        <v>1081</v>
      </c>
      <c r="C1621">
        <v>-4.5852741031550801</v>
      </c>
      <c r="D1621">
        <v>0</v>
      </c>
      <c r="E1621">
        <v>0</v>
      </c>
      <c r="F1621" t="str">
        <f>"166/202"</f>
        <v>166/202</v>
      </c>
      <c r="G1621" s="10">
        <v>0.55400000000000005</v>
      </c>
    </row>
    <row r="1622" spans="1:7" x14ac:dyDescent="0.2">
      <c r="A1622" s="1" t="s">
        <v>122</v>
      </c>
      <c r="B1622" t="s">
        <v>1784</v>
      </c>
      <c r="C1622">
        <v>-4.57597869201068</v>
      </c>
      <c r="D1622">
        <v>0</v>
      </c>
      <c r="E1622">
        <v>0</v>
      </c>
      <c r="F1622" t="str">
        <f>"61/65"</f>
        <v>61/65</v>
      </c>
      <c r="G1622" s="10">
        <v>0.49480000000000002</v>
      </c>
    </row>
    <row r="1623" spans="1:7" x14ac:dyDescent="0.2">
      <c r="A1623" s="1" t="s">
        <v>122</v>
      </c>
      <c r="B1623" t="s">
        <v>1785</v>
      </c>
      <c r="C1623">
        <v>-4.5725214531782701</v>
      </c>
      <c r="D1623">
        <v>0</v>
      </c>
      <c r="E1623">
        <v>0</v>
      </c>
      <c r="F1623" t="str">
        <f>"128/144"</f>
        <v>128/144</v>
      </c>
      <c r="G1623" s="10">
        <v>0.58030000000000004</v>
      </c>
    </row>
    <row r="1624" spans="1:7" x14ac:dyDescent="0.2">
      <c r="A1624" s="1" t="s">
        <v>122</v>
      </c>
      <c r="B1624" t="s">
        <v>1101</v>
      </c>
      <c r="C1624">
        <v>-4.57097633269876</v>
      </c>
      <c r="D1624">
        <v>0</v>
      </c>
      <c r="E1624">
        <v>0</v>
      </c>
      <c r="F1624" t="str">
        <f>"66/70"</f>
        <v>66/70</v>
      </c>
      <c r="G1624" s="10">
        <v>0.47920000000000001</v>
      </c>
    </row>
    <row r="1625" spans="1:7" x14ac:dyDescent="0.2">
      <c r="A1625" s="1" t="s">
        <v>122</v>
      </c>
      <c r="B1625" t="s">
        <v>1786</v>
      </c>
      <c r="C1625">
        <v>-4.5708163837692304</v>
      </c>
      <c r="D1625">
        <v>0</v>
      </c>
      <c r="E1625">
        <v>0</v>
      </c>
      <c r="F1625" t="str">
        <f>"72/80"</f>
        <v>72/80</v>
      </c>
      <c r="G1625" s="10">
        <v>0.47949999999999998</v>
      </c>
    </row>
    <row r="1626" spans="1:7" x14ac:dyDescent="0.2">
      <c r="A1626" s="1" t="s">
        <v>122</v>
      </c>
      <c r="B1626" t="s">
        <v>787</v>
      </c>
      <c r="C1626">
        <v>-4.55575149647124</v>
      </c>
      <c r="D1626">
        <v>0</v>
      </c>
      <c r="E1626">
        <v>0</v>
      </c>
      <c r="F1626" t="str">
        <f>"76/82"</f>
        <v>76/82</v>
      </c>
      <c r="G1626" s="10">
        <v>0.50880000000000003</v>
      </c>
    </row>
    <row r="1627" spans="1:7" x14ac:dyDescent="0.2">
      <c r="A1627" s="1" t="s">
        <v>122</v>
      </c>
      <c r="B1627" t="s">
        <v>1787</v>
      </c>
      <c r="C1627">
        <v>-4.5541790374539897</v>
      </c>
      <c r="D1627">
        <v>0</v>
      </c>
      <c r="E1627">
        <v>0</v>
      </c>
      <c r="F1627" t="str">
        <f>"46/51"</f>
        <v>46/51</v>
      </c>
      <c r="G1627" s="10">
        <v>0.42159999999999997</v>
      </c>
    </row>
    <row r="1628" spans="1:7" x14ac:dyDescent="0.2">
      <c r="A1628" s="1" t="s">
        <v>122</v>
      </c>
      <c r="B1628" t="s">
        <v>1788</v>
      </c>
      <c r="C1628">
        <v>-4.5533163558024503</v>
      </c>
      <c r="D1628">
        <v>0</v>
      </c>
      <c r="E1628">
        <v>0</v>
      </c>
      <c r="F1628" t="str">
        <f>"127/138"</f>
        <v>127/138</v>
      </c>
      <c r="G1628" s="10">
        <v>0.58189999999999997</v>
      </c>
    </row>
    <row r="1629" spans="1:7" x14ac:dyDescent="0.2">
      <c r="A1629" s="1" t="s">
        <v>122</v>
      </c>
      <c r="B1629" t="s">
        <v>875</v>
      </c>
      <c r="C1629">
        <v>-4.5469758620156799</v>
      </c>
      <c r="D1629">
        <v>0</v>
      </c>
      <c r="E1629">
        <v>0</v>
      </c>
      <c r="F1629" t="str">
        <f>"50/51"</f>
        <v>50/51</v>
      </c>
      <c r="G1629" s="10">
        <v>0.48459999999999998</v>
      </c>
    </row>
    <row r="1630" spans="1:7" x14ac:dyDescent="0.2">
      <c r="A1630" s="1" t="s">
        <v>122</v>
      </c>
      <c r="B1630" t="s">
        <v>876</v>
      </c>
      <c r="C1630">
        <v>-4.5469758620156799</v>
      </c>
      <c r="D1630">
        <v>0</v>
      </c>
      <c r="E1630">
        <v>0</v>
      </c>
      <c r="F1630" t="str">
        <f>"50/51"</f>
        <v>50/51</v>
      </c>
      <c r="G1630" s="10">
        <v>0.48459999999999998</v>
      </c>
    </row>
    <row r="1631" spans="1:7" x14ac:dyDescent="0.2">
      <c r="A1631" s="1" t="s">
        <v>122</v>
      </c>
      <c r="B1631" t="s">
        <v>1036</v>
      </c>
      <c r="C1631">
        <v>-4.5457979044438996</v>
      </c>
      <c r="D1631">
        <v>0</v>
      </c>
      <c r="E1631">
        <v>0</v>
      </c>
      <c r="F1631" t="str">
        <f>"65/66"</f>
        <v>65/66</v>
      </c>
      <c r="G1631" s="10">
        <v>0.51349999999999996</v>
      </c>
    </row>
    <row r="1632" spans="1:7" x14ac:dyDescent="0.2">
      <c r="A1632" s="1" t="s">
        <v>122</v>
      </c>
      <c r="B1632" t="s">
        <v>1233</v>
      </c>
      <c r="C1632">
        <v>-4.5356148941891403</v>
      </c>
      <c r="D1632">
        <v>0</v>
      </c>
      <c r="E1632">
        <v>0</v>
      </c>
      <c r="F1632" t="str">
        <f>"129/142"</f>
        <v>129/142</v>
      </c>
      <c r="G1632" s="10">
        <v>0.61470000000000002</v>
      </c>
    </row>
    <row r="1633" spans="1:7" x14ac:dyDescent="0.2">
      <c r="A1633" s="1" t="s">
        <v>122</v>
      </c>
      <c r="B1633" t="s">
        <v>301</v>
      </c>
      <c r="C1633">
        <v>-4.51383273634079</v>
      </c>
      <c r="D1633">
        <v>0</v>
      </c>
      <c r="E1633">
        <v>0</v>
      </c>
      <c r="F1633" t="str">
        <f>"112/129"</f>
        <v>112/129</v>
      </c>
      <c r="G1633" s="10">
        <v>0.56850000000000001</v>
      </c>
    </row>
    <row r="1634" spans="1:7" x14ac:dyDescent="0.2">
      <c r="A1634" s="1" t="s">
        <v>122</v>
      </c>
      <c r="B1634" t="s">
        <v>751</v>
      </c>
      <c r="C1634">
        <v>-4.4982248103136797</v>
      </c>
      <c r="D1634">
        <v>0</v>
      </c>
      <c r="E1634">
        <v>0</v>
      </c>
      <c r="F1634" t="str">
        <f>"86/94"</f>
        <v>86/94</v>
      </c>
      <c r="G1634" s="10">
        <v>0.52010000000000001</v>
      </c>
    </row>
    <row r="1635" spans="1:7" x14ac:dyDescent="0.2">
      <c r="A1635" s="1" t="s">
        <v>122</v>
      </c>
      <c r="B1635" t="s">
        <v>1789</v>
      </c>
      <c r="C1635">
        <v>-4.49557759631809</v>
      </c>
      <c r="D1635">
        <v>0</v>
      </c>
      <c r="E1635">
        <v>0</v>
      </c>
      <c r="F1635" t="str">
        <f>"87/100"</f>
        <v>87/100</v>
      </c>
      <c r="G1635" s="10">
        <v>0.53520000000000001</v>
      </c>
    </row>
    <row r="1636" spans="1:7" x14ac:dyDescent="0.2">
      <c r="A1636" s="1" t="s">
        <v>122</v>
      </c>
      <c r="B1636" t="s">
        <v>1398</v>
      </c>
      <c r="C1636">
        <v>-4.48512373940207</v>
      </c>
      <c r="D1636">
        <v>0</v>
      </c>
      <c r="E1636">
        <v>0</v>
      </c>
      <c r="F1636" t="str">
        <f>"162/177"</f>
        <v>162/177</v>
      </c>
      <c r="G1636" s="10">
        <v>0.63670000000000004</v>
      </c>
    </row>
    <row r="1637" spans="1:7" x14ac:dyDescent="0.2">
      <c r="A1637" s="1" t="s">
        <v>122</v>
      </c>
      <c r="B1637" t="s">
        <v>1790</v>
      </c>
      <c r="C1637">
        <v>-4.4790591675795399</v>
      </c>
      <c r="D1637">
        <v>0</v>
      </c>
      <c r="E1637">
        <v>0</v>
      </c>
      <c r="F1637" t="str">
        <f>"66/71"</f>
        <v>66/71</v>
      </c>
      <c r="G1637" s="10">
        <v>0.49230000000000002</v>
      </c>
    </row>
    <row r="1638" spans="1:7" x14ac:dyDescent="0.2">
      <c r="A1638" s="1" t="s">
        <v>122</v>
      </c>
      <c r="B1638" t="s">
        <v>1791</v>
      </c>
      <c r="C1638">
        <v>-4.4738645384088898</v>
      </c>
      <c r="D1638">
        <v>0</v>
      </c>
      <c r="E1638">
        <v>0</v>
      </c>
      <c r="F1638" t="str">
        <f>"68/87"</f>
        <v>68/87</v>
      </c>
      <c r="G1638" s="10">
        <v>0.3896</v>
      </c>
    </row>
    <row r="1639" spans="1:7" x14ac:dyDescent="0.2">
      <c r="A1639" s="1" t="s">
        <v>122</v>
      </c>
      <c r="B1639" t="s">
        <v>1792</v>
      </c>
      <c r="C1639">
        <v>-4.46770355342648</v>
      </c>
      <c r="D1639">
        <v>0</v>
      </c>
      <c r="E1639">
        <v>0</v>
      </c>
      <c r="F1639" t="str">
        <f>"124/139"</f>
        <v>124/139</v>
      </c>
      <c r="G1639" s="10">
        <v>0.57179999999999997</v>
      </c>
    </row>
    <row r="1640" spans="1:7" x14ac:dyDescent="0.2">
      <c r="A1640" s="1" t="s">
        <v>122</v>
      </c>
      <c r="B1640" t="s">
        <v>669</v>
      </c>
      <c r="C1640">
        <v>-4.4654474952591396</v>
      </c>
      <c r="D1640">
        <v>0</v>
      </c>
      <c r="E1640">
        <v>0</v>
      </c>
      <c r="F1640" t="str">
        <f>"44/49"</f>
        <v>44/49</v>
      </c>
      <c r="G1640" s="10">
        <v>0.37619999999999998</v>
      </c>
    </row>
    <row r="1641" spans="1:7" x14ac:dyDescent="0.2">
      <c r="A1641" s="1" t="s">
        <v>122</v>
      </c>
      <c r="B1641" t="s">
        <v>668</v>
      </c>
      <c r="C1641">
        <v>-4.4654474952591396</v>
      </c>
      <c r="D1641">
        <v>0</v>
      </c>
      <c r="E1641">
        <v>0</v>
      </c>
      <c r="F1641" t="str">
        <f>"44/49"</f>
        <v>44/49</v>
      </c>
      <c r="G1641" s="10">
        <v>0.37619999999999998</v>
      </c>
    </row>
    <row r="1642" spans="1:7" x14ac:dyDescent="0.2">
      <c r="A1642" s="1" t="s">
        <v>122</v>
      </c>
      <c r="B1642" t="s">
        <v>1793</v>
      </c>
      <c r="C1642">
        <v>-4.4579003953449297</v>
      </c>
      <c r="D1642">
        <v>0</v>
      </c>
      <c r="E1642">
        <v>0</v>
      </c>
      <c r="F1642" t="str">
        <f>"62/66"</f>
        <v>62/66</v>
      </c>
      <c r="G1642" s="10">
        <v>0.51790000000000003</v>
      </c>
    </row>
    <row r="1643" spans="1:7" x14ac:dyDescent="0.2">
      <c r="A1643" s="1" t="s">
        <v>122</v>
      </c>
      <c r="B1643" t="s">
        <v>1079</v>
      </c>
      <c r="C1643">
        <v>-4.4556483016444997</v>
      </c>
      <c r="D1643">
        <v>0</v>
      </c>
      <c r="E1643">
        <v>0</v>
      </c>
      <c r="F1643" t="str">
        <f>"52/53"</f>
        <v>52/53</v>
      </c>
      <c r="G1643" s="10">
        <v>0.50460000000000005</v>
      </c>
    </row>
    <row r="1644" spans="1:7" x14ac:dyDescent="0.2">
      <c r="A1644" s="1" t="s">
        <v>122</v>
      </c>
      <c r="B1644" t="s">
        <v>1794</v>
      </c>
      <c r="C1644">
        <v>-4.4545232655873201</v>
      </c>
      <c r="D1644">
        <v>0</v>
      </c>
      <c r="E1644">
        <v>0</v>
      </c>
      <c r="F1644" t="str">
        <f>"59/67"</f>
        <v>59/67</v>
      </c>
      <c r="G1644" s="10">
        <v>0.44190000000000002</v>
      </c>
    </row>
    <row r="1645" spans="1:7" x14ac:dyDescent="0.2">
      <c r="A1645" s="1" t="s">
        <v>122</v>
      </c>
      <c r="B1645" t="s">
        <v>600</v>
      </c>
      <c r="C1645">
        <v>-4.4531280319797002</v>
      </c>
      <c r="D1645">
        <v>0</v>
      </c>
      <c r="E1645">
        <v>0</v>
      </c>
      <c r="F1645" t="str">
        <f>"77/82"</f>
        <v>77/82</v>
      </c>
      <c r="G1645" s="10">
        <v>0.55400000000000005</v>
      </c>
    </row>
    <row r="1646" spans="1:7" x14ac:dyDescent="0.2">
      <c r="A1646" s="1" t="s">
        <v>122</v>
      </c>
      <c r="B1646" t="s">
        <v>1380</v>
      </c>
      <c r="C1646">
        <v>-4.4516018122361096</v>
      </c>
      <c r="D1646">
        <v>0</v>
      </c>
      <c r="E1646">
        <v>0</v>
      </c>
      <c r="F1646" t="str">
        <f>"117/127"</f>
        <v>117/127</v>
      </c>
      <c r="G1646" s="10">
        <v>0.62929999999999997</v>
      </c>
    </row>
    <row r="1647" spans="1:7" x14ac:dyDescent="0.2">
      <c r="A1647" s="1" t="s">
        <v>122</v>
      </c>
      <c r="B1647" t="s">
        <v>1795</v>
      </c>
      <c r="C1647">
        <v>-4.4510452139363696</v>
      </c>
      <c r="D1647">
        <v>0</v>
      </c>
      <c r="E1647">
        <v>0</v>
      </c>
      <c r="F1647" t="str">
        <f>"45/47"</f>
        <v>45/47</v>
      </c>
      <c r="G1647" s="10">
        <v>0.41760000000000003</v>
      </c>
    </row>
    <row r="1648" spans="1:7" x14ac:dyDescent="0.2">
      <c r="A1648" s="1" t="s">
        <v>122</v>
      </c>
      <c r="B1648" t="s">
        <v>912</v>
      </c>
      <c r="C1648">
        <v>-4.4485368781721801</v>
      </c>
      <c r="D1648">
        <v>0</v>
      </c>
      <c r="E1648">
        <v>0</v>
      </c>
      <c r="F1648" t="str">
        <f>"53/54"</f>
        <v>53/54</v>
      </c>
      <c r="G1648" s="10">
        <v>0.48459999999999998</v>
      </c>
    </row>
    <row r="1649" spans="1:7" x14ac:dyDescent="0.2">
      <c r="A1649" s="1" t="s">
        <v>122</v>
      </c>
      <c r="B1649" t="s">
        <v>636</v>
      </c>
      <c r="C1649">
        <v>-4.4381733516445703</v>
      </c>
      <c r="D1649">
        <v>0</v>
      </c>
      <c r="E1649">
        <v>0</v>
      </c>
      <c r="F1649" t="str">
        <f>"224/257"</f>
        <v>224/257</v>
      </c>
      <c r="G1649" s="10">
        <v>0.64200000000000002</v>
      </c>
    </row>
    <row r="1650" spans="1:7" x14ac:dyDescent="0.2">
      <c r="A1650" s="1" t="s">
        <v>122</v>
      </c>
      <c r="B1650" t="s">
        <v>898</v>
      </c>
      <c r="C1650">
        <v>-4.3994797870873397</v>
      </c>
      <c r="D1650">
        <v>0</v>
      </c>
      <c r="E1650">
        <v>0</v>
      </c>
      <c r="F1650" t="str">
        <f>"274/335"</f>
        <v>274/335</v>
      </c>
      <c r="G1650" s="10">
        <v>0.61480000000000001</v>
      </c>
    </row>
    <row r="1651" spans="1:7" x14ac:dyDescent="0.2">
      <c r="A1651" s="1" t="s">
        <v>122</v>
      </c>
      <c r="B1651" t="s">
        <v>1628</v>
      </c>
      <c r="C1651">
        <v>-4.3939023215864097</v>
      </c>
      <c r="D1651">
        <v>0</v>
      </c>
      <c r="E1651">
        <v>0</v>
      </c>
      <c r="F1651" t="str">
        <f>"96/114"</f>
        <v>96/114</v>
      </c>
      <c r="G1651" s="10">
        <v>0.50970000000000004</v>
      </c>
    </row>
    <row r="1652" spans="1:7" x14ac:dyDescent="0.2">
      <c r="A1652" s="1" t="s">
        <v>122</v>
      </c>
      <c r="B1652" t="s">
        <v>1796</v>
      </c>
      <c r="C1652">
        <v>-4.3936950496178699</v>
      </c>
      <c r="D1652">
        <v>0</v>
      </c>
      <c r="E1652">
        <v>0</v>
      </c>
      <c r="F1652" t="str">
        <f>"65/71"</f>
        <v>65/71</v>
      </c>
      <c r="G1652" s="10">
        <v>0.48270000000000002</v>
      </c>
    </row>
    <row r="1653" spans="1:7" x14ac:dyDescent="0.2">
      <c r="A1653" s="1" t="s">
        <v>122</v>
      </c>
      <c r="B1653" t="s">
        <v>1797</v>
      </c>
      <c r="C1653">
        <v>-4.3921505260823599</v>
      </c>
      <c r="D1653">
        <v>0</v>
      </c>
      <c r="E1653">
        <v>0</v>
      </c>
      <c r="F1653" t="str">
        <f>"76/88"</f>
        <v>76/88</v>
      </c>
      <c r="G1653" s="10">
        <v>0.47839999999999999</v>
      </c>
    </row>
    <row r="1654" spans="1:7" x14ac:dyDescent="0.2">
      <c r="A1654" s="1" t="s">
        <v>122</v>
      </c>
      <c r="B1654" t="s">
        <v>1798</v>
      </c>
      <c r="C1654">
        <v>-4.3899530031777996</v>
      </c>
      <c r="D1654">
        <v>0</v>
      </c>
      <c r="E1654">
        <v>0</v>
      </c>
      <c r="F1654" t="str">
        <f>"67/74"</f>
        <v>67/74</v>
      </c>
      <c r="G1654" s="10">
        <v>0.49719999999999998</v>
      </c>
    </row>
    <row r="1655" spans="1:7" x14ac:dyDescent="0.2">
      <c r="A1655" s="1" t="s">
        <v>122</v>
      </c>
      <c r="B1655" t="s">
        <v>1799</v>
      </c>
      <c r="C1655">
        <v>-4.38907713786634</v>
      </c>
      <c r="D1655">
        <v>0</v>
      </c>
      <c r="E1655">
        <v>0</v>
      </c>
      <c r="F1655" t="str">
        <f>"55/60"</f>
        <v>55/60</v>
      </c>
      <c r="G1655" s="10">
        <v>0.44190000000000002</v>
      </c>
    </row>
    <row r="1656" spans="1:7" x14ac:dyDescent="0.2">
      <c r="A1656" s="1" t="s">
        <v>122</v>
      </c>
      <c r="B1656" t="s">
        <v>1800</v>
      </c>
      <c r="C1656">
        <v>-4.3838577805420602</v>
      </c>
      <c r="D1656">
        <v>0</v>
      </c>
      <c r="E1656">
        <v>0</v>
      </c>
      <c r="F1656" t="str">
        <f>"118/131"</f>
        <v>118/131</v>
      </c>
      <c r="G1656" s="10">
        <v>0.5917</v>
      </c>
    </row>
    <row r="1657" spans="1:7" x14ac:dyDescent="0.2">
      <c r="A1657" s="1" t="s">
        <v>122</v>
      </c>
      <c r="B1657" t="s">
        <v>1159</v>
      </c>
      <c r="C1657">
        <v>-4.3759706815979103</v>
      </c>
      <c r="D1657">
        <v>0</v>
      </c>
      <c r="E1657">
        <v>0</v>
      </c>
      <c r="F1657" t="str">
        <f>"188/212"</f>
        <v>188/212</v>
      </c>
      <c r="G1657" s="10">
        <v>0.66659999999999997</v>
      </c>
    </row>
    <row r="1658" spans="1:7" x14ac:dyDescent="0.2">
      <c r="A1658" s="1" t="s">
        <v>122</v>
      </c>
      <c r="B1658" t="s">
        <v>1025</v>
      </c>
      <c r="C1658">
        <v>-4.3753945165320198</v>
      </c>
      <c r="D1658">
        <v>0</v>
      </c>
      <c r="E1658">
        <v>0</v>
      </c>
      <c r="F1658" t="str">
        <f>"36/38"</f>
        <v>36/38</v>
      </c>
      <c r="G1658" s="10">
        <v>0.40360000000000001</v>
      </c>
    </row>
    <row r="1659" spans="1:7" x14ac:dyDescent="0.2">
      <c r="A1659" s="1" t="s">
        <v>122</v>
      </c>
      <c r="B1659" t="s">
        <v>1801</v>
      </c>
      <c r="C1659">
        <v>-4.3733185391368599</v>
      </c>
      <c r="D1659">
        <v>0</v>
      </c>
      <c r="E1659">
        <v>0</v>
      </c>
      <c r="F1659" t="str">
        <f>"175/191"</f>
        <v>175/191</v>
      </c>
      <c r="G1659" s="10">
        <v>0.64849999999999997</v>
      </c>
    </row>
    <row r="1660" spans="1:7" x14ac:dyDescent="0.2">
      <c r="A1660" s="1" t="s">
        <v>122</v>
      </c>
      <c r="B1660" t="s">
        <v>1802</v>
      </c>
      <c r="C1660">
        <v>-4.3698639834706796</v>
      </c>
      <c r="D1660">
        <v>0</v>
      </c>
      <c r="E1660">
        <v>0</v>
      </c>
      <c r="F1660" t="str">
        <f>"66/84"</f>
        <v>66/84</v>
      </c>
      <c r="G1660" s="10">
        <v>0.3896</v>
      </c>
    </row>
    <row r="1661" spans="1:7" x14ac:dyDescent="0.2">
      <c r="A1661" s="1" t="s">
        <v>122</v>
      </c>
      <c r="B1661" t="s">
        <v>954</v>
      </c>
      <c r="C1661">
        <v>-4.36778678066905</v>
      </c>
      <c r="D1661">
        <v>0</v>
      </c>
      <c r="E1661">
        <v>0</v>
      </c>
      <c r="F1661" t="str">
        <f>"49/53"</f>
        <v>49/53</v>
      </c>
      <c r="G1661" s="10">
        <v>0.46160000000000001</v>
      </c>
    </row>
    <row r="1662" spans="1:7" x14ac:dyDescent="0.2">
      <c r="A1662" s="1" t="s">
        <v>122</v>
      </c>
      <c r="B1662" t="s">
        <v>632</v>
      </c>
      <c r="C1662">
        <v>-4.36540420705931</v>
      </c>
      <c r="D1662">
        <v>0</v>
      </c>
      <c r="E1662">
        <v>0</v>
      </c>
      <c r="F1662" t="str">
        <f>"206/245"</f>
        <v>206/245</v>
      </c>
      <c r="G1662" s="10">
        <v>0.62060000000000004</v>
      </c>
    </row>
    <row r="1663" spans="1:7" x14ac:dyDescent="0.2">
      <c r="A1663" s="1" t="s">
        <v>122</v>
      </c>
      <c r="B1663" t="s">
        <v>1399</v>
      </c>
      <c r="C1663">
        <v>-4.3607901607851902</v>
      </c>
      <c r="D1663">
        <v>0</v>
      </c>
      <c r="E1663">
        <v>0</v>
      </c>
      <c r="F1663" t="str">
        <f>"152/175"</f>
        <v>152/175</v>
      </c>
      <c r="G1663" s="10">
        <v>0.59540000000000004</v>
      </c>
    </row>
    <row r="1664" spans="1:7" x14ac:dyDescent="0.2">
      <c r="A1664" s="1" t="s">
        <v>122</v>
      </c>
      <c r="B1664" t="s">
        <v>1803</v>
      </c>
      <c r="C1664">
        <v>-4.35717763189517</v>
      </c>
      <c r="D1664">
        <v>0</v>
      </c>
      <c r="E1664">
        <v>0</v>
      </c>
      <c r="F1664" t="str">
        <f>"54/60"</f>
        <v>54/60</v>
      </c>
      <c r="G1664" s="10">
        <v>0.4834</v>
      </c>
    </row>
    <row r="1665" spans="1:7" x14ac:dyDescent="0.2">
      <c r="A1665" s="1" t="s">
        <v>122</v>
      </c>
      <c r="B1665" t="s">
        <v>977</v>
      </c>
      <c r="C1665">
        <v>-4.3202203523035196</v>
      </c>
      <c r="D1665">
        <v>0</v>
      </c>
      <c r="E1665">
        <v>0</v>
      </c>
      <c r="F1665" t="str">
        <f>"164/185"</f>
        <v>164/185</v>
      </c>
      <c r="G1665" s="10">
        <v>0.62770000000000004</v>
      </c>
    </row>
    <row r="1666" spans="1:7" x14ac:dyDescent="0.2">
      <c r="A1666" s="1" t="s">
        <v>122</v>
      </c>
      <c r="B1666" t="s">
        <v>1210</v>
      </c>
      <c r="C1666">
        <v>-4.3097174643489504</v>
      </c>
      <c r="D1666">
        <v>0</v>
      </c>
      <c r="E1666">
        <v>0</v>
      </c>
      <c r="F1666" t="str">
        <f>"75/93"</f>
        <v>75/93</v>
      </c>
      <c r="G1666" s="10">
        <v>0.4491</v>
      </c>
    </row>
    <row r="1667" spans="1:7" x14ac:dyDescent="0.2">
      <c r="A1667" s="1" t="s">
        <v>122</v>
      </c>
      <c r="B1667" t="s">
        <v>1804</v>
      </c>
      <c r="C1667">
        <v>-4.3093966557816499</v>
      </c>
      <c r="D1667">
        <v>0</v>
      </c>
      <c r="E1667">
        <v>0</v>
      </c>
      <c r="F1667" t="str">
        <f>"160/192"</f>
        <v>160/192</v>
      </c>
      <c r="G1667" s="10">
        <v>0.5907</v>
      </c>
    </row>
    <row r="1668" spans="1:7" x14ac:dyDescent="0.2">
      <c r="A1668" s="1" t="s">
        <v>122</v>
      </c>
      <c r="B1668" t="s">
        <v>1805</v>
      </c>
      <c r="C1668">
        <v>-4.3083112048702397</v>
      </c>
      <c r="D1668">
        <v>0</v>
      </c>
      <c r="E1668">
        <v>0</v>
      </c>
      <c r="F1668" t="str">
        <f>"65/66"</f>
        <v>65/66</v>
      </c>
      <c r="G1668" s="10">
        <v>0.54659999999999997</v>
      </c>
    </row>
    <row r="1669" spans="1:7" x14ac:dyDescent="0.2">
      <c r="A1669" s="1" t="s">
        <v>122</v>
      </c>
      <c r="B1669" t="s">
        <v>688</v>
      </c>
      <c r="C1669">
        <v>-4.2870464528254599</v>
      </c>
      <c r="D1669">
        <v>0</v>
      </c>
      <c r="E1669">
        <v>0</v>
      </c>
      <c r="F1669" t="str">
        <f>"36/36"</f>
        <v>36/36</v>
      </c>
      <c r="G1669" s="10">
        <v>0.46350000000000002</v>
      </c>
    </row>
    <row r="1670" spans="1:7" x14ac:dyDescent="0.2">
      <c r="A1670" s="1" t="s">
        <v>122</v>
      </c>
      <c r="B1670" t="s">
        <v>1806</v>
      </c>
      <c r="C1670">
        <v>-4.2767433861417503</v>
      </c>
      <c r="D1670">
        <v>0</v>
      </c>
      <c r="E1670">
        <v>0</v>
      </c>
      <c r="F1670" t="str">
        <f>"95/114"</f>
        <v>95/114</v>
      </c>
      <c r="G1670" s="10">
        <v>0.50049999999999994</v>
      </c>
    </row>
    <row r="1671" spans="1:7" x14ac:dyDescent="0.2">
      <c r="A1671" s="1" t="s">
        <v>122</v>
      </c>
      <c r="B1671" t="s">
        <v>953</v>
      </c>
      <c r="C1671">
        <v>-4.2728088562003803</v>
      </c>
      <c r="D1671">
        <v>0</v>
      </c>
      <c r="E1671">
        <v>0</v>
      </c>
      <c r="F1671" t="str">
        <f>"65/71"</f>
        <v>65/71</v>
      </c>
      <c r="G1671" s="10">
        <v>0.4844</v>
      </c>
    </row>
    <row r="1672" spans="1:7" x14ac:dyDescent="0.2">
      <c r="A1672" s="1" t="s">
        <v>122</v>
      </c>
      <c r="B1672" t="s">
        <v>1807</v>
      </c>
      <c r="C1672">
        <v>-4.2614028851100603</v>
      </c>
      <c r="D1672">
        <v>0</v>
      </c>
      <c r="E1672">
        <v>0</v>
      </c>
      <c r="F1672" t="str">
        <f>"69/85"</f>
        <v>69/85</v>
      </c>
      <c r="G1672" s="10">
        <v>0.4491</v>
      </c>
    </row>
    <row r="1673" spans="1:7" x14ac:dyDescent="0.2">
      <c r="A1673" s="1" t="s">
        <v>122</v>
      </c>
      <c r="B1673" t="s">
        <v>1808</v>
      </c>
      <c r="C1673">
        <v>-4.2595927160134703</v>
      </c>
      <c r="D1673">
        <v>0</v>
      </c>
      <c r="E1673">
        <v>0</v>
      </c>
      <c r="F1673" t="str">
        <f>"60/63"</f>
        <v>60/63</v>
      </c>
      <c r="G1673" s="10">
        <v>0.51339999999999997</v>
      </c>
    </row>
    <row r="1674" spans="1:7" x14ac:dyDescent="0.2">
      <c r="A1674" s="1" t="s">
        <v>122</v>
      </c>
      <c r="B1674" t="s">
        <v>806</v>
      </c>
      <c r="C1674">
        <v>-4.2571705060566396</v>
      </c>
      <c r="D1674">
        <v>0</v>
      </c>
      <c r="E1674">
        <v>0</v>
      </c>
      <c r="F1674" t="str">
        <f>"79/90"</f>
        <v>79/90</v>
      </c>
      <c r="G1674" s="10">
        <v>0.51090000000000002</v>
      </c>
    </row>
    <row r="1675" spans="1:7" x14ac:dyDescent="0.2">
      <c r="A1675" s="1" t="s">
        <v>122</v>
      </c>
      <c r="B1675" t="s">
        <v>172</v>
      </c>
      <c r="C1675">
        <v>-4.2571547297223304</v>
      </c>
      <c r="D1675">
        <v>0</v>
      </c>
      <c r="E1675">
        <v>0</v>
      </c>
      <c r="F1675" t="str">
        <f>"65/70"</f>
        <v>65/70</v>
      </c>
      <c r="G1675" s="10">
        <v>0.53310000000000002</v>
      </c>
    </row>
    <row r="1676" spans="1:7" x14ac:dyDescent="0.2">
      <c r="A1676" s="1" t="s">
        <v>122</v>
      </c>
      <c r="B1676" t="s">
        <v>965</v>
      </c>
      <c r="C1676">
        <v>-4.2499898659408801</v>
      </c>
      <c r="D1676">
        <v>0</v>
      </c>
      <c r="E1676">
        <v>0</v>
      </c>
      <c r="F1676" t="str">
        <f>"64/70"</f>
        <v>64/70</v>
      </c>
      <c r="G1676" s="10">
        <v>0.4844</v>
      </c>
    </row>
    <row r="1677" spans="1:7" x14ac:dyDescent="0.2">
      <c r="A1677" s="1" t="s">
        <v>122</v>
      </c>
      <c r="B1677" t="s">
        <v>1809</v>
      </c>
      <c r="C1677">
        <v>-4.2403387709259803</v>
      </c>
      <c r="D1677">
        <v>0</v>
      </c>
      <c r="E1677">
        <v>0</v>
      </c>
      <c r="F1677" t="str">
        <f>"85/98"</f>
        <v>85/98</v>
      </c>
      <c r="G1677" s="10">
        <v>0.50839999999999996</v>
      </c>
    </row>
    <row r="1678" spans="1:7" x14ac:dyDescent="0.2">
      <c r="A1678" s="1" t="s">
        <v>122</v>
      </c>
      <c r="B1678" t="s">
        <v>872</v>
      </c>
      <c r="C1678">
        <v>-4.2329514695682597</v>
      </c>
      <c r="D1678">
        <v>0</v>
      </c>
      <c r="E1678">
        <v>0</v>
      </c>
      <c r="F1678" t="str">
        <f>"71/76"</f>
        <v>71/76</v>
      </c>
      <c r="G1678" s="10">
        <v>0.52010000000000001</v>
      </c>
    </row>
    <row r="1679" spans="1:7" x14ac:dyDescent="0.2">
      <c r="A1679" s="1" t="s">
        <v>122</v>
      </c>
      <c r="B1679" t="s">
        <v>1203</v>
      </c>
      <c r="C1679">
        <v>-4.2251555827822598</v>
      </c>
      <c r="D1679">
        <v>0</v>
      </c>
      <c r="E1679">
        <v>0</v>
      </c>
      <c r="F1679" t="str">
        <f>"107/124"</f>
        <v>107/124</v>
      </c>
      <c r="G1679" s="10">
        <v>0.53990000000000005</v>
      </c>
    </row>
    <row r="1680" spans="1:7" x14ac:dyDescent="0.2">
      <c r="A1680" s="1" t="s">
        <v>122</v>
      </c>
      <c r="B1680" t="s">
        <v>1810</v>
      </c>
      <c r="C1680">
        <v>-4.21885653393569</v>
      </c>
      <c r="D1680">
        <v>0</v>
      </c>
      <c r="E1680">
        <v>0</v>
      </c>
      <c r="F1680" t="str">
        <f>"73/85"</f>
        <v>73/85</v>
      </c>
      <c r="G1680" s="10">
        <v>0.48680000000000001</v>
      </c>
    </row>
    <row r="1681" spans="1:7" x14ac:dyDescent="0.2">
      <c r="A1681" s="1" t="s">
        <v>122</v>
      </c>
      <c r="B1681" t="s">
        <v>533</v>
      </c>
      <c r="C1681">
        <v>-4.2147926504834698</v>
      </c>
      <c r="D1681">
        <v>0</v>
      </c>
      <c r="E1681">
        <v>0</v>
      </c>
      <c r="F1681" t="str">
        <f>"170/193"</f>
        <v>170/193</v>
      </c>
      <c r="G1681" s="10">
        <v>0.61470000000000002</v>
      </c>
    </row>
    <row r="1682" spans="1:7" x14ac:dyDescent="0.2">
      <c r="A1682" s="1" t="s">
        <v>122</v>
      </c>
      <c r="B1682" t="s">
        <v>1811</v>
      </c>
      <c r="C1682">
        <v>-4.2080425011528098</v>
      </c>
      <c r="D1682">
        <v>0</v>
      </c>
      <c r="E1682">
        <v>0</v>
      </c>
      <c r="F1682" t="str">
        <f>"65/70"</f>
        <v>65/70</v>
      </c>
      <c r="G1682" s="10">
        <v>0.49230000000000002</v>
      </c>
    </row>
    <row r="1683" spans="1:7" x14ac:dyDescent="0.2">
      <c r="A1683" s="1" t="s">
        <v>122</v>
      </c>
      <c r="B1683" t="s">
        <v>1812</v>
      </c>
      <c r="C1683">
        <v>-4.2075980906700599</v>
      </c>
      <c r="D1683">
        <v>0</v>
      </c>
      <c r="E1683">
        <v>0</v>
      </c>
      <c r="F1683" t="str">
        <f>"142/168"</f>
        <v>142/168</v>
      </c>
      <c r="G1683" s="10">
        <v>0.59450000000000003</v>
      </c>
    </row>
    <row r="1684" spans="1:7" x14ac:dyDescent="0.2">
      <c r="A1684" s="1" t="s">
        <v>122</v>
      </c>
      <c r="B1684" t="s">
        <v>1813</v>
      </c>
      <c r="C1684">
        <v>-4.2053024600737903</v>
      </c>
      <c r="D1684">
        <v>0</v>
      </c>
      <c r="E1684">
        <v>0</v>
      </c>
      <c r="F1684" t="str">
        <f>"59/68"</f>
        <v>59/68</v>
      </c>
      <c r="G1684" s="10">
        <v>0.43780000000000002</v>
      </c>
    </row>
    <row r="1685" spans="1:7" x14ac:dyDescent="0.2">
      <c r="A1685" s="1" t="s">
        <v>122</v>
      </c>
      <c r="B1685" t="s">
        <v>1814</v>
      </c>
      <c r="C1685">
        <v>-4.2000779285505798</v>
      </c>
      <c r="D1685">
        <v>0</v>
      </c>
      <c r="E1685">
        <v>0</v>
      </c>
      <c r="F1685" t="str">
        <f>"44/44"</f>
        <v>44/44</v>
      </c>
      <c r="G1685" s="10">
        <v>0.54659999999999997</v>
      </c>
    </row>
    <row r="1686" spans="1:7" x14ac:dyDescent="0.2">
      <c r="A1686" s="1" t="s">
        <v>122</v>
      </c>
      <c r="B1686" t="s">
        <v>1512</v>
      </c>
      <c r="C1686">
        <v>-4.1809284884277798</v>
      </c>
      <c r="D1686">
        <v>0</v>
      </c>
      <c r="E1686">
        <v>0</v>
      </c>
      <c r="F1686" t="str">
        <f>"69/73"</f>
        <v>69/73</v>
      </c>
      <c r="G1686" s="10">
        <v>0.55410000000000004</v>
      </c>
    </row>
    <row r="1687" spans="1:7" x14ac:dyDescent="0.2">
      <c r="A1687" s="1" t="s">
        <v>122</v>
      </c>
      <c r="B1687" t="s">
        <v>1077</v>
      </c>
      <c r="C1687">
        <v>-4.1736460632220203</v>
      </c>
      <c r="D1687">
        <v>0</v>
      </c>
      <c r="E1687">
        <v>0</v>
      </c>
      <c r="F1687" t="str">
        <f>"56/66"</f>
        <v>56/66</v>
      </c>
      <c r="G1687" s="10">
        <v>0.45989999999999998</v>
      </c>
    </row>
    <row r="1688" spans="1:7" x14ac:dyDescent="0.2">
      <c r="A1688" s="1" t="s">
        <v>122</v>
      </c>
      <c r="B1688" t="s">
        <v>1352</v>
      </c>
      <c r="C1688">
        <v>-4.1711874010425802</v>
      </c>
      <c r="D1688">
        <v>0</v>
      </c>
      <c r="E1688">
        <v>0</v>
      </c>
      <c r="F1688" t="str">
        <f>"135/150"</f>
        <v>135/150</v>
      </c>
      <c r="G1688" s="10">
        <v>0.61170000000000002</v>
      </c>
    </row>
    <row r="1689" spans="1:7" x14ac:dyDescent="0.2">
      <c r="A1689" s="1" t="s">
        <v>122</v>
      </c>
      <c r="B1689" t="s">
        <v>1815</v>
      </c>
      <c r="C1689">
        <v>-4.1662499459605797</v>
      </c>
      <c r="D1689">
        <v>0</v>
      </c>
      <c r="E1689">
        <v>0</v>
      </c>
      <c r="F1689" t="str">
        <f>"114/127"</f>
        <v>114/127</v>
      </c>
      <c r="G1689" s="10">
        <v>0.5917</v>
      </c>
    </row>
    <row r="1690" spans="1:7" x14ac:dyDescent="0.2">
      <c r="A1690" s="1" t="s">
        <v>122</v>
      </c>
      <c r="B1690" t="s">
        <v>1007</v>
      </c>
      <c r="C1690">
        <v>-4.1605321355085003</v>
      </c>
      <c r="D1690">
        <v>0</v>
      </c>
      <c r="E1690">
        <v>0</v>
      </c>
      <c r="F1690" t="str">
        <f>"69/74"</f>
        <v>69/74</v>
      </c>
      <c r="G1690" s="10">
        <v>0.51190000000000002</v>
      </c>
    </row>
    <row r="1691" spans="1:7" x14ac:dyDescent="0.2">
      <c r="A1691" s="1" t="s">
        <v>122</v>
      </c>
      <c r="B1691" t="s">
        <v>942</v>
      </c>
      <c r="C1691">
        <v>-4.1602066500368</v>
      </c>
      <c r="D1691">
        <v>0</v>
      </c>
      <c r="E1691">
        <v>0</v>
      </c>
      <c r="F1691" t="str">
        <f>"124/159"</f>
        <v>124/159</v>
      </c>
      <c r="G1691" s="10">
        <v>0.50729999999999997</v>
      </c>
    </row>
    <row r="1692" spans="1:7" x14ac:dyDescent="0.2">
      <c r="A1692" s="1" t="s">
        <v>122</v>
      </c>
      <c r="B1692" t="s">
        <v>1816</v>
      </c>
      <c r="C1692">
        <v>-4.1578169869127999</v>
      </c>
      <c r="D1692">
        <v>0</v>
      </c>
      <c r="E1692">
        <v>0</v>
      </c>
      <c r="F1692" t="str">
        <f>"35/35"</f>
        <v>35/35</v>
      </c>
      <c r="G1692" s="10">
        <v>0.48880000000000001</v>
      </c>
    </row>
    <row r="1693" spans="1:7" x14ac:dyDescent="0.2">
      <c r="A1693" s="1" t="s">
        <v>122</v>
      </c>
      <c r="B1693" t="s">
        <v>369</v>
      </c>
      <c r="C1693">
        <v>-4.1577188789890496</v>
      </c>
      <c r="D1693">
        <v>0</v>
      </c>
      <c r="E1693">
        <v>0</v>
      </c>
      <c r="F1693" t="str">
        <f>"73/82"</f>
        <v>73/82</v>
      </c>
      <c r="G1693" s="10">
        <v>0.52400000000000002</v>
      </c>
    </row>
    <row r="1694" spans="1:7" x14ac:dyDescent="0.2">
      <c r="A1694" s="1" t="s">
        <v>122</v>
      </c>
      <c r="B1694" t="s">
        <v>1119</v>
      </c>
      <c r="C1694">
        <v>-4.15641135844497</v>
      </c>
      <c r="D1694">
        <v>0</v>
      </c>
      <c r="E1694">
        <v>0</v>
      </c>
      <c r="F1694" t="str">
        <f>"38/38"</f>
        <v>38/38</v>
      </c>
      <c r="G1694" s="10">
        <v>0.5071</v>
      </c>
    </row>
    <row r="1695" spans="1:7" x14ac:dyDescent="0.2">
      <c r="A1695" s="1" t="s">
        <v>122</v>
      </c>
      <c r="B1695" t="s">
        <v>1817</v>
      </c>
      <c r="C1695">
        <v>-4.1542366746237702</v>
      </c>
      <c r="D1695">
        <v>0</v>
      </c>
      <c r="E1695">
        <v>0</v>
      </c>
      <c r="F1695" t="str">
        <f>"91/110"</f>
        <v>91/110</v>
      </c>
      <c r="G1695" s="10">
        <v>0.50690000000000002</v>
      </c>
    </row>
    <row r="1696" spans="1:7" x14ac:dyDescent="0.2">
      <c r="A1696" s="1" t="s">
        <v>122</v>
      </c>
      <c r="B1696" t="s">
        <v>173</v>
      </c>
      <c r="C1696">
        <v>-4.15395072965498</v>
      </c>
      <c r="D1696">
        <v>0</v>
      </c>
      <c r="E1696">
        <v>0</v>
      </c>
      <c r="F1696" t="str">
        <f>"81/85"</f>
        <v>81/85</v>
      </c>
      <c r="G1696" s="10">
        <v>0.60240000000000005</v>
      </c>
    </row>
    <row r="1697" spans="1:7" x14ac:dyDescent="0.2">
      <c r="A1697" s="1" t="s">
        <v>122</v>
      </c>
      <c r="B1697" t="s">
        <v>1818</v>
      </c>
      <c r="C1697">
        <v>-4.1496573668673902</v>
      </c>
      <c r="D1697">
        <v>0</v>
      </c>
      <c r="E1697">
        <v>0</v>
      </c>
      <c r="F1697" t="str">
        <f>"130/146"</f>
        <v>130/146</v>
      </c>
      <c r="G1697" s="10">
        <v>0.57289999999999996</v>
      </c>
    </row>
    <row r="1698" spans="1:7" x14ac:dyDescent="0.2">
      <c r="A1698" s="1" t="s">
        <v>122</v>
      </c>
      <c r="B1698" t="s">
        <v>1819</v>
      </c>
      <c r="C1698">
        <v>-4.1424939293346501</v>
      </c>
      <c r="D1698">
        <v>0</v>
      </c>
      <c r="E1698">
        <v>0</v>
      </c>
      <c r="F1698" t="str">
        <f>"170/208"</f>
        <v>170/208</v>
      </c>
      <c r="G1698" s="10">
        <v>0.57410000000000005</v>
      </c>
    </row>
    <row r="1699" spans="1:7" x14ac:dyDescent="0.2">
      <c r="A1699" s="1" t="s">
        <v>122</v>
      </c>
      <c r="B1699" t="s">
        <v>1820</v>
      </c>
      <c r="C1699">
        <v>-4.1386378423813399</v>
      </c>
      <c r="D1699">
        <v>0</v>
      </c>
      <c r="E1699">
        <v>0</v>
      </c>
      <c r="F1699" t="str">
        <f>"131/144"</f>
        <v>131/144</v>
      </c>
      <c r="G1699" s="10">
        <v>0.62060000000000004</v>
      </c>
    </row>
    <row r="1700" spans="1:7" x14ac:dyDescent="0.2">
      <c r="A1700" s="1" t="s">
        <v>122</v>
      </c>
      <c r="B1700" t="s">
        <v>1821</v>
      </c>
      <c r="C1700">
        <v>-4.1371037561512303</v>
      </c>
      <c r="D1700">
        <v>0</v>
      </c>
      <c r="E1700">
        <v>0</v>
      </c>
      <c r="F1700" t="str">
        <f>"56/68"</f>
        <v>56/68</v>
      </c>
      <c r="G1700" s="10">
        <v>0.39</v>
      </c>
    </row>
    <row r="1701" spans="1:7" x14ac:dyDescent="0.2">
      <c r="A1701" s="1" t="s">
        <v>122</v>
      </c>
      <c r="B1701" t="s">
        <v>661</v>
      </c>
      <c r="C1701">
        <v>-4.1276773017039998</v>
      </c>
      <c r="D1701">
        <v>0</v>
      </c>
      <c r="E1701">
        <v>0</v>
      </c>
      <c r="F1701" t="str">
        <f>"35/35"</f>
        <v>35/35</v>
      </c>
      <c r="G1701" s="10">
        <v>0.46560000000000001</v>
      </c>
    </row>
    <row r="1702" spans="1:7" x14ac:dyDescent="0.2">
      <c r="A1702" s="1" t="s">
        <v>122</v>
      </c>
      <c r="B1702" t="s">
        <v>901</v>
      </c>
      <c r="C1702">
        <v>-4.1271674872809898</v>
      </c>
      <c r="D1702">
        <v>0</v>
      </c>
      <c r="E1702">
        <v>0</v>
      </c>
      <c r="F1702" t="str">
        <f>"48/50"</f>
        <v>48/50</v>
      </c>
      <c r="G1702" s="10">
        <v>0.505</v>
      </c>
    </row>
    <row r="1703" spans="1:7" x14ac:dyDescent="0.2">
      <c r="A1703" s="1" t="s">
        <v>122</v>
      </c>
      <c r="B1703" t="s">
        <v>1822</v>
      </c>
      <c r="C1703">
        <v>-4.1223484617114199</v>
      </c>
      <c r="D1703">
        <v>0</v>
      </c>
      <c r="E1703">
        <v>0</v>
      </c>
      <c r="F1703" t="str">
        <f>"62/67"</f>
        <v>62/67</v>
      </c>
      <c r="G1703" s="10">
        <v>0.49630000000000002</v>
      </c>
    </row>
    <row r="1704" spans="1:7" x14ac:dyDescent="0.2">
      <c r="A1704" s="1" t="s">
        <v>122</v>
      </c>
      <c r="B1704" t="s">
        <v>889</v>
      </c>
      <c r="C1704">
        <v>-4.1209499891763599</v>
      </c>
      <c r="D1704">
        <v>0</v>
      </c>
      <c r="E1704">
        <v>0</v>
      </c>
      <c r="F1704" t="str">
        <f>"67/72"</f>
        <v>67/72</v>
      </c>
      <c r="G1704" s="10">
        <v>0.53180000000000005</v>
      </c>
    </row>
    <row r="1705" spans="1:7" x14ac:dyDescent="0.2">
      <c r="A1705" s="1" t="s">
        <v>122</v>
      </c>
      <c r="B1705" t="s">
        <v>1823</v>
      </c>
      <c r="C1705">
        <v>-4.1099863308218199</v>
      </c>
      <c r="D1705">
        <v>0</v>
      </c>
      <c r="E1705">
        <v>0</v>
      </c>
      <c r="F1705" t="str">
        <f>"57/61"</f>
        <v>57/61</v>
      </c>
      <c r="G1705" s="10">
        <v>0.49170000000000003</v>
      </c>
    </row>
    <row r="1706" spans="1:7" x14ac:dyDescent="0.2">
      <c r="A1706" s="1" t="s">
        <v>122</v>
      </c>
      <c r="B1706" t="s">
        <v>1336</v>
      </c>
      <c r="C1706">
        <v>-4.1061226156929704</v>
      </c>
      <c r="D1706">
        <v>0</v>
      </c>
      <c r="E1706">
        <v>0</v>
      </c>
      <c r="F1706" t="str">
        <f>"92/97"</f>
        <v>92/97</v>
      </c>
      <c r="G1706" s="10">
        <v>0.63109999999999999</v>
      </c>
    </row>
    <row r="1707" spans="1:7" x14ac:dyDescent="0.2">
      <c r="A1707" s="1" t="s">
        <v>122</v>
      </c>
      <c r="B1707" t="s">
        <v>1824</v>
      </c>
      <c r="C1707">
        <v>-4.0981254800968303</v>
      </c>
      <c r="D1707">
        <v>0</v>
      </c>
      <c r="E1707">
        <v>0</v>
      </c>
      <c r="F1707" t="str">
        <f>"67/89"</f>
        <v>67/89</v>
      </c>
      <c r="G1707" s="10">
        <v>0.38750000000000001</v>
      </c>
    </row>
    <row r="1708" spans="1:7" x14ac:dyDescent="0.2">
      <c r="A1708" s="1" t="s">
        <v>122</v>
      </c>
      <c r="B1708" t="s">
        <v>1825</v>
      </c>
      <c r="C1708">
        <v>-4.0916959768683299</v>
      </c>
      <c r="D1708">
        <v>0</v>
      </c>
      <c r="E1708">
        <v>0</v>
      </c>
      <c r="F1708" t="str">
        <f>"64/78"</f>
        <v>64/78</v>
      </c>
      <c r="G1708" s="10">
        <v>0.42809999999999998</v>
      </c>
    </row>
    <row r="1709" spans="1:7" x14ac:dyDescent="0.2">
      <c r="A1709" s="1" t="s">
        <v>122</v>
      </c>
      <c r="B1709" t="s">
        <v>701</v>
      </c>
      <c r="C1709">
        <v>-4.0872304740229097</v>
      </c>
      <c r="D1709">
        <v>0</v>
      </c>
      <c r="E1709">
        <v>0</v>
      </c>
      <c r="F1709" t="str">
        <f>"47/53"</f>
        <v>47/53</v>
      </c>
      <c r="G1709" s="10">
        <v>0.43780000000000002</v>
      </c>
    </row>
    <row r="1710" spans="1:7" x14ac:dyDescent="0.2">
      <c r="A1710" s="1" t="s">
        <v>122</v>
      </c>
      <c r="B1710" t="s">
        <v>1826</v>
      </c>
      <c r="C1710">
        <v>-4.0859570307779904</v>
      </c>
      <c r="D1710">
        <v>0</v>
      </c>
      <c r="E1710">
        <v>0</v>
      </c>
      <c r="F1710" t="str">
        <f>"49/54"</f>
        <v>49/54</v>
      </c>
      <c r="G1710" s="10">
        <v>0.49580000000000002</v>
      </c>
    </row>
    <row r="1711" spans="1:7" x14ac:dyDescent="0.2">
      <c r="A1711" s="1" t="s">
        <v>122</v>
      </c>
      <c r="B1711" t="s">
        <v>1827</v>
      </c>
      <c r="C1711">
        <v>-4.08489246936103</v>
      </c>
      <c r="D1711">
        <v>0</v>
      </c>
      <c r="E1711">
        <v>0</v>
      </c>
      <c r="F1711" t="str">
        <f>"80/90"</f>
        <v>80/90</v>
      </c>
      <c r="G1711" s="10">
        <v>0.51780000000000004</v>
      </c>
    </row>
    <row r="1712" spans="1:7" x14ac:dyDescent="0.2">
      <c r="A1712" s="1" t="s">
        <v>122</v>
      </c>
      <c r="B1712" t="s">
        <v>558</v>
      </c>
      <c r="C1712">
        <v>-4.0823754100893304</v>
      </c>
      <c r="D1712">
        <v>0</v>
      </c>
      <c r="E1712">
        <v>0</v>
      </c>
      <c r="F1712" t="str">
        <f>"105/114"</f>
        <v>105/114</v>
      </c>
      <c r="G1712" s="10">
        <v>0.61470000000000002</v>
      </c>
    </row>
    <row r="1713" spans="1:7" x14ac:dyDescent="0.2">
      <c r="A1713" s="1" t="s">
        <v>122</v>
      </c>
      <c r="B1713" t="s">
        <v>718</v>
      </c>
      <c r="C1713">
        <v>-4.0768273845537504</v>
      </c>
      <c r="D1713">
        <v>0</v>
      </c>
      <c r="E1713">
        <v>0</v>
      </c>
      <c r="F1713" t="str">
        <f>"68/72"</f>
        <v>68/72</v>
      </c>
      <c r="G1713" s="10">
        <v>0.56910000000000005</v>
      </c>
    </row>
    <row r="1714" spans="1:7" x14ac:dyDescent="0.2">
      <c r="A1714" s="1" t="s">
        <v>122</v>
      </c>
      <c r="B1714" t="s">
        <v>1828</v>
      </c>
      <c r="C1714">
        <v>-4.0699937388880096</v>
      </c>
      <c r="D1714">
        <v>0</v>
      </c>
      <c r="E1714">
        <v>0</v>
      </c>
      <c r="F1714" t="str">
        <f>"72/76"</f>
        <v>72/76</v>
      </c>
      <c r="G1714" s="10">
        <v>0.57020000000000004</v>
      </c>
    </row>
    <row r="1715" spans="1:7" x14ac:dyDescent="0.2">
      <c r="A1715" s="1" t="s">
        <v>122</v>
      </c>
      <c r="B1715" t="s">
        <v>1829</v>
      </c>
      <c r="C1715">
        <v>-4.0623678708592399</v>
      </c>
      <c r="D1715">
        <v>0</v>
      </c>
      <c r="E1715">
        <v>0</v>
      </c>
      <c r="F1715" t="str">
        <f>"95/123"</f>
        <v>95/123</v>
      </c>
      <c r="G1715" s="10">
        <v>0.47299999999999998</v>
      </c>
    </row>
    <row r="1716" spans="1:7" x14ac:dyDescent="0.2">
      <c r="A1716" s="1" t="s">
        <v>122</v>
      </c>
      <c r="B1716" t="s">
        <v>1045</v>
      </c>
      <c r="C1716">
        <v>-4.0603838726909798</v>
      </c>
      <c r="D1716">
        <v>0</v>
      </c>
      <c r="E1716">
        <v>0</v>
      </c>
      <c r="F1716" t="str">
        <f>"92/103"</f>
        <v>92/103</v>
      </c>
      <c r="G1716" s="10">
        <v>0.58030000000000004</v>
      </c>
    </row>
    <row r="1717" spans="1:7" x14ac:dyDescent="0.2">
      <c r="A1717" s="1" t="s">
        <v>122</v>
      </c>
      <c r="B1717" t="s">
        <v>958</v>
      </c>
      <c r="C1717">
        <v>-4.05591813054067</v>
      </c>
      <c r="D1717">
        <v>0</v>
      </c>
      <c r="E1717">
        <v>0</v>
      </c>
      <c r="F1717" t="str">
        <f>"48/67"</f>
        <v>48/67</v>
      </c>
      <c r="G1717" s="10">
        <v>0.3453</v>
      </c>
    </row>
    <row r="1718" spans="1:7" x14ac:dyDescent="0.2">
      <c r="A1718" s="1" t="s">
        <v>122</v>
      </c>
      <c r="B1718" t="s">
        <v>1830</v>
      </c>
      <c r="C1718">
        <v>-4.0496048096641397</v>
      </c>
      <c r="D1718">
        <v>0</v>
      </c>
      <c r="E1718">
        <v>0</v>
      </c>
      <c r="F1718" t="str">
        <f>"44/48"</f>
        <v>44/48</v>
      </c>
      <c r="G1718" s="10">
        <v>0.435</v>
      </c>
    </row>
    <row r="1719" spans="1:7" x14ac:dyDescent="0.2">
      <c r="A1719" s="1" t="s">
        <v>122</v>
      </c>
      <c r="B1719" t="s">
        <v>1831</v>
      </c>
      <c r="C1719">
        <v>-4.0483267611763596</v>
      </c>
      <c r="D1719">
        <v>0</v>
      </c>
      <c r="E1719">
        <v>0</v>
      </c>
      <c r="F1719" t="str">
        <f>"108/122"</f>
        <v>108/122</v>
      </c>
      <c r="G1719" s="10">
        <v>0.57620000000000005</v>
      </c>
    </row>
    <row r="1720" spans="1:7" x14ac:dyDescent="0.2">
      <c r="A1720" s="1" t="s">
        <v>122</v>
      </c>
      <c r="B1720" t="s">
        <v>1832</v>
      </c>
      <c r="C1720">
        <v>-4.0463642141847904</v>
      </c>
      <c r="D1720">
        <v>0</v>
      </c>
      <c r="E1720">
        <v>0</v>
      </c>
      <c r="F1720" t="str">
        <f>"67/74"</f>
        <v>67/74</v>
      </c>
      <c r="G1720" s="10">
        <v>0.52680000000000005</v>
      </c>
    </row>
    <row r="1721" spans="1:7" x14ac:dyDescent="0.2">
      <c r="A1721" s="1" t="s">
        <v>122</v>
      </c>
      <c r="B1721" t="s">
        <v>1833</v>
      </c>
      <c r="C1721">
        <v>-4.0455107423356802</v>
      </c>
      <c r="D1721">
        <v>0</v>
      </c>
      <c r="E1721">
        <v>0</v>
      </c>
      <c r="F1721" t="str">
        <f>"50/58"</f>
        <v>50/58</v>
      </c>
      <c r="G1721" s="10">
        <v>0.435</v>
      </c>
    </row>
    <row r="1722" spans="1:7" x14ac:dyDescent="0.2">
      <c r="A1722" s="1" t="s">
        <v>122</v>
      </c>
      <c r="B1722" t="s">
        <v>949</v>
      </c>
      <c r="C1722">
        <v>-4.0390872736451398</v>
      </c>
      <c r="D1722">
        <v>0</v>
      </c>
      <c r="E1722">
        <v>0</v>
      </c>
      <c r="F1722" t="str">
        <f>"66/73"</f>
        <v>66/73</v>
      </c>
      <c r="G1722" s="10">
        <v>0.4844</v>
      </c>
    </row>
    <row r="1723" spans="1:7" x14ac:dyDescent="0.2">
      <c r="A1723" s="1" t="s">
        <v>122</v>
      </c>
      <c r="B1723" t="s">
        <v>1834</v>
      </c>
      <c r="C1723">
        <v>-4.0330160034487799</v>
      </c>
      <c r="D1723">
        <v>0</v>
      </c>
      <c r="E1723">
        <v>0</v>
      </c>
      <c r="F1723" t="str">
        <f>"72/83"</f>
        <v>72/83</v>
      </c>
      <c r="G1723" s="10">
        <v>0.51959999999999995</v>
      </c>
    </row>
    <row r="1724" spans="1:7" x14ac:dyDescent="0.2">
      <c r="A1724" s="1" t="s">
        <v>122</v>
      </c>
      <c r="B1724" t="s">
        <v>7</v>
      </c>
      <c r="C1724">
        <v>-4.0313789506090103</v>
      </c>
      <c r="D1724">
        <v>0</v>
      </c>
      <c r="E1724">
        <v>0</v>
      </c>
      <c r="F1724" t="str">
        <f>"146/175"</f>
        <v>146/175</v>
      </c>
      <c r="G1724" s="10">
        <v>0.57520000000000004</v>
      </c>
    </row>
    <row r="1725" spans="1:7" x14ac:dyDescent="0.2">
      <c r="A1725" s="1" t="s">
        <v>122</v>
      </c>
      <c r="B1725" t="s">
        <v>514</v>
      </c>
      <c r="C1725">
        <v>-4.0239113965872502</v>
      </c>
      <c r="D1725">
        <v>0</v>
      </c>
      <c r="E1725">
        <v>0</v>
      </c>
      <c r="F1725" t="str">
        <f>"194/211"</f>
        <v>194/211</v>
      </c>
      <c r="G1725" s="10">
        <v>0.66910000000000003</v>
      </c>
    </row>
    <row r="1726" spans="1:7" x14ac:dyDescent="0.2">
      <c r="A1726" s="1" t="s">
        <v>122</v>
      </c>
      <c r="B1726" t="s">
        <v>1066</v>
      </c>
      <c r="C1726">
        <v>-4.0116031519380702</v>
      </c>
      <c r="D1726">
        <v>0</v>
      </c>
      <c r="E1726">
        <v>0</v>
      </c>
      <c r="F1726" t="str">
        <f>"52/59"</f>
        <v>52/59</v>
      </c>
      <c r="G1726" s="10">
        <v>0.48770000000000002</v>
      </c>
    </row>
    <row r="1727" spans="1:7" x14ac:dyDescent="0.2">
      <c r="A1727" s="1" t="s">
        <v>122</v>
      </c>
      <c r="B1727" t="s">
        <v>1489</v>
      </c>
      <c r="C1727">
        <v>-4.0083384871845196</v>
      </c>
      <c r="D1727">
        <v>0</v>
      </c>
      <c r="E1727">
        <v>0</v>
      </c>
      <c r="F1727" t="str">
        <f>"125/141"</f>
        <v>125/141</v>
      </c>
      <c r="G1727" s="10">
        <v>0.63090000000000002</v>
      </c>
    </row>
    <row r="1728" spans="1:7" x14ac:dyDescent="0.2">
      <c r="A1728" s="1" t="s">
        <v>122</v>
      </c>
      <c r="B1728" t="s">
        <v>964</v>
      </c>
      <c r="C1728">
        <v>-4.0040180716372404</v>
      </c>
      <c r="D1728">
        <v>0</v>
      </c>
      <c r="E1728">
        <v>0</v>
      </c>
      <c r="F1728" t="str">
        <f>"56/61"</f>
        <v>56/61</v>
      </c>
      <c r="G1728" s="10">
        <v>0.47670000000000001</v>
      </c>
    </row>
    <row r="1729" spans="1:7" x14ac:dyDescent="0.2">
      <c r="A1729" s="1" t="s">
        <v>122</v>
      </c>
      <c r="B1729" t="s">
        <v>1835</v>
      </c>
      <c r="C1729">
        <v>-4.0033366448258603</v>
      </c>
      <c r="D1729">
        <v>0</v>
      </c>
      <c r="E1729">
        <v>0</v>
      </c>
      <c r="F1729" t="str">
        <f>"63/70"</f>
        <v>63/70</v>
      </c>
      <c r="G1729" s="10">
        <v>0.51980000000000004</v>
      </c>
    </row>
    <row r="1730" spans="1:7" x14ac:dyDescent="0.2">
      <c r="A1730" s="1" t="s">
        <v>122</v>
      </c>
      <c r="B1730" t="s">
        <v>1056</v>
      </c>
      <c r="C1730">
        <v>-4.0017393363616902</v>
      </c>
      <c r="D1730">
        <v>0</v>
      </c>
      <c r="E1730">
        <v>0</v>
      </c>
      <c r="F1730" t="str">
        <f>"103/109"</f>
        <v>103/109</v>
      </c>
      <c r="G1730" s="10">
        <v>0.62680000000000002</v>
      </c>
    </row>
    <row r="1731" spans="1:7" x14ac:dyDescent="0.2">
      <c r="A1731" s="1" t="s">
        <v>122</v>
      </c>
      <c r="B1731" t="s">
        <v>1836</v>
      </c>
      <c r="C1731">
        <v>-3.9996402229173</v>
      </c>
      <c r="D1731">
        <v>0</v>
      </c>
      <c r="E1731">
        <v>0</v>
      </c>
      <c r="F1731" t="str">
        <f>"52/56"</f>
        <v>52/56</v>
      </c>
      <c r="G1731" s="10">
        <v>0.49480000000000002</v>
      </c>
    </row>
    <row r="1732" spans="1:7" x14ac:dyDescent="0.2">
      <c r="A1732" s="1" t="s">
        <v>122</v>
      </c>
      <c r="B1732" t="s">
        <v>753</v>
      </c>
      <c r="C1732">
        <v>-3.9988338339865699</v>
      </c>
      <c r="D1732">
        <v>0</v>
      </c>
      <c r="E1732">
        <v>0</v>
      </c>
      <c r="F1732" t="str">
        <f>"38/41"</f>
        <v>38/41</v>
      </c>
      <c r="G1732" s="10">
        <v>0.43780000000000002</v>
      </c>
    </row>
    <row r="1733" spans="1:7" x14ac:dyDescent="0.2">
      <c r="A1733" s="1" t="s">
        <v>122</v>
      </c>
      <c r="B1733" t="s">
        <v>1837</v>
      </c>
      <c r="C1733">
        <v>-3.9903493920618001</v>
      </c>
      <c r="D1733">
        <v>0</v>
      </c>
      <c r="E1733">
        <v>0</v>
      </c>
      <c r="F1733" t="str">
        <f>"98/106"</f>
        <v>98/106</v>
      </c>
      <c r="G1733" s="10">
        <v>0.57720000000000005</v>
      </c>
    </row>
    <row r="1734" spans="1:7" x14ac:dyDescent="0.2">
      <c r="A1734" s="1" t="s">
        <v>122</v>
      </c>
      <c r="B1734" t="s">
        <v>540</v>
      </c>
      <c r="C1734">
        <v>-3.98981068555524</v>
      </c>
      <c r="D1734">
        <v>0</v>
      </c>
      <c r="E1734">
        <v>0</v>
      </c>
      <c r="F1734" t="str">
        <f>"107/127"</f>
        <v>107/127</v>
      </c>
      <c r="G1734" s="10">
        <v>0.56310000000000004</v>
      </c>
    </row>
    <row r="1735" spans="1:7" x14ac:dyDescent="0.2">
      <c r="A1735" s="1" t="s">
        <v>122</v>
      </c>
      <c r="B1735" t="s">
        <v>836</v>
      </c>
      <c r="C1735">
        <v>-3.9867785615114801</v>
      </c>
      <c r="D1735">
        <v>0</v>
      </c>
      <c r="E1735">
        <v>0</v>
      </c>
      <c r="F1735" t="str">
        <f>"38/41"</f>
        <v>38/41</v>
      </c>
      <c r="G1735" s="10">
        <v>0.43780000000000002</v>
      </c>
    </row>
    <row r="1736" spans="1:7" x14ac:dyDescent="0.2">
      <c r="A1736" s="1" t="s">
        <v>122</v>
      </c>
      <c r="B1736" t="s">
        <v>1838</v>
      </c>
      <c r="C1736">
        <v>-3.9768622817671</v>
      </c>
      <c r="D1736">
        <v>0</v>
      </c>
      <c r="E1736">
        <v>0</v>
      </c>
      <c r="F1736" t="str">
        <f>"46/47"</f>
        <v>46/47</v>
      </c>
      <c r="G1736" s="10">
        <v>0.52680000000000005</v>
      </c>
    </row>
    <row r="1737" spans="1:7" x14ac:dyDescent="0.2">
      <c r="A1737" s="1" t="s">
        <v>122</v>
      </c>
      <c r="B1737" t="s">
        <v>1839</v>
      </c>
      <c r="C1737">
        <v>-3.9755667759691602</v>
      </c>
      <c r="D1737">
        <v>0</v>
      </c>
      <c r="E1737">
        <v>0</v>
      </c>
      <c r="F1737" t="str">
        <f>"66/71"</f>
        <v>66/71</v>
      </c>
      <c r="G1737" s="10">
        <v>0.54459999999999997</v>
      </c>
    </row>
    <row r="1738" spans="1:7" x14ac:dyDescent="0.2">
      <c r="A1738" s="1" t="s">
        <v>122</v>
      </c>
      <c r="B1738" t="s">
        <v>925</v>
      </c>
      <c r="C1738">
        <v>-3.9746179396732901</v>
      </c>
      <c r="D1738">
        <v>0</v>
      </c>
      <c r="E1738">
        <v>0</v>
      </c>
      <c r="F1738" t="str">
        <f>"70/76"</f>
        <v>70/76</v>
      </c>
      <c r="G1738" s="10">
        <v>0.55410000000000004</v>
      </c>
    </row>
    <row r="1739" spans="1:7" x14ac:dyDescent="0.2">
      <c r="A1739" s="1" t="s">
        <v>122</v>
      </c>
      <c r="B1739" t="s">
        <v>997</v>
      </c>
      <c r="C1739">
        <v>-3.97108499239331</v>
      </c>
      <c r="D1739">
        <v>0</v>
      </c>
      <c r="E1739">
        <v>0</v>
      </c>
      <c r="F1739" t="str">
        <f>"65/73"</f>
        <v>65/73</v>
      </c>
      <c r="G1739" s="10">
        <v>0.53249999999999997</v>
      </c>
    </row>
    <row r="1740" spans="1:7" x14ac:dyDescent="0.2">
      <c r="A1740" s="1" t="s">
        <v>122</v>
      </c>
      <c r="B1740" t="s">
        <v>1840</v>
      </c>
      <c r="C1740">
        <v>-3.9584971821576902</v>
      </c>
      <c r="D1740">
        <v>0</v>
      </c>
      <c r="E1740">
        <v>0</v>
      </c>
      <c r="F1740" t="str">
        <f>"254/283"</f>
        <v>254/283</v>
      </c>
      <c r="G1740" s="10">
        <v>0.69610000000000005</v>
      </c>
    </row>
    <row r="1741" spans="1:7" x14ac:dyDescent="0.2">
      <c r="A1741" s="1" t="s">
        <v>122</v>
      </c>
      <c r="B1741" t="s">
        <v>1841</v>
      </c>
      <c r="C1741">
        <v>-3.9550080567728401</v>
      </c>
      <c r="D1741">
        <v>0</v>
      </c>
      <c r="E1741">
        <v>0</v>
      </c>
      <c r="F1741" t="str">
        <f>"58/64"</f>
        <v>58/64</v>
      </c>
      <c r="G1741" s="10">
        <v>0.51229999999999998</v>
      </c>
    </row>
    <row r="1742" spans="1:7" x14ac:dyDescent="0.2">
      <c r="A1742" s="1" t="s">
        <v>122</v>
      </c>
      <c r="B1742" t="s">
        <v>1842</v>
      </c>
      <c r="C1742">
        <v>-3.9549505043362099</v>
      </c>
      <c r="D1742">
        <v>0</v>
      </c>
      <c r="E1742">
        <v>0</v>
      </c>
      <c r="F1742" t="str">
        <f>"32/33"</f>
        <v>32/33</v>
      </c>
      <c r="G1742" s="10">
        <v>0.46110000000000001</v>
      </c>
    </row>
    <row r="1743" spans="1:7" x14ac:dyDescent="0.2">
      <c r="A1743" s="1" t="s">
        <v>122</v>
      </c>
      <c r="B1743" t="s">
        <v>671</v>
      </c>
      <c r="C1743">
        <v>-3.9536638978007801</v>
      </c>
      <c r="D1743">
        <v>0</v>
      </c>
      <c r="E1743">
        <v>0</v>
      </c>
      <c r="F1743" t="str">
        <f>"32/32"</f>
        <v>32/32</v>
      </c>
      <c r="G1743" s="10">
        <v>0.46350000000000002</v>
      </c>
    </row>
    <row r="1744" spans="1:7" x14ac:dyDescent="0.2">
      <c r="A1744" s="1" t="s">
        <v>122</v>
      </c>
      <c r="B1744" t="s">
        <v>672</v>
      </c>
      <c r="C1744">
        <v>-3.9536638978007801</v>
      </c>
      <c r="D1744">
        <v>0</v>
      </c>
      <c r="E1744">
        <v>0</v>
      </c>
      <c r="F1744" t="str">
        <f>"32/32"</f>
        <v>32/32</v>
      </c>
      <c r="G1744" s="10">
        <v>0.46350000000000002</v>
      </c>
    </row>
    <row r="1745" spans="1:7" x14ac:dyDescent="0.2">
      <c r="A1745" s="1" t="s">
        <v>122</v>
      </c>
      <c r="B1745" t="s">
        <v>1843</v>
      </c>
      <c r="C1745">
        <v>-3.9513236947425501</v>
      </c>
      <c r="D1745">
        <v>0</v>
      </c>
      <c r="E1745">
        <v>0</v>
      </c>
      <c r="F1745" t="str">
        <f>"42/48"</f>
        <v>42/48</v>
      </c>
      <c r="G1745" s="10">
        <v>0.45069999999999999</v>
      </c>
    </row>
    <row r="1746" spans="1:7" x14ac:dyDescent="0.2">
      <c r="A1746" s="1" t="s">
        <v>122</v>
      </c>
      <c r="B1746" t="s">
        <v>515</v>
      </c>
      <c r="C1746">
        <v>-3.9505928031614799</v>
      </c>
      <c r="D1746">
        <v>0</v>
      </c>
      <c r="E1746">
        <v>0</v>
      </c>
      <c r="F1746" t="str">
        <f>"195/212"</f>
        <v>195/212</v>
      </c>
      <c r="G1746" s="10">
        <v>0.66910000000000003</v>
      </c>
    </row>
    <row r="1747" spans="1:7" x14ac:dyDescent="0.2">
      <c r="A1747" s="1" t="s">
        <v>122</v>
      </c>
      <c r="B1747" t="s">
        <v>1844</v>
      </c>
      <c r="C1747">
        <v>-3.9494737264055102</v>
      </c>
      <c r="D1747">
        <v>0</v>
      </c>
      <c r="E1747">
        <v>0</v>
      </c>
      <c r="F1747" t="str">
        <f>"50/56"</f>
        <v>50/56</v>
      </c>
      <c r="G1747" s="10">
        <v>0.47189999999999999</v>
      </c>
    </row>
    <row r="1748" spans="1:7" x14ac:dyDescent="0.2">
      <c r="A1748" s="1" t="s">
        <v>122</v>
      </c>
      <c r="B1748" t="s">
        <v>249</v>
      </c>
      <c r="C1748">
        <v>-3.9448064265635101</v>
      </c>
      <c r="D1748">
        <v>0</v>
      </c>
      <c r="E1748">
        <v>0</v>
      </c>
      <c r="F1748" t="str">
        <f>"157/172"</f>
        <v>157/172</v>
      </c>
      <c r="G1748" s="10">
        <v>0.6502</v>
      </c>
    </row>
    <row r="1749" spans="1:7" x14ac:dyDescent="0.2">
      <c r="A1749" s="1" t="s">
        <v>122</v>
      </c>
      <c r="B1749" t="s">
        <v>727</v>
      </c>
      <c r="C1749">
        <v>-3.9441250535727201</v>
      </c>
      <c r="D1749">
        <v>0</v>
      </c>
      <c r="E1749">
        <v>0</v>
      </c>
      <c r="F1749" t="str">
        <f>"89/92"</f>
        <v>89/92</v>
      </c>
      <c r="G1749" s="10">
        <v>0.63580000000000003</v>
      </c>
    </row>
    <row r="1750" spans="1:7" x14ac:dyDescent="0.2">
      <c r="A1750" s="1" t="s">
        <v>122</v>
      </c>
      <c r="B1750" t="s">
        <v>1845</v>
      </c>
      <c r="C1750">
        <v>-3.9403743568856902</v>
      </c>
      <c r="D1750">
        <v>0</v>
      </c>
      <c r="E1750">
        <v>0</v>
      </c>
      <c r="F1750" t="str">
        <f>"79/91"</f>
        <v>79/91</v>
      </c>
      <c r="G1750" s="10">
        <v>0.53069999999999995</v>
      </c>
    </row>
    <row r="1751" spans="1:7" x14ac:dyDescent="0.2">
      <c r="A1751" s="1" t="s">
        <v>122</v>
      </c>
      <c r="B1751" t="s">
        <v>1846</v>
      </c>
      <c r="C1751">
        <v>-3.9399571087106602</v>
      </c>
      <c r="D1751">
        <v>0</v>
      </c>
      <c r="E1751">
        <v>0</v>
      </c>
      <c r="F1751" t="str">
        <f>"68/76"</f>
        <v>68/76</v>
      </c>
      <c r="G1751" s="10">
        <v>0.53559999999999997</v>
      </c>
    </row>
    <row r="1752" spans="1:7" x14ac:dyDescent="0.2">
      <c r="A1752" s="1" t="s">
        <v>122</v>
      </c>
      <c r="B1752" t="s">
        <v>1165</v>
      </c>
      <c r="C1752">
        <v>-3.9388081053292998</v>
      </c>
      <c r="D1752">
        <v>0</v>
      </c>
      <c r="E1752">
        <v>0</v>
      </c>
      <c r="F1752" t="str">
        <f>"189/218"</f>
        <v>189/218</v>
      </c>
      <c r="G1752" s="10">
        <v>0.63880000000000003</v>
      </c>
    </row>
    <row r="1753" spans="1:7" x14ac:dyDescent="0.2">
      <c r="A1753" s="1" t="s">
        <v>122</v>
      </c>
      <c r="B1753" t="s">
        <v>1847</v>
      </c>
      <c r="C1753">
        <v>-3.9266692363089</v>
      </c>
      <c r="D1753">
        <v>0</v>
      </c>
      <c r="E1753">
        <v>0</v>
      </c>
      <c r="F1753" t="str">
        <f>"43/45"</f>
        <v>43/45</v>
      </c>
      <c r="G1753" s="10">
        <v>0.48499999999999999</v>
      </c>
    </row>
    <row r="1754" spans="1:7" x14ac:dyDescent="0.2">
      <c r="A1754" s="1" t="s">
        <v>122</v>
      </c>
      <c r="B1754" t="s">
        <v>1848</v>
      </c>
      <c r="C1754">
        <v>-3.9243621742658501</v>
      </c>
      <c r="D1754">
        <v>0</v>
      </c>
      <c r="E1754">
        <v>0</v>
      </c>
      <c r="F1754" t="str">
        <f>"78/81"</f>
        <v>78/81</v>
      </c>
      <c r="G1754" s="10">
        <v>0.64119999999999999</v>
      </c>
    </row>
    <row r="1755" spans="1:7" x14ac:dyDescent="0.2">
      <c r="A1755" s="1" t="s">
        <v>122</v>
      </c>
      <c r="B1755" t="s">
        <v>1849</v>
      </c>
      <c r="C1755">
        <v>-3.92384546673475</v>
      </c>
      <c r="D1755">
        <v>0</v>
      </c>
      <c r="E1755">
        <v>0</v>
      </c>
      <c r="F1755" t="str">
        <f>"47/58"</f>
        <v>47/58</v>
      </c>
      <c r="G1755" s="10">
        <v>0.42159999999999997</v>
      </c>
    </row>
    <row r="1756" spans="1:7" x14ac:dyDescent="0.2">
      <c r="A1756" s="1" t="s">
        <v>122</v>
      </c>
      <c r="B1756" t="s">
        <v>1850</v>
      </c>
      <c r="C1756">
        <v>-3.9206611846559198</v>
      </c>
      <c r="D1756">
        <v>0</v>
      </c>
      <c r="E1756">
        <v>0</v>
      </c>
      <c r="F1756" t="str">
        <f>"47/50"</f>
        <v>47/50</v>
      </c>
      <c r="G1756" s="10">
        <v>0.4834</v>
      </c>
    </row>
    <row r="1757" spans="1:7" x14ac:dyDescent="0.2">
      <c r="A1757" s="1" t="s">
        <v>122</v>
      </c>
      <c r="B1757" t="s">
        <v>801</v>
      </c>
      <c r="C1757">
        <v>-3.9037508899117799</v>
      </c>
      <c r="D1757">
        <v>0</v>
      </c>
      <c r="E1757">
        <v>0</v>
      </c>
      <c r="F1757" t="str">
        <f>"56/57"</f>
        <v>56/57</v>
      </c>
      <c r="G1757" s="10">
        <v>0.55740000000000001</v>
      </c>
    </row>
    <row r="1758" spans="1:7" x14ac:dyDescent="0.2">
      <c r="A1758" s="1" t="s">
        <v>122</v>
      </c>
      <c r="B1758" t="s">
        <v>1322</v>
      </c>
      <c r="C1758">
        <v>-3.9030233504840299</v>
      </c>
      <c r="D1758">
        <v>0</v>
      </c>
      <c r="E1758">
        <v>0</v>
      </c>
      <c r="F1758" t="str">
        <f>"164/201"</f>
        <v>164/201</v>
      </c>
      <c r="G1758" s="10">
        <v>0.60770000000000002</v>
      </c>
    </row>
    <row r="1759" spans="1:7" x14ac:dyDescent="0.2">
      <c r="A1759" s="1" t="s">
        <v>122</v>
      </c>
      <c r="B1759" t="s">
        <v>560</v>
      </c>
      <c r="C1759">
        <v>-3.8995791089833101</v>
      </c>
      <c r="D1759">
        <v>0</v>
      </c>
      <c r="E1759">
        <v>0</v>
      </c>
      <c r="F1759" t="str">
        <f>"93/100"</f>
        <v>93/100</v>
      </c>
      <c r="G1759" s="10">
        <v>0.61470000000000002</v>
      </c>
    </row>
    <row r="1760" spans="1:7" x14ac:dyDescent="0.2">
      <c r="A1760" s="1" t="s">
        <v>122</v>
      </c>
      <c r="B1760" t="s">
        <v>522</v>
      </c>
      <c r="C1760">
        <v>-3.8988766051096602</v>
      </c>
      <c r="D1760">
        <v>0</v>
      </c>
      <c r="E1760">
        <v>0</v>
      </c>
      <c r="F1760" t="str">
        <f>"368/439"</f>
        <v>368/439</v>
      </c>
      <c r="G1760" s="10">
        <v>0.67579999999999996</v>
      </c>
    </row>
    <row r="1761" spans="1:7" x14ac:dyDescent="0.2">
      <c r="A1761" s="1" t="s">
        <v>122</v>
      </c>
      <c r="B1761" t="s">
        <v>913</v>
      </c>
      <c r="C1761">
        <v>-3.8988597041041602</v>
      </c>
      <c r="D1761">
        <v>0</v>
      </c>
      <c r="E1761">
        <v>0</v>
      </c>
      <c r="F1761" t="str">
        <f>"61/61"</f>
        <v>61/61</v>
      </c>
      <c r="G1761" s="10">
        <v>0.56940000000000002</v>
      </c>
    </row>
    <row r="1762" spans="1:7" x14ac:dyDescent="0.2">
      <c r="A1762" s="1" t="s">
        <v>122</v>
      </c>
      <c r="B1762" t="s">
        <v>1851</v>
      </c>
      <c r="C1762">
        <v>-3.89734392467494</v>
      </c>
      <c r="D1762">
        <v>0</v>
      </c>
      <c r="E1762">
        <v>0</v>
      </c>
      <c r="F1762" t="str">
        <f>"65/86"</f>
        <v>65/86</v>
      </c>
      <c r="G1762" s="10">
        <v>0.4219</v>
      </c>
    </row>
    <row r="1763" spans="1:7" x14ac:dyDescent="0.2">
      <c r="A1763" s="1" t="s">
        <v>122</v>
      </c>
      <c r="B1763" t="s">
        <v>1852</v>
      </c>
      <c r="C1763">
        <v>-3.89669537914703</v>
      </c>
      <c r="D1763">
        <v>0</v>
      </c>
      <c r="E1763">
        <v>0</v>
      </c>
      <c r="F1763" t="str">
        <f>"81/94"</f>
        <v>81/94</v>
      </c>
      <c r="G1763" s="10">
        <v>0.53949999999999998</v>
      </c>
    </row>
    <row r="1764" spans="1:7" x14ac:dyDescent="0.2">
      <c r="A1764" s="1" t="s">
        <v>122</v>
      </c>
      <c r="B1764" t="s">
        <v>1853</v>
      </c>
      <c r="C1764">
        <v>-3.89633577602123</v>
      </c>
      <c r="D1764">
        <v>0</v>
      </c>
      <c r="E1764">
        <v>0</v>
      </c>
      <c r="F1764" t="str">
        <f>"43/49"</f>
        <v>43/49</v>
      </c>
      <c r="G1764" s="10">
        <v>0.44280000000000003</v>
      </c>
    </row>
    <row r="1765" spans="1:7" x14ac:dyDescent="0.2">
      <c r="A1765" s="1" t="s">
        <v>122</v>
      </c>
      <c r="B1765" t="s">
        <v>1854</v>
      </c>
      <c r="C1765">
        <v>-3.8759870536813401</v>
      </c>
      <c r="D1765">
        <v>0</v>
      </c>
      <c r="E1765">
        <v>0</v>
      </c>
      <c r="F1765" t="str">
        <f>"69/77"</f>
        <v>69/77</v>
      </c>
      <c r="G1765" s="10">
        <v>0.54490000000000005</v>
      </c>
    </row>
    <row r="1766" spans="1:7" x14ac:dyDescent="0.2">
      <c r="A1766" s="1" t="s">
        <v>122</v>
      </c>
      <c r="B1766" t="s">
        <v>1855</v>
      </c>
      <c r="C1766">
        <v>-3.87292814838086</v>
      </c>
      <c r="D1766">
        <v>0</v>
      </c>
      <c r="E1766">
        <v>0</v>
      </c>
      <c r="F1766" t="str">
        <f>"76/82"</f>
        <v>76/82</v>
      </c>
      <c r="G1766" s="10">
        <v>0.54359999999999997</v>
      </c>
    </row>
    <row r="1767" spans="1:7" x14ac:dyDescent="0.2">
      <c r="A1767" s="1" t="s">
        <v>122</v>
      </c>
      <c r="B1767" t="s">
        <v>673</v>
      </c>
      <c r="C1767">
        <v>-3.87109957446564</v>
      </c>
      <c r="D1767">
        <v>0</v>
      </c>
      <c r="E1767">
        <v>0</v>
      </c>
      <c r="F1767" t="str">
        <f>"135/145"</f>
        <v>135/145</v>
      </c>
      <c r="G1767" s="10">
        <v>0.61750000000000005</v>
      </c>
    </row>
    <row r="1768" spans="1:7" x14ac:dyDescent="0.2">
      <c r="A1768" s="1" t="s">
        <v>122</v>
      </c>
      <c r="B1768" t="s">
        <v>1176</v>
      </c>
      <c r="C1768">
        <v>-3.8588817934498501</v>
      </c>
      <c r="D1768">
        <v>0</v>
      </c>
      <c r="E1768">
        <v>0</v>
      </c>
      <c r="F1768" t="str">
        <f>"55/56"</f>
        <v>55/56</v>
      </c>
      <c r="G1768" s="10">
        <v>0.5917</v>
      </c>
    </row>
    <row r="1769" spans="1:7" x14ac:dyDescent="0.2">
      <c r="A1769" s="1" t="s">
        <v>122</v>
      </c>
      <c r="B1769" t="s">
        <v>1023</v>
      </c>
      <c r="C1769">
        <v>-3.8576551134296699</v>
      </c>
      <c r="D1769">
        <v>0</v>
      </c>
      <c r="E1769">
        <v>0</v>
      </c>
      <c r="F1769" t="str">
        <f>"179/198"</f>
        <v>179/198</v>
      </c>
      <c r="G1769" s="10">
        <v>0.66600000000000004</v>
      </c>
    </row>
    <row r="1770" spans="1:7" x14ac:dyDescent="0.2">
      <c r="A1770" s="1" t="s">
        <v>122</v>
      </c>
      <c r="B1770" t="s">
        <v>888</v>
      </c>
      <c r="C1770">
        <v>-3.8539109595476901</v>
      </c>
      <c r="D1770">
        <v>0</v>
      </c>
      <c r="E1770">
        <v>0</v>
      </c>
      <c r="F1770" t="str">
        <f>"62/69"</f>
        <v>62/69</v>
      </c>
      <c r="G1770" s="10">
        <v>0.50390000000000001</v>
      </c>
    </row>
    <row r="1771" spans="1:7" x14ac:dyDescent="0.2">
      <c r="A1771" s="1" t="s">
        <v>122</v>
      </c>
      <c r="B1771" t="s">
        <v>651</v>
      </c>
      <c r="C1771">
        <v>-3.8509686990619798</v>
      </c>
      <c r="D1771">
        <v>0</v>
      </c>
      <c r="E1771">
        <v>0</v>
      </c>
      <c r="F1771" t="str">
        <f>"88/100"</f>
        <v>88/100</v>
      </c>
      <c r="G1771" s="10">
        <v>0.58879999999999999</v>
      </c>
    </row>
    <row r="1772" spans="1:7" x14ac:dyDescent="0.2">
      <c r="A1772" s="1" t="s">
        <v>122</v>
      </c>
      <c r="B1772" t="s">
        <v>1856</v>
      </c>
      <c r="C1772">
        <v>-3.84558663903832</v>
      </c>
      <c r="D1772">
        <v>0</v>
      </c>
      <c r="E1772">
        <v>0</v>
      </c>
      <c r="F1772" t="str">
        <f>"71/88"</f>
        <v>71/88</v>
      </c>
      <c r="G1772" s="10">
        <v>0.4572</v>
      </c>
    </row>
    <row r="1773" spans="1:7" x14ac:dyDescent="0.2">
      <c r="A1773" s="1" t="s">
        <v>122</v>
      </c>
      <c r="B1773" t="s">
        <v>914</v>
      </c>
      <c r="C1773">
        <v>-3.8388010328052999</v>
      </c>
      <c r="D1773">
        <v>0</v>
      </c>
      <c r="E1773">
        <v>0</v>
      </c>
      <c r="F1773" t="str">
        <f>"80/82"</f>
        <v>80/82</v>
      </c>
      <c r="G1773" s="10">
        <v>0.63580000000000003</v>
      </c>
    </row>
    <row r="1774" spans="1:7" x14ac:dyDescent="0.2">
      <c r="A1774" s="1" t="s">
        <v>122</v>
      </c>
      <c r="B1774" t="s">
        <v>1857</v>
      </c>
      <c r="C1774">
        <v>-3.8372484123764301</v>
      </c>
      <c r="D1774">
        <v>0</v>
      </c>
      <c r="E1774">
        <v>0</v>
      </c>
      <c r="F1774" t="str">
        <f>"92/101"</f>
        <v>92/101</v>
      </c>
      <c r="G1774" s="10">
        <v>0.60809999999999997</v>
      </c>
    </row>
    <row r="1775" spans="1:7" x14ac:dyDescent="0.2">
      <c r="A1775" s="1" t="s">
        <v>122</v>
      </c>
      <c r="B1775" t="s">
        <v>1164</v>
      </c>
      <c r="C1775">
        <v>-3.8364252472992502</v>
      </c>
      <c r="D1775">
        <v>0</v>
      </c>
      <c r="E1775">
        <v>0</v>
      </c>
      <c r="F1775" t="str">
        <f>"68/72"</f>
        <v>68/72</v>
      </c>
      <c r="G1775" s="10">
        <v>0.58720000000000006</v>
      </c>
    </row>
    <row r="1776" spans="1:7" x14ac:dyDescent="0.2">
      <c r="A1776" s="1" t="s">
        <v>122</v>
      </c>
      <c r="B1776" t="s">
        <v>1858</v>
      </c>
      <c r="C1776">
        <v>-3.8357257890456098</v>
      </c>
      <c r="D1776">
        <v>0</v>
      </c>
      <c r="E1776">
        <v>0</v>
      </c>
      <c r="F1776" t="str">
        <f>"128/155"</f>
        <v>128/155</v>
      </c>
      <c r="G1776" s="10">
        <v>0.54369999999999996</v>
      </c>
    </row>
    <row r="1777" spans="1:7" x14ac:dyDescent="0.2">
      <c r="A1777" s="1" t="s">
        <v>122</v>
      </c>
      <c r="B1777" t="s">
        <v>1859</v>
      </c>
      <c r="C1777">
        <v>-3.82859943804714</v>
      </c>
      <c r="D1777">
        <v>0</v>
      </c>
      <c r="E1777">
        <v>0</v>
      </c>
      <c r="F1777" t="str">
        <f>"48/54"</f>
        <v>48/54</v>
      </c>
      <c r="G1777" s="10">
        <v>0.46729999999999999</v>
      </c>
    </row>
    <row r="1778" spans="1:7" x14ac:dyDescent="0.2">
      <c r="A1778" s="1" t="s">
        <v>122</v>
      </c>
      <c r="B1778" t="s">
        <v>1860</v>
      </c>
      <c r="C1778">
        <v>-3.8232265145844102</v>
      </c>
      <c r="D1778">
        <v>0</v>
      </c>
      <c r="E1778">
        <v>0</v>
      </c>
      <c r="F1778" t="str">
        <f>"64/69"</f>
        <v>64/69</v>
      </c>
      <c r="G1778" s="10">
        <v>0.54359999999999997</v>
      </c>
    </row>
    <row r="1779" spans="1:7" x14ac:dyDescent="0.2">
      <c r="A1779" s="1" t="s">
        <v>122</v>
      </c>
      <c r="B1779" t="s">
        <v>1861</v>
      </c>
      <c r="C1779">
        <v>-3.8225393433992001</v>
      </c>
      <c r="D1779">
        <v>0</v>
      </c>
      <c r="E1779">
        <v>0</v>
      </c>
      <c r="F1779" t="str">
        <f>"41/43"</f>
        <v>41/43</v>
      </c>
      <c r="G1779" s="10">
        <v>0.48499999999999999</v>
      </c>
    </row>
    <row r="1780" spans="1:7" x14ac:dyDescent="0.2">
      <c r="A1780" s="1" t="s">
        <v>122</v>
      </c>
      <c r="B1780" t="s">
        <v>792</v>
      </c>
      <c r="C1780">
        <v>-3.8129756621826698</v>
      </c>
      <c r="D1780">
        <v>0</v>
      </c>
      <c r="E1780">
        <v>0</v>
      </c>
      <c r="F1780" t="str">
        <f>"49/51"</f>
        <v>49/51</v>
      </c>
      <c r="G1780" s="10">
        <v>0.53259999999999996</v>
      </c>
    </row>
    <row r="1781" spans="1:7" x14ac:dyDescent="0.2">
      <c r="A1781" s="1" t="s">
        <v>122</v>
      </c>
      <c r="B1781" t="s">
        <v>1862</v>
      </c>
      <c r="C1781">
        <v>-3.8104046721631799</v>
      </c>
      <c r="D1781">
        <v>0</v>
      </c>
      <c r="E1781">
        <v>0</v>
      </c>
      <c r="F1781" t="str">
        <f>"78/90"</f>
        <v>78/90</v>
      </c>
      <c r="G1781" s="10">
        <v>0.51519999999999999</v>
      </c>
    </row>
    <row r="1782" spans="1:7" x14ac:dyDescent="0.2">
      <c r="A1782" s="1" t="s">
        <v>122</v>
      </c>
      <c r="B1782" t="s">
        <v>1863</v>
      </c>
      <c r="C1782">
        <v>-3.8061452086546601</v>
      </c>
      <c r="D1782">
        <v>0</v>
      </c>
      <c r="E1782">
        <v>0</v>
      </c>
      <c r="F1782" t="str">
        <f>"63/64"</f>
        <v>63/64</v>
      </c>
      <c r="G1782" s="10">
        <v>0.62929999999999997</v>
      </c>
    </row>
    <row r="1783" spans="1:7" x14ac:dyDescent="0.2">
      <c r="A1783" s="1" t="s">
        <v>122</v>
      </c>
      <c r="B1783" t="s">
        <v>979</v>
      </c>
      <c r="C1783">
        <v>-3.80105702575676</v>
      </c>
      <c r="D1783">
        <v>0</v>
      </c>
      <c r="E1783">
        <v>0</v>
      </c>
      <c r="F1783" t="str">
        <f>"69/86"</f>
        <v>69/86</v>
      </c>
      <c r="G1783" s="10">
        <v>0.48459999999999998</v>
      </c>
    </row>
    <row r="1784" spans="1:7" x14ac:dyDescent="0.2">
      <c r="A1784" s="1" t="s">
        <v>122</v>
      </c>
      <c r="B1784" t="s">
        <v>1864</v>
      </c>
      <c r="C1784">
        <v>-3.7996711829089298</v>
      </c>
      <c r="D1784">
        <v>0</v>
      </c>
      <c r="E1784">
        <v>0</v>
      </c>
      <c r="F1784" t="str">
        <f>"53/55"</f>
        <v>53/55</v>
      </c>
      <c r="G1784" s="10">
        <v>0.54149999999999998</v>
      </c>
    </row>
    <row r="1785" spans="1:7" x14ac:dyDescent="0.2">
      <c r="A1785" s="1" t="s">
        <v>122</v>
      </c>
      <c r="B1785" t="s">
        <v>1865</v>
      </c>
      <c r="C1785">
        <v>-3.7972618277763499</v>
      </c>
      <c r="D1785">
        <v>0</v>
      </c>
      <c r="E1785">
        <v>0</v>
      </c>
      <c r="F1785" t="str">
        <f>"68/71"</f>
        <v>68/71</v>
      </c>
      <c r="G1785" s="10">
        <v>0.622</v>
      </c>
    </row>
    <row r="1786" spans="1:7" x14ac:dyDescent="0.2">
      <c r="A1786" s="1" t="s">
        <v>122</v>
      </c>
      <c r="B1786" t="s">
        <v>1383</v>
      </c>
      <c r="C1786">
        <v>-3.7925951847077202</v>
      </c>
      <c r="D1786">
        <v>0</v>
      </c>
      <c r="E1786">
        <v>0</v>
      </c>
      <c r="F1786" t="str">
        <f>"106/136"</f>
        <v>106/136</v>
      </c>
      <c r="G1786" s="10">
        <v>0.52190000000000003</v>
      </c>
    </row>
    <row r="1787" spans="1:7" x14ac:dyDescent="0.2">
      <c r="A1787" s="1" t="s">
        <v>122</v>
      </c>
      <c r="B1787" t="s">
        <v>724</v>
      </c>
      <c r="C1787">
        <v>-3.7862941418583298</v>
      </c>
      <c r="D1787">
        <v>0</v>
      </c>
      <c r="E1787">
        <v>0</v>
      </c>
      <c r="F1787" t="str">
        <f>"35/39"</f>
        <v>35/39</v>
      </c>
      <c r="G1787" s="10">
        <v>0.44929999999999998</v>
      </c>
    </row>
    <row r="1788" spans="1:7" x14ac:dyDescent="0.2">
      <c r="A1788" s="1" t="s">
        <v>122</v>
      </c>
      <c r="B1788" t="s">
        <v>176</v>
      </c>
      <c r="C1788">
        <v>-3.78105352709784</v>
      </c>
      <c r="D1788">
        <v>0</v>
      </c>
      <c r="E1788">
        <v>0</v>
      </c>
      <c r="F1788" t="str">
        <f>"90/119"</f>
        <v>90/119</v>
      </c>
      <c r="G1788" s="10">
        <v>0.47670000000000001</v>
      </c>
    </row>
    <row r="1789" spans="1:7" x14ac:dyDescent="0.2">
      <c r="A1789" s="1" t="s">
        <v>122</v>
      </c>
      <c r="B1789" t="s">
        <v>1866</v>
      </c>
      <c r="C1789">
        <v>-3.7796132436742602</v>
      </c>
      <c r="D1789">
        <v>0</v>
      </c>
      <c r="E1789">
        <v>0</v>
      </c>
      <c r="F1789" t="str">
        <f>"46/54"</f>
        <v>46/54</v>
      </c>
      <c r="G1789" s="10">
        <v>0.47110000000000002</v>
      </c>
    </row>
    <row r="1790" spans="1:7" x14ac:dyDescent="0.2">
      <c r="A1790" s="1" t="s">
        <v>122</v>
      </c>
      <c r="B1790" t="s">
        <v>1074</v>
      </c>
      <c r="C1790">
        <v>-3.7738399984062401</v>
      </c>
      <c r="D1790">
        <v>0</v>
      </c>
      <c r="E1790">
        <v>0</v>
      </c>
      <c r="F1790" t="str">
        <f>"54/60"</f>
        <v>54/60</v>
      </c>
      <c r="G1790" s="10">
        <v>0.4945</v>
      </c>
    </row>
    <row r="1791" spans="1:7" x14ac:dyDescent="0.2">
      <c r="A1791" s="1" t="s">
        <v>122</v>
      </c>
      <c r="B1791" t="s">
        <v>1185</v>
      </c>
      <c r="C1791">
        <v>-3.7690622159483298</v>
      </c>
      <c r="D1791">
        <v>0</v>
      </c>
      <c r="E1791">
        <v>0</v>
      </c>
      <c r="F1791" t="str">
        <f>"67/80"</f>
        <v>67/80</v>
      </c>
      <c r="G1791" s="10">
        <v>0.49509999999999998</v>
      </c>
    </row>
    <row r="1792" spans="1:7" x14ac:dyDescent="0.2">
      <c r="A1792" s="1" t="s">
        <v>122</v>
      </c>
      <c r="B1792" t="s">
        <v>748</v>
      </c>
      <c r="C1792">
        <v>-3.7682173962657401</v>
      </c>
      <c r="D1792">
        <v>0</v>
      </c>
      <c r="E1792">
        <v>0</v>
      </c>
      <c r="F1792" t="str">
        <f>"78/82"</f>
        <v>78/82</v>
      </c>
      <c r="G1792" s="10">
        <v>0.61450000000000005</v>
      </c>
    </row>
    <row r="1793" spans="1:7" x14ac:dyDescent="0.2">
      <c r="A1793" s="1" t="s">
        <v>122</v>
      </c>
      <c r="B1793" t="s">
        <v>1123</v>
      </c>
      <c r="C1793">
        <v>-3.7664242391705001</v>
      </c>
      <c r="D1793">
        <v>0</v>
      </c>
      <c r="E1793">
        <v>0</v>
      </c>
      <c r="F1793" t="str">
        <f>"42/43"</f>
        <v>42/43</v>
      </c>
      <c r="G1793" s="10">
        <v>0.50460000000000005</v>
      </c>
    </row>
    <row r="1794" spans="1:7" x14ac:dyDescent="0.2">
      <c r="A1794" s="1" t="s">
        <v>122</v>
      </c>
      <c r="B1794" t="s">
        <v>574</v>
      </c>
      <c r="C1794">
        <v>-3.7648459150167199</v>
      </c>
      <c r="D1794">
        <v>0</v>
      </c>
      <c r="E1794">
        <v>0</v>
      </c>
      <c r="F1794" t="str">
        <f>"119/152"</f>
        <v>119/152</v>
      </c>
      <c r="G1794" s="10">
        <v>0.53439999999999999</v>
      </c>
    </row>
    <row r="1795" spans="1:7" x14ac:dyDescent="0.2">
      <c r="A1795" s="1" t="s">
        <v>122</v>
      </c>
      <c r="B1795" t="s">
        <v>1867</v>
      </c>
      <c r="C1795">
        <v>-3.7585812851834</v>
      </c>
      <c r="D1795">
        <v>0</v>
      </c>
      <c r="E1795">
        <v>0</v>
      </c>
      <c r="F1795" t="str">
        <f>"76/89"</f>
        <v>76/89</v>
      </c>
      <c r="G1795" s="10">
        <v>0.5161</v>
      </c>
    </row>
    <row r="1796" spans="1:7" x14ac:dyDescent="0.2">
      <c r="A1796" s="1" t="s">
        <v>122</v>
      </c>
      <c r="B1796" t="s">
        <v>789</v>
      </c>
      <c r="C1796">
        <v>-3.74881875000455</v>
      </c>
      <c r="D1796">
        <v>0</v>
      </c>
      <c r="E1796">
        <v>0</v>
      </c>
      <c r="F1796" t="str">
        <f>"44/47"</f>
        <v>44/47</v>
      </c>
      <c r="G1796" s="10">
        <v>0.49199999999999999</v>
      </c>
    </row>
    <row r="1797" spans="1:7" x14ac:dyDescent="0.2">
      <c r="A1797" s="1" t="s">
        <v>122</v>
      </c>
      <c r="B1797" t="s">
        <v>1868</v>
      </c>
      <c r="C1797">
        <v>-3.7487338910993602</v>
      </c>
      <c r="D1797">
        <v>0</v>
      </c>
      <c r="E1797">
        <v>0</v>
      </c>
      <c r="F1797" t="str">
        <f>"38/39"</f>
        <v>38/39</v>
      </c>
      <c r="G1797" s="10">
        <v>0.5071</v>
      </c>
    </row>
    <row r="1798" spans="1:7" x14ac:dyDescent="0.2">
      <c r="A1798" s="1" t="s">
        <v>122</v>
      </c>
      <c r="B1798" t="s">
        <v>1869</v>
      </c>
      <c r="C1798">
        <v>-3.7455867296873602</v>
      </c>
      <c r="D1798">
        <v>0</v>
      </c>
      <c r="E1798">
        <v>0</v>
      </c>
      <c r="F1798" t="str">
        <f>"44/47"</f>
        <v>44/47</v>
      </c>
      <c r="G1798" s="10">
        <v>0.49469999999999997</v>
      </c>
    </row>
    <row r="1799" spans="1:7" x14ac:dyDescent="0.2">
      <c r="A1799" s="1" t="s">
        <v>122</v>
      </c>
      <c r="B1799" t="s">
        <v>1870</v>
      </c>
      <c r="C1799">
        <v>-3.7432283523507301</v>
      </c>
      <c r="D1799">
        <v>0</v>
      </c>
      <c r="E1799">
        <v>0</v>
      </c>
      <c r="F1799" t="str">
        <f>"37/45"</f>
        <v>37/45</v>
      </c>
      <c r="G1799" s="10">
        <v>0.41199999999999998</v>
      </c>
    </row>
    <row r="1800" spans="1:7" x14ac:dyDescent="0.2">
      <c r="A1800" s="1" t="s">
        <v>122</v>
      </c>
      <c r="B1800" t="s">
        <v>984</v>
      </c>
      <c r="C1800">
        <v>-3.7423270812662501</v>
      </c>
      <c r="D1800">
        <v>0</v>
      </c>
      <c r="E1800">
        <v>0</v>
      </c>
      <c r="F1800" t="str">
        <f>"39/44"</f>
        <v>39/44</v>
      </c>
      <c r="G1800" s="10">
        <v>0.43109999999999998</v>
      </c>
    </row>
    <row r="1801" spans="1:7" x14ac:dyDescent="0.2">
      <c r="A1801" s="1" t="s">
        <v>122</v>
      </c>
      <c r="B1801" t="s">
        <v>906</v>
      </c>
      <c r="C1801">
        <v>-3.7385492275184502</v>
      </c>
      <c r="D1801">
        <v>0</v>
      </c>
      <c r="E1801">
        <v>0</v>
      </c>
      <c r="F1801" t="str">
        <f>"101/108"</f>
        <v>101/108</v>
      </c>
      <c r="G1801" s="10">
        <v>0.63580000000000003</v>
      </c>
    </row>
    <row r="1802" spans="1:7" x14ac:dyDescent="0.2">
      <c r="A1802" s="1" t="s">
        <v>122</v>
      </c>
      <c r="B1802" t="s">
        <v>1871</v>
      </c>
      <c r="C1802">
        <v>-3.7362143833695298</v>
      </c>
      <c r="D1802">
        <v>0</v>
      </c>
      <c r="E1802">
        <v>0</v>
      </c>
      <c r="F1802" t="str">
        <f>"65/71"</f>
        <v>65/71</v>
      </c>
      <c r="G1802" s="10">
        <v>0.55889999999999995</v>
      </c>
    </row>
    <row r="1803" spans="1:7" x14ac:dyDescent="0.2">
      <c r="A1803" s="1" t="s">
        <v>122</v>
      </c>
      <c r="B1803" t="s">
        <v>782</v>
      </c>
      <c r="C1803">
        <v>-3.7324304697891599</v>
      </c>
      <c r="D1803">
        <v>0</v>
      </c>
      <c r="E1803">
        <v>0</v>
      </c>
      <c r="F1803" t="str">
        <f>"52/54"</f>
        <v>52/54</v>
      </c>
      <c r="G1803" s="10">
        <v>0.59279999999999999</v>
      </c>
    </row>
    <row r="1804" spans="1:7" x14ac:dyDescent="0.2">
      <c r="A1804" s="1" t="s">
        <v>122</v>
      </c>
      <c r="B1804" t="s">
        <v>10</v>
      </c>
      <c r="C1804">
        <v>-3.7310371802042401</v>
      </c>
      <c r="D1804">
        <v>0</v>
      </c>
      <c r="E1804">
        <v>0</v>
      </c>
      <c r="F1804" t="str">
        <f>"97/107"</f>
        <v>97/107</v>
      </c>
      <c r="G1804" s="10">
        <v>0.61809999999999998</v>
      </c>
    </row>
    <row r="1805" spans="1:7" x14ac:dyDescent="0.2">
      <c r="A1805" s="1" t="s">
        <v>122</v>
      </c>
      <c r="B1805" t="s">
        <v>536</v>
      </c>
      <c r="C1805">
        <v>-3.7310215923543502</v>
      </c>
      <c r="D1805">
        <v>0</v>
      </c>
      <c r="E1805">
        <v>0</v>
      </c>
      <c r="F1805" t="str">
        <f>"166/199"</f>
        <v>166/199</v>
      </c>
      <c r="G1805" s="10">
        <v>0.63439999999999996</v>
      </c>
    </row>
    <row r="1806" spans="1:7" x14ac:dyDescent="0.2">
      <c r="A1806" s="1" t="s">
        <v>122</v>
      </c>
      <c r="B1806" t="s">
        <v>1035</v>
      </c>
      <c r="C1806">
        <v>3.7299830887387202</v>
      </c>
      <c r="D1806">
        <v>0</v>
      </c>
      <c r="E1806">
        <v>0</v>
      </c>
      <c r="F1806" t="str">
        <f>"69/98"</f>
        <v>69/98</v>
      </c>
      <c r="G1806" s="10">
        <v>0.39229999999999998</v>
      </c>
    </row>
    <row r="1807" spans="1:7" x14ac:dyDescent="0.2">
      <c r="A1807" s="1" t="s">
        <v>122</v>
      </c>
      <c r="B1807" t="s">
        <v>1872</v>
      </c>
      <c r="C1807">
        <v>-3.7279765222340999</v>
      </c>
      <c r="D1807">
        <v>0</v>
      </c>
      <c r="E1807">
        <v>0</v>
      </c>
      <c r="F1807" t="str">
        <f>"48/56"</f>
        <v>48/56</v>
      </c>
      <c r="G1807" s="10">
        <v>0.47110000000000002</v>
      </c>
    </row>
    <row r="1808" spans="1:7" x14ac:dyDescent="0.2">
      <c r="A1808" s="1" t="s">
        <v>122</v>
      </c>
      <c r="B1808" t="s">
        <v>1873</v>
      </c>
      <c r="C1808">
        <v>-3.7254763733124401</v>
      </c>
      <c r="D1808">
        <v>0</v>
      </c>
      <c r="E1808">
        <v>0</v>
      </c>
      <c r="F1808" t="str">
        <f>"28/32"</f>
        <v>28/32</v>
      </c>
      <c r="G1808" s="10">
        <v>0.40439999999999998</v>
      </c>
    </row>
    <row r="1809" spans="1:7" x14ac:dyDescent="0.2">
      <c r="A1809" s="1" t="s">
        <v>122</v>
      </c>
      <c r="B1809" t="s">
        <v>1339</v>
      </c>
      <c r="C1809">
        <v>-3.7253169893182601</v>
      </c>
      <c r="D1809">
        <v>0</v>
      </c>
      <c r="E1809">
        <v>0</v>
      </c>
      <c r="F1809" t="str">
        <f>"100/103"</f>
        <v>100/103</v>
      </c>
      <c r="G1809" s="10">
        <v>0.64880000000000004</v>
      </c>
    </row>
    <row r="1810" spans="1:7" x14ac:dyDescent="0.2">
      <c r="A1810" s="1" t="s">
        <v>122</v>
      </c>
      <c r="B1810" t="s">
        <v>1874</v>
      </c>
      <c r="C1810">
        <v>-3.7246217929373602</v>
      </c>
      <c r="D1810">
        <v>0</v>
      </c>
      <c r="E1810">
        <v>0</v>
      </c>
      <c r="F1810" t="str">
        <f>"53/56"</f>
        <v>53/56</v>
      </c>
      <c r="G1810" s="10">
        <v>0.55249999999999999</v>
      </c>
    </row>
    <row r="1811" spans="1:7" x14ac:dyDescent="0.2">
      <c r="A1811" s="1" t="s">
        <v>122</v>
      </c>
      <c r="B1811" t="s">
        <v>698</v>
      </c>
      <c r="C1811">
        <v>-3.71880613757261</v>
      </c>
      <c r="D1811">
        <v>0</v>
      </c>
      <c r="E1811">
        <v>0</v>
      </c>
      <c r="F1811" t="str">
        <f>"162/176"</f>
        <v>162/176</v>
      </c>
      <c r="G1811" s="10">
        <v>0.68</v>
      </c>
    </row>
    <row r="1812" spans="1:7" x14ac:dyDescent="0.2">
      <c r="A1812" s="1" t="s">
        <v>122</v>
      </c>
      <c r="B1812" t="s">
        <v>1875</v>
      </c>
      <c r="C1812">
        <v>-3.71775910506986</v>
      </c>
      <c r="D1812">
        <v>0</v>
      </c>
      <c r="E1812">
        <v>0</v>
      </c>
      <c r="F1812" t="str">
        <f>"70/85"</f>
        <v>70/85</v>
      </c>
      <c r="G1812" s="10">
        <v>0.50549999999999995</v>
      </c>
    </row>
    <row r="1813" spans="1:7" x14ac:dyDescent="0.2">
      <c r="A1813" s="1" t="s">
        <v>122</v>
      </c>
      <c r="B1813" t="s">
        <v>1876</v>
      </c>
      <c r="C1813">
        <v>-3.7098451368825001</v>
      </c>
      <c r="D1813">
        <v>0</v>
      </c>
      <c r="E1813">
        <v>0</v>
      </c>
      <c r="F1813" t="str">
        <f>"62/73"</f>
        <v>62/73</v>
      </c>
      <c r="G1813" s="10">
        <v>0.49230000000000002</v>
      </c>
    </row>
    <row r="1814" spans="1:7" x14ac:dyDescent="0.2">
      <c r="A1814" s="1" t="s">
        <v>122</v>
      </c>
      <c r="B1814" t="s">
        <v>1877</v>
      </c>
      <c r="C1814">
        <v>-3.7076377733563799</v>
      </c>
      <c r="D1814">
        <v>0</v>
      </c>
      <c r="E1814">
        <v>0</v>
      </c>
      <c r="F1814" t="str">
        <f>"50/52"</f>
        <v>50/52</v>
      </c>
      <c r="G1814" s="10">
        <v>0.51800000000000002</v>
      </c>
    </row>
    <row r="1815" spans="1:7" x14ac:dyDescent="0.2">
      <c r="A1815" s="1" t="s">
        <v>122</v>
      </c>
      <c r="B1815" t="s">
        <v>1878</v>
      </c>
      <c r="C1815">
        <v>-3.70712366419981</v>
      </c>
      <c r="D1815">
        <v>0</v>
      </c>
      <c r="E1815">
        <v>0</v>
      </c>
      <c r="F1815" t="str">
        <f>"121/132"</f>
        <v>121/132</v>
      </c>
      <c r="G1815" s="10">
        <v>0.63949999999999996</v>
      </c>
    </row>
    <row r="1816" spans="1:7" x14ac:dyDescent="0.2">
      <c r="A1816" s="1" t="s">
        <v>122</v>
      </c>
      <c r="B1816" t="s">
        <v>1879</v>
      </c>
      <c r="C1816">
        <v>-3.70663708823131</v>
      </c>
      <c r="D1816">
        <v>0</v>
      </c>
      <c r="E1816">
        <v>0</v>
      </c>
      <c r="F1816" t="str">
        <f>"64/72"</f>
        <v>64/72</v>
      </c>
      <c r="G1816" s="10">
        <v>0.53990000000000005</v>
      </c>
    </row>
    <row r="1817" spans="1:7" x14ac:dyDescent="0.2">
      <c r="A1817" s="1" t="s">
        <v>122</v>
      </c>
      <c r="B1817" t="s">
        <v>1880</v>
      </c>
      <c r="C1817">
        <v>-3.70459328408998</v>
      </c>
      <c r="D1817">
        <v>0</v>
      </c>
      <c r="E1817">
        <v>0</v>
      </c>
      <c r="F1817" t="str">
        <f>"107/122"</f>
        <v>107/122</v>
      </c>
      <c r="G1817" s="10">
        <v>0.58230000000000004</v>
      </c>
    </row>
    <row r="1818" spans="1:7" x14ac:dyDescent="0.2">
      <c r="A1818" s="1" t="s">
        <v>122</v>
      </c>
      <c r="B1818" t="s">
        <v>1881</v>
      </c>
      <c r="C1818">
        <v>-3.6966540864739801</v>
      </c>
      <c r="D1818">
        <v>0</v>
      </c>
      <c r="E1818">
        <v>0</v>
      </c>
      <c r="F1818" t="str">
        <f>"104/118"</f>
        <v>104/118</v>
      </c>
      <c r="G1818" s="10">
        <v>0.58860000000000001</v>
      </c>
    </row>
    <row r="1819" spans="1:7" x14ac:dyDescent="0.2">
      <c r="A1819" s="1" t="s">
        <v>122</v>
      </c>
      <c r="B1819" t="s">
        <v>1172</v>
      </c>
      <c r="C1819">
        <v>-3.69136605562209</v>
      </c>
      <c r="D1819">
        <v>0</v>
      </c>
      <c r="E1819">
        <v>0</v>
      </c>
      <c r="F1819" t="str">
        <f>"54/62"</f>
        <v>54/62</v>
      </c>
      <c r="G1819" s="10">
        <v>0.49959999999999999</v>
      </c>
    </row>
    <row r="1820" spans="1:7" x14ac:dyDescent="0.2">
      <c r="A1820" s="1" t="s">
        <v>122</v>
      </c>
      <c r="B1820" t="s">
        <v>1118</v>
      </c>
      <c r="C1820">
        <v>-3.6900067601221398</v>
      </c>
      <c r="D1820">
        <v>0</v>
      </c>
      <c r="E1820">
        <v>0</v>
      </c>
      <c r="F1820" t="str">
        <f>"56/57"</f>
        <v>56/57</v>
      </c>
      <c r="G1820" s="10">
        <v>0.56940000000000002</v>
      </c>
    </row>
    <row r="1821" spans="1:7" x14ac:dyDescent="0.2">
      <c r="A1821" s="1" t="s">
        <v>122</v>
      </c>
      <c r="B1821" t="s">
        <v>179</v>
      </c>
      <c r="C1821">
        <v>-3.6879208133043302</v>
      </c>
      <c r="D1821">
        <v>0</v>
      </c>
      <c r="E1821">
        <v>0</v>
      </c>
      <c r="F1821" t="str">
        <f>"30/33"</f>
        <v>30/33</v>
      </c>
      <c r="G1821" s="10">
        <v>0.40820000000000001</v>
      </c>
    </row>
    <row r="1822" spans="1:7" x14ac:dyDescent="0.2">
      <c r="A1822" s="1" t="s">
        <v>122</v>
      </c>
      <c r="B1822" t="s">
        <v>824</v>
      </c>
      <c r="C1822">
        <v>-3.68669485246753</v>
      </c>
      <c r="D1822">
        <v>0</v>
      </c>
      <c r="E1822">
        <v>0</v>
      </c>
      <c r="F1822" t="str">
        <f>"222/252"</f>
        <v>222/252</v>
      </c>
      <c r="G1822" s="10">
        <v>0.6946</v>
      </c>
    </row>
    <row r="1823" spans="1:7" x14ac:dyDescent="0.2">
      <c r="A1823" s="1" t="s">
        <v>122</v>
      </c>
      <c r="B1823" t="s">
        <v>556</v>
      </c>
      <c r="C1823">
        <v>-3.6862925483548201</v>
      </c>
      <c r="D1823">
        <v>0</v>
      </c>
      <c r="E1823">
        <v>0</v>
      </c>
      <c r="F1823" t="str">
        <f>"117/136"</f>
        <v>117/136</v>
      </c>
      <c r="G1823" s="10">
        <v>0.5877</v>
      </c>
    </row>
    <row r="1824" spans="1:7" x14ac:dyDescent="0.2">
      <c r="A1824" s="1" t="s">
        <v>122</v>
      </c>
      <c r="B1824" t="s">
        <v>1882</v>
      </c>
      <c r="C1824">
        <v>-3.6772208579840502</v>
      </c>
      <c r="D1824">
        <v>0</v>
      </c>
      <c r="E1824">
        <v>0</v>
      </c>
      <c r="F1824" t="str">
        <f>"47/60"</f>
        <v>47/60</v>
      </c>
      <c r="G1824" s="10">
        <v>0.39550000000000002</v>
      </c>
    </row>
    <row r="1825" spans="1:7" x14ac:dyDescent="0.2">
      <c r="A1825" s="1" t="s">
        <v>122</v>
      </c>
      <c r="B1825" t="s">
        <v>547</v>
      </c>
      <c r="C1825">
        <v>-3.6737118668331301</v>
      </c>
      <c r="D1825">
        <v>0</v>
      </c>
      <c r="E1825">
        <v>0</v>
      </c>
      <c r="F1825" t="str">
        <f>"209/250"</f>
        <v>209/250</v>
      </c>
      <c r="G1825" s="10">
        <v>0.63039999999999996</v>
      </c>
    </row>
    <row r="1826" spans="1:7" x14ac:dyDescent="0.2">
      <c r="A1826" s="1" t="s">
        <v>122</v>
      </c>
      <c r="B1826" t="s">
        <v>1883</v>
      </c>
      <c r="C1826">
        <v>-3.6704410271565799</v>
      </c>
      <c r="D1826">
        <v>0</v>
      </c>
      <c r="E1826">
        <v>0</v>
      </c>
      <c r="F1826" t="str">
        <f>"41/44"</f>
        <v>41/44</v>
      </c>
      <c r="G1826" s="10">
        <v>0.47</v>
      </c>
    </row>
    <row r="1827" spans="1:7" x14ac:dyDescent="0.2">
      <c r="A1827" s="1" t="s">
        <v>122</v>
      </c>
      <c r="B1827" t="s">
        <v>892</v>
      </c>
      <c r="C1827">
        <v>-3.66973885007853</v>
      </c>
      <c r="D1827">
        <v>0</v>
      </c>
      <c r="E1827">
        <v>0</v>
      </c>
      <c r="F1827" t="str">
        <f>"82/99"</f>
        <v>82/99</v>
      </c>
      <c r="G1827" s="10">
        <v>0.50209999999999999</v>
      </c>
    </row>
    <row r="1828" spans="1:7" x14ac:dyDescent="0.2">
      <c r="A1828" s="1" t="s">
        <v>122</v>
      </c>
      <c r="B1828" t="s">
        <v>1884</v>
      </c>
      <c r="C1828">
        <v>-3.6685929377369102</v>
      </c>
      <c r="D1828">
        <v>0</v>
      </c>
      <c r="E1828">
        <v>0</v>
      </c>
      <c r="F1828" t="str">
        <f>"120/128"</f>
        <v>120/128</v>
      </c>
      <c r="G1828" s="10">
        <v>0.66990000000000005</v>
      </c>
    </row>
    <row r="1829" spans="1:7" x14ac:dyDescent="0.2">
      <c r="A1829" s="1" t="s">
        <v>122</v>
      </c>
      <c r="B1829" t="s">
        <v>1054</v>
      </c>
      <c r="C1829">
        <v>-3.6625229616880999</v>
      </c>
      <c r="D1829">
        <v>0</v>
      </c>
      <c r="E1829">
        <v>0</v>
      </c>
      <c r="F1829" t="str">
        <f>"32/39"</f>
        <v>32/39</v>
      </c>
      <c r="G1829" s="10">
        <v>0.32419999999999999</v>
      </c>
    </row>
    <row r="1830" spans="1:7" x14ac:dyDescent="0.2">
      <c r="A1830" s="1" t="s">
        <v>122</v>
      </c>
      <c r="B1830" t="s">
        <v>1885</v>
      </c>
      <c r="C1830">
        <v>-3.6622195200323899</v>
      </c>
      <c r="D1830">
        <v>0</v>
      </c>
      <c r="E1830">
        <v>0</v>
      </c>
      <c r="F1830" t="str">
        <f>"35/39"</f>
        <v>35/39</v>
      </c>
      <c r="G1830" s="10">
        <v>0.47110000000000002</v>
      </c>
    </row>
    <row r="1831" spans="1:7" x14ac:dyDescent="0.2">
      <c r="A1831" s="1" t="s">
        <v>122</v>
      </c>
      <c r="B1831" t="s">
        <v>1886</v>
      </c>
      <c r="C1831">
        <v>-3.6614045262797399</v>
      </c>
      <c r="D1831">
        <v>0</v>
      </c>
      <c r="E1831">
        <v>0</v>
      </c>
      <c r="F1831" t="str">
        <f>"38/41"</f>
        <v>38/41</v>
      </c>
      <c r="G1831" s="10">
        <v>0.46310000000000001</v>
      </c>
    </row>
    <row r="1832" spans="1:7" x14ac:dyDescent="0.2">
      <c r="A1832" s="1" t="s">
        <v>122</v>
      </c>
      <c r="B1832" t="s">
        <v>1147</v>
      </c>
      <c r="C1832">
        <v>-3.6598797628152502</v>
      </c>
      <c r="D1832">
        <v>0</v>
      </c>
      <c r="E1832">
        <v>0</v>
      </c>
      <c r="F1832" t="str">
        <f>"32/34"</f>
        <v>32/34</v>
      </c>
      <c r="G1832" s="10">
        <v>0.45610000000000001</v>
      </c>
    </row>
    <row r="1833" spans="1:7" x14ac:dyDescent="0.2">
      <c r="A1833" s="1" t="s">
        <v>122</v>
      </c>
      <c r="B1833" t="s">
        <v>566</v>
      </c>
      <c r="C1833">
        <v>-3.6594335407321199</v>
      </c>
      <c r="D1833">
        <v>0</v>
      </c>
      <c r="E1833">
        <v>0</v>
      </c>
      <c r="F1833" t="str">
        <f>"194/237"</f>
        <v>194/237</v>
      </c>
      <c r="G1833" s="10">
        <v>0.63439999999999996</v>
      </c>
    </row>
    <row r="1834" spans="1:7" x14ac:dyDescent="0.2">
      <c r="A1834" s="1" t="s">
        <v>122</v>
      </c>
      <c r="B1834" t="s">
        <v>700</v>
      </c>
      <c r="C1834">
        <v>-3.6578116509807499</v>
      </c>
      <c r="D1834">
        <v>0</v>
      </c>
      <c r="E1834">
        <v>0</v>
      </c>
      <c r="F1834" t="str">
        <f>"42/48"</f>
        <v>42/48</v>
      </c>
      <c r="G1834" s="10">
        <v>0.43780000000000002</v>
      </c>
    </row>
    <row r="1835" spans="1:7" x14ac:dyDescent="0.2">
      <c r="A1835" s="1" t="s">
        <v>122</v>
      </c>
      <c r="B1835" t="s">
        <v>1887</v>
      </c>
      <c r="C1835">
        <v>-3.6534548563387799</v>
      </c>
      <c r="D1835">
        <v>0</v>
      </c>
      <c r="E1835">
        <v>0</v>
      </c>
      <c r="F1835" t="str">
        <f>"77/81"</f>
        <v>77/81</v>
      </c>
      <c r="G1835" s="10">
        <v>0.62009999999999998</v>
      </c>
    </row>
    <row r="1836" spans="1:7" x14ac:dyDescent="0.2">
      <c r="A1836" s="1" t="s">
        <v>122</v>
      </c>
      <c r="B1836" t="s">
        <v>1888</v>
      </c>
      <c r="C1836">
        <v>-3.6529515312807899</v>
      </c>
      <c r="D1836">
        <v>0</v>
      </c>
      <c r="E1836">
        <v>0</v>
      </c>
      <c r="F1836" t="str">
        <f>"87/105"</f>
        <v>87/105</v>
      </c>
      <c r="G1836" s="10">
        <v>0.53500000000000003</v>
      </c>
    </row>
    <row r="1837" spans="1:7" x14ac:dyDescent="0.2">
      <c r="A1837" s="1" t="s">
        <v>122</v>
      </c>
      <c r="B1837" t="s">
        <v>1889</v>
      </c>
      <c r="C1837">
        <v>-3.6410851664568402</v>
      </c>
      <c r="D1837">
        <v>0</v>
      </c>
      <c r="E1837">
        <v>0</v>
      </c>
      <c r="F1837" t="str">
        <f>"43/48"</f>
        <v>43/48</v>
      </c>
      <c r="G1837" s="10">
        <v>0.4889</v>
      </c>
    </row>
    <row r="1838" spans="1:7" x14ac:dyDescent="0.2">
      <c r="A1838" s="1" t="s">
        <v>122</v>
      </c>
      <c r="B1838" t="s">
        <v>1890</v>
      </c>
      <c r="C1838">
        <v>-3.6335412650340202</v>
      </c>
      <c r="D1838">
        <v>0</v>
      </c>
      <c r="E1838">
        <v>0</v>
      </c>
      <c r="F1838" t="str">
        <f>"122/145"</f>
        <v>122/145</v>
      </c>
      <c r="G1838" s="10">
        <v>0.58599999999999997</v>
      </c>
    </row>
    <row r="1839" spans="1:7" x14ac:dyDescent="0.2">
      <c r="A1839" s="1" t="s">
        <v>122</v>
      </c>
      <c r="B1839" t="s">
        <v>1105</v>
      </c>
      <c r="C1839">
        <v>-3.63202304326665</v>
      </c>
      <c r="D1839">
        <v>0</v>
      </c>
      <c r="E1839">
        <v>0</v>
      </c>
      <c r="F1839" t="str">
        <f>"49/60"</f>
        <v>49/60</v>
      </c>
      <c r="G1839" s="10">
        <v>0.44379999999999997</v>
      </c>
    </row>
    <row r="1840" spans="1:7" x14ac:dyDescent="0.2">
      <c r="A1840" s="1" t="s">
        <v>122</v>
      </c>
      <c r="B1840" t="s">
        <v>1891</v>
      </c>
      <c r="C1840">
        <v>-3.6311739187730798</v>
      </c>
      <c r="D1840">
        <v>0</v>
      </c>
      <c r="E1840">
        <v>0</v>
      </c>
      <c r="F1840" t="str">
        <f>"75/83"</f>
        <v>75/83</v>
      </c>
      <c r="G1840" s="10">
        <v>0.5746</v>
      </c>
    </row>
    <row r="1841" spans="1:7" x14ac:dyDescent="0.2">
      <c r="A1841" s="1" t="s">
        <v>122</v>
      </c>
      <c r="B1841" t="s">
        <v>744</v>
      </c>
      <c r="C1841">
        <v>-3.6264280766461701</v>
      </c>
      <c r="D1841">
        <v>0</v>
      </c>
      <c r="E1841">
        <v>0</v>
      </c>
      <c r="F1841" t="str">
        <f>"46/47"</f>
        <v>46/47</v>
      </c>
      <c r="G1841" s="10">
        <v>0.56330000000000002</v>
      </c>
    </row>
    <row r="1842" spans="1:7" x14ac:dyDescent="0.2">
      <c r="A1842" s="1" t="s">
        <v>122</v>
      </c>
      <c r="B1842" t="s">
        <v>64</v>
      </c>
      <c r="C1842">
        <v>-3.6194312079692601</v>
      </c>
      <c r="D1842">
        <v>0</v>
      </c>
      <c r="E1842">
        <v>0</v>
      </c>
      <c r="F1842" t="str">
        <f>"132/155"</f>
        <v>132/155</v>
      </c>
      <c r="G1842" s="10">
        <v>0.60370000000000001</v>
      </c>
    </row>
    <row r="1843" spans="1:7" x14ac:dyDescent="0.2">
      <c r="A1843" s="1" t="s">
        <v>122</v>
      </c>
      <c r="B1843" t="s">
        <v>922</v>
      </c>
      <c r="C1843">
        <v>-3.6150928012490402</v>
      </c>
      <c r="D1843">
        <v>0</v>
      </c>
      <c r="E1843">
        <v>0</v>
      </c>
      <c r="F1843" t="str">
        <f>"48/51"</f>
        <v>48/51</v>
      </c>
      <c r="G1843" s="10">
        <v>0.51590000000000003</v>
      </c>
    </row>
    <row r="1844" spans="1:7" x14ac:dyDescent="0.2">
      <c r="A1844" s="1" t="s">
        <v>122</v>
      </c>
      <c r="B1844" t="s">
        <v>14</v>
      </c>
      <c r="C1844">
        <v>-3.6114181543243702</v>
      </c>
      <c r="D1844">
        <v>0</v>
      </c>
      <c r="E1844">
        <v>0</v>
      </c>
      <c r="F1844" t="str">
        <f>"60/66"</f>
        <v>60/66</v>
      </c>
      <c r="G1844" s="10">
        <v>0.54349999999999998</v>
      </c>
    </row>
    <row r="1845" spans="1:7" x14ac:dyDescent="0.2">
      <c r="A1845" s="1" t="s">
        <v>122</v>
      </c>
      <c r="B1845" t="s">
        <v>780</v>
      </c>
      <c r="C1845">
        <v>-3.6107113052603599</v>
      </c>
      <c r="D1845">
        <v>0</v>
      </c>
      <c r="E1845">
        <v>0</v>
      </c>
      <c r="F1845" t="str">
        <f>"115/151"</f>
        <v>115/151</v>
      </c>
      <c r="G1845" s="10">
        <v>0.51739999999999997</v>
      </c>
    </row>
    <row r="1846" spans="1:7" x14ac:dyDescent="0.2">
      <c r="A1846" s="1" t="s">
        <v>122</v>
      </c>
      <c r="B1846" t="s">
        <v>1006</v>
      </c>
      <c r="C1846">
        <v>-3.6094248142208198</v>
      </c>
      <c r="D1846">
        <v>0</v>
      </c>
      <c r="E1846">
        <v>0</v>
      </c>
      <c r="F1846" t="str">
        <f>"46/53"</f>
        <v>46/53</v>
      </c>
      <c r="G1846" s="10">
        <v>0.42909999999999998</v>
      </c>
    </row>
    <row r="1847" spans="1:7" x14ac:dyDescent="0.2">
      <c r="A1847" s="1" t="s">
        <v>122</v>
      </c>
      <c r="B1847" t="s">
        <v>1892</v>
      </c>
      <c r="C1847">
        <v>-3.6026456183620001</v>
      </c>
      <c r="D1847">
        <v>0</v>
      </c>
      <c r="E1847">
        <v>0</v>
      </c>
      <c r="F1847" t="str">
        <f>"24/24"</f>
        <v>24/24</v>
      </c>
      <c r="G1847" s="10">
        <v>0.45150000000000001</v>
      </c>
    </row>
    <row r="1848" spans="1:7" x14ac:dyDescent="0.2">
      <c r="A1848" s="1" t="s">
        <v>122</v>
      </c>
      <c r="B1848" t="s">
        <v>1893</v>
      </c>
      <c r="C1848">
        <v>-3.6018846240109599</v>
      </c>
      <c r="D1848">
        <v>0</v>
      </c>
      <c r="E1848">
        <v>0</v>
      </c>
      <c r="F1848" t="str">
        <f>"94/96"</f>
        <v>94/96</v>
      </c>
      <c r="G1848" s="10">
        <v>0.70040000000000002</v>
      </c>
    </row>
    <row r="1849" spans="1:7" x14ac:dyDescent="0.2">
      <c r="A1849" s="1" t="s">
        <v>122</v>
      </c>
      <c r="B1849" t="s">
        <v>1894</v>
      </c>
      <c r="C1849">
        <v>-3.60122578419021</v>
      </c>
      <c r="D1849">
        <v>0</v>
      </c>
      <c r="E1849">
        <v>0</v>
      </c>
      <c r="F1849" t="str">
        <f>"56/63"</f>
        <v>56/63</v>
      </c>
      <c r="G1849" s="10">
        <v>0.52680000000000005</v>
      </c>
    </row>
    <row r="1850" spans="1:7" x14ac:dyDescent="0.2">
      <c r="A1850" s="1" t="s">
        <v>122</v>
      </c>
      <c r="B1850" t="s">
        <v>1895</v>
      </c>
      <c r="C1850">
        <v>-3.6010998420762199</v>
      </c>
      <c r="D1850">
        <v>0</v>
      </c>
      <c r="E1850">
        <v>0</v>
      </c>
      <c r="F1850" t="str">
        <f>"50/53"</f>
        <v>50/53</v>
      </c>
      <c r="G1850" s="10">
        <v>0.52349999999999997</v>
      </c>
    </row>
    <row r="1851" spans="1:7" x14ac:dyDescent="0.2">
      <c r="A1851" s="1" t="s">
        <v>122</v>
      </c>
      <c r="B1851" t="s">
        <v>684</v>
      </c>
      <c r="C1851">
        <v>-3.6006320510814098</v>
      </c>
      <c r="D1851">
        <v>0</v>
      </c>
      <c r="E1851">
        <v>0</v>
      </c>
      <c r="F1851" t="str">
        <f>"82/97"</f>
        <v>82/97</v>
      </c>
      <c r="G1851" s="10">
        <v>0.58120000000000005</v>
      </c>
    </row>
    <row r="1852" spans="1:7" x14ac:dyDescent="0.2">
      <c r="A1852" s="1" t="s">
        <v>122</v>
      </c>
      <c r="B1852" t="s">
        <v>1896</v>
      </c>
      <c r="C1852">
        <v>-3.6002759196471699</v>
      </c>
      <c r="D1852">
        <v>0</v>
      </c>
      <c r="E1852">
        <v>0</v>
      </c>
      <c r="F1852" t="str">
        <f>"46/49"</f>
        <v>46/49</v>
      </c>
      <c r="G1852" s="10">
        <v>0.52500000000000002</v>
      </c>
    </row>
    <row r="1853" spans="1:7" x14ac:dyDescent="0.2">
      <c r="A1853" s="1" t="s">
        <v>122</v>
      </c>
      <c r="B1853" t="s">
        <v>1897</v>
      </c>
      <c r="C1853">
        <v>-3.5986421354710201</v>
      </c>
      <c r="D1853">
        <v>0</v>
      </c>
      <c r="E1853">
        <v>0</v>
      </c>
      <c r="F1853" t="str">
        <f>"33/35"</f>
        <v>33/35</v>
      </c>
      <c r="G1853" s="10">
        <v>0.47110000000000002</v>
      </c>
    </row>
    <row r="1854" spans="1:7" x14ac:dyDescent="0.2">
      <c r="A1854" s="1" t="s">
        <v>122</v>
      </c>
      <c r="B1854" t="s">
        <v>817</v>
      </c>
      <c r="C1854">
        <v>-3.5986157255981301</v>
      </c>
      <c r="D1854">
        <v>0</v>
      </c>
      <c r="E1854">
        <v>0</v>
      </c>
      <c r="F1854" t="str">
        <f>"54/54"</f>
        <v>54/54</v>
      </c>
      <c r="G1854" s="10">
        <v>0.56940000000000002</v>
      </c>
    </row>
    <row r="1855" spans="1:7" x14ac:dyDescent="0.2">
      <c r="A1855" s="1" t="s">
        <v>122</v>
      </c>
      <c r="B1855" t="s">
        <v>1367</v>
      </c>
      <c r="C1855">
        <v>-3.5925663732483901</v>
      </c>
      <c r="D1855">
        <v>0</v>
      </c>
      <c r="E1855">
        <v>0</v>
      </c>
      <c r="F1855" t="str">
        <f>"58/76"</f>
        <v>58/76</v>
      </c>
      <c r="G1855" s="10">
        <v>0.41170000000000001</v>
      </c>
    </row>
    <row r="1856" spans="1:7" x14ac:dyDescent="0.2">
      <c r="A1856" s="1" t="s">
        <v>122</v>
      </c>
      <c r="B1856" t="s">
        <v>1000</v>
      </c>
      <c r="C1856">
        <v>-3.58929341680741</v>
      </c>
      <c r="D1856">
        <v>0</v>
      </c>
      <c r="E1856">
        <v>0</v>
      </c>
      <c r="F1856" t="str">
        <f>"124/135"</f>
        <v>124/135</v>
      </c>
      <c r="G1856" s="10">
        <v>0.67720000000000002</v>
      </c>
    </row>
    <row r="1857" spans="1:7" x14ac:dyDescent="0.2">
      <c r="A1857" s="1" t="s">
        <v>122</v>
      </c>
      <c r="B1857" t="s">
        <v>1898</v>
      </c>
      <c r="C1857">
        <v>-3.5824262353128802</v>
      </c>
      <c r="D1857">
        <v>0</v>
      </c>
      <c r="E1857">
        <v>0</v>
      </c>
      <c r="F1857" t="str">
        <f>"81/102"</f>
        <v>81/102</v>
      </c>
      <c r="G1857" s="10">
        <v>0.49959999999999999</v>
      </c>
    </row>
    <row r="1858" spans="1:7" x14ac:dyDescent="0.2">
      <c r="A1858" s="1" t="s">
        <v>122</v>
      </c>
      <c r="B1858" t="s">
        <v>637</v>
      </c>
      <c r="C1858">
        <v>-3.5791667461420298</v>
      </c>
      <c r="D1858">
        <v>0</v>
      </c>
      <c r="E1858">
        <v>0</v>
      </c>
      <c r="F1858" t="str">
        <f>"83/86"</f>
        <v>83/86</v>
      </c>
      <c r="G1858" s="10">
        <v>0.63580000000000003</v>
      </c>
    </row>
    <row r="1859" spans="1:7" x14ac:dyDescent="0.2">
      <c r="A1859" s="1" t="s">
        <v>122</v>
      </c>
      <c r="B1859" t="s">
        <v>1899</v>
      </c>
      <c r="C1859">
        <v>-3.57214314809737</v>
      </c>
      <c r="D1859">
        <v>0</v>
      </c>
      <c r="E1859">
        <v>0</v>
      </c>
      <c r="F1859" t="str">
        <f>"133/161"</f>
        <v>133/161</v>
      </c>
      <c r="G1859" s="10">
        <v>0.60699999999999998</v>
      </c>
    </row>
    <row r="1860" spans="1:7" x14ac:dyDescent="0.2">
      <c r="A1860" s="1" t="s">
        <v>122</v>
      </c>
      <c r="B1860" t="s">
        <v>902</v>
      </c>
      <c r="C1860">
        <v>-3.57124632017553</v>
      </c>
      <c r="D1860">
        <v>0</v>
      </c>
      <c r="E1860">
        <v>0</v>
      </c>
      <c r="F1860" t="str">
        <f>"69/71"</f>
        <v>69/71</v>
      </c>
      <c r="G1860" s="10">
        <v>0.64810000000000001</v>
      </c>
    </row>
    <row r="1861" spans="1:7" x14ac:dyDescent="0.2">
      <c r="A1861" s="1" t="s">
        <v>122</v>
      </c>
      <c r="B1861" t="s">
        <v>1900</v>
      </c>
      <c r="C1861">
        <v>-3.5701898727518402</v>
      </c>
      <c r="D1861">
        <v>0</v>
      </c>
      <c r="E1861">
        <v>0</v>
      </c>
      <c r="F1861" t="str">
        <f>"38/42"</f>
        <v>38/42</v>
      </c>
      <c r="G1861" s="10">
        <v>0.43880000000000002</v>
      </c>
    </row>
    <row r="1862" spans="1:7" x14ac:dyDescent="0.2">
      <c r="A1862" s="1" t="s">
        <v>122</v>
      </c>
      <c r="B1862" t="s">
        <v>920</v>
      </c>
      <c r="C1862">
        <v>-3.56999336429819</v>
      </c>
      <c r="D1862">
        <v>0</v>
      </c>
      <c r="E1862">
        <v>0</v>
      </c>
      <c r="F1862" t="str">
        <f>"47/49"</f>
        <v>47/49</v>
      </c>
      <c r="G1862" s="10">
        <v>0.52710000000000001</v>
      </c>
    </row>
    <row r="1863" spans="1:7" x14ac:dyDescent="0.2">
      <c r="A1863" s="1" t="s">
        <v>122</v>
      </c>
      <c r="B1863" t="s">
        <v>826</v>
      </c>
      <c r="C1863">
        <v>-3.5697017697386499</v>
      </c>
      <c r="D1863">
        <v>0</v>
      </c>
      <c r="E1863">
        <v>0</v>
      </c>
      <c r="F1863" t="str">
        <f>"40/41"</f>
        <v>40/41</v>
      </c>
      <c r="G1863" s="10">
        <v>0.53259999999999996</v>
      </c>
    </row>
    <row r="1864" spans="1:7" x14ac:dyDescent="0.2">
      <c r="A1864" s="1" t="s">
        <v>122</v>
      </c>
      <c r="B1864" t="s">
        <v>1901</v>
      </c>
      <c r="C1864">
        <v>-3.5634489612262299</v>
      </c>
      <c r="D1864">
        <v>0</v>
      </c>
      <c r="E1864">
        <v>0</v>
      </c>
      <c r="F1864" t="str">
        <f>"44/46"</f>
        <v>44/46</v>
      </c>
      <c r="G1864" s="10">
        <v>0.54390000000000005</v>
      </c>
    </row>
    <row r="1865" spans="1:7" x14ac:dyDescent="0.2">
      <c r="A1865" s="1" t="s">
        <v>122</v>
      </c>
      <c r="B1865" t="s">
        <v>1902</v>
      </c>
      <c r="C1865">
        <v>-3.5549453998208298</v>
      </c>
      <c r="D1865">
        <v>0</v>
      </c>
      <c r="E1865">
        <v>0</v>
      </c>
      <c r="F1865" t="str">
        <f>"81/98"</f>
        <v>81/98</v>
      </c>
      <c r="G1865" s="10">
        <v>0.54479999999999995</v>
      </c>
    </row>
    <row r="1866" spans="1:7" x14ac:dyDescent="0.2">
      <c r="A1866" s="1" t="s">
        <v>122</v>
      </c>
      <c r="B1866" t="s">
        <v>1499</v>
      </c>
      <c r="C1866">
        <v>-3.5539124683133601</v>
      </c>
      <c r="D1866">
        <v>0</v>
      </c>
      <c r="E1866">
        <v>0</v>
      </c>
      <c r="F1866" t="str">
        <f>"67/78"</f>
        <v>67/78</v>
      </c>
      <c r="G1866" s="10">
        <v>0.55069999999999997</v>
      </c>
    </row>
    <row r="1867" spans="1:7" x14ac:dyDescent="0.2">
      <c r="A1867" s="1" t="s">
        <v>122</v>
      </c>
      <c r="B1867" t="s">
        <v>1903</v>
      </c>
      <c r="C1867">
        <v>-3.55267391903348</v>
      </c>
      <c r="D1867">
        <v>0</v>
      </c>
      <c r="E1867">
        <v>0</v>
      </c>
      <c r="F1867" t="str">
        <f>"44/50"</f>
        <v>44/50</v>
      </c>
      <c r="G1867" s="10">
        <v>0.49630000000000002</v>
      </c>
    </row>
    <row r="1868" spans="1:7" x14ac:dyDescent="0.2">
      <c r="A1868" s="1" t="s">
        <v>122</v>
      </c>
      <c r="B1868" t="s">
        <v>1904</v>
      </c>
      <c r="C1868">
        <v>-3.5507316292722599</v>
      </c>
      <c r="D1868">
        <v>0</v>
      </c>
      <c r="E1868">
        <v>0</v>
      </c>
      <c r="F1868" t="str">
        <f>"101/108"</f>
        <v>101/108</v>
      </c>
      <c r="G1868" s="10">
        <v>0.65469999999999995</v>
      </c>
    </row>
    <row r="1869" spans="1:7" x14ac:dyDescent="0.2">
      <c r="A1869" s="1" t="s">
        <v>122</v>
      </c>
      <c r="B1869" t="s">
        <v>1905</v>
      </c>
      <c r="C1869">
        <v>-3.5399302487676798</v>
      </c>
      <c r="D1869">
        <v>0</v>
      </c>
      <c r="E1869">
        <v>0</v>
      </c>
      <c r="F1869" t="str">
        <f>"68/80"</f>
        <v>68/80</v>
      </c>
      <c r="G1869" s="10">
        <v>0.53129999999999999</v>
      </c>
    </row>
    <row r="1870" spans="1:7" x14ac:dyDescent="0.2">
      <c r="A1870" s="1" t="s">
        <v>122</v>
      </c>
      <c r="B1870" t="s">
        <v>1906</v>
      </c>
      <c r="C1870">
        <v>-3.5396718023430802</v>
      </c>
      <c r="D1870">
        <v>0</v>
      </c>
      <c r="E1870">
        <v>0</v>
      </c>
      <c r="F1870" t="str">
        <f>"47/47"</f>
        <v>47/47</v>
      </c>
      <c r="G1870" s="10">
        <v>0.54790000000000005</v>
      </c>
    </row>
    <row r="1871" spans="1:7" x14ac:dyDescent="0.2">
      <c r="A1871" s="1" t="s">
        <v>122</v>
      </c>
      <c r="B1871" t="s">
        <v>324</v>
      </c>
      <c r="C1871">
        <v>-3.53488934784535</v>
      </c>
      <c r="D1871">
        <v>0</v>
      </c>
      <c r="E1871">
        <v>0</v>
      </c>
      <c r="F1871" t="str">
        <f>"50/55"</f>
        <v>50/55</v>
      </c>
      <c r="G1871" s="10">
        <v>0.52149999999999996</v>
      </c>
    </row>
    <row r="1872" spans="1:7" x14ac:dyDescent="0.2">
      <c r="A1872" s="1" t="s">
        <v>122</v>
      </c>
      <c r="B1872" t="s">
        <v>1337</v>
      </c>
      <c r="C1872">
        <v>-3.5342749287441899</v>
      </c>
      <c r="D1872">
        <v>0</v>
      </c>
      <c r="E1872">
        <v>0</v>
      </c>
      <c r="F1872" t="str">
        <f>"84/93"</f>
        <v>84/93</v>
      </c>
      <c r="G1872" s="10">
        <v>0.5998</v>
      </c>
    </row>
    <row r="1873" spans="1:7" x14ac:dyDescent="0.2">
      <c r="A1873" s="1" t="s">
        <v>122</v>
      </c>
      <c r="B1873" t="s">
        <v>1907</v>
      </c>
      <c r="C1873">
        <v>-3.5302931722139999</v>
      </c>
      <c r="D1873">
        <v>0</v>
      </c>
      <c r="E1873">
        <v>0</v>
      </c>
      <c r="F1873" t="str">
        <f>"33/35"</f>
        <v>33/35</v>
      </c>
      <c r="G1873" s="10">
        <v>0.45639999999999997</v>
      </c>
    </row>
    <row r="1874" spans="1:7" x14ac:dyDescent="0.2">
      <c r="A1874" s="1" t="s">
        <v>122</v>
      </c>
      <c r="B1874" t="s">
        <v>1908</v>
      </c>
      <c r="C1874">
        <v>-3.5291103221456201</v>
      </c>
      <c r="D1874">
        <v>0</v>
      </c>
      <c r="E1874">
        <v>0</v>
      </c>
      <c r="F1874" t="str">
        <f>"58/66"</f>
        <v>58/66</v>
      </c>
      <c r="G1874" s="10">
        <v>0.49230000000000002</v>
      </c>
    </row>
    <row r="1875" spans="1:7" x14ac:dyDescent="0.2">
      <c r="A1875" s="1" t="s">
        <v>122</v>
      </c>
      <c r="B1875" t="s">
        <v>1909</v>
      </c>
      <c r="C1875">
        <v>-3.52553935410435</v>
      </c>
      <c r="D1875">
        <v>0</v>
      </c>
      <c r="E1875">
        <v>0</v>
      </c>
      <c r="F1875" t="str">
        <f>"57/66"</f>
        <v>57/66</v>
      </c>
      <c r="G1875" s="10">
        <v>0.52590000000000003</v>
      </c>
    </row>
    <row r="1876" spans="1:7" x14ac:dyDescent="0.2">
      <c r="A1876" s="1" t="s">
        <v>122</v>
      </c>
      <c r="B1876" t="s">
        <v>1910</v>
      </c>
      <c r="C1876">
        <v>-3.5244534110672499</v>
      </c>
      <c r="D1876">
        <v>0</v>
      </c>
      <c r="E1876">
        <v>0</v>
      </c>
      <c r="F1876" t="str">
        <f>"68/80"</f>
        <v>68/80</v>
      </c>
      <c r="G1876" s="10">
        <v>0.51090000000000002</v>
      </c>
    </row>
    <row r="1877" spans="1:7" x14ac:dyDescent="0.2">
      <c r="A1877" s="1" t="s">
        <v>122</v>
      </c>
      <c r="B1877" t="s">
        <v>1911</v>
      </c>
      <c r="C1877">
        <v>-3.5243386117994402</v>
      </c>
      <c r="D1877">
        <v>0</v>
      </c>
      <c r="E1877">
        <v>0</v>
      </c>
      <c r="F1877" t="str">
        <f>"28/28"</f>
        <v>28/28</v>
      </c>
      <c r="G1877" s="10">
        <v>0.49320000000000003</v>
      </c>
    </row>
    <row r="1878" spans="1:7" x14ac:dyDescent="0.2">
      <c r="A1878" s="1" t="s">
        <v>122</v>
      </c>
      <c r="B1878" t="s">
        <v>1912</v>
      </c>
      <c r="C1878">
        <v>-3.5205839436421602</v>
      </c>
      <c r="D1878">
        <v>0</v>
      </c>
      <c r="E1878">
        <v>0</v>
      </c>
      <c r="F1878" t="str">
        <f>"43/46"</f>
        <v>43/46</v>
      </c>
      <c r="G1878" s="10">
        <v>0.51590000000000003</v>
      </c>
    </row>
    <row r="1879" spans="1:7" x14ac:dyDescent="0.2">
      <c r="A1879" s="1" t="s">
        <v>122</v>
      </c>
      <c r="B1879" t="s">
        <v>1913</v>
      </c>
      <c r="C1879">
        <v>-3.5185976155518901</v>
      </c>
      <c r="D1879">
        <v>0</v>
      </c>
      <c r="E1879">
        <v>0</v>
      </c>
      <c r="F1879" t="str">
        <f>"31/31"</f>
        <v>31/31</v>
      </c>
      <c r="G1879" s="10">
        <v>0.4834</v>
      </c>
    </row>
    <row r="1880" spans="1:7" x14ac:dyDescent="0.2">
      <c r="A1880" s="1" t="s">
        <v>122</v>
      </c>
      <c r="B1880" t="s">
        <v>1914</v>
      </c>
      <c r="C1880">
        <v>-3.5185976155518901</v>
      </c>
      <c r="D1880">
        <v>0</v>
      </c>
      <c r="E1880">
        <v>0</v>
      </c>
      <c r="F1880" t="str">
        <f>"31/31"</f>
        <v>31/31</v>
      </c>
      <c r="G1880" s="10">
        <v>0.4834</v>
      </c>
    </row>
    <row r="1881" spans="1:7" x14ac:dyDescent="0.2">
      <c r="A1881" s="1" t="s">
        <v>122</v>
      </c>
      <c r="B1881" t="s">
        <v>1915</v>
      </c>
      <c r="C1881">
        <v>-3.518508872185</v>
      </c>
      <c r="D1881">
        <v>0</v>
      </c>
      <c r="E1881">
        <v>0</v>
      </c>
      <c r="F1881" t="str">
        <f>"57/61"</f>
        <v>57/61</v>
      </c>
      <c r="G1881" s="10">
        <v>0.56489999999999996</v>
      </c>
    </row>
    <row r="1882" spans="1:7" x14ac:dyDescent="0.2">
      <c r="A1882" s="1" t="s">
        <v>122</v>
      </c>
      <c r="B1882" t="s">
        <v>1916</v>
      </c>
      <c r="C1882">
        <v>-3.5176204310207799</v>
      </c>
      <c r="D1882">
        <v>0</v>
      </c>
      <c r="E1882">
        <v>0</v>
      </c>
      <c r="F1882" t="str">
        <f>"39/40"</f>
        <v>39/40</v>
      </c>
      <c r="G1882" s="10">
        <v>0.52010000000000001</v>
      </c>
    </row>
    <row r="1883" spans="1:7" x14ac:dyDescent="0.2">
      <c r="A1883" s="1" t="s">
        <v>122</v>
      </c>
      <c r="B1883" t="s">
        <v>1917</v>
      </c>
      <c r="C1883">
        <v>-3.5157145176847302</v>
      </c>
      <c r="D1883">
        <v>0</v>
      </c>
      <c r="E1883">
        <v>0</v>
      </c>
      <c r="F1883" t="str">
        <f>"52/55"</f>
        <v>52/55</v>
      </c>
      <c r="G1883" s="10">
        <v>0.53590000000000004</v>
      </c>
    </row>
    <row r="1884" spans="1:7" x14ac:dyDescent="0.2">
      <c r="A1884" s="1" t="s">
        <v>122</v>
      </c>
      <c r="B1884" t="s">
        <v>1918</v>
      </c>
      <c r="C1884">
        <v>-3.5118945187956898</v>
      </c>
      <c r="D1884">
        <v>0</v>
      </c>
      <c r="E1884">
        <v>0</v>
      </c>
      <c r="F1884" t="str">
        <f>"52/59"</f>
        <v>52/59</v>
      </c>
      <c r="G1884" s="10">
        <v>0.51429999999999998</v>
      </c>
    </row>
    <row r="1885" spans="1:7" x14ac:dyDescent="0.2">
      <c r="A1885" s="1" t="s">
        <v>122</v>
      </c>
      <c r="B1885" t="s">
        <v>1919</v>
      </c>
      <c r="C1885">
        <v>-3.50792636119162</v>
      </c>
      <c r="D1885">
        <v>0</v>
      </c>
      <c r="E1885">
        <v>0</v>
      </c>
      <c r="F1885" t="str">
        <f>"38/38"</f>
        <v>38/38</v>
      </c>
      <c r="G1885" s="10">
        <v>0.50970000000000004</v>
      </c>
    </row>
    <row r="1886" spans="1:7" x14ac:dyDescent="0.2">
      <c r="A1886" s="1" t="s">
        <v>122</v>
      </c>
      <c r="B1886" t="s">
        <v>1920</v>
      </c>
      <c r="C1886">
        <v>-3.5064057579319798</v>
      </c>
      <c r="D1886">
        <v>0</v>
      </c>
      <c r="E1886">
        <v>0</v>
      </c>
      <c r="F1886" t="str">
        <f>"46/48"</f>
        <v>46/48</v>
      </c>
      <c r="G1886" s="10">
        <v>0.5696</v>
      </c>
    </row>
    <row r="1887" spans="1:7" x14ac:dyDescent="0.2">
      <c r="A1887" s="1" t="s">
        <v>122</v>
      </c>
      <c r="B1887" t="s">
        <v>1921</v>
      </c>
      <c r="C1887">
        <v>-3.4919121421793702</v>
      </c>
      <c r="D1887">
        <v>0</v>
      </c>
      <c r="E1887">
        <v>0</v>
      </c>
      <c r="F1887" t="str">
        <f>"57/62"</f>
        <v>57/62</v>
      </c>
      <c r="G1887" s="10">
        <v>0.50860000000000005</v>
      </c>
    </row>
    <row r="1888" spans="1:7" x14ac:dyDescent="0.2">
      <c r="A1888" s="1" t="s">
        <v>122</v>
      </c>
      <c r="B1888" t="s">
        <v>1922</v>
      </c>
      <c r="C1888">
        <v>-3.49128729370317</v>
      </c>
      <c r="D1888">
        <v>0</v>
      </c>
      <c r="E1888">
        <v>0</v>
      </c>
      <c r="F1888" t="str">
        <f>"35/40"</f>
        <v>35/40</v>
      </c>
      <c r="G1888" s="10">
        <v>0.4083</v>
      </c>
    </row>
    <row r="1889" spans="1:7" x14ac:dyDescent="0.2">
      <c r="A1889" s="1" t="s">
        <v>122</v>
      </c>
      <c r="B1889" t="s">
        <v>1923</v>
      </c>
      <c r="C1889">
        <v>-3.4911667775116602</v>
      </c>
      <c r="D1889">
        <v>0</v>
      </c>
      <c r="E1889">
        <v>0</v>
      </c>
      <c r="F1889" t="str">
        <f>"71/88"</f>
        <v>71/88</v>
      </c>
      <c r="G1889" s="10">
        <v>0.5111</v>
      </c>
    </row>
    <row r="1890" spans="1:7" x14ac:dyDescent="0.2">
      <c r="A1890" s="1" t="s">
        <v>122</v>
      </c>
      <c r="B1890" t="s">
        <v>1924</v>
      </c>
      <c r="C1890">
        <v>-3.4902664491435802</v>
      </c>
      <c r="D1890">
        <v>0</v>
      </c>
      <c r="E1890">
        <v>0</v>
      </c>
      <c r="F1890" t="str">
        <f>"24/25"</f>
        <v>24/25</v>
      </c>
      <c r="G1890" s="10">
        <v>0.41899999999999998</v>
      </c>
    </row>
    <row r="1891" spans="1:7" x14ac:dyDescent="0.2">
      <c r="A1891" s="1" t="s">
        <v>122</v>
      </c>
      <c r="B1891" t="s">
        <v>1044</v>
      </c>
      <c r="C1891">
        <v>-3.4900450736480999</v>
      </c>
      <c r="D1891">
        <v>0</v>
      </c>
      <c r="E1891">
        <v>0</v>
      </c>
      <c r="F1891" t="str">
        <f>"64/76"</f>
        <v>64/76</v>
      </c>
      <c r="G1891" s="10">
        <v>0.51139999999999997</v>
      </c>
    </row>
    <row r="1892" spans="1:7" x14ac:dyDescent="0.2">
      <c r="A1892" s="1" t="s">
        <v>122</v>
      </c>
      <c r="B1892" t="s">
        <v>1925</v>
      </c>
      <c r="C1892">
        <v>-3.4899098287889401</v>
      </c>
      <c r="D1892">
        <v>0</v>
      </c>
      <c r="E1892">
        <v>0</v>
      </c>
      <c r="F1892" t="str">
        <f>"39/41"</f>
        <v>39/41</v>
      </c>
      <c r="G1892" s="10">
        <v>0.49469999999999997</v>
      </c>
    </row>
    <row r="1893" spans="1:7" x14ac:dyDescent="0.2">
      <c r="A1893" s="1" t="s">
        <v>122</v>
      </c>
      <c r="B1893" t="s">
        <v>1721</v>
      </c>
      <c r="C1893">
        <v>-3.4890645426278999</v>
      </c>
      <c r="D1893">
        <v>0</v>
      </c>
      <c r="E1893">
        <v>0</v>
      </c>
      <c r="F1893" t="str">
        <f>"46/48"</f>
        <v>46/48</v>
      </c>
      <c r="G1893" s="10">
        <v>0.5514</v>
      </c>
    </row>
    <row r="1894" spans="1:7" x14ac:dyDescent="0.2">
      <c r="A1894" s="1" t="s">
        <v>122</v>
      </c>
      <c r="B1894" t="s">
        <v>1926</v>
      </c>
      <c r="C1894">
        <v>-3.48223169224317</v>
      </c>
      <c r="D1894">
        <v>0</v>
      </c>
      <c r="E1894">
        <v>0</v>
      </c>
      <c r="F1894" t="str">
        <f>"47/49"</f>
        <v>47/49</v>
      </c>
      <c r="G1894" s="10">
        <v>0.53310000000000002</v>
      </c>
    </row>
    <row r="1895" spans="1:7" x14ac:dyDescent="0.2">
      <c r="A1895" s="1" t="s">
        <v>122</v>
      </c>
      <c r="B1895" t="s">
        <v>1927</v>
      </c>
      <c r="C1895">
        <v>-3.47693009246218</v>
      </c>
      <c r="D1895">
        <v>0</v>
      </c>
      <c r="E1895">
        <v>0</v>
      </c>
      <c r="F1895" t="str">
        <f>"87/110"</f>
        <v>87/110</v>
      </c>
      <c r="G1895" s="10">
        <v>0.51500000000000001</v>
      </c>
    </row>
    <row r="1896" spans="1:7" x14ac:dyDescent="0.2">
      <c r="A1896" s="1" t="s">
        <v>122</v>
      </c>
      <c r="B1896" t="s">
        <v>1144</v>
      </c>
      <c r="C1896">
        <v>-3.4755823631646301</v>
      </c>
      <c r="D1896">
        <v>0</v>
      </c>
      <c r="E1896">
        <v>0</v>
      </c>
      <c r="F1896" t="str">
        <f>"31/35"</f>
        <v>31/35</v>
      </c>
      <c r="G1896" s="10">
        <v>0.41049999999999998</v>
      </c>
    </row>
    <row r="1897" spans="1:7" x14ac:dyDescent="0.2">
      <c r="A1897" s="1" t="s">
        <v>122</v>
      </c>
      <c r="B1897" t="s">
        <v>1928</v>
      </c>
      <c r="C1897">
        <v>-3.4743676969869499</v>
      </c>
      <c r="D1897">
        <v>0</v>
      </c>
      <c r="E1897">
        <v>0</v>
      </c>
      <c r="F1897" t="str">
        <f>"51/53"</f>
        <v>51/53</v>
      </c>
      <c r="G1897" s="10">
        <v>0.55459999999999998</v>
      </c>
    </row>
    <row r="1898" spans="1:7" x14ac:dyDescent="0.2">
      <c r="A1898" s="1" t="s">
        <v>122</v>
      </c>
      <c r="B1898" t="s">
        <v>1929</v>
      </c>
      <c r="C1898">
        <v>-3.4710759598527501</v>
      </c>
      <c r="D1898">
        <v>0</v>
      </c>
      <c r="E1898">
        <v>0</v>
      </c>
      <c r="F1898" t="str">
        <f>"49/56"</f>
        <v>49/56</v>
      </c>
      <c r="G1898" s="10">
        <v>0.51229999999999998</v>
      </c>
    </row>
    <row r="1899" spans="1:7" x14ac:dyDescent="0.2">
      <c r="A1899" s="1" t="s">
        <v>122</v>
      </c>
      <c r="B1899" t="s">
        <v>972</v>
      </c>
      <c r="C1899">
        <v>-3.47043911377486</v>
      </c>
      <c r="D1899">
        <v>0</v>
      </c>
      <c r="E1899">
        <v>0</v>
      </c>
      <c r="F1899" t="str">
        <f>"30/35"</f>
        <v>30/35</v>
      </c>
      <c r="G1899" s="10">
        <v>0.39800000000000002</v>
      </c>
    </row>
    <row r="1900" spans="1:7" x14ac:dyDescent="0.2">
      <c r="A1900" s="1" t="s">
        <v>122</v>
      </c>
      <c r="B1900" t="s">
        <v>1930</v>
      </c>
      <c r="C1900">
        <v>-3.4674443221225499</v>
      </c>
      <c r="D1900">
        <v>0</v>
      </c>
      <c r="E1900">
        <v>0</v>
      </c>
      <c r="F1900" t="str">
        <f>"96/138"</f>
        <v>96/138</v>
      </c>
      <c r="G1900" s="10">
        <v>0.44690000000000002</v>
      </c>
    </row>
    <row r="1901" spans="1:7" x14ac:dyDescent="0.2">
      <c r="A1901" s="1" t="s">
        <v>122</v>
      </c>
      <c r="B1901" t="s">
        <v>1931</v>
      </c>
      <c r="C1901">
        <v>-3.4665691568164898</v>
      </c>
      <c r="D1901">
        <v>0</v>
      </c>
      <c r="E1901">
        <v>0</v>
      </c>
      <c r="F1901" t="str">
        <f>"28/28"</f>
        <v>28/28</v>
      </c>
      <c r="G1901" s="10">
        <v>0.47</v>
      </c>
    </row>
    <row r="1902" spans="1:7" x14ac:dyDescent="0.2">
      <c r="A1902" s="1" t="s">
        <v>122</v>
      </c>
      <c r="B1902" t="s">
        <v>1112</v>
      </c>
      <c r="C1902">
        <v>-3.4583947838586599</v>
      </c>
      <c r="D1902">
        <v>0</v>
      </c>
      <c r="E1902">
        <v>0</v>
      </c>
      <c r="F1902" t="str">
        <f>"38/39"</f>
        <v>38/39</v>
      </c>
      <c r="G1902" s="10">
        <v>0.52869999999999995</v>
      </c>
    </row>
    <row r="1903" spans="1:7" x14ac:dyDescent="0.2">
      <c r="A1903" s="1" t="s">
        <v>122</v>
      </c>
      <c r="B1903" t="s">
        <v>559</v>
      </c>
      <c r="C1903">
        <v>-3.4555141285323399</v>
      </c>
      <c r="D1903">
        <v>0</v>
      </c>
      <c r="E1903">
        <v>0</v>
      </c>
      <c r="F1903" t="str">
        <f>"58/62"</f>
        <v>58/62</v>
      </c>
      <c r="G1903" s="10">
        <v>0.57440000000000002</v>
      </c>
    </row>
    <row r="1904" spans="1:7" x14ac:dyDescent="0.2">
      <c r="A1904" s="1" t="s">
        <v>122</v>
      </c>
      <c r="B1904" t="s">
        <v>1932</v>
      </c>
      <c r="C1904">
        <v>-3.4543801248955202</v>
      </c>
      <c r="D1904">
        <v>0</v>
      </c>
      <c r="E1904">
        <v>0</v>
      </c>
      <c r="F1904" t="str">
        <f>"17/17"</f>
        <v>17/17</v>
      </c>
      <c r="G1904" s="10">
        <v>0.35460000000000003</v>
      </c>
    </row>
    <row r="1905" spans="1:7" x14ac:dyDescent="0.2">
      <c r="A1905" s="1" t="s">
        <v>122</v>
      </c>
      <c r="B1905" t="s">
        <v>1933</v>
      </c>
      <c r="C1905">
        <v>-3.45402329317296</v>
      </c>
      <c r="D1905">
        <v>0</v>
      </c>
      <c r="E1905">
        <v>0</v>
      </c>
      <c r="F1905" t="str">
        <f>"78/101"</f>
        <v>78/101</v>
      </c>
      <c r="G1905" s="10">
        <v>0.4829</v>
      </c>
    </row>
    <row r="1906" spans="1:7" x14ac:dyDescent="0.2">
      <c r="A1906" s="1" t="s">
        <v>122</v>
      </c>
      <c r="B1906" t="s">
        <v>1934</v>
      </c>
      <c r="C1906">
        <v>-3.4531664178345398</v>
      </c>
      <c r="D1906">
        <v>0</v>
      </c>
      <c r="E1906">
        <v>0</v>
      </c>
      <c r="F1906" t="str">
        <f>"60/71"</f>
        <v>60/71</v>
      </c>
      <c r="G1906" s="10">
        <v>0.52769999999999995</v>
      </c>
    </row>
    <row r="1907" spans="1:7" x14ac:dyDescent="0.2">
      <c r="A1907" s="1" t="s">
        <v>122</v>
      </c>
      <c r="B1907" t="s">
        <v>1935</v>
      </c>
      <c r="C1907">
        <v>-3.4507888598992298</v>
      </c>
      <c r="D1907">
        <v>0</v>
      </c>
      <c r="E1907">
        <v>0</v>
      </c>
      <c r="F1907" t="str">
        <f>"76/84"</f>
        <v>76/84</v>
      </c>
      <c r="G1907" s="10">
        <v>0.61629999999999996</v>
      </c>
    </row>
    <row r="1908" spans="1:7" x14ac:dyDescent="0.2">
      <c r="A1908" s="1" t="s">
        <v>122</v>
      </c>
      <c r="B1908" t="s">
        <v>1936</v>
      </c>
      <c r="C1908">
        <v>-3.4486801440154999</v>
      </c>
      <c r="D1908">
        <v>0</v>
      </c>
      <c r="E1908">
        <v>0</v>
      </c>
      <c r="F1908" t="str">
        <f>"30/30"</f>
        <v>30/30</v>
      </c>
      <c r="G1908" s="10">
        <v>0.48370000000000002</v>
      </c>
    </row>
    <row r="1909" spans="1:7" x14ac:dyDescent="0.2">
      <c r="A1909" s="1" t="s">
        <v>122</v>
      </c>
      <c r="B1909" t="s">
        <v>1937</v>
      </c>
      <c r="C1909">
        <v>-3.4472021106045498</v>
      </c>
      <c r="D1909">
        <v>0</v>
      </c>
      <c r="E1909">
        <v>0</v>
      </c>
      <c r="F1909" t="str">
        <f>"56/66"</f>
        <v>56/66</v>
      </c>
      <c r="G1909" s="10">
        <v>0.52439999999999998</v>
      </c>
    </row>
    <row r="1910" spans="1:7" x14ac:dyDescent="0.2">
      <c r="A1910" s="1" t="s">
        <v>122</v>
      </c>
      <c r="B1910" t="s">
        <v>1938</v>
      </c>
      <c r="C1910">
        <v>-3.4445954234526801</v>
      </c>
      <c r="D1910">
        <v>0</v>
      </c>
      <c r="E1910">
        <v>0</v>
      </c>
      <c r="F1910" t="str">
        <f>"42/46"</f>
        <v>42/46</v>
      </c>
      <c r="G1910" s="10">
        <v>0.47299999999999998</v>
      </c>
    </row>
    <row r="1911" spans="1:7" x14ac:dyDescent="0.2">
      <c r="A1911" s="1" t="s">
        <v>122</v>
      </c>
      <c r="B1911" t="s">
        <v>796</v>
      </c>
      <c r="C1911">
        <v>-3.4380517488571298</v>
      </c>
      <c r="D1911">
        <v>0</v>
      </c>
      <c r="E1911">
        <v>0</v>
      </c>
      <c r="F1911" t="str">
        <f>"108/119"</f>
        <v>108/119</v>
      </c>
      <c r="G1911" s="10">
        <v>0.63109999999999999</v>
      </c>
    </row>
    <row r="1912" spans="1:7" x14ac:dyDescent="0.2">
      <c r="A1912" s="1" t="s">
        <v>122</v>
      </c>
      <c r="B1912" t="s">
        <v>1939</v>
      </c>
      <c r="C1912">
        <v>-3.43275670934944</v>
      </c>
      <c r="D1912">
        <v>0</v>
      </c>
      <c r="E1912">
        <v>0</v>
      </c>
      <c r="F1912" t="str">
        <f>"50/54"</f>
        <v>50/54</v>
      </c>
      <c r="G1912" s="10">
        <v>0.51880000000000004</v>
      </c>
    </row>
    <row r="1913" spans="1:7" x14ac:dyDescent="0.2">
      <c r="A1913" s="1" t="s">
        <v>122</v>
      </c>
      <c r="B1913" t="s">
        <v>1940</v>
      </c>
      <c r="C1913">
        <v>-3.4325000371007701</v>
      </c>
      <c r="D1913">
        <v>0</v>
      </c>
      <c r="E1913">
        <v>0</v>
      </c>
      <c r="F1913" t="str">
        <f>"27/27"</f>
        <v>27/27</v>
      </c>
      <c r="G1913" s="10">
        <v>0.46050000000000002</v>
      </c>
    </row>
    <row r="1914" spans="1:7" x14ac:dyDescent="0.2">
      <c r="A1914" s="1" t="s">
        <v>122</v>
      </c>
      <c r="B1914" t="s">
        <v>955</v>
      </c>
      <c r="C1914">
        <v>-3.4276146481831802</v>
      </c>
      <c r="D1914">
        <v>0</v>
      </c>
      <c r="E1914">
        <v>0</v>
      </c>
      <c r="F1914" t="str">
        <f>"112/123"</f>
        <v>112/123</v>
      </c>
      <c r="G1914" s="10">
        <v>0.66279999999999994</v>
      </c>
    </row>
    <row r="1915" spans="1:7" x14ac:dyDescent="0.2">
      <c r="A1915" s="1" t="s">
        <v>122</v>
      </c>
      <c r="B1915" t="s">
        <v>1941</v>
      </c>
      <c r="C1915">
        <v>-3.4273867077732798</v>
      </c>
      <c r="D1915">
        <v>0</v>
      </c>
      <c r="E1915">
        <v>0</v>
      </c>
      <c r="F1915" t="str">
        <f>"31/36"</f>
        <v>31/36</v>
      </c>
      <c r="G1915" s="10">
        <v>0.41489999999999999</v>
      </c>
    </row>
    <row r="1916" spans="1:7" x14ac:dyDescent="0.2">
      <c r="A1916" s="1" t="s">
        <v>122</v>
      </c>
      <c r="B1916" t="s">
        <v>1942</v>
      </c>
      <c r="C1916">
        <v>-3.42727101120864</v>
      </c>
      <c r="D1916">
        <v>0</v>
      </c>
      <c r="E1916">
        <v>0</v>
      </c>
      <c r="F1916" t="str">
        <f>"110/128"</f>
        <v>110/128</v>
      </c>
      <c r="G1916" s="10">
        <v>0.62129999999999996</v>
      </c>
    </row>
    <row r="1917" spans="1:7" x14ac:dyDescent="0.2">
      <c r="A1917" s="1" t="s">
        <v>122</v>
      </c>
      <c r="B1917" t="s">
        <v>723</v>
      </c>
      <c r="C1917">
        <v>-3.4252778434949902</v>
      </c>
      <c r="D1917">
        <v>0</v>
      </c>
      <c r="E1917">
        <v>0</v>
      </c>
      <c r="F1917" t="str">
        <f>"111/122"</f>
        <v>111/122</v>
      </c>
      <c r="G1917" s="10">
        <v>0.63980000000000004</v>
      </c>
    </row>
    <row r="1918" spans="1:7" x14ac:dyDescent="0.2">
      <c r="A1918" s="1" t="s">
        <v>122</v>
      </c>
      <c r="B1918" t="s">
        <v>1943</v>
      </c>
      <c r="C1918">
        <v>-3.4207238404332601</v>
      </c>
      <c r="D1918">
        <v>0</v>
      </c>
      <c r="E1918">
        <v>0</v>
      </c>
      <c r="F1918" t="str">
        <f>"55/58"</f>
        <v>55/58</v>
      </c>
      <c r="G1918" s="10">
        <v>0.58079999999999998</v>
      </c>
    </row>
    <row r="1919" spans="1:7" x14ac:dyDescent="0.2">
      <c r="A1919" s="1" t="s">
        <v>122</v>
      </c>
      <c r="B1919" t="s">
        <v>1944</v>
      </c>
      <c r="C1919">
        <v>-3.4141076336665499</v>
      </c>
      <c r="D1919">
        <v>0</v>
      </c>
      <c r="E1919">
        <v>0</v>
      </c>
      <c r="F1919" t="str">
        <f>"30/30"</f>
        <v>30/30</v>
      </c>
      <c r="G1919" s="10">
        <v>0.48880000000000001</v>
      </c>
    </row>
    <row r="1920" spans="1:7" x14ac:dyDescent="0.2">
      <c r="A1920" s="1" t="s">
        <v>122</v>
      </c>
      <c r="B1920" t="s">
        <v>1945</v>
      </c>
      <c r="C1920">
        <v>-3.4137159302436699</v>
      </c>
      <c r="D1920">
        <v>0</v>
      </c>
      <c r="E1920">
        <v>0</v>
      </c>
      <c r="F1920" t="str">
        <f>"28/29"</f>
        <v>28/29</v>
      </c>
      <c r="G1920" s="10">
        <v>0.46110000000000001</v>
      </c>
    </row>
    <row r="1921" spans="1:7" x14ac:dyDescent="0.2">
      <c r="A1921" s="1" t="s">
        <v>122</v>
      </c>
      <c r="B1921" t="s">
        <v>1946</v>
      </c>
      <c r="C1921">
        <v>-3.4130850879029602</v>
      </c>
      <c r="D1921">
        <v>0</v>
      </c>
      <c r="E1921">
        <v>0</v>
      </c>
      <c r="F1921" t="str">
        <f>"56/63"</f>
        <v>56/63</v>
      </c>
      <c r="G1921" s="10">
        <v>0.51519999999999999</v>
      </c>
    </row>
    <row r="1922" spans="1:7" x14ac:dyDescent="0.2">
      <c r="A1922" s="1" t="s">
        <v>122</v>
      </c>
      <c r="B1922" t="s">
        <v>1947</v>
      </c>
      <c r="C1922">
        <v>-3.4085264771280599</v>
      </c>
      <c r="D1922">
        <v>0</v>
      </c>
      <c r="E1922">
        <v>0</v>
      </c>
      <c r="F1922" t="str">
        <f>"33/34"</f>
        <v>33/34</v>
      </c>
      <c r="G1922" s="10">
        <v>0.495</v>
      </c>
    </row>
    <row r="1923" spans="1:7" x14ac:dyDescent="0.2">
      <c r="A1923" s="1" t="s">
        <v>122</v>
      </c>
      <c r="B1923" t="s">
        <v>1948</v>
      </c>
      <c r="C1923">
        <v>-3.4072266535191802</v>
      </c>
      <c r="D1923">
        <v>0</v>
      </c>
      <c r="E1923">
        <v>0</v>
      </c>
      <c r="F1923" t="str">
        <f>"95/110"</f>
        <v>95/110</v>
      </c>
      <c r="G1923" s="10">
        <v>0.57769999999999999</v>
      </c>
    </row>
    <row r="1924" spans="1:7" x14ac:dyDescent="0.2">
      <c r="A1924" s="1" t="s">
        <v>122</v>
      </c>
      <c r="B1924" t="s">
        <v>1949</v>
      </c>
      <c r="C1924">
        <v>-3.4070971756919701</v>
      </c>
      <c r="D1924">
        <v>0</v>
      </c>
      <c r="E1924">
        <v>0</v>
      </c>
      <c r="F1924" t="str">
        <f>"42/46"</f>
        <v>42/46</v>
      </c>
      <c r="G1924" s="10">
        <v>0.5081</v>
      </c>
    </row>
    <row r="1925" spans="1:7" x14ac:dyDescent="0.2">
      <c r="A1925" s="1" t="s">
        <v>122</v>
      </c>
      <c r="B1925" t="s">
        <v>68</v>
      </c>
      <c r="C1925">
        <v>-3.4052986811697799</v>
      </c>
      <c r="D1925">
        <v>0</v>
      </c>
      <c r="E1925">
        <v>0</v>
      </c>
      <c r="F1925" t="str">
        <f>"175/213"</f>
        <v>175/213</v>
      </c>
      <c r="G1925" s="10">
        <v>0.62909999999999999</v>
      </c>
    </row>
    <row r="1926" spans="1:7" x14ac:dyDescent="0.2">
      <c r="A1926" s="1" t="s">
        <v>122</v>
      </c>
      <c r="B1926" t="s">
        <v>1950</v>
      </c>
      <c r="C1926">
        <v>-3.4017016754685301</v>
      </c>
      <c r="D1926">
        <v>0</v>
      </c>
      <c r="E1926">
        <v>0</v>
      </c>
      <c r="F1926" t="str">
        <f>"31/34"</f>
        <v>31/34</v>
      </c>
      <c r="G1926" s="10">
        <v>0.43959999999999999</v>
      </c>
    </row>
    <row r="1927" spans="1:7" x14ac:dyDescent="0.2">
      <c r="A1927" s="1" t="s">
        <v>122</v>
      </c>
      <c r="B1927" t="s">
        <v>781</v>
      </c>
      <c r="C1927">
        <v>-3.3994754858954699</v>
      </c>
      <c r="D1927">
        <v>0</v>
      </c>
      <c r="E1927">
        <v>0</v>
      </c>
      <c r="F1927" t="str">
        <f>"32/34"</f>
        <v>32/34</v>
      </c>
      <c r="G1927" s="10">
        <v>0.47549999999999998</v>
      </c>
    </row>
    <row r="1928" spans="1:7" x14ac:dyDescent="0.2">
      <c r="A1928" s="1" t="s">
        <v>122</v>
      </c>
      <c r="B1928" t="s">
        <v>1951</v>
      </c>
      <c r="C1928">
        <v>-3.39650051328596</v>
      </c>
      <c r="D1928">
        <v>0</v>
      </c>
      <c r="E1928">
        <v>0</v>
      </c>
      <c r="F1928" t="str">
        <f>"30/31"</f>
        <v>30/31</v>
      </c>
      <c r="G1928" s="10">
        <v>0.50460000000000005</v>
      </c>
    </row>
    <row r="1929" spans="1:7" x14ac:dyDescent="0.2">
      <c r="A1929" s="1" t="s">
        <v>122</v>
      </c>
      <c r="B1929" t="s">
        <v>1952</v>
      </c>
      <c r="C1929">
        <v>-3.3931439031142001</v>
      </c>
      <c r="D1929">
        <v>0</v>
      </c>
      <c r="E1929">
        <v>0</v>
      </c>
      <c r="F1929" t="str">
        <f>"82/90"</f>
        <v>82/90</v>
      </c>
      <c r="G1929" s="10">
        <v>0.60329999999999995</v>
      </c>
    </row>
    <row r="1930" spans="1:7" x14ac:dyDescent="0.2">
      <c r="A1930" s="1" t="s">
        <v>122</v>
      </c>
      <c r="B1930" t="s">
        <v>1953</v>
      </c>
      <c r="C1930">
        <v>-3.3923980690116302</v>
      </c>
      <c r="D1930">
        <v>0</v>
      </c>
      <c r="E1930">
        <v>0</v>
      </c>
      <c r="F1930" t="str">
        <f>"41/44"</f>
        <v>41/44</v>
      </c>
      <c r="G1930" s="10">
        <v>0.53580000000000005</v>
      </c>
    </row>
    <row r="1931" spans="1:7" x14ac:dyDescent="0.2">
      <c r="A1931" s="1" t="s">
        <v>122</v>
      </c>
      <c r="B1931" t="s">
        <v>1954</v>
      </c>
      <c r="C1931">
        <v>-3.3865490927851201</v>
      </c>
      <c r="D1931">
        <v>0</v>
      </c>
      <c r="E1931">
        <v>0</v>
      </c>
      <c r="F1931" t="str">
        <f>"30/34"</f>
        <v>30/34</v>
      </c>
      <c r="G1931" s="10">
        <v>0.41899999999999998</v>
      </c>
    </row>
    <row r="1932" spans="1:7" x14ac:dyDescent="0.2">
      <c r="A1932" s="1" t="s">
        <v>122</v>
      </c>
      <c r="B1932" t="s">
        <v>841</v>
      </c>
      <c r="C1932">
        <v>-3.38536021078778</v>
      </c>
      <c r="D1932">
        <v>0</v>
      </c>
      <c r="E1932">
        <v>0</v>
      </c>
      <c r="F1932" t="str">
        <f>"118/129"</f>
        <v>118/129</v>
      </c>
      <c r="G1932" s="10">
        <v>0.64300000000000002</v>
      </c>
    </row>
    <row r="1933" spans="1:7" x14ac:dyDescent="0.2">
      <c r="A1933" s="1" t="s">
        <v>122</v>
      </c>
      <c r="B1933" t="s">
        <v>1955</v>
      </c>
      <c r="C1933">
        <v>-3.3841520366907001</v>
      </c>
      <c r="D1933">
        <v>0</v>
      </c>
      <c r="E1933">
        <v>0</v>
      </c>
      <c r="F1933" t="str">
        <f>"52/58"</f>
        <v>52/58</v>
      </c>
      <c r="G1933" s="10">
        <v>0.53259999999999996</v>
      </c>
    </row>
    <row r="1934" spans="1:7" x14ac:dyDescent="0.2">
      <c r="A1934" s="1" t="s">
        <v>122</v>
      </c>
      <c r="B1934" t="s">
        <v>1956</v>
      </c>
      <c r="C1934">
        <v>-3.3808007634403001</v>
      </c>
      <c r="D1934">
        <v>0</v>
      </c>
      <c r="E1934">
        <v>0</v>
      </c>
      <c r="F1934" t="str">
        <f>"28/31"</f>
        <v>28/31</v>
      </c>
      <c r="G1934" s="10">
        <v>0.46339999999999998</v>
      </c>
    </row>
    <row r="1935" spans="1:7" x14ac:dyDescent="0.2">
      <c r="A1935" s="1" t="s">
        <v>122</v>
      </c>
      <c r="B1935" t="s">
        <v>1957</v>
      </c>
      <c r="C1935">
        <v>-3.38037004901053</v>
      </c>
      <c r="D1935">
        <v>0</v>
      </c>
      <c r="E1935">
        <v>0</v>
      </c>
      <c r="F1935" t="str">
        <f>"29/29"</f>
        <v>29/29</v>
      </c>
      <c r="G1935" s="10">
        <v>0.50839999999999996</v>
      </c>
    </row>
    <row r="1936" spans="1:7" x14ac:dyDescent="0.2">
      <c r="A1936" s="1" t="s">
        <v>122</v>
      </c>
      <c r="B1936" t="s">
        <v>1958</v>
      </c>
      <c r="C1936">
        <v>-3.37963106326412</v>
      </c>
      <c r="D1936">
        <v>0</v>
      </c>
      <c r="E1936">
        <v>0</v>
      </c>
      <c r="F1936" t="str">
        <f>"224/260"</f>
        <v>224/260</v>
      </c>
      <c r="G1936" s="10">
        <v>0.68899999999999995</v>
      </c>
    </row>
    <row r="1937" spans="1:7" x14ac:dyDescent="0.2">
      <c r="A1937" s="1" t="s">
        <v>122</v>
      </c>
      <c r="B1937" t="s">
        <v>1959</v>
      </c>
      <c r="C1937">
        <v>-3.3792155621807001</v>
      </c>
      <c r="D1937">
        <v>0</v>
      </c>
      <c r="E1937">
        <v>0</v>
      </c>
      <c r="F1937" t="str">
        <f>"62/68"</f>
        <v>62/68</v>
      </c>
      <c r="G1937" s="10">
        <v>0.56230000000000002</v>
      </c>
    </row>
    <row r="1938" spans="1:7" x14ac:dyDescent="0.2">
      <c r="A1938" s="1" t="s">
        <v>122</v>
      </c>
      <c r="B1938" t="s">
        <v>1031</v>
      </c>
      <c r="C1938">
        <v>-3.3781978632191798</v>
      </c>
      <c r="D1938">
        <v>0</v>
      </c>
      <c r="E1938">
        <v>0</v>
      </c>
      <c r="F1938" t="str">
        <f>"37/42"</f>
        <v>37/42</v>
      </c>
      <c r="G1938" s="10">
        <v>0.47189999999999999</v>
      </c>
    </row>
    <row r="1939" spans="1:7" x14ac:dyDescent="0.2">
      <c r="A1939" s="1" t="s">
        <v>122</v>
      </c>
      <c r="B1939" t="s">
        <v>1960</v>
      </c>
      <c r="C1939">
        <v>-3.3737996987305601</v>
      </c>
      <c r="D1939">
        <v>0</v>
      </c>
      <c r="E1939">
        <v>0</v>
      </c>
      <c r="F1939" t="str">
        <f>"34/35"</f>
        <v>34/35</v>
      </c>
      <c r="G1939" s="10">
        <v>0.52010000000000001</v>
      </c>
    </row>
    <row r="1940" spans="1:7" x14ac:dyDescent="0.2">
      <c r="A1940" s="1" t="s">
        <v>122</v>
      </c>
      <c r="B1940" t="s">
        <v>1961</v>
      </c>
      <c r="C1940">
        <v>-3.3707705458160402</v>
      </c>
      <c r="D1940">
        <v>0</v>
      </c>
      <c r="E1940">
        <v>0</v>
      </c>
      <c r="F1940" t="str">
        <f>"50/58"</f>
        <v>50/58</v>
      </c>
      <c r="G1940" s="10">
        <v>0.51959999999999995</v>
      </c>
    </row>
    <row r="1941" spans="1:7" x14ac:dyDescent="0.2">
      <c r="A1941" s="1" t="s">
        <v>122</v>
      </c>
      <c r="B1941" t="s">
        <v>577</v>
      </c>
      <c r="C1941">
        <v>-3.3633352746223601</v>
      </c>
      <c r="D1941">
        <v>0</v>
      </c>
      <c r="E1941">
        <v>0</v>
      </c>
      <c r="F1941" t="str">
        <f>"212/285"</f>
        <v>212/285</v>
      </c>
      <c r="G1941" s="10">
        <v>0.56979999999999997</v>
      </c>
    </row>
    <row r="1942" spans="1:7" x14ac:dyDescent="0.2">
      <c r="A1942" s="1" t="s">
        <v>122</v>
      </c>
      <c r="B1942" t="s">
        <v>1962</v>
      </c>
      <c r="C1942">
        <v>-3.3606512920829901</v>
      </c>
      <c r="D1942">
        <v>0</v>
      </c>
      <c r="E1942">
        <v>0</v>
      </c>
      <c r="F1942" t="str">
        <f>"43/56"</f>
        <v>43/56</v>
      </c>
      <c r="G1942" s="10">
        <v>0.40910000000000002</v>
      </c>
    </row>
    <row r="1943" spans="1:7" x14ac:dyDescent="0.2">
      <c r="A1943" s="1" t="s">
        <v>122</v>
      </c>
      <c r="B1943" t="s">
        <v>1963</v>
      </c>
      <c r="C1943">
        <v>-3.3593139971804402</v>
      </c>
      <c r="D1943">
        <v>0</v>
      </c>
      <c r="E1943">
        <v>0</v>
      </c>
      <c r="F1943" t="str">
        <f>"136/166"</f>
        <v>136/166</v>
      </c>
      <c r="G1943" s="10">
        <v>0.60489999999999999</v>
      </c>
    </row>
    <row r="1944" spans="1:7" x14ac:dyDescent="0.2">
      <c r="A1944" s="1" t="s">
        <v>122</v>
      </c>
      <c r="B1944" t="s">
        <v>1964</v>
      </c>
      <c r="C1944">
        <v>-3.3569265883578301</v>
      </c>
      <c r="D1944">
        <v>0</v>
      </c>
      <c r="E1944">
        <v>0</v>
      </c>
      <c r="F1944" t="str">
        <f>"52/66"</f>
        <v>52/66</v>
      </c>
      <c r="G1944" s="10">
        <v>0.4405</v>
      </c>
    </row>
    <row r="1945" spans="1:7" x14ac:dyDescent="0.2">
      <c r="A1945" s="1" t="s">
        <v>122</v>
      </c>
      <c r="B1945" t="s">
        <v>1318</v>
      </c>
      <c r="C1945">
        <v>-3.3555505158541798</v>
      </c>
      <c r="D1945">
        <v>0</v>
      </c>
      <c r="E1945">
        <v>0</v>
      </c>
      <c r="F1945" t="str">
        <f>"130/158"</f>
        <v>130/158</v>
      </c>
      <c r="G1945" s="10">
        <v>0.61799999999999999</v>
      </c>
    </row>
    <row r="1946" spans="1:7" x14ac:dyDescent="0.2">
      <c r="A1946" s="1" t="s">
        <v>122</v>
      </c>
      <c r="B1946" t="s">
        <v>1379</v>
      </c>
      <c r="C1946">
        <v>-3.3544606397185399</v>
      </c>
      <c r="D1946">
        <v>0</v>
      </c>
      <c r="E1946">
        <v>0</v>
      </c>
      <c r="F1946" t="str">
        <f>"96/123"</f>
        <v>96/123</v>
      </c>
      <c r="G1946" s="10">
        <v>0.51419999999999999</v>
      </c>
    </row>
    <row r="1947" spans="1:7" x14ac:dyDescent="0.2">
      <c r="A1947" s="1" t="s">
        <v>122</v>
      </c>
      <c r="B1947" t="s">
        <v>807</v>
      </c>
      <c r="C1947">
        <v>-3.3539225690746202</v>
      </c>
      <c r="D1947">
        <v>0</v>
      </c>
      <c r="E1947">
        <v>0</v>
      </c>
      <c r="F1947" t="str">
        <f>"76/88"</f>
        <v>76/88</v>
      </c>
      <c r="G1947" s="10">
        <v>0.56220000000000003</v>
      </c>
    </row>
    <row r="1948" spans="1:7" x14ac:dyDescent="0.2">
      <c r="A1948" s="1" t="s">
        <v>122</v>
      </c>
      <c r="B1948" t="s">
        <v>1376</v>
      </c>
      <c r="C1948">
        <v>-3.3532544146270999</v>
      </c>
      <c r="D1948">
        <v>0</v>
      </c>
      <c r="E1948">
        <v>0</v>
      </c>
      <c r="F1948" t="str">
        <f>"109/120"</f>
        <v>109/120</v>
      </c>
      <c r="G1948" s="10">
        <v>0.67390000000000005</v>
      </c>
    </row>
    <row r="1949" spans="1:7" x14ac:dyDescent="0.2">
      <c r="A1949" s="1" t="s">
        <v>122</v>
      </c>
      <c r="B1949" t="s">
        <v>1965</v>
      </c>
      <c r="C1949">
        <v>-3.3510910887152798</v>
      </c>
      <c r="D1949">
        <v>0</v>
      </c>
      <c r="E1949">
        <v>0</v>
      </c>
      <c r="F1949" t="str">
        <f>"37/41"</f>
        <v>37/41</v>
      </c>
      <c r="G1949" s="10">
        <v>0.47</v>
      </c>
    </row>
    <row r="1950" spans="1:7" x14ac:dyDescent="0.2">
      <c r="A1950" s="1" t="s">
        <v>122</v>
      </c>
      <c r="B1950" t="s">
        <v>1966</v>
      </c>
      <c r="C1950">
        <v>-3.3500394857314499</v>
      </c>
      <c r="D1950">
        <v>0</v>
      </c>
      <c r="E1950">
        <v>0</v>
      </c>
      <c r="F1950" t="str">
        <f>"62/76"</f>
        <v>62/76</v>
      </c>
      <c r="G1950" s="10">
        <v>0.4929</v>
      </c>
    </row>
    <row r="1951" spans="1:7" x14ac:dyDescent="0.2">
      <c r="A1951" s="1" t="s">
        <v>122</v>
      </c>
      <c r="B1951" t="s">
        <v>1967</v>
      </c>
      <c r="C1951">
        <v>-3.3462305303826598</v>
      </c>
      <c r="D1951">
        <v>0</v>
      </c>
      <c r="E1951">
        <v>0</v>
      </c>
      <c r="F1951" t="str">
        <f>"63/75"</f>
        <v>63/75</v>
      </c>
      <c r="G1951" s="10">
        <v>0.52470000000000006</v>
      </c>
    </row>
    <row r="1952" spans="1:7" x14ac:dyDescent="0.2">
      <c r="A1952" s="1" t="s">
        <v>122</v>
      </c>
      <c r="B1952" t="s">
        <v>1968</v>
      </c>
      <c r="C1952">
        <v>-3.3459002387271402</v>
      </c>
      <c r="D1952">
        <v>0</v>
      </c>
      <c r="E1952">
        <v>0</v>
      </c>
      <c r="F1952" t="str">
        <f>"35/43"</f>
        <v>35/43</v>
      </c>
      <c r="G1952" s="10">
        <v>0.43369999999999997</v>
      </c>
    </row>
    <row r="1953" spans="1:7" x14ac:dyDescent="0.2">
      <c r="A1953" s="1" t="s">
        <v>122</v>
      </c>
      <c r="B1953" t="s">
        <v>524</v>
      </c>
      <c r="C1953">
        <v>-3.3425724591431201</v>
      </c>
      <c r="D1953">
        <v>0</v>
      </c>
      <c r="E1953">
        <v>0</v>
      </c>
      <c r="F1953" t="str">
        <f>"110/124"</f>
        <v>110/124</v>
      </c>
      <c r="G1953" s="10">
        <v>0.66080000000000005</v>
      </c>
    </row>
    <row r="1954" spans="1:7" x14ac:dyDescent="0.2">
      <c r="A1954" s="1" t="s">
        <v>122</v>
      </c>
      <c r="B1954" t="s">
        <v>1969</v>
      </c>
      <c r="C1954">
        <v>-3.3421652056381501</v>
      </c>
      <c r="D1954">
        <v>0</v>
      </c>
      <c r="E1954">
        <v>0</v>
      </c>
      <c r="F1954" t="str">
        <f>"43/47"</f>
        <v>43/47</v>
      </c>
      <c r="G1954" s="10">
        <v>0.51590000000000003</v>
      </c>
    </row>
    <row r="1955" spans="1:7" x14ac:dyDescent="0.2">
      <c r="A1955" s="1" t="s">
        <v>122</v>
      </c>
      <c r="B1955" t="s">
        <v>548</v>
      </c>
      <c r="C1955">
        <v>-3.33867516807832</v>
      </c>
      <c r="D1955">
        <v>0</v>
      </c>
      <c r="E1955">
        <v>0</v>
      </c>
      <c r="F1955" t="str">
        <f>"105/121"</f>
        <v>105/121</v>
      </c>
      <c r="G1955" s="10">
        <v>0.6069</v>
      </c>
    </row>
    <row r="1956" spans="1:7" x14ac:dyDescent="0.2">
      <c r="A1956" s="1" t="s">
        <v>122</v>
      </c>
      <c r="B1956" t="s">
        <v>1970</v>
      </c>
      <c r="C1956">
        <v>-3.3372650916567199</v>
      </c>
      <c r="D1956">
        <v>0</v>
      </c>
      <c r="E1956">
        <v>0</v>
      </c>
      <c r="F1956" t="str">
        <f>"102/112"</f>
        <v>102/112</v>
      </c>
      <c r="G1956" s="10">
        <v>0.65010000000000001</v>
      </c>
    </row>
    <row r="1957" spans="1:7" x14ac:dyDescent="0.2">
      <c r="A1957" s="1" t="s">
        <v>122</v>
      </c>
      <c r="B1957" t="s">
        <v>602</v>
      </c>
      <c r="C1957">
        <v>-3.3358447018958399</v>
      </c>
      <c r="D1957">
        <v>0</v>
      </c>
      <c r="E1957">
        <v>0</v>
      </c>
      <c r="F1957" t="str">
        <f>"113/120"</f>
        <v>113/120</v>
      </c>
      <c r="G1957" s="10">
        <v>0.6825</v>
      </c>
    </row>
    <row r="1958" spans="1:7" x14ac:dyDescent="0.2">
      <c r="A1958" s="1" t="s">
        <v>122</v>
      </c>
      <c r="B1958" t="s">
        <v>1971</v>
      </c>
      <c r="C1958">
        <v>-3.3340259717356902</v>
      </c>
      <c r="D1958">
        <v>0</v>
      </c>
      <c r="E1958">
        <v>0</v>
      </c>
      <c r="F1958" t="str">
        <f>"43/44"</f>
        <v>43/44</v>
      </c>
      <c r="G1958" s="10">
        <v>0.54190000000000005</v>
      </c>
    </row>
    <row r="1959" spans="1:7" x14ac:dyDescent="0.2">
      <c r="A1959" s="1" t="s">
        <v>122</v>
      </c>
      <c r="B1959" t="s">
        <v>1972</v>
      </c>
      <c r="C1959">
        <v>-3.32358716685428</v>
      </c>
      <c r="D1959">
        <v>0</v>
      </c>
      <c r="E1959">
        <v>0</v>
      </c>
      <c r="F1959" t="str">
        <f>"26/27"</f>
        <v>26/27</v>
      </c>
      <c r="G1959" s="10">
        <v>0.434</v>
      </c>
    </row>
    <row r="1960" spans="1:7" x14ac:dyDescent="0.2">
      <c r="A1960" s="1" t="s">
        <v>122</v>
      </c>
      <c r="B1960" t="s">
        <v>869</v>
      </c>
      <c r="C1960">
        <v>-3.3219398939028402</v>
      </c>
      <c r="D1960">
        <v>0</v>
      </c>
      <c r="E1960">
        <v>0</v>
      </c>
      <c r="F1960" t="str">
        <f>"38/40"</f>
        <v>38/40</v>
      </c>
      <c r="G1960" s="10">
        <v>0.52439999999999998</v>
      </c>
    </row>
    <row r="1961" spans="1:7" x14ac:dyDescent="0.2">
      <c r="A1961" s="1" t="s">
        <v>122</v>
      </c>
      <c r="B1961" t="s">
        <v>991</v>
      </c>
      <c r="C1961">
        <v>-3.32085900682043</v>
      </c>
      <c r="D1961">
        <v>0</v>
      </c>
      <c r="E1961">
        <v>0</v>
      </c>
      <c r="F1961" t="str">
        <f>"42/48"</f>
        <v>42/48</v>
      </c>
      <c r="G1961" s="10">
        <v>0.4521</v>
      </c>
    </row>
    <row r="1962" spans="1:7" x14ac:dyDescent="0.2">
      <c r="A1962" s="1" t="s">
        <v>122</v>
      </c>
      <c r="B1962" t="s">
        <v>1973</v>
      </c>
      <c r="C1962">
        <v>-3.3195056930217501</v>
      </c>
      <c r="D1962">
        <v>0</v>
      </c>
      <c r="E1962">
        <v>0</v>
      </c>
      <c r="F1962" t="str">
        <f>"62/70"</f>
        <v>62/70</v>
      </c>
      <c r="G1962" s="10">
        <v>0.56069999999999998</v>
      </c>
    </row>
    <row r="1963" spans="1:7" x14ac:dyDescent="0.2">
      <c r="A1963" s="1" t="s">
        <v>122</v>
      </c>
      <c r="B1963" t="s">
        <v>1974</v>
      </c>
      <c r="C1963">
        <v>-3.3126431849727198</v>
      </c>
      <c r="D1963">
        <v>0</v>
      </c>
      <c r="E1963">
        <v>0</v>
      </c>
      <c r="F1963" t="str">
        <f>"115/141"</f>
        <v>115/141</v>
      </c>
      <c r="G1963" s="10">
        <v>0.59819999999999995</v>
      </c>
    </row>
    <row r="1964" spans="1:7" x14ac:dyDescent="0.2">
      <c r="A1964" s="1" t="s">
        <v>122</v>
      </c>
      <c r="B1964" t="s">
        <v>1334</v>
      </c>
      <c r="C1964">
        <v>-3.3119187925056899</v>
      </c>
      <c r="D1964">
        <v>0</v>
      </c>
      <c r="E1964">
        <v>0</v>
      </c>
      <c r="F1964" t="str">
        <f>"71/78"</f>
        <v>71/78</v>
      </c>
      <c r="G1964" s="10">
        <v>0.60460000000000003</v>
      </c>
    </row>
    <row r="1965" spans="1:7" x14ac:dyDescent="0.2">
      <c r="A1965" s="1" t="s">
        <v>122</v>
      </c>
      <c r="B1965" t="s">
        <v>1975</v>
      </c>
      <c r="C1965">
        <v>-3.3104089175311402</v>
      </c>
      <c r="D1965">
        <v>0</v>
      </c>
      <c r="E1965">
        <v>0</v>
      </c>
      <c r="F1965" t="str">
        <f>"18/19"</f>
        <v>18/19</v>
      </c>
      <c r="G1965" s="10">
        <v>0.35980000000000001</v>
      </c>
    </row>
    <row r="1966" spans="1:7" x14ac:dyDescent="0.2">
      <c r="A1966" s="1" t="s">
        <v>122</v>
      </c>
      <c r="B1966" t="s">
        <v>1976</v>
      </c>
      <c r="C1966">
        <v>-3.3082604252749501</v>
      </c>
      <c r="D1966">
        <v>0</v>
      </c>
      <c r="E1966">
        <v>0</v>
      </c>
      <c r="F1966" t="str">
        <f>"34/35"</f>
        <v>34/35</v>
      </c>
      <c r="G1966" s="10">
        <v>0.5171</v>
      </c>
    </row>
    <row r="1967" spans="1:7" x14ac:dyDescent="0.2">
      <c r="A1967" s="1" t="s">
        <v>122</v>
      </c>
      <c r="B1967" t="s">
        <v>1977</v>
      </c>
      <c r="C1967">
        <v>-3.3080323237421099</v>
      </c>
      <c r="D1967">
        <v>0</v>
      </c>
      <c r="E1967">
        <v>0</v>
      </c>
      <c r="F1967" t="str">
        <f>"17/18"</f>
        <v>17/18</v>
      </c>
      <c r="G1967" s="10">
        <v>0.3281</v>
      </c>
    </row>
    <row r="1968" spans="1:7" x14ac:dyDescent="0.2">
      <c r="A1968" s="1" t="s">
        <v>122</v>
      </c>
      <c r="B1968" t="s">
        <v>1978</v>
      </c>
      <c r="C1968">
        <v>-3.3058477256073102</v>
      </c>
      <c r="D1968">
        <v>0</v>
      </c>
      <c r="E1968">
        <v>0</v>
      </c>
      <c r="F1968" t="str">
        <f>"53/59"</f>
        <v>53/59</v>
      </c>
      <c r="G1968" s="10">
        <v>0.55769999999999997</v>
      </c>
    </row>
    <row r="1969" spans="1:7" x14ac:dyDescent="0.2">
      <c r="A1969" s="1" t="s">
        <v>122</v>
      </c>
      <c r="B1969" t="s">
        <v>1979</v>
      </c>
      <c r="C1969">
        <v>-3.3033069269262798</v>
      </c>
      <c r="D1969">
        <v>0</v>
      </c>
      <c r="E1969">
        <v>0</v>
      </c>
      <c r="F1969" t="str">
        <f>"35/40"</f>
        <v>35/40</v>
      </c>
      <c r="G1969" s="10">
        <v>0.4834</v>
      </c>
    </row>
    <row r="1970" spans="1:7" x14ac:dyDescent="0.2">
      <c r="A1970" s="1" t="s">
        <v>122</v>
      </c>
      <c r="B1970" t="s">
        <v>1980</v>
      </c>
      <c r="C1970">
        <v>-3.3010735440345802</v>
      </c>
      <c r="D1970">
        <v>0</v>
      </c>
      <c r="E1970">
        <v>0</v>
      </c>
      <c r="F1970" t="str">
        <f>"34/35"</f>
        <v>34/35</v>
      </c>
      <c r="G1970" s="10">
        <v>0.51829999999999998</v>
      </c>
    </row>
    <row r="1971" spans="1:7" x14ac:dyDescent="0.2">
      <c r="A1971" s="1" t="s">
        <v>122</v>
      </c>
      <c r="B1971" t="s">
        <v>1981</v>
      </c>
      <c r="C1971">
        <v>-3.2988899854497702</v>
      </c>
      <c r="D1971">
        <v>0</v>
      </c>
      <c r="E1971">
        <v>0</v>
      </c>
      <c r="F1971" t="str">
        <f>"22/25"</f>
        <v>22/25</v>
      </c>
      <c r="G1971" s="10">
        <v>0.3569</v>
      </c>
    </row>
    <row r="1972" spans="1:7" x14ac:dyDescent="0.2">
      <c r="A1972" s="1" t="s">
        <v>122</v>
      </c>
      <c r="B1972" t="s">
        <v>1982</v>
      </c>
      <c r="C1972">
        <v>-3.29880521230363</v>
      </c>
      <c r="D1972">
        <v>0</v>
      </c>
      <c r="E1972">
        <v>0</v>
      </c>
      <c r="F1972" t="str">
        <f>"30/31"</f>
        <v>30/31</v>
      </c>
      <c r="G1972" s="10">
        <v>0.48459999999999998</v>
      </c>
    </row>
    <row r="1973" spans="1:7" x14ac:dyDescent="0.2">
      <c r="A1973" s="1" t="s">
        <v>122</v>
      </c>
      <c r="B1973" t="s">
        <v>1983</v>
      </c>
      <c r="C1973">
        <v>-3.2975216288859102</v>
      </c>
      <c r="D1973">
        <v>0</v>
      </c>
      <c r="E1973">
        <v>0</v>
      </c>
      <c r="F1973" t="str">
        <f>"87/91"</f>
        <v>87/91</v>
      </c>
      <c r="G1973" s="10">
        <v>0.68810000000000004</v>
      </c>
    </row>
    <row r="1974" spans="1:7" x14ac:dyDescent="0.2">
      <c r="A1974" s="1" t="s">
        <v>122</v>
      </c>
      <c r="B1974" t="s">
        <v>1984</v>
      </c>
      <c r="C1974">
        <v>-3.2969937941118199</v>
      </c>
      <c r="D1974">
        <v>0</v>
      </c>
      <c r="E1974">
        <v>0</v>
      </c>
      <c r="F1974" t="str">
        <f>"28/29"</f>
        <v>28/29</v>
      </c>
      <c r="G1974" s="10">
        <v>0.49719999999999998</v>
      </c>
    </row>
    <row r="1975" spans="1:7" x14ac:dyDescent="0.2">
      <c r="A1975" s="1" t="s">
        <v>122</v>
      </c>
      <c r="B1975" t="s">
        <v>1190</v>
      </c>
      <c r="C1975">
        <v>-3.2969424980053601</v>
      </c>
      <c r="D1975">
        <v>0</v>
      </c>
      <c r="E1975">
        <v>0</v>
      </c>
      <c r="F1975" t="str">
        <f>"54/61"</f>
        <v>54/61</v>
      </c>
      <c r="G1975" s="10">
        <v>0.52439999999999998</v>
      </c>
    </row>
    <row r="1976" spans="1:7" x14ac:dyDescent="0.2">
      <c r="A1976" s="1" t="s">
        <v>122</v>
      </c>
      <c r="B1976" t="s">
        <v>1985</v>
      </c>
      <c r="C1976">
        <v>-3.2968554129723802</v>
      </c>
      <c r="D1976">
        <v>0</v>
      </c>
      <c r="E1976">
        <v>0</v>
      </c>
      <c r="F1976" t="str">
        <f>"61/72"</f>
        <v>61/72</v>
      </c>
      <c r="G1976" s="10">
        <v>0.5161</v>
      </c>
    </row>
    <row r="1977" spans="1:7" x14ac:dyDescent="0.2">
      <c r="A1977" s="1" t="s">
        <v>122</v>
      </c>
      <c r="B1977" t="s">
        <v>1094</v>
      </c>
      <c r="C1977">
        <v>-3.2928388616588</v>
      </c>
      <c r="D1977">
        <v>0</v>
      </c>
      <c r="E1977">
        <v>0</v>
      </c>
      <c r="F1977" t="str">
        <f>"40/49"</f>
        <v>40/49</v>
      </c>
      <c r="G1977" s="10">
        <v>0.42309999999999998</v>
      </c>
    </row>
    <row r="1978" spans="1:7" x14ac:dyDescent="0.2">
      <c r="A1978" s="1" t="s">
        <v>122</v>
      </c>
      <c r="B1978" t="s">
        <v>171</v>
      </c>
      <c r="C1978">
        <v>-3.2924561531737599</v>
      </c>
      <c r="D1978">
        <v>0</v>
      </c>
      <c r="E1978">
        <v>0</v>
      </c>
      <c r="F1978" t="str">
        <f>"51/57"</f>
        <v>51/57</v>
      </c>
      <c r="G1978" s="10">
        <v>0.53310000000000002</v>
      </c>
    </row>
    <row r="1979" spans="1:7" x14ac:dyDescent="0.2">
      <c r="A1979" s="1" t="s">
        <v>122</v>
      </c>
      <c r="B1979" t="s">
        <v>299</v>
      </c>
      <c r="C1979">
        <v>-3.2922589518089702</v>
      </c>
      <c r="D1979">
        <v>0</v>
      </c>
      <c r="E1979">
        <v>0</v>
      </c>
      <c r="F1979" t="str">
        <f>"83/99"</f>
        <v>83/99</v>
      </c>
      <c r="G1979" s="10">
        <v>0.55249999999999999</v>
      </c>
    </row>
    <row r="1980" spans="1:7" x14ac:dyDescent="0.2">
      <c r="A1980" s="1" t="s">
        <v>122</v>
      </c>
      <c r="B1980" t="s">
        <v>966</v>
      </c>
      <c r="C1980">
        <v>-3.2894522641877</v>
      </c>
      <c r="D1980">
        <v>0</v>
      </c>
      <c r="E1980">
        <v>0</v>
      </c>
      <c r="F1980" t="str">
        <f>"74/79"</f>
        <v>74/79</v>
      </c>
      <c r="G1980" s="10">
        <v>0.63109999999999999</v>
      </c>
    </row>
    <row r="1981" spans="1:7" x14ac:dyDescent="0.2">
      <c r="A1981" s="1" t="s">
        <v>122</v>
      </c>
      <c r="B1981" t="s">
        <v>757</v>
      </c>
      <c r="C1981">
        <v>-3.28499374989905</v>
      </c>
      <c r="D1981">
        <v>0</v>
      </c>
      <c r="E1981">
        <v>0</v>
      </c>
      <c r="F1981" t="str">
        <f>"96/110"</f>
        <v>96/110</v>
      </c>
      <c r="G1981" s="10">
        <v>0.64200000000000002</v>
      </c>
    </row>
    <row r="1982" spans="1:7" x14ac:dyDescent="0.2">
      <c r="A1982" s="1" t="s">
        <v>122</v>
      </c>
      <c r="B1982" t="s">
        <v>1986</v>
      </c>
      <c r="C1982">
        <v>-3.2785735436794901</v>
      </c>
      <c r="D1982">
        <v>0</v>
      </c>
      <c r="E1982">
        <v>0</v>
      </c>
      <c r="F1982" t="str">
        <f>"44/47"</f>
        <v>44/47</v>
      </c>
      <c r="G1982" s="10">
        <v>0.55700000000000005</v>
      </c>
    </row>
    <row r="1983" spans="1:7" x14ac:dyDescent="0.2">
      <c r="A1983" s="1" t="s">
        <v>122</v>
      </c>
      <c r="B1983" t="s">
        <v>1987</v>
      </c>
      <c r="C1983">
        <v>-3.27229814533159</v>
      </c>
      <c r="D1983">
        <v>0</v>
      </c>
      <c r="E1983">
        <v>0</v>
      </c>
      <c r="F1983" t="str">
        <f>"41/49"</f>
        <v>41/49</v>
      </c>
      <c r="G1983" s="10">
        <v>0.44230000000000003</v>
      </c>
    </row>
    <row r="1984" spans="1:7" x14ac:dyDescent="0.2">
      <c r="A1984" s="1" t="s">
        <v>122</v>
      </c>
      <c r="B1984" t="s">
        <v>1988</v>
      </c>
      <c r="C1984">
        <v>-3.2714717242840199</v>
      </c>
      <c r="D1984">
        <v>0</v>
      </c>
      <c r="E1984">
        <v>0</v>
      </c>
      <c r="F1984" t="str">
        <f>"39/41"</f>
        <v>39/41</v>
      </c>
      <c r="G1984" s="10">
        <v>0.54349999999999998</v>
      </c>
    </row>
    <row r="1985" spans="1:7" x14ac:dyDescent="0.2">
      <c r="A1985" s="1" t="s">
        <v>122</v>
      </c>
      <c r="B1985" t="s">
        <v>1140</v>
      </c>
      <c r="C1985">
        <v>-3.2709806400188901</v>
      </c>
      <c r="D1985">
        <v>0</v>
      </c>
      <c r="E1985">
        <v>0</v>
      </c>
      <c r="F1985" t="str">
        <f>"153/170"</f>
        <v>153/170</v>
      </c>
      <c r="G1985" s="10">
        <v>0.68979999999999997</v>
      </c>
    </row>
    <row r="1986" spans="1:7" x14ac:dyDescent="0.2">
      <c r="A1986" s="1" t="s">
        <v>122</v>
      </c>
      <c r="B1986" t="s">
        <v>1989</v>
      </c>
      <c r="C1986">
        <v>-3.2683871606728099</v>
      </c>
      <c r="D1986">
        <v>0</v>
      </c>
      <c r="E1986">
        <v>0</v>
      </c>
      <c r="F1986" t="str">
        <f>"28/30"</f>
        <v>28/30</v>
      </c>
      <c r="G1986" s="10">
        <v>0.43959999999999999</v>
      </c>
    </row>
    <row r="1987" spans="1:7" x14ac:dyDescent="0.2">
      <c r="A1987" s="1" t="s">
        <v>122</v>
      </c>
      <c r="B1987" t="s">
        <v>1990</v>
      </c>
      <c r="C1987">
        <v>-3.2681718018039598</v>
      </c>
      <c r="D1987">
        <v>0</v>
      </c>
      <c r="E1987">
        <v>0</v>
      </c>
      <c r="F1987" t="str">
        <f>"81/88"</f>
        <v>81/88</v>
      </c>
      <c r="G1987" s="10">
        <v>0.61450000000000005</v>
      </c>
    </row>
    <row r="1988" spans="1:7" x14ac:dyDescent="0.2">
      <c r="A1988" s="1" t="s">
        <v>122</v>
      </c>
      <c r="B1988" t="s">
        <v>1097</v>
      </c>
      <c r="C1988">
        <v>-3.26812325885331</v>
      </c>
      <c r="D1988">
        <v>0</v>
      </c>
      <c r="E1988">
        <v>0</v>
      </c>
      <c r="F1988" t="str">
        <f>"67/92"</f>
        <v>67/92</v>
      </c>
      <c r="G1988" s="10">
        <v>0.44790000000000002</v>
      </c>
    </row>
    <row r="1989" spans="1:7" x14ac:dyDescent="0.2">
      <c r="A1989" s="1" t="s">
        <v>122</v>
      </c>
      <c r="B1989" t="s">
        <v>1991</v>
      </c>
      <c r="C1989">
        <v>-3.2668282936239401</v>
      </c>
      <c r="D1989">
        <v>0</v>
      </c>
      <c r="E1989">
        <v>0</v>
      </c>
      <c r="F1989" t="str">
        <f>"58/68"</f>
        <v>58/68</v>
      </c>
      <c r="G1989" s="10">
        <v>0.51749999999999996</v>
      </c>
    </row>
    <row r="1990" spans="1:7" x14ac:dyDescent="0.2">
      <c r="A1990" s="1" t="s">
        <v>122</v>
      </c>
      <c r="B1990" t="s">
        <v>564</v>
      </c>
      <c r="C1990">
        <v>-3.2656043090179399</v>
      </c>
      <c r="D1990">
        <v>0</v>
      </c>
      <c r="E1990">
        <v>0</v>
      </c>
      <c r="F1990" t="str">
        <f>"41/45"</f>
        <v>41/45</v>
      </c>
      <c r="G1990" s="10">
        <v>0.5454</v>
      </c>
    </row>
    <row r="1991" spans="1:7" x14ac:dyDescent="0.2">
      <c r="A1991" s="1" t="s">
        <v>122</v>
      </c>
      <c r="B1991" t="s">
        <v>1992</v>
      </c>
      <c r="C1991">
        <v>-3.2648751003814902</v>
      </c>
      <c r="D1991">
        <v>0</v>
      </c>
      <c r="E1991">
        <v>0</v>
      </c>
      <c r="F1991" t="str">
        <f>"93/102"</f>
        <v>93/102</v>
      </c>
      <c r="G1991" s="10">
        <v>0.63670000000000004</v>
      </c>
    </row>
    <row r="1992" spans="1:7" x14ac:dyDescent="0.2">
      <c r="A1992" s="1" t="s">
        <v>122</v>
      </c>
      <c r="B1992" t="s">
        <v>1993</v>
      </c>
      <c r="C1992">
        <v>-3.26430952447808</v>
      </c>
      <c r="D1992">
        <v>0</v>
      </c>
      <c r="E1992">
        <v>0</v>
      </c>
      <c r="F1992" t="str">
        <f>"38/43"</f>
        <v>38/43</v>
      </c>
      <c r="G1992" s="10">
        <v>0.49399999999999999</v>
      </c>
    </row>
    <row r="1993" spans="1:7" x14ac:dyDescent="0.2">
      <c r="A1993" s="1" t="s">
        <v>122</v>
      </c>
      <c r="B1993" t="s">
        <v>1994</v>
      </c>
      <c r="C1993">
        <v>-3.26368356687746</v>
      </c>
      <c r="D1993">
        <v>0</v>
      </c>
      <c r="E1993">
        <v>0</v>
      </c>
      <c r="F1993" t="str">
        <f>"83/98"</f>
        <v>83/98</v>
      </c>
      <c r="G1993" s="10">
        <v>0.58030000000000004</v>
      </c>
    </row>
    <row r="1994" spans="1:7" x14ac:dyDescent="0.2">
      <c r="A1994" s="1" t="s">
        <v>122</v>
      </c>
      <c r="B1994" t="s">
        <v>1995</v>
      </c>
      <c r="C1994">
        <v>-3.2624897761587301</v>
      </c>
      <c r="D1994">
        <v>0</v>
      </c>
      <c r="E1994">
        <v>0</v>
      </c>
      <c r="F1994" t="str">
        <f>"35/35"</f>
        <v>35/35</v>
      </c>
      <c r="G1994" s="10">
        <v>0.54469999999999996</v>
      </c>
    </row>
    <row r="1995" spans="1:7" x14ac:dyDescent="0.2">
      <c r="A1995" s="1" t="s">
        <v>122</v>
      </c>
      <c r="B1995" t="s">
        <v>1996</v>
      </c>
      <c r="C1995">
        <v>-3.2560488342861</v>
      </c>
      <c r="D1995">
        <v>0</v>
      </c>
      <c r="E1995">
        <v>0</v>
      </c>
      <c r="F1995" t="str">
        <f>"27/30"</f>
        <v>27/30</v>
      </c>
      <c r="G1995" s="10">
        <v>0.4496</v>
      </c>
    </row>
    <row r="1996" spans="1:7" x14ac:dyDescent="0.2">
      <c r="A1996" s="1" t="s">
        <v>122</v>
      </c>
      <c r="B1996" t="s">
        <v>337</v>
      </c>
      <c r="C1996">
        <v>-3.2558350325088101</v>
      </c>
      <c r="D1996">
        <v>0</v>
      </c>
      <c r="E1996">
        <v>0</v>
      </c>
      <c r="F1996" t="str">
        <f>"81/88"</f>
        <v>81/88</v>
      </c>
      <c r="G1996" s="10">
        <v>0.63660000000000005</v>
      </c>
    </row>
    <row r="1997" spans="1:7" x14ac:dyDescent="0.2">
      <c r="A1997" s="1" t="s">
        <v>122</v>
      </c>
      <c r="B1997" t="s">
        <v>1997</v>
      </c>
      <c r="C1997">
        <v>-3.2541352268252202</v>
      </c>
      <c r="D1997">
        <v>0</v>
      </c>
      <c r="E1997">
        <v>0</v>
      </c>
      <c r="F1997" t="str">
        <f>"49/53"</f>
        <v>49/53</v>
      </c>
      <c r="G1997" s="10">
        <v>0.56920000000000004</v>
      </c>
    </row>
    <row r="1998" spans="1:7" x14ac:dyDescent="0.2">
      <c r="A1998" s="1" t="s">
        <v>122</v>
      </c>
      <c r="B1998" t="s">
        <v>1998</v>
      </c>
      <c r="C1998">
        <v>-3.2525090645560399</v>
      </c>
      <c r="D1998">
        <v>0</v>
      </c>
      <c r="E1998">
        <v>0</v>
      </c>
      <c r="F1998" t="str">
        <f>"57/68"</f>
        <v>57/68</v>
      </c>
      <c r="G1998" s="10">
        <v>0.49780000000000002</v>
      </c>
    </row>
    <row r="1999" spans="1:7" x14ac:dyDescent="0.2">
      <c r="A1999" s="1" t="s">
        <v>122</v>
      </c>
      <c r="B1999" t="s">
        <v>1107</v>
      </c>
      <c r="C1999">
        <v>-3.2517237936918799</v>
      </c>
      <c r="D1999">
        <v>0</v>
      </c>
      <c r="E1999">
        <v>0</v>
      </c>
      <c r="F1999" t="str">
        <f>"30/31"</f>
        <v>30/31</v>
      </c>
      <c r="G1999" s="10">
        <v>0.505</v>
      </c>
    </row>
    <row r="2000" spans="1:7" x14ac:dyDescent="0.2">
      <c r="A2000" s="1" t="s">
        <v>122</v>
      </c>
      <c r="B2000" t="s">
        <v>1999</v>
      </c>
      <c r="C2000">
        <v>-3.2516883440200801</v>
      </c>
      <c r="D2000">
        <v>0</v>
      </c>
      <c r="E2000">
        <v>0</v>
      </c>
      <c r="F2000" t="str">
        <f>"23/23"</f>
        <v>23/23</v>
      </c>
      <c r="G2000" s="10">
        <v>0.45379999999999998</v>
      </c>
    </row>
    <row r="2001" spans="1:7" x14ac:dyDescent="0.2">
      <c r="A2001" s="1" t="s">
        <v>122</v>
      </c>
      <c r="B2001" t="s">
        <v>2000</v>
      </c>
      <c r="C2001">
        <v>-3.2474531970390399</v>
      </c>
      <c r="D2001">
        <v>0</v>
      </c>
      <c r="E2001">
        <v>0</v>
      </c>
      <c r="F2001" t="str">
        <f>"53/56"</f>
        <v>53/56</v>
      </c>
      <c r="G2001" s="10">
        <v>0.61450000000000005</v>
      </c>
    </row>
    <row r="2002" spans="1:7" x14ac:dyDescent="0.2">
      <c r="A2002" s="1" t="s">
        <v>122</v>
      </c>
      <c r="B2002" t="s">
        <v>2001</v>
      </c>
      <c r="C2002">
        <v>-3.2468727628470999</v>
      </c>
      <c r="D2002">
        <v>0</v>
      </c>
      <c r="E2002">
        <v>0</v>
      </c>
      <c r="F2002" t="str">
        <f>"29/32"</f>
        <v>29/32</v>
      </c>
      <c r="G2002" s="10">
        <v>0.4607</v>
      </c>
    </row>
    <row r="2003" spans="1:7" x14ac:dyDescent="0.2">
      <c r="A2003" s="1" t="s">
        <v>122</v>
      </c>
      <c r="B2003" t="s">
        <v>2002</v>
      </c>
      <c r="C2003">
        <v>-3.2422949314188898</v>
      </c>
      <c r="D2003">
        <v>0</v>
      </c>
      <c r="E2003">
        <v>0</v>
      </c>
      <c r="F2003" t="str">
        <f>"48/50"</f>
        <v>48/50</v>
      </c>
      <c r="G2003" s="10">
        <v>0.57809999999999995</v>
      </c>
    </row>
    <row r="2004" spans="1:7" x14ac:dyDescent="0.2">
      <c r="A2004" s="1" t="s">
        <v>122</v>
      </c>
      <c r="B2004" t="s">
        <v>809</v>
      </c>
      <c r="C2004">
        <v>-3.2419082238677399</v>
      </c>
      <c r="D2004">
        <v>0</v>
      </c>
      <c r="E2004">
        <v>0</v>
      </c>
      <c r="F2004" t="str">
        <f>"37/41"</f>
        <v>37/41</v>
      </c>
      <c r="G2004" s="10">
        <v>0.47720000000000001</v>
      </c>
    </row>
    <row r="2005" spans="1:7" x14ac:dyDescent="0.2">
      <c r="A2005" s="1" t="s">
        <v>122</v>
      </c>
      <c r="B2005" t="s">
        <v>2003</v>
      </c>
      <c r="C2005">
        <v>-3.24038090040774</v>
      </c>
      <c r="D2005">
        <v>0</v>
      </c>
      <c r="E2005">
        <v>0</v>
      </c>
      <c r="F2005" t="str">
        <f>"41/42"</f>
        <v>41/42</v>
      </c>
      <c r="G2005" s="10">
        <v>0.61309999999999998</v>
      </c>
    </row>
    <row r="2006" spans="1:7" x14ac:dyDescent="0.2">
      <c r="A2006" s="1" t="s">
        <v>122</v>
      </c>
      <c r="B2006" t="s">
        <v>2004</v>
      </c>
      <c r="C2006">
        <v>-3.23977665573809</v>
      </c>
      <c r="D2006">
        <v>0</v>
      </c>
      <c r="E2006">
        <v>0</v>
      </c>
      <c r="F2006" t="str">
        <f>"50/60"</f>
        <v>50/60</v>
      </c>
      <c r="G2006" s="10">
        <v>0.50190000000000001</v>
      </c>
    </row>
    <row r="2007" spans="1:7" x14ac:dyDescent="0.2">
      <c r="A2007" s="1" t="s">
        <v>122</v>
      </c>
      <c r="B2007" t="s">
        <v>2005</v>
      </c>
      <c r="C2007">
        <v>-3.2395474794082002</v>
      </c>
      <c r="D2007">
        <v>0</v>
      </c>
      <c r="E2007">
        <v>0</v>
      </c>
      <c r="F2007" t="str">
        <f>"14/15"</f>
        <v>14/15</v>
      </c>
      <c r="G2007" s="10">
        <v>0.27539999999999998</v>
      </c>
    </row>
    <row r="2008" spans="1:7" x14ac:dyDescent="0.2">
      <c r="A2008" s="1" t="s">
        <v>122</v>
      </c>
      <c r="B2008" t="s">
        <v>2006</v>
      </c>
      <c r="C2008">
        <v>-3.2391138020982502</v>
      </c>
      <c r="D2008">
        <v>0</v>
      </c>
      <c r="E2008">
        <v>0</v>
      </c>
      <c r="F2008" t="str">
        <f>"36/37"</f>
        <v>36/37</v>
      </c>
      <c r="G2008" s="10">
        <v>0.52869999999999995</v>
      </c>
    </row>
    <row r="2009" spans="1:7" x14ac:dyDescent="0.2">
      <c r="A2009" s="1" t="s">
        <v>122</v>
      </c>
      <c r="B2009" t="s">
        <v>2007</v>
      </c>
      <c r="C2009">
        <v>-3.2378273018627102</v>
      </c>
      <c r="D2009">
        <v>0</v>
      </c>
      <c r="E2009">
        <v>0</v>
      </c>
      <c r="F2009" t="str">
        <f>"23/25"</f>
        <v>23/25</v>
      </c>
      <c r="G2009" s="10">
        <v>0.44379999999999997</v>
      </c>
    </row>
    <row r="2010" spans="1:7" x14ac:dyDescent="0.2">
      <c r="A2010" s="1" t="s">
        <v>122</v>
      </c>
      <c r="B2010" t="s">
        <v>2008</v>
      </c>
      <c r="C2010">
        <v>-3.2352423804678998</v>
      </c>
      <c r="D2010">
        <v>0</v>
      </c>
      <c r="E2010">
        <v>0</v>
      </c>
      <c r="F2010" t="str">
        <f>"53/62"</f>
        <v>53/62</v>
      </c>
      <c r="G2010" s="10">
        <v>0.52949999999999997</v>
      </c>
    </row>
    <row r="2011" spans="1:7" x14ac:dyDescent="0.2">
      <c r="A2011" s="1" t="s">
        <v>122</v>
      </c>
      <c r="B2011" t="s">
        <v>590</v>
      </c>
      <c r="C2011">
        <v>-3.2325967153733801</v>
      </c>
      <c r="D2011">
        <v>0</v>
      </c>
      <c r="E2011">
        <v>0</v>
      </c>
      <c r="F2011" t="str">
        <f>"129/145"</f>
        <v>129/145</v>
      </c>
      <c r="G2011" s="10">
        <v>0.64729999999999999</v>
      </c>
    </row>
    <row r="2012" spans="1:7" x14ac:dyDescent="0.2">
      <c r="A2012" s="1" t="s">
        <v>122</v>
      </c>
      <c r="B2012" t="s">
        <v>2009</v>
      </c>
      <c r="C2012">
        <v>-3.2316119127961498</v>
      </c>
      <c r="D2012">
        <v>0</v>
      </c>
      <c r="E2012">
        <v>0</v>
      </c>
      <c r="F2012" t="str">
        <f>"57/58"</f>
        <v>57/58</v>
      </c>
      <c r="G2012" s="10">
        <v>0.65939999999999999</v>
      </c>
    </row>
    <row r="2013" spans="1:7" x14ac:dyDescent="0.2">
      <c r="A2013" s="1" t="s">
        <v>122</v>
      </c>
      <c r="B2013" t="s">
        <v>340</v>
      </c>
      <c r="C2013">
        <v>-3.2299050130141</v>
      </c>
      <c r="D2013">
        <v>0</v>
      </c>
      <c r="E2013">
        <v>0</v>
      </c>
      <c r="F2013" t="str">
        <f>"40/43"</f>
        <v>40/43</v>
      </c>
      <c r="G2013" s="10">
        <v>0.51480000000000004</v>
      </c>
    </row>
    <row r="2014" spans="1:7" x14ac:dyDescent="0.2">
      <c r="A2014" s="1" t="s">
        <v>122</v>
      </c>
      <c r="B2014" t="s">
        <v>1114</v>
      </c>
      <c r="C2014">
        <v>-3.22485082023571</v>
      </c>
      <c r="D2014">
        <v>0</v>
      </c>
      <c r="E2014">
        <v>0</v>
      </c>
      <c r="F2014" t="str">
        <f>"16/16"</f>
        <v>16/16</v>
      </c>
      <c r="G2014" s="10">
        <v>0.30159999999999998</v>
      </c>
    </row>
    <row r="2015" spans="1:7" x14ac:dyDescent="0.2">
      <c r="A2015" s="1" t="s">
        <v>122</v>
      </c>
      <c r="B2015" t="s">
        <v>339</v>
      </c>
      <c r="C2015">
        <v>-3.2189927345945102</v>
      </c>
      <c r="D2015">
        <v>0</v>
      </c>
      <c r="E2015">
        <v>0</v>
      </c>
      <c r="F2015" t="str">
        <f>"37/40"</f>
        <v>37/40</v>
      </c>
      <c r="G2015" s="10">
        <v>0.51480000000000004</v>
      </c>
    </row>
    <row r="2016" spans="1:7" x14ac:dyDescent="0.2">
      <c r="A2016" s="1" t="s">
        <v>122</v>
      </c>
      <c r="B2016" t="s">
        <v>2010</v>
      </c>
      <c r="C2016">
        <v>-3.2168769747131498</v>
      </c>
      <c r="D2016">
        <v>0</v>
      </c>
      <c r="E2016">
        <v>0</v>
      </c>
      <c r="F2016" t="str">
        <f>"63/72"</f>
        <v>63/72</v>
      </c>
      <c r="G2016" s="10">
        <v>0.55500000000000005</v>
      </c>
    </row>
    <row r="2017" spans="1:7" x14ac:dyDescent="0.2">
      <c r="A2017" s="1" t="s">
        <v>122</v>
      </c>
      <c r="B2017" t="s">
        <v>2011</v>
      </c>
      <c r="C2017">
        <v>-3.2156370423915202</v>
      </c>
      <c r="D2017">
        <v>0</v>
      </c>
      <c r="E2017">
        <v>0</v>
      </c>
      <c r="F2017" t="str">
        <f>"84/94"</f>
        <v>84/94</v>
      </c>
      <c r="G2017" s="10">
        <v>0.6069</v>
      </c>
    </row>
    <row r="2018" spans="1:7" x14ac:dyDescent="0.2">
      <c r="A2018" s="1" t="s">
        <v>122</v>
      </c>
      <c r="B2018" t="s">
        <v>1330</v>
      </c>
      <c r="C2018">
        <v>-3.2153240153615501</v>
      </c>
      <c r="D2018">
        <v>0</v>
      </c>
      <c r="E2018">
        <v>0</v>
      </c>
      <c r="F2018" t="str">
        <f>"69/72"</f>
        <v>69/72</v>
      </c>
      <c r="G2018" s="10">
        <v>0.63109999999999999</v>
      </c>
    </row>
    <row r="2019" spans="1:7" x14ac:dyDescent="0.2">
      <c r="A2019" s="1" t="s">
        <v>122</v>
      </c>
      <c r="B2019" t="s">
        <v>849</v>
      </c>
      <c r="C2019">
        <v>-3.21220211323334</v>
      </c>
      <c r="D2019">
        <v>0</v>
      </c>
      <c r="E2019">
        <v>0</v>
      </c>
      <c r="F2019" t="str">
        <f>"33/34"</f>
        <v>33/34</v>
      </c>
      <c r="G2019" s="10">
        <v>0.52869999999999995</v>
      </c>
    </row>
    <row r="2020" spans="1:7" x14ac:dyDescent="0.2">
      <c r="A2020" s="1" t="s">
        <v>122</v>
      </c>
      <c r="B2020" t="s">
        <v>2012</v>
      </c>
      <c r="C2020">
        <v>-3.2106686186563498</v>
      </c>
      <c r="D2020">
        <v>0</v>
      </c>
      <c r="E2020">
        <v>0</v>
      </c>
      <c r="F2020" t="str">
        <f>"57/67"</f>
        <v>57/67</v>
      </c>
      <c r="G2020" s="10">
        <v>0.52390000000000003</v>
      </c>
    </row>
    <row r="2021" spans="1:7" x14ac:dyDescent="0.2">
      <c r="A2021" s="1" t="s">
        <v>122</v>
      </c>
      <c r="B2021" t="s">
        <v>2013</v>
      </c>
      <c r="C2021">
        <v>-3.2106204833600001</v>
      </c>
      <c r="D2021">
        <v>0</v>
      </c>
      <c r="E2021">
        <v>0</v>
      </c>
      <c r="F2021" t="str">
        <f>"26/26"</f>
        <v>26/26</v>
      </c>
      <c r="G2021" s="10">
        <v>0.49120000000000003</v>
      </c>
    </row>
    <row r="2022" spans="1:7" x14ac:dyDescent="0.2">
      <c r="A2022" s="1" t="s">
        <v>122</v>
      </c>
      <c r="B2022" t="s">
        <v>60</v>
      </c>
      <c r="C2022">
        <v>-3.2088108282324601</v>
      </c>
      <c r="D2022">
        <v>0</v>
      </c>
      <c r="E2022">
        <v>0</v>
      </c>
      <c r="F2022" t="str">
        <f>"94/111"</f>
        <v>94/111</v>
      </c>
      <c r="G2022" s="10">
        <v>0.60370000000000001</v>
      </c>
    </row>
    <row r="2023" spans="1:7" x14ac:dyDescent="0.2">
      <c r="A2023" s="1" t="s">
        <v>122</v>
      </c>
      <c r="B2023" t="s">
        <v>2014</v>
      </c>
      <c r="C2023">
        <v>-3.2085382014494002</v>
      </c>
      <c r="D2023">
        <v>0</v>
      </c>
      <c r="E2023">
        <v>0</v>
      </c>
      <c r="F2023" t="str">
        <f>"40/49"</f>
        <v>40/49</v>
      </c>
      <c r="G2023" s="10">
        <v>0.45150000000000001</v>
      </c>
    </row>
    <row r="2024" spans="1:7" x14ac:dyDescent="0.2">
      <c r="A2024" s="1" t="s">
        <v>122</v>
      </c>
      <c r="B2024" t="s">
        <v>2015</v>
      </c>
      <c r="C2024">
        <v>-3.20802968155941</v>
      </c>
      <c r="D2024">
        <v>0</v>
      </c>
      <c r="E2024">
        <v>0</v>
      </c>
      <c r="F2024" t="str">
        <f>"28/29"</f>
        <v>28/29</v>
      </c>
      <c r="G2024" s="10">
        <v>0.49199999999999999</v>
      </c>
    </row>
    <row r="2025" spans="1:7" x14ac:dyDescent="0.2">
      <c r="A2025" s="1" t="s">
        <v>122</v>
      </c>
      <c r="B2025" t="s">
        <v>2016</v>
      </c>
      <c r="C2025">
        <v>-3.2067792512126099</v>
      </c>
      <c r="D2025">
        <v>0</v>
      </c>
      <c r="E2025">
        <v>0</v>
      </c>
      <c r="F2025" t="str">
        <f>"57/74"</f>
        <v>57/74</v>
      </c>
      <c r="G2025" s="10">
        <v>0.44390000000000002</v>
      </c>
    </row>
    <row r="2026" spans="1:7" x14ac:dyDescent="0.2">
      <c r="A2026" s="1" t="s">
        <v>122</v>
      </c>
      <c r="B2026" t="s">
        <v>2017</v>
      </c>
      <c r="C2026">
        <v>-3.2055478942217901</v>
      </c>
      <c r="D2026">
        <v>0</v>
      </c>
      <c r="E2026">
        <v>0</v>
      </c>
      <c r="F2026" t="str">
        <f>"52/60"</f>
        <v>52/60</v>
      </c>
      <c r="G2026" s="10">
        <v>0.50370000000000004</v>
      </c>
    </row>
    <row r="2027" spans="1:7" x14ac:dyDescent="0.2">
      <c r="A2027" s="1" t="s">
        <v>122</v>
      </c>
      <c r="B2027" t="s">
        <v>967</v>
      </c>
      <c r="C2027">
        <v>-3.2021920223472402</v>
      </c>
      <c r="D2027">
        <v>0</v>
      </c>
      <c r="E2027">
        <v>0</v>
      </c>
      <c r="F2027" t="str">
        <f>"71/75"</f>
        <v>71/75</v>
      </c>
      <c r="G2027" s="10">
        <v>0.63109999999999999</v>
      </c>
    </row>
    <row r="2028" spans="1:7" x14ac:dyDescent="0.2">
      <c r="A2028" s="1" t="s">
        <v>122</v>
      </c>
      <c r="B2028" t="s">
        <v>2018</v>
      </c>
      <c r="C2028">
        <v>-3.1996133943307101</v>
      </c>
      <c r="D2028">
        <v>0</v>
      </c>
      <c r="E2028">
        <v>0</v>
      </c>
      <c r="F2028" t="str">
        <f>"72/90"</f>
        <v>72/90</v>
      </c>
      <c r="G2028" s="10">
        <v>0.5383</v>
      </c>
    </row>
    <row r="2029" spans="1:7" x14ac:dyDescent="0.2">
      <c r="A2029" s="1" t="s">
        <v>122</v>
      </c>
      <c r="B2029" t="s">
        <v>1219</v>
      </c>
      <c r="C2029">
        <v>-3.1979613285611199</v>
      </c>
      <c r="D2029">
        <v>0</v>
      </c>
      <c r="E2029">
        <v>0</v>
      </c>
      <c r="F2029" t="str">
        <f>"55/64"</f>
        <v>55/64</v>
      </c>
      <c r="G2029" s="10">
        <v>0.51190000000000002</v>
      </c>
    </row>
    <row r="2030" spans="1:7" x14ac:dyDescent="0.2">
      <c r="A2030" s="1" t="s">
        <v>122</v>
      </c>
      <c r="B2030" t="s">
        <v>2019</v>
      </c>
      <c r="C2030">
        <v>-3.1967623960831699</v>
      </c>
      <c r="D2030">
        <v>0</v>
      </c>
      <c r="E2030">
        <v>0</v>
      </c>
      <c r="F2030" t="str">
        <f>"26/26"</f>
        <v>26/26</v>
      </c>
      <c r="G2030" s="10">
        <v>0.48370000000000002</v>
      </c>
    </row>
    <row r="2031" spans="1:7" x14ac:dyDescent="0.2">
      <c r="A2031" s="1" t="s">
        <v>122</v>
      </c>
      <c r="B2031" t="s">
        <v>1211</v>
      </c>
      <c r="C2031">
        <v>-3.1953898468167199</v>
      </c>
      <c r="D2031">
        <v>0</v>
      </c>
      <c r="E2031">
        <v>0</v>
      </c>
      <c r="F2031" t="str">
        <f>"69/75"</f>
        <v>69/75</v>
      </c>
      <c r="G2031" s="10">
        <v>0.61419999999999997</v>
      </c>
    </row>
    <row r="2032" spans="1:7" x14ac:dyDescent="0.2">
      <c r="A2032" s="1" t="s">
        <v>122</v>
      </c>
      <c r="B2032" t="s">
        <v>1252</v>
      </c>
      <c r="C2032">
        <v>-3.1930964716613799</v>
      </c>
      <c r="D2032">
        <v>0</v>
      </c>
      <c r="E2032">
        <v>0</v>
      </c>
      <c r="F2032" t="str">
        <f>"42/57"</f>
        <v>42/57</v>
      </c>
      <c r="G2032" s="10">
        <v>0.38700000000000001</v>
      </c>
    </row>
    <row r="2033" spans="1:7" x14ac:dyDescent="0.2">
      <c r="A2033" s="1" t="s">
        <v>122</v>
      </c>
      <c r="B2033" t="s">
        <v>2020</v>
      </c>
      <c r="C2033">
        <v>-3.1897375701304198</v>
      </c>
      <c r="D2033">
        <v>0</v>
      </c>
      <c r="E2033">
        <v>0</v>
      </c>
      <c r="F2033" t="str">
        <f>"27/30"</f>
        <v>27/30</v>
      </c>
      <c r="G2033" s="10">
        <v>0.44729999999999998</v>
      </c>
    </row>
    <row r="2034" spans="1:7" x14ac:dyDescent="0.2">
      <c r="A2034" s="1" t="s">
        <v>122</v>
      </c>
      <c r="B2034" t="s">
        <v>1065</v>
      </c>
      <c r="C2034">
        <v>-3.1879606343433702</v>
      </c>
      <c r="D2034">
        <v>0</v>
      </c>
      <c r="E2034">
        <v>0</v>
      </c>
      <c r="F2034" t="str">
        <f>"50/62"</f>
        <v>50/62</v>
      </c>
      <c r="G2034" s="10">
        <v>0.46700000000000003</v>
      </c>
    </row>
    <row r="2035" spans="1:7" x14ac:dyDescent="0.2">
      <c r="A2035" s="1" t="s">
        <v>122</v>
      </c>
      <c r="B2035" t="s">
        <v>813</v>
      </c>
      <c r="C2035">
        <v>-3.1874037183205801</v>
      </c>
      <c r="D2035">
        <v>0</v>
      </c>
      <c r="E2035">
        <v>0</v>
      </c>
      <c r="F2035" t="str">
        <f>"20/21"</f>
        <v>20/21</v>
      </c>
      <c r="G2035" s="10">
        <v>0.38750000000000001</v>
      </c>
    </row>
    <row r="2036" spans="1:7" x14ac:dyDescent="0.2">
      <c r="A2036" s="1" t="s">
        <v>122</v>
      </c>
      <c r="B2036" t="s">
        <v>1372</v>
      </c>
      <c r="C2036">
        <v>-3.1859677749153001</v>
      </c>
      <c r="D2036">
        <v>0</v>
      </c>
      <c r="E2036">
        <v>0</v>
      </c>
      <c r="F2036" t="str">
        <f>"74/88"</f>
        <v>74/88</v>
      </c>
      <c r="G2036" s="10">
        <v>0.55720000000000003</v>
      </c>
    </row>
    <row r="2037" spans="1:7" x14ac:dyDescent="0.2">
      <c r="A2037" s="1" t="s">
        <v>122</v>
      </c>
      <c r="B2037" t="s">
        <v>2021</v>
      </c>
      <c r="C2037">
        <v>-3.1844277425029399</v>
      </c>
      <c r="D2037">
        <v>0</v>
      </c>
      <c r="E2037">
        <v>0</v>
      </c>
      <c r="F2037" t="str">
        <f>"38/39"</f>
        <v>38/39</v>
      </c>
      <c r="G2037" s="10">
        <v>0.6018</v>
      </c>
    </row>
    <row r="2038" spans="1:7" x14ac:dyDescent="0.2">
      <c r="A2038" s="1" t="s">
        <v>122</v>
      </c>
      <c r="B2038" t="s">
        <v>2022</v>
      </c>
      <c r="C2038">
        <v>-3.18414186286356</v>
      </c>
      <c r="D2038">
        <v>0</v>
      </c>
      <c r="E2038">
        <v>0</v>
      </c>
      <c r="F2038" t="str">
        <f>"28/30"</f>
        <v>28/30</v>
      </c>
      <c r="G2038" s="10">
        <v>0.47389999999999999</v>
      </c>
    </row>
    <row r="2039" spans="1:7" x14ac:dyDescent="0.2">
      <c r="A2039" s="1" t="s">
        <v>122</v>
      </c>
      <c r="B2039" t="s">
        <v>845</v>
      </c>
      <c r="C2039">
        <v>-3.1841314294175702</v>
      </c>
      <c r="D2039">
        <v>0</v>
      </c>
      <c r="E2039">
        <v>0</v>
      </c>
      <c r="F2039" t="str">
        <f>"83/86"</f>
        <v>83/86</v>
      </c>
      <c r="G2039" s="10">
        <v>0.69410000000000005</v>
      </c>
    </row>
    <row r="2040" spans="1:7" x14ac:dyDescent="0.2">
      <c r="A2040" s="1" t="s">
        <v>122</v>
      </c>
      <c r="B2040" t="s">
        <v>971</v>
      </c>
      <c r="C2040">
        <v>-3.1838679610595499</v>
      </c>
      <c r="D2040">
        <v>0</v>
      </c>
      <c r="E2040">
        <v>0</v>
      </c>
      <c r="F2040" t="str">
        <f>"48/71"</f>
        <v>48/71</v>
      </c>
      <c r="G2040" s="10">
        <v>0.37019999999999997</v>
      </c>
    </row>
    <row r="2041" spans="1:7" x14ac:dyDescent="0.2">
      <c r="A2041" s="1" t="s">
        <v>122</v>
      </c>
      <c r="B2041" t="s">
        <v>2023</v>
      </c>
      <c r="C2041">
        <v>-3.1830288903722099</v>
      </c>
      <c r="D2041">
        <v>0</v>
      </c>
      <c r="E2041">
        <v>0</v>
      </c>
      <c r="F2041" t="str">
        <f>"49/70"</f>
        <v>49/70</v>
      </c>
      <c r="G2041" s="10">
        <v>0.41649999999999998</v>
      </c>
    </row>
    <row r="2042" spans="1:7" x14ac:dyDescent="0.2">
      <c r="A2042" s="1" t="s">
        <v>122</v>
      </c>
      <c r="B2042" t="s">
        <v>1121</v>
      </c>
      <c r="C2042">
        <v>-3.1820775281170999</v>
      </c>
      <c r="D2042">
        <v>0</v>
      </c>
      <c r="E2042">
        <v>0</v>
      </c>
      <c r="F2042" t="str">
        <f>"29/31"</f>
        <v>29/31</v>
      </c>
      <c r="G2042" s="10">
        <v>0.46760000000000002</v>
      </c>
    </row>
    <row r="2043" spans="1:7" x14ac:dyDescent="0.2">
      <c r="A2043" s="1" t="s">
        <v>122</v>
      </c>
      <c r="B2043" t="s">
        <v>919</v>
      </c>
      <c r="C2043">
        <v>-3.1802083190806401</v>
      </c>
      <c r="D2043">
        <v>0</v>
      </c>
      <c r="E2043">
        <v>0</v>
      </c>
      <c r="F2043" t="str">
        <f>"30/32"</f>
        <v>30/32</v>
      </c>
      <c r="G2043" s="10">
        <v>0.49759999999999999</v>
      </c>
    </row>
    <row r="2044" spans="1:7" x14ac:dyDescent="0.2">
      <c r="A2044" s="1" t="s">
        <v>122</v>
      </c>
      <c r="B2044" t="s">
        <v>34</v>
      </c>
      <c r="C2044">
        <v>-3.1800547791369</v>
      </c>
      <c r="D2044">
        <v>0</v>
      </c>
      <c r="E2044">
        <v>0</v>
      </c>
      <c r="F2044" t="str">
        <f>"187/218"</f>
        <v>187/218</v>
      </c>
      <c r="G2044" s="10">
        <v>0.6905</v>
      </c>
    </row>
    <row r="2045" spans="1:7" x14ac:dyDescent="0.2">
      <c r="A2045" s="1" t="s">
        <v>122</v>
      </c>
      <c r="B2045" t="s">
        <v>2024</v>
      </c>
      <c r="C2045">
        <v>-3.17726178029924</v>
      </c>
      <c r="D2045">
        <v>0</v>
      </c>
      <c r="E2045">
        <v>0</v>
      </c>
      <c r="F2045" t="str">
        <f>"68/82"</f>
        <v>68/82</v>
      </c>
      <c r="G2045" s="10">
        <v>0.53779999999999994</v>
      </c>
    </row>
    <row r="2046" spans="1:7" x14ac:dyDescent="0.2">
      <c r="A2046" s="1" t="s">
        <v>122</v>
      </c>
      <c r="B2046" t="s">
        <v>2025</v>
      </c>
      <c r="C2046">
        <v>-3.17720901391337</v>
      </c>
      <c r="D2046">
        <v>0</v>
      </c>
      <c r="E2046">
        <v>0</v>
      </c>
      <c r="F2046" t="str">
        <f>"128/145"</f>
        <v>128/145</v>
      </c>
      <c r="G2046" s="10">
        <v>0.65500000000000003</v>
      </c>
    </row>
    <row r="2047" spans="1:7" x14ac:dyDescent="0.2">
      <c r="A2047" s="1" t="s">
        <v>122</v>
      </c>
      <c r="B2047" t="s">
        <v>2026</v>
      </c>
      <c r="C2047">
        <v>-3.1768215634957899</v>
      </c>
      <c r="D2047">
        <v>0</v>
      </c>
      <c r="E2047">
        <v>0</v>
      </c>
      <c r="F2047" t="str">
        <f>"30/35"</f>
        <v>30/35</v>
      </c>
      <c r="G2047" s="10">
        <v>0.43309999999999998</v>
      </c>
    </row>
    <row r="2048" spans="1:7" x14ac:dyDescent="0.2">
      <c r="A2048" s="1" t="s">
        <v>122</v>
      </c>
      <c r="B2048" t="s">
        <v>1679</v>
      </c>
      <c r="C2048">
        <v>-3.1751295919732399</v>
      </c>
      <c r="D2048">
        <v>0</v>
      </c>
      <c r="E2048">
        <v>0</v>
      </c>
      <c r="F2048" t="str">
        <f>"37/41"</f>
        <v>37/41</v>
      </c>
      <c r="G2048" s="10">
        <v>0.48780000000000001</v>
      </c>
    </row>
    <row r="2049" spans="1:7" x14ac:dyDescent="0.2">
      <c r="A2049" s="1" t="s">
        <v>122</v>
      </c>
      <c r="B2049" t="s">
        <v>1086</v>
      </c>
      <c r="C2049">
        <v>-3.1739888373752501</v>
      </c>
      <c r="D2049">
        <v>0</v>
      </c>
      <c r="E2049">
        <v>0</v>
      </c>
      <c r="F2049" t="str">
        <f>"93/101"</f>
        <v>93/101</v>
      </c>
      <c r="G2049" s="10">
        <v>0.66249999999999998</v>
      </c>
    </row>
    <row r="2050" spans="1:7" x14ac:dyDescent="0.2">
      <c r="A2050" s="1" t="s">
        <v>122</v>
      </c>
      <c r="B2050" t="s">
        <v>1381</v>
      </c>
      <c r="C2050">
        <v>-3.1716077755415299</v>
      </c>
      <c r="D2050">
        <v>0</v>
      </c>
      <c r="E2050">
        <v>0</v>
      </c>
      <c r="F2050" t="str">
        <f>"119/127"</f>
        <v>119/127</v>
      </c>
      <c r="G2050" s="10">
        <v>0.69699999999999995</v>
      </c>
    </row>
    <row r="2051" spans="1:7" x14ac:dyDescent="0.2">
      <c r="A2051" s="1" t="s">
        <v>122</v>
      </c>
      <c r="B2051" t="s">
        <v>1373</v>
      </c>
      <c r="C2051">
        <v>-3.1711454281929798</v>
      </c>
      <c r="D2051">
        <v>0</v>
      </c>
      <c r="E2051">
        <v>0</v>
      </c>
      <c r="F2051" t="str">
        <f>"94/100"</f>
        <v>94/100</v>
      </c>
      <c r="G2051" s="10">
        <v>0.68810000000000004</v>
      </c>
    </row>
    <row r="2052" spans="1:7" x14ac:dyDescent="0.2">
      <c r="A2052" s="1" t="s">
        <v>122</v>
      </c>
      <c r="B2052" t="s">
        <v>592</v>
      </c>
      <c r="C2052">
        <v>-3.16958971774711</v>
      </c>
      <c r="D2052">
        <v>0</v>
      </c>
      <c r="E2052">
        <v>0</v>
      </c>
      <c r="F2052" t="str">
        <f>"160/183"</f>
        <v>160/183</v>
      </c>
      <c r="G2052" s="10">
        <v>0.68700000000000006</v>
      </c>
    </row>
    <row r="2053" spans="1:7" x14ac:dyDescent="0.2">
      <c r="A2053" s="1" t="s">
        <v>122</v>
      </c>
      <c r="B2053" t="s">
        <v>2027</v>
      </c>
      <c r="C2053">
        <v>-3.1583601392250902</v>
      </c>
      <c r="D2053">
        <v>0</v>
      </c>
      <c r="E2053">
        <v>0</v>
      </c>
      <c r="F2053" t="str">
        <f>"21/22"</f>
        <v>21/22</v>
      </c>
      <c r="G2053" s="10">
        <v>0.45660000000000001</v>
      </c>
    </row>
    <row r="2054" spans="1:7" x14ac:dyDescent="0.2">
      <c r="A2054" s="1" t="s">
        <v>122</v>
      </c>
      <c r="B2054" t="s">
        <v>1085</v>
      </c>
      <c r="C2054">
        <v>-3.1546653020781599</v>
      </c>
      <c r="D2054">
        <v>0</v>
      </c>
      <c r="E2054">
        <v>0</v>
      </c>
      <c r="F2054" t="str">
        <f>"26/26"</f>
        <v>26/26</v>
      </c>
      <c r="G2054" s="10">
        <v>0.47539999999999999</v>
      </c>
    </row>
    <row r="2055" spans="1:7" x14ac:dyDescent="0.2">
      <c r="A2055" s="1" t="s">
        <v>122</v>
      </c>
      <c r="B2055" t="s">
        <v>855</v>
      </c>
      <c r="C2055">
        <v>-3.1544463424372</v>
      </c>
      <c r="D2055">
        <v>0</v>
      </c>
      <c r="E2055">
        <v>0</v>
      </c>
      <c r="F2055" t="str">
        <f>"37/39"</f>
        <v>37/39</v>
      </c>
      <c r="G2055" s="10">
        <v>0.54500000000000004</v>
      </c>
    </row>
    <row r="2056" spans="1:7" x14ac:dyDescent="0.2">
      <c r="A2056" s="1" t="s">
        <v>122</v>
      </c>
      <c r="B2056" t="s">
        <v>2028</v>
      </c>
      <c r="C2056">
        <v>-3.1540559751231498</v>
      </c>
      <c r="D2056">
        <v>0</v>
      </c>
      <c r="E2056">
        <v>0</v>
      </c>
      <c r="F2056" t="str">
        <f>"40/46"</f>
        <v>40/46</v>
      </c>
      <c r="G2056" s="10">
        <v>0.49630000000000002</v>
      </c>
    </row>
    <row r="2057" spans="1:7" x14ac:dyDescent="0.2">
      <c r="A2057" s="1" t="s">
        <v>122</v>
      </c>
      <c r="B2057" t="s">
        <v>2029</v>
      </c>
      <c r="C2057">
        <v>-3.15257310672308</v>
      </c>
      <c r="D2057">
        <v>0</v>
      </c>
      <c r="E2057">
        <v>0</v>
      </c>
      <c r="F2057" t="str">
        <f>"78/82"</f>
        <v>78/82</v>
      </c>
      <c r="G2057" s="10">
        <v>0.66459999999999997</v>
      </c>
    </row>
    <row r="2058" spans="1:7" x14ac:dyDescent="0.2">
      <c r="A2058" s="1" t="s">
        <v>122</v>
      </c>
      <c r="B2058" t="s">
        <v>2030</v>
      </c>
      <c r="C2058">
        <v>-3.1524430053381001</v>
      </c>
      <c r="D2058">
        <v>0</v>
      </c>
      <c r="E2058">
        <v>0</v>
      </c>
      <c r="F2058" t="str">
        <f>"38/41"</f>
        <v>38/41</v>
      </c>
      <c r="G2058" s="10">
        <v>0.52990000000000004</v>
      </c>
    </row>
    <row r="2059" spans="1:7" x14ac:dyDescent="0.2">
      <c r="A2059" s="1" t="s">
        <v>122</v>
      </c>
      <c r="B2059" t="s">
        <v>2031</v>
      </c>
      <c r="C2059">
        <v>-3.15185344752972</v>
      </c>
      <c r="D2059">
        <v>0</v>
      </c>
      <c r="E2059">
        <v>0</v>
      </c>
      <c r="F2059" t="str">
        <f>"47/55"</f>
        <v>47/55</v>
      </c>
      <c r="G2059" s="10">
        <v>0.47610000000000002</v>
      </c>
    </row>
    <row r="2060" spans="1:7" x14ac:dyDescent="0.2">
      <c r="A2060" s="1" t="s">
        <v>122</v>
      </c>
      <c r="B2060" t="s">
        <v>2032</v>
      </c>
      <c r="C2060">
        <v>-3.1516975277106201</v>
      </c>
      <c r="D2060">
        <v>0</v>
      </c>
      <c r="E2060">
        <v>0</v>
      </c>
      <c r="F2060" t="str">
        <f>"47/56"</f>
        <v>47/56</v>
      </c>
      <c r="G2060" s="10">
        <v>0.47899999999999998</v>
      </c>
    </row>
    <row r="2061" spans="1:7" x14ac:dyDescent="0.2">
      <c r="A2061" s="1" t="s">
        <v>122</v>
      </c>
      <c r="B2061" t="s">
        <v>2033</v>
      </c>
      <c r="C2061">
        <v>-3.1509665757360699</v>
      </c>
      <c r="D2061">
        <v>0</v>
      </c>
      <c r="E2061">
        <v>0</v>
      </c>
      <c r="F2061" t="str">
        <f>"20/20"</f>
        <v>20/20</v>
      </c>
      <c r="G2061" s="10">
        <v>0.44719999999999999</v>
      </c>
    </row>
    <row r="2062" spans="1:7" x14ac:dyDescent="0.2">
      <c r="A2062" s="1" t="s">
        <v>122</v>
      </c>
      <c r="B2062" t="s">
        <v>47</v>
      </c>
      <c r="C2062">
        <v>-3.1488745988958202</v>
      </c>
      <c r="D2062">
        <v>0</v>
      </c>
      <c r="E2062">
        <v>0</v>
      </c>
      <c r="F2062" t="str">
        <f>"101/115"</f>
        <v>101/115</v>
      </c>
      <c r="G2062" s="10">
        <v>0.63670000000000004</v>
      </c>
    </row>
    <row r="2063" spans="1:7" x14ac:dyDescent="0.2">
      <c r="A2063" s="1" t="s">
        <v>122</v>
      </c>
      <c r="B2063" t="s">
        <v>2034</v>
      </c>
      <c r="C2063">
        <v>-3.1483401140882799</v>
      </c>
      <c r="D2063">
        <v>0</v>
      </c>
      <c r="E2063">
        <v>0</v>
      </c>
      <c r="F2063" t="str">
        <f>"62/77"</f>
        <v>62/77</v>
      </c>
      <c r="G2063" s="10">
        <v>0.51759999999999995</v>
      </c>
    </row>
    <row r="2064" spans="1:7" x14ac:dyDescent="0.2">
      <c r="A2064" s="1" t="s">
        <v>122</v>
      </c>
      <c r="B2064" t="s">
        <v>861</v>
      </c>
      <c r="C2064">
        <v>-3.1476682720557299</v>
      </c>
      <c r="D2064">
        <v>0</v>
      </c>
      <c r="E2064">
        <v>0</v>
      </c>
      <c r="F2064" t="str">
        <f>"80/85"</f>
        <v>80/85</v>
      </c>
      <c r="G2064" s="10">
        <v>0.64219999999999999</v>
      </c>
    </row>
    <row r="2065" spans="1:7" x14ac:dyDescent="0.2">
      <c r="A2065" s="1" t="s">
        <v>122</v>
      </c>
      <c r="B2065" t="s">
        <v>799</v>
      </c>
      <c r="C2065">
        <v>-3.1476051401803198</v>
      </c>
      <c r="D2065">
        <v>0</v>
      </c>
      <c r="E2065">
        <v>0</v>
      </c>
      <c r="F2065" t="str">
        <f>"141/158"</f>
        <v>141/158</v>
      </c>
      <c r="G2065" s="10">
        <v>0.67390000000000005</v>
      </c>
    </row>
    <row r="2066" spans="1:7" x14ac:dyDescent="0.2">
      <c r="A2066" s="1" t="s">
        <v>122</v>
      </c>
      <c r="B2066" t="s">
        <v>2035</v>
      </c>
      <c r="C2066">
        <v>-3.1475981774892801</v>
      </c>
      <c r="D2066">
        <v>0</v>
      </c>
      <c r="E2066">
        <v>0</v>
      </c>
      <c r="F2066" t="str">
        <f>"24/24"</f>
        <v>24/24</v>
      </c>
      <c r="G2066" s="10">
        <v>0.46250000000000002</v>
      </c>
    </row>
    <row r="2067" spans="1:7" x14ac:dyDescent="0.2">
      <c r="A2067" s="1" t="s">
        <v>122</v>
      </c>
      <c r="B2067" t="s">
        <v>1363</v>
      </c>
      <c r="C2067">
        <v>-3.1457833501930099</v>
      </c>
      <c r="D2067">
        <v>0</v>
      </c>
      <c r="E2067">
        <v>0</v>
      </c>
      <c r="F2067" t="str">
        <f>"60/64"</f>
        <v>60/64</v>
      </c>
      <c r="G2067" s="10">
        <v>0.59279999999999999</v>
      </c>
    </row>
    <row r="2068" spans="1:7" x14ac:dyDescent="0.2">
      <c r="A2068" s="1" t="s">
        <v>122</v>
      </c>
      <c r="B2068" t="s">
        <v>2036</v>
      </c>
      <c r="C2068">
        <v>-3.14428414153006</v>
      </c>
      <c r="D2068">
        <v>0</v>
      </c>
      <c r="E2068">
        <v>0</v>
      </c>
      <c r="F2068" t="str">
        <f>"58/62"</f>
        <v>58/62</v>
      </c>
      <c r="G2068" s="10">
        <v>0.57809999999999995</v>
      </c>
    </row>
    <row r="2069" spans="1:7" x14ac:dyDescent="0.2">
      <c r="A2069" s="1" t="s">
        <v>122</v>
      </c>
      <c r="B2069" t="s">
        <v>2037</v>
      </c>
      <c r="C2069">
        <v>-3.1431908962869999</v>
      </c>
      <c r="D2069">
        <v>0</v>
      </c>
      <c r="E2069">
        <v>0</v>
      </c>
      <c r="F2069" t="str">
        <f>"63/76"</f>
        <v>63/76</v>
      </c>
      <c r="G2069" s="10">
        <v>0.52359999999999995</v>
      </c>
    </row>
    <row r="2070" spans="1:7" x14ac:dyDescent="0.2">
      <c r="A2070" s="1" t="s">
        <v>122</v>
      </c>
      <c r="B2070" t="s">
        <v>2038</v>
      </c>
      <c r="C2070">
        <v>-3.14274260570344</v>
      </c>
      <c r="D2070">
        <v>0</v>
      </c>
      <c r="E2070">
        <v>0</v>
      </c>
      <c r="F2070" t="str">
        <f>"37/39"</f>
        <v>37/39</v>
      </c>
      <c r="G2070" s="10">
        <v>0.57599999999999996</v>
      </c>
    </row>
    <row r="2071" spans="1:7" x14ac:dyDescent="0.2">
      <c r="A2071" s="1" t="s">
        <v>122</v>
      </c>
      <c r="B2071" t="s">
        <v>834</v>
      </c>
      <c r="C2071">
        <v>-3.1406715784472801</v>
      </c>
      <c r="D2071">
        <v>0</v>
      </c>
      <c r="E2071">
        <v>0</v>
      </c>
      <c r="F2071" t="str">
        <f>"94/104"</f>
        <v>94/104</v>
      </c>
      <c r="G2071" s="10">
        <v>0.64490000000000003</v>
      </c>
    </row>
    <row r="2072" spans="1:7" x14ac:dyDescent="0.2">
      <c r="A2072" s="1" t="s">
        <v>122</v>
      </c>
      <c r="B2072" t="s">
        <v>687</v>
      </c>
      <c r="C2072">
        <v>-3.1389766199784699</v>
      </c>
      <c r="D2072">
        <v>0</v>
      </c>
      <c r="E2072">
        <v>0</v>
      </c>
      <c r="F2072" t="str">
        <f>"43/50"</f>
        <v>43/50</v>
      </c>
      <c r="G2072" s="10">
        <v>0.47020000000000001</v>
      </c>
    </row>
    <row r="2073" spans="1:7" x14ac:dyDescent="0.2">
      <c r="A2073" s="1" t="s">
        <v>122</v>
      </c>
      <c r="B2073" t="s">
        <v>2039</v>
      </c>
      <c r="C2073">
        <v>-3.1324608671909</v>
      </c>
      <c r="D2073">
        <v>0</v>
      </c>
      <c r="E2073">
        <v>0</v>
      </c>
      <c r="F2073" t="str">
        <f>"20/22"</f>
        <v>20/22</v>
      </c>
      <c r="G2073" s="10">
        <v>0.3831</v>
      </c>
    </row>
    <row r="2074" spans="1:7" x14ac:dyDescent="0.2">
      <c r="A2074" s="1" t="s">
        <v>122</v>
      </c>
      <c r="B2074" t="s">
        <v>960</v>
      </c>
      <c r="C2074">
        <v>-3.1311890351585099</v>
      </c>
      <c r="D2074">
        <v>0</v>
      </c>
      <c r="E2074">
        <v>0</v>
      </c>
      <c r="F2074" t="str">
        <f>"30/31"</f>
        <v>30/31</v>
      </c>
      <c r="G2074" s="10">
        <v>0.51590000000000003</v>
      </c>
    </row>
    <row r="2075" spans="1:7" x14ac:dyDescent="0.2">
      <c r="A2075" s="1" t="s">
        <v>122</v>
      </c>
      <c r="B2075" t="s">
        <v>2040</v>
      </c>
      <c r="C2075">
        <v>-3.1261449766529501</v>
      </c>
      <c r="D2075">
        <v>0</v>
      </c>
      <c r="E2075">
        <v>0</v>
      </c>
      <c r="F2075" t="str">
        <f>"48/51"</f>
        <v>48/51</v>
      </c>
      <c r="G2075" s="10">
        <v>0.61519999999999997</v>
      </c>
    </row>
    <row r="2076" spans="1:7" x14ac:dyDescent="0.2">
      <c r="A2076" s="1" t="s">
        <v>122</v>
      </c>
      <c r="B2076" t="s">
        <v>1173</v>
      </c>
      <c r="C2076">
        <v>-3.1247543223937999</v>
      </c>
      <c r="D2076">
        <v>0</v>
      </c>
      <c r="E2076">
        <v>0</v>
      </c>
      <c r="F2076" t="str">
        <f>"66/73"</f>
        <v>66/73</v>
      </c>
      <c r="G2076" s="10">
        <v>0.59860000000000002</v>
      </c>
    </row>
    <row r="2077" spans="1:7" x14ac:dyDescent="0.2">
      <c r="A2077" s="1" t="s">
        <v>122</v>
      </c>
      <c r="B2077" t="s">
        <v>866</v>
      </c>
      <c r="C2077">
        <v>-3.11953039239468</v>
      </c>
      <c r="D2077">
        <v>0</v>
      </c>
      <c r="E2077">
        <v>0</v>
      </c>
      <c r="F2077" t="str">
        <f>"55/62"</f>
        <v>55/62</v>
      </c>
      <c r="G2077" s="10">
        <v>0.57609999999999995</v>
      </c>
    </row>
    <row r="2078" spans="1:7" x14ac:dyDescent="0.2">
      <c r="A2078" s="1" t="s">
        <v>122</v>
      </c>
      <c r="B2078" t="s">
        <v>2041</v>
      </c>
      <c r="C2078">
        <v>-3.11888204384441</v>
      </c>
      <c r="D2078">
        <v>0</v>
      </c>
      <c r="E2078">
        <v>0</v>
      </c>
      <c r="F2078" t="str">
        <f>"73/79"</f>
        <v>73/79</v>
      </c>
      <c r="G2078" s="10">
        <v>0.63519999999999999</v>
      </c>
    </row>
    <row r="2079" spans="1:7" x14ac:dyDescent="0.2">
      <c r="A2079" s="1" t="s">
        <v>122</v>
      </c>
      <c r="B2079" t="s">
        <v>2042</v>
      </c>
      <c r="C2079">
        <v>-3.1187939145996002</v>
      </c>
      <c r="D2079">
        <v>0</v>
      </c>
      <c r="E2079">
        <v>0</v>
      </c>
      <c r="F2079" t="str">
        <f>"26/26"</f>
        <v>26/26</v>
      </c>
      <c r="G2079" s="10">
        <v>0.50839999999999996</v>
      </c>
    </row>
    <row r="2080" spans="1:7" x14ac:dyDescent="0.2">
      <c r="A2080" s="1" t="s">
        <v>122</v>
      </c>
      <c r="B2080" t="s">
        <v>2043</v>
      </c>
      <c r="C2080">
        <v>-3.1177819246996599</v>
      </c>
      <c r="D2080">
        <v>0</v>
      </c>
      <c r="E2080">
        <v>0</v>
      </c>
      <c r="F2080" t="str">
        <f>"43/45"</f>
        <v>43/45</v>
      </c>
      <c r="G2080" s="10">
        <v>0.56850000000000001</v>
      </c>
    </row>
    <row r="2081" spans="1:7" x14ac:dyDescent="0.2">
      <c r="A2081" s="1" t="s">
        <v>122</v>
      </c>
      <c r="B2081" t="s">
        <v>1178</v>
      </c>
      <c r="C2081">
        <v>-3.1140915853670998</v>
      </c>
      <c r="D2081">
        <v>0</v>
      </c>
      <c r="E2081">
        <v>0</v>
      </c>
      <c r="F2081" t="str">
        <f>"131/156"</f>
        <v>131/156</v>
      </c>
      <c r="G2081" s="10">
        <v>0.63880000000000003</v>
      </c>
    </row>
    <row r="2082" spans="1:7" x14ac:dyDescent="0.2">
      <c r="A2082" s="1" t="s">
        <v>122</v>
      </c>
      <c r="B2082" t="s">
        <v>2044</v>
      </c>
      <c r="C2082">
        <v>-3.1094565792236399</v>
      </c>
      <c r="D2082">
        <v>0</v>
      </c>
      <c r="E2082">
        <v>0</v>
      </c>
      <c r="F2082" t="str">
        <f>"36/39"</f>
        <v>36/39</v>
      </c>
      <c r="G2082" s="10">
        <v>0.503</v>
      </c>
    </row>
    <row r="2083" spans="1:7" x14ac:dyDescent="0.2">
      <c r="A2083" s="1" t="s">
        <v>122</v>
      </c>
      <c r="B2083" t="s">
        <v>2045</v>
      </c>
      <c r="C2083">
        <v>-3.1089810423840101</v>
      </c>
      <c r="D2083">
        <v>0</v>
      </c>
      <c r="E2083">
        <v>0</v>
      </c>
      <c r="F2083" t="str">
        <f>"37/37"</f>
        <v>37/37</v>
      </c>
      <c r="G2083" s="10">
        <v>0.58640000000000003</v>
      </c>
    </row>
    <row r="2084" spans="1:7" x14ac:dyDescent="0.2">
      <c r="A2084" s="1" t="s">
        <v>122</v>
      </c>
      <c r="B2084" t="s">
        <v>990</v>
      </c>
      <c r="C2084">
        <v>-3.1082477709235499</v>
      </c>
      <c r="D2084">
        <v>0</v>
      </c>
      <c r="E2084">
        <v>0</v>
      </c>
      <c r="F2084" t="str">
        <f>"40/46"</f>
        <v>40/46</v>
      </c>
      <c r="G2084" s="10">
        <v>0.4521</v>
      </c>
    </row>
    <row r="2085" spans="1:7" x14ac:dyDescent="0.2">
      <c r="A2085" s="1" t="s">
        <v>122</v>
      </c>
      <c r="B2085" t="s">
        <v>768</v>
      </c>
      <c r="C2085">
        <v>-3.10513764808826</v>
      </c>
      <c r="D2085">
        <v>0</v>
      </c>
      <c r="E2085">
        <v>0</v>
      </c>
      <c r="F2085" t="str">
        <f>"116/138"</f>
        <v>116/138</v>
      </c>
      <c r="G2085" s="10">
        <v>0.60699999999999998</v>
      </c>
    </row>
    <row r="2086" spans="1:7" x14ac:dyDescent="0.2">
      <c r="A2086" s="1" t="s">
        <v>122</v>
      </c>
      <c r="B2086" t="s">
        <v>2046</v>
      </c>
      <c r="C2086">
        <v>-3.1022236853915102</v>
      </c>
      <c r="D2086">
        <v>0</v>
      </c>
      <c r="E2086">
        <v>0</v>
      </c>
      <c r="F2086" t="str">
        <f>"39/40"</f>
        <v>39/40</v>
      </c>
      <c r="G2086" s="10">
        <v>0.54190000000000005</v>
      </c>
    </row>
    <row r="2087" spans="1:7" x14ac:dyDescent="0.2">
      <c r="A2087" s="1" t="s">
        <v>122</v>
      </c>
      <c r="B2087" t="s">
        <v>2047</v>
      </c>
      <c r="C2087">
        <v>-3.0991343237464499</v>
      </c>
      <c r="D2087">
        <v>0</v>
      </c>
      <c r="E2087">
        <v>0</v>
      </c>
      <c r="F2087" t="str">
        <f>"28/30"</f>
        <v>28/30</v>
      </c>
      <c r="G2087" s="10">
        <v>0.46229999999999999</v>
      </c>
    </row>
    <row r="2088" spans="1:7" x14ac:dyDescent="0.2">
      <c r="A2088" s="1" t="s">
        <v>122</v>
      </c>
      <c r="B2088" t="s">
        <v>2048</v>
      </c>
      <c r="C2088">
        <v>-3.0979572984393799</v>
      </c>
      <c r="D2088">
        <v>0</v>
      </c>
      <c r="E2088">
        <v>0</v>
      </c>
      <c r="F2088" t="str">
        <f>"28/33"</f>
        <v>28/33</v>
      </c>
      <c r="G2088" s="10">
        <v>0.41489999999999999</v>
      </c>
    </row>
    <row r="2089" spans="1:7" x14ac:dyDescent="0.2">
      <c r="A2089" s="1" t="s">
        <v>122</v>
      </c>
      <c r="B2089" t="s">
        <v>568</v>
      </c>
      <c r="C2089">
        <v>-3.0957750646181799</v>
      </c>
      <c r="D2089">
        <v>0</v>
      </c>
      <c r="E2089">
        <v>0</v>
      </c>
      <c r="F2089" t="str">
        <f>"67/76"</f>
        <v>67/76</v>
      </c>
      <c r="G2089" s="10">
        <v>0.61480000000000001</v>
      </c>
    </row>
    <row r="2090" spans="1:7" x14ac:dyDescent="0.2">
      <c r="A2090" s="1" t="s">
        <v>122</v>
      </c>
      <c r="B2090" t="s">
        <v>2049</v>
      </c>
      <c r="C2090">
        <v>-3.0954544402981101</v>
      </c>
      <c r="D2090">
        <v>0</v>
      </c>
      <c r="E2090">
        <v>0</v>
      </c>
      <c r="F2090" t="str">
        <f>"23/26"</f>
        <v>23/26</v>
      </c>
      <c r="G2090" s="10">
        <v>0.44379999999999997</v>
      </c>
    </row>
    <row r="2091" spans="1:7" x14ac:dyDescent="0.2">
      <c r="A2091" s="1" t="s">
        <v>122</v>
      </c>
      <c r="B2091" t="s">
        <v>367</v>
      </c>
      <c r="C2091">
        <v>-3.0941429192546499</v>
      </c>
      <c r="D2091">
        <v>0</v>
      </c>
      <c r="E2091">
        <v>0</v>
      </c>
      <c r="F2091" t="str">
        <f>"58/65"</f>
        <v>58/65</v>
      </c>
      <c r="G2091" s="10">
        <v>0.57769999999999999</v>
      </c>
    </row>
    <row r="2092" spans="1:7" x14ac:dyDescent="0.2">
      <c r="A2092" s="1" t="s">
        <v>122</v>
      </c>
      <c r="B2092" t="s">
        <v>1182</v>
      </c>
      <c r="C2092">
        <v>-3.0921817696903902</v>
      </c>
      <c r="D2092">
        <v>0</v>
      </c>
      <c r="E2092">
        <v>0</v>
      </c>
      <c r="F2092" t="str">
        <f>"78/83"</f>
        <v>78/83</v>
      </c>
      <c r="G2092" s="10">
        <v>0.64219999999999999</v>
      </c>
    </row>
    <row r="2093" spans="1:7" x14ac:dyDescent="0.2">
      <c r="A2093" s="1" t="s">
        <v>122</v>
      </c>
      <c r="B2093" t="s">
        <v>2050</v>
      </c>
      <c r="C2093">
        <v>-3.0914233483642399</v>
      </c>
      <c r="D2093">
        <v>0</v>
      </c>
      <c r="E2093">
        <v>0</v>
      </c>
      <c r="F2093" t="str">
        <f>"45/52"</f>
        <v>45/52</v>
      </c>
      <c r="G2093" s="10">
        <v>0.53129999999999999</v>
      </c>
    </row>
    <row r="2094" spans="1:7" x14ac:dyDescent="0.2">
      <c r="A2094" s="1" t="s">
        <v>122</v>
      </c>
      <c r="B2094" t="s">
        <v>2051</v>
      </c>
      <c r="C2094">
        <v>-3.0894845724670001</v>
      </c>
      <c r="D2094">
        <v>0</v>
      </c>
      <c r="E2094">
        <v>0</v>
      </c>
      <c r="F2094" t="str">
        <f>"94/107"</f>
        <v>94/107</v>
      </c>
      <c r="G2094" s="10">
        <v>0.64190000000000003</v>
      </c>
    </row>
    <row r="2095" spans="1:7" x14ac:dyDescent="0.2">
      <c r="A2095" s="1" t="s">
        <v>122</v>
      </c>
      <c r="B2095" t="s">
        <v>2052</v>
      </c>
      <c r="C2095">
        <v>-3.08947754831126</v>
      </c>
      <c r="D2095">
        <v>0</v>
      </c>
      <c r="E2095">
        <v>0</v>
      </c>
      <c r="F2095" t="str">
        <f>"32/32"</f>
        <v>32/32</v>
      </c>
      <c r="G2095" s="10">
        <v>0.56979999999999997</v>
      </c>
    </row>
    <row r="2096" spans="1:7" x14ac:dyDescent="0.2">
      <c r="A2096" s="1" t="s">
        <v>122</v>
      </c>
      <c r="B2096" t="s">
        <v>2053</v>
      </c>
      <c r="C2096">
        <v>-3.0874607527478402</v>
      </c>
      <c r="D2096">
        <v>0</v>
      </c>
      <c r="E2096">
        <v>0</v>
      </c>
      <c r="F2096" t="str">
        <f>"45/52"</f>
        <v>45/52</v>
      </c>
      <c r="G2096" s="10">
        <v>0.53129999999999999</v>
      </c>
    </row>
    <row r="2097" spans="1:7" x14ac:dyDescent="0.2">
      <c r="A2097" s="1" t="s">
        <v>122</v>
      </c>
      <c r="B2097" t="s">
        <v>2054</v>
      </c>
      <c r="C2097">
        <v>-3.0860629990794299</v>
      </c>
      <c r="D2097">
        <v>0</v>
      </c>
      <c r="E2097">
        <v>0</v>
      </c>
      <c r="F2097" t="str">
        <f>"35/36"</f>
        <v>35/36</v>
      </c>
      <c r="G2097" s="10">
        <v>0.53090000000000004</v>
      </c>
    </row>
    <row r="2098" spans="1:7" x14ac:dyDescent="0.2">
      <c r="A2098" s="1" t="s">
        <v>122</v>
      </c>
      <c r="B2098" t="s">
        <v>2055</v>
      </c>
      <c r="C2098">
        <v>-3.0821514689213299</v>
      </c>
      <c r="D2098">
        <v>0</v>
      </c>
      <c r="E2098">
        <v>0</v>
      </c>
      <c r="F2098" t="str">
        <f>"18/20"</f>
        <v>18/20</v>
      </c>
      <c r="G2098" s="10">
        <v>0.3695</v>
      </c>
    </row>
    <row r="2099" spans="1:7" x14ac:dyDescent="0.2">
      <c r="A2099" s="1" t="s">
        <v>122</v>
      </c>
      <c r="B2099" t="s">
        <v>2056</v>
      </c>
      <c r="C2099">
        <v>-3.0819748020266302</v>
      </c>
      <c r="D2099">
        <v>0</v>
      </c>
      <c r="E2099">
        <v>0</v>
      </c>
      <c r="F2099" t="str">
        <f>"32/34"</f>
        <v>32/34</v>
      </c>
      <c r="G2099" s="10">
        <v>0.50209999999999999</v>
      </c>
    </row>
    <row r="2100" spans="1:7" x14ac:dyDescent="0.2">
      <c r="A2100" s="1" t="s">
        <v>122</v>
      </c>
      <c r="B2100" t="s">
        <v>2057</v>
      </c>
      <c r="C2100">
        <v>-3.07941042846047</v>
      </c>
      <c r="D2100">
        <v>0</v>
      </c>
      <c r="E2100">
        <v>0</v>
      </c>
      <c r="F2100" t="str">
        <f>"47/55"</f>
        <v>47/55</v>
      </c>
      <c r="G2100" s="10">
        <v>0.52590000000000003</v>
      </c>
    </row>
    <row r="2101" spans="1:7" x14ac:dyDescent="0.2">
      <c r="A2101" s="1" t="s">
        <v>122</v>
      </c>
      <c r="B2101" t="s">
        <v>520</v>
      </c>
      <c r="C2101">
        <v>-3.0784372844355601</v>
      </c>
      <c r="D2101">
        <v>0</v>
      </c>
      <c r="E2101">
        <v>0</v>
      </c>
      <c r="F2101" t="str">
        <f>"132/149"</f>
        <v>132/149</v>
      </c>
      <c r="G2101" s="10">
        <v>0.67</v>
      </c>
    </row>
    <row r="2102" spans="1:7" x14ac:dyDescent="0.2">
      <c r="A2102" s="1" t="s">
        <v>122</v>
      </c>
      <c r="B2102" t="s">
        <v>2058</v>
      </c>
      <c r="C2102">
        <v>-3.07769297538723</v>
      </c>
      <c r="D2102">
        <v>0</v>
      </c>
      <c r="E2102">
        <v>0</v>
      </c>
      <c r="F2102" t="str">
        <f>"32/36"</f>
        <v>32/36</v>
      </c>
      <c r="G2102" s="10">
        <v>0.50229999999999997</v>
      </c>
    </row>
    <row r="2103" spans="1:7" x14ac:dyDescent="0.2">
      <c r="A2103" s="1" t="s">
        <v>122</v>
      </c>
      <c r="B2103" t="s">
        <v>2059</v>
      </c>
      <c r="C2103">
        <v>-3.07677127070493</v>
      </c>
      <c r="D2103">
        <v>0</v>
      </c>
      <c r="E2103">
        <v>0</v>
      </c>
      <c r="F2103" t="str">
        <f>"25/25"</f>
        <v>25/25</v>
      </c>
      <c r="G2103" s="10">
        <v>0.49759999999999999</v>
      </c>
    </row>
    <row r="2104" spans="1:7" x14ac:dyDescent="0.2">
      <c r="A2104" s="1" t="s">
        <v>122</v>
      </c>
      <c r="B2104" t="s">
        <v>2060</v>
      </c>
      <c r="C2104">
        <v>-3.0763434245817902</v>
      </c>
      <c r="D2104">
        <v>0</v>
      </c>
      <c r="E2104">
        <v>0</v>
      </c>
      <c r="F2104" t="str">
        <f>"32/36"</f>
        <v>32/36</v>
      </c>
      <c r="G2104" s="10">
        <v>0.46229999999999999</v>
      </c>
    </row>
    <row r="2105" spans="1:7" x14ac:dyDescent="0.2">
      <c r="A2105" s="1" t="s">
        <v>122</v>
      </c>
      <c r="B2105" t="s">
        <v>2061</v>
      </c>
      <c r="C2105">
        <v>-3.0751636745348399</v>
      </c>
      <c r="D2105">
        <v>0</v>
      </c>
      <c r="E2105">
        <v>0</v>
      </c>
      <c r="F2105" t="str">
        <f>"17/17"</f>
        <v>17/17</v>
      </c>
      <c r="G2105" s="10">
        <v>0.48609999999999998</v>
      </c>
    </row>
    <row r="2106" spans="1:7" x14ac:dyDescent="0.2">
      <c r="A2106" s="1" t="s">
        <v>122</v>
      </c>
      <c r="B2106" t="s">
        <v>2062</v>
      </c>
      <c r="C2106">
        <v>-3.0741937865898001</v>
      </c>
      <c r="D2106">
        <v>0</v>
      </c>
      <c r="E2106">
        <v>0</v>
      </c>
      <c r="F2106" t="str">
        <f>"22/22"</f>
        <v>22/22</v>
      </c>
      <c r="G2106" s="10">
        <v>0.50839999999999996</v>
      </c>
    </row>
    <row r="2107" spans="1:7" x14ac:dyDescent="0.2">
      <c r="A2107" s="1" t="s">
        <v>122</v>
      </c>
      <c r="B2107" t="s">
        <v>541</v>
      </c>
      <c r="C2107">
        <v>-3.0698007579714699</v>
      </c>
      <c r="D2107">
        <v>0</v>
      </c>
      <c r="E2107">
        <v>0</v>
      </c>
      <c r="F2107" t="str">
        <f>"73/92"</f>
        <v>73/92</v>
      </c>
      <c r="G2107" s="10">
        <v>0.53800000000000003</v>
      </c>
    </row>
    <row r="2108" spans="1:7" x14ac:dyDescent="0.2">
      <c r="A2108" s="1" t="s">
        <v>122</v>
      </c>
      <c r="B2108" t="s">
        <v>1161</v>
      </c>
      <c r="C2108">
        <v>-3.06957375061809</v>
      </c>
      <c r="D2108">
        <v>0</v>
      </c>
      <c r="E2108">
        <v>0</v>
      </c>
      <c r="F2108" t="str">
        <f>"43/50"</f>
        <v>43/50</v>
      </c>
      <c r="G2108" s="10">
        <v>0.51090000000000002</v>
      </c>
    </row>
    <row r="2109" spans="1:7" x14ac:dyDescent="0.2">
      <c r="A2109" s="1" t="s">
        <v>122</v>
      </c>
      <c r="B2109" t="s">
        <v>662</v>
      </c>
      <c r="C2109">
        <v>-3.0669361754592002</v>
      </c>
      <c r="D2109">
        <v>0</v>
      </c>
      <c r="E2109">
        <v>0</v>
      </c>
      <c r="F2109" t="str">
        <f>"102/114"</f>
        <v>102/114</v>
      </c>
      <c r="G2109" s="10">
        <v>0.64570000000000005</v>
      </c>
    </row>
    <row r="2110" spans="1:7" x14ac:dyDescent="0.2">
      <c r="A2110" s="1" t="s">
        <v>122</v>
      </c>
      <c r="B2110" t="s">
        <v>2063</v>
      </c>
      <c r="C2110">
        <v>-3.0649272028265</v>
      </c>
      <c r="D2110">
        <v>0</v>
      </c>
      <c r="E2110">
        <v>0</v>
      </c>
      <c r="F2110" t="str">
        <f>"22/23"</f>
        <v>22/23</v>
      </c>
      <c r="G2110" s="10">
        <v>0.47720000000000001</v>
      </c>
    </row>
    <row r="2111" spans="1:7" x14ac:dyDescent="0.2">
      <c r="A2111" s="1" t="s">
        <v>122</v>
      </c>
      <c r="B2111" t="s">
        <v>943</v>
      </c>
      <c r="C2111">
        <v>3.0626155551449301</v>
      </c>
      <c r="D2111">
        <v>0</v>
      </c>
      <c r="E2111">
        <v>0</v>
      </c>
      <c r="F2111" t="str">
        <f>"59/89"</f>
        <v>59/89</v>
      </c>
      <c r="G2111" s="10">
        <v>0.39229999999999998</v>
      </c>
    </row>
    <row r="2112" spans="1:7" x14ac:dyDescent="0.2">
      <c r="A2112" s="1" t="s">
        <v>122</v>
      </c>
      <c r="B2112" t="s">
        <v>2064</v>
      </c>
      <c r="C2112">
        <v>-3.06220257451759</v>
      </c>
      <c r="D2112">
        <v>0</v>
      </c>
      <c r="E2112">
        <v>0</v>
      </c>
      <c r="F2112" t="str">
        <f>"15/16"</f>
        <v>15/16</v>
      </c>
      <c r="G2112" s="10">
        <v>0.3543</v>
      </c>
    </row>
    <row r="2113" spans="1:7" x14ac:dyDescent="0.2">
      <c r="A2113" s="1" t="s">
        <v>122</v>
      </c>
      <c r="B2113" t="s">
        <v>174</v>
      </c>
      <c r="C2113">
        <v>-3.0588927391748402</v>
      </c>
      <c r="D2113">
        <v>0</v>
      </c>
      <c r="E2113">
        <v>0</v>
      </c>
      <c r="F2113" t="str">
        <f>"75/88"</f>
        <v>75/88</v>
      </c>
      <c r="G2113" s="10">
        <v>0.5867</v>
      </c>
    </row>
    <row r="2114" spans="1:7" x14ac:dyDescent="0.2">
      <c r="A2114" s="1" t="s">
        <v>122</v>
      </c>
      <c r="B2114" t="s">
        <v>2065</v>
      </c>
      <c r="C2114">
        <v>-3.0564211062067299</v>
      </c>
      <c r="D2114">
        <v>0</v>
      </c>
      <c r="E2114">
        <v>0</v>
      </c>
      <c r="F2114" t="str">
        <f>"69/83"</f>
        <v>69/83</v>
      </c>
      <c r="G2114" s="10">
        <v>0.53990000000000005</v>
      </c>
    </row>
    <row r="2115" spans="1:7" x14ac:dyDescent="0.2">
      <c r="A2115" s="1" t="s">
        <v>122</v>
      </c>
      <c r="B2115" t="s">
        <v>2066</v>
      </c>
      <c r="C2115">
        <v>-3.0562090029235298</v>
      </c>
      <c r="D2115">
        <v>0</v>
      </c>
      <c r="E2115">
        <v>0</v>
      </c>
      <c r="F2115" t="str">
        <f>"62/72"</f>
        <v>62/72</v>
      </c>
      <c r="G2115" s="10">
        <v>0.56489999999999996</v>
      </c>
    </row>
    <row r="2116" spans="1:7" x14ac:dyDescent="0.2">
      <c r="A2116" s="1" t="s">
        <v>122</v>
      </c>
      <c r="B2116" t="s">
        <v>959</v>
      </c>
      <c r="C2116">
        <v>-3.0549834174721302</v>
      </c>
      <c r="D2116">
        <v>0</v>
      </c>
      <c r="E2116">
        <v>0</v>
      </c>
      <c r="F2116" t="str">
        <f>"29/30"</f>
        <v>29/30</v>
      </c>
      <c r="G2116" s="10">
        <v>0.51590000000000003</v>
      </c>
    </row>
    <row r="2117" spans="1:7" x14ac:dyDescent="0.2">
      <c r="A2117" s="1" t="s">
        <v>122</v>
      </c>
      <c r="B2117" t="s">
        <v>2067</v>
      </c>
      <c r="C2117">
        <v>-3.04887558875896</v>
      </c>
      <c r="D2117">
        <v>0</v>
      </c>
      <c r="E2117">
        <v>0</v>
      </c>
      <c r="F2117" t="str">
        <f>"71/81"</f>
        <v>71/81</v>
      </c>
      <c r="G2117" s="10">
        <v>0.59599999999999997</v>
      </c>
    </row>
    <row r="2118" spans="1:7" x14ac:dyDescent="0.2">
      <c r="A2118" s="1" t="s">
        <v>122</v>
      </c>
      <c r="B2118" t="s">
        <v>251</v>
      </c>
      <c r="C2118">
        <v>-3.0459794496384101</v>
      </c>
      <c r="D2118">
        <v>0</v>
      </c>
      <c r="E2118">
        <v>0</v>
      </c>
      <c r="F2118" t="str">
        <f>"76/84"</f>
        <v>76/84</v>
      </c>
      <c r="G2118" s="10">
        <v>0.64500000000000002</v>
      </c>
    </row>
    <row r="2119" spans="1:7" x14ac:dyDescent="0.2">
      <c r="A2119" s="1" t="s">
        <v>122</v>
      </c>
      <c r="B2119" t="s">
        <v>2068</v>
      </c>
      <c r="C2119">
        <v>-3.04543442846236</v>
      </c>
      <c r="D2119">
        <v>0</v>
      </c>
      <c r="E2119">
        <v>0</v>
      </c>
      <c r="F2119" t="str">
        <f>"18/18"</f>
        <v>18/18</v>
      </c>
      <c r="G2119" s="10">
        <v>0.47670000000000001</v>
      </c>
    </row>
    <row r="2120" spans="1:7" x14ac:dyDescent="0.2">
      <c r="A2120" s="1" t="s">
        <v>122</v>
      </c>
      <c r="B2120" t="s">
        <v>175</v>
      </c>
      <c r="C2120">
        <v>-3.0451259884531701</v>
      </c>
      <c r="D2120">
        <v>0</v>
      </c>
      <c r="E2120">
        <v>0</v>
      </c>
      <c r="F2120" t="str">
        <f>"93/120"</f>
        <v>93/120</v>
      </c>
      <c r="G2120" s="10">
        <v>0.54720000000000002</v>
      </c>
    </row>
    <row r="2121" spans="1:7" x14ac:dyDescent="0.2">
      <c r="A2121" s="1" t="s">
        <v>122</v>
      </c>
      <c r="B2121" t="s">
        <v>2069</v>
      </c>
      <c r="C2121">
        <v>-3.0446094188891299</v>
      </c>
      <c r="D2121">
        <v>0</v>
      </c>
      <c r="E2121">
        <v>0</v>
      </c>
      <c r="F2121" t="str">
        <f>"27/32"</f>
        <v>27/32</v>
      </c>
      <c r="G2121" s="10">
        <v>0.44519999999999998</v>
      </c>
    </row>
    <row r="2122" spans="1:7" x14ac:dyDescent="0.2">
      <c r="A2122" s="1" t="s">
        <v>122</v>
      </c>
      <c r="B2122" t="s">
        <v>1254</v>
      </c>
      <c r="C2122">
        <v>-3.0444118240058802</v>
      </c>
      <c r="D2122">
        <v>0</v>
      </c>
      <c r="E2122">
        <v>0</v>
      </c>
      <c r="F2122" t="str">
        <f>"32/37"</f>
        <v>32/37</v>
      </c>
      <c r="G2122" s="10">
        <v>0.46339999999999998</v>
      </c>
    </row>
    <row r="2123" spans="1:7" x14ac:dyDescent="0.2">
      <c r="A2123" s="1" t="s">
        <v>122</v>
      </c>
      <c r="B2123" t="s">
        <v>2070</v>
      </c>
      <c r="C2123">
        <v>-3.03775257777311</v>
      </c>
      <c r="D2123">
        <v>0</v>
      </c>
      <c r="E2123">
        <v>0</v>
      </c>
      <c r="F2123" t="str">
        <f>"19/19"</f>
        <v>19/19</v>
      </c>
      <c r="G2123" s="10">
        <v>0.47189999999999999</v>
      </c>
    </row>
    <row r="2124" spans="1:7" x14ac:dyDescent="0.2">
      <c r="A2124" s="1" t="s">
        <v>122</v>
      </c>
      <c r="B2124" t="s">
        <v>538</v>
      </c>
      <c r="C2124">
        <v>-3.03754498986578</v>
      </c>
      <c r="D2124">
        <v>0</v>
      </c>
      <c r="E2124">
        <v>0</v>
      </c>
      <c r="F2124" t="str">
        <f>"68/78"</f>
        <v>68/78</v>
      </c>
      <c r="G2124" s="10">
        <v>0.59570000000000001</v>
      </c>
    </row>
    <row r="2125" spans="1:7" x14ac:dyDescent="0.2">
      <c r="A2125" s="1" t="s">
        <v>122</v>
      </c>
      <c r="B2125" t="s">
        <v>2071</v>
      </c>
      <c r="C2125">
        <v>-3.0371930822369899</v>
      </c>
      <c r="D2125">
        <v>0</v>
      </c>
      <c r="E2125">
        <v>0</v>
      </c>
      <c r="F2125" t="str">
        <f>"63/75"</f>
        <v>63/75</v>
      </c>
      <c r="G2125" s="10">
        <v>0.54149999999999998</v>
      </c>
    </row>
    <row r="2126" spans="1:7" x14ac:dyDescent="0.2">
      <c r="A2126" s="1" t="s">
        <v>122</v>
      </c>
      <c r="B2126" t="s">
        <v>2072</v>
      </c>
      <c r="C2126">
        <v>-3.0356538726905402</v>
      </c>
      <c r="D2126">
        <v>0</v>
      </c>
      <c r="E2126">
        <v>0</v>
      </c>
      <c r="F2126" t="str">
        <f>"32/39"</f>
        <v>32/39</v>
      </c>
      <c r="G2126" s="10">
        <v>0.4496</v>
      </c>
    </row>
    <row r="2127" spans="1:7" x14ac:dyDescent="0.2">
      <c r="A2127" s="1" t="s">
        <v>122</v>
      </c>
      <c r="B2127" t="s">
        <v>1343</v>
      </c>
      <c r="C2127">
        <v>-3.0342162410586302</v>
      </c>
      <c r="D2127">
        <v>0</v>
      </c>
      <c r="E2127">
        <v>0</v>
      </c>
      <c r="F2127" t="str">
        <f>"96/110"</f>
        <v>96/110</v>
      </c>
      <c r="G2127" s="10">
        <v>0.63670000000000004</v>
      </c>
    </row>
    <row r="2128" spans="1:7" x14ac:dyDescent="0.2">
      <c r="A2128" s="1" t="s">
        <v>122</v>
      </c>
      <c r="B2128" t="s">
        <v>2073</v>
      </c>
      <c r="C2128">
        <v>-3.0315460497942799</v>
      </c>
      <c r="D2128">
        <v>0</v>
      </c>
      <c r="E2128">
        <v>0</v>
      </c>
      <c r="F2128" t="str">
        <f>"92/111"</f>
        <v>92/111</v>
      </c>
      <c r="G2128" s="10">
        <v>0.60419999999999996</v>
      </c>
    </row>
    <row r="2129" spans="1:7" x14ac:dyDescent="0.2">
      <c r="A2129" s="1" t="s">
        <v>122</v>
      </c>
      <c r="B2129" t="s">
        <v>2074</v>
      </c>
      <c r="C2129">
        <v>-3.0315194555498199</v>
      </c>
      <c r="D2129">
        <v>0</v>
      </c>
      <c r="E2129">
        <v>0</v>
      </c>
      <c r="F2129" t="str">
        <f>"35/36"</f>
        <v>35/36</v>
      </c>
      <c r="G2129" s="10">
        <v>0.59150000000000003</v>
      </c>
    </row>
    <row r="2130" spans="1:7" x14ac:dyDescent="0.2">
      <c r="A2130" s="1" t="s">
        <v>122</v>
      </c>
      <c r="B2130" t="s">
        <v>2075</v>
      </c>
      <c r="C2130">
        <v>-3.0308289896398599</v>
      </c>
      <c r="D2130">
        <v>0</v>
      </c>
      <c r="E2130">
        <v>0</v>
      </c>
      <c r="F2130" t="str">
        <f>"56/101"</f>
        <v>56/101</v>
      </c>
      <c r="G2130" s="10">
        <v>0.3034</v>
      </c>
    </row>
    <row r="2131" spans="1:7" x14ac:dyDescent="0.2">
      <c r="A2131" s="1" t="s">
        <v>122</v>
      </c>
      <c r="B2131" t="s">
        <v>1202</v>
      </c>
      <c r="C2131">
        <v>-3.03056333706526</v>
      </c>
      <c r="D2131">
        <v>0</v>
      </c>
      <c r="E2131">
        <v>0</v>
      </c>
      <c r="F2131" t="str">
        <f>"54/63"</f>
        <v>54/63</v>
      </c>
      <c r="G2131" s="10">
        <v>0.55179999999999996</v>
      </c>
    </row>
    <row r="2132" spans="1:7" x14ac:dyDescent="0.2">
      <c r="A2132" s="1" t="s">
        <v>122</v>
      </c>
      <c r="B2132" t="s">
        <v>1039</v>
      </c>
      <c r="C2132">
        <v>-3.0300940003360801</v>
      </c>
      <c r="D2132">
        <v>0</v>
      </c>
      <c r="E2132">
        <v>0</v>
      </c>
      <c r="F2132" t="str">
        <f>"71/80"</f>
        <v>71/80</v>
      </c>
      <c r="G2132" s="10">
        <v>0.60509999999999997</v>
      </c>
    </row>
    <row r="2133" spans="1:7" x14ac:dyDescent="0.2">
      <c r="A2133" s="1" t="s">
        <v>122</v>
      </c>
      <c r="B2133" t="s">
        <v>2076</v>
      </c>
      <c r="C2133">
        <v>-3.0298618164480602</v>
      </c>
      <c r="D2133">
        <v>0</v>
      </c>
      <c r="E2133">
        <v>0</v>
      </c>
      <c r="F2133" t="str">
        <f>"25/28"</f>
        <v>25/28</v>
      </c>
      <c r="G2133" s="10">
        <v>0.4289</v>
      </c>
    </row>
    <row r="2134" spans="1:7" x14ac:dyDescent="0.2">
      <c r="A2134" s="1" t="s">
        <v>122</v>
      </c>
      <c r="B2134" t="s">
        <v>1141</v>
      </c>
      <c r="C2134">
        <v>-3.0293621531898598</v>
      </c>
      <c r="D2134">
        <v>0</v>
      </c>
      <c r="E2134">
        <v>0</v>
      </c>
      <c r="F2134" t="str">
        <f>"31/35"</f>
        <v>31/35</v>
      </c>
      <c r="G2134" s="10">
        <v>0.45379999999999998</v>
      </c>
    </row>
    <row r="2135" spans="1:7" x14ac:dyDescent="0.2">
      <c r="A2135" s="1" t="s">
        <v>122</v>
      </c>
      <c r="B2135" t="s">
        <v>2077</v>
      </c>
      <c r="C2135">
        <v>-3.0279964585368999</v>
      </c>
      <c r="D2135">
        <v>0</v>
      </c>
      <c r="E2135">
        <v>0</v>
      </c>
      <c r="F2135" t="str">
        <f>"35/39"</f>
        <v>35/39</v>
      </c>
      <c r="G2135" s="10">
        <v>0.49580000000000002</v>
      </c>
    </row>
    <row r="2136" spans="1:7" x14ac:dyDescent="0.2">
      <c r="A2136" s="1" t="s">
        <v>122</v>
      </c>
      <c r="B2136" t="s">
        <v>1377</v>
      </c>
      <c r="C2136">
        <v>-3.02738048391759</v>
      </c>
      <c r="D2136">
        <v>0</v>
      </c>
      <c r="E2136">
        <v>0</v>
      </c>
      <c r="F2136" t="str">
        <f>"106/118"</f>
        <v>106/118</v>
      </c>
      <c r="G2136" s="10">
        <v>0.6754</v>
      </c>
    </row>
    <row r="2137" spans="1:7" x14ac:dyDescent="0.2">
      <c r="A2137" s="1" t="s">
        <v>122</v>
      </c>
      <c r="B2137" t="s">
        <v>2078</v>
      </c>
      <c r="C2137">
        <v>-3.02641690482944</v>
      </c>
      <c r="D2137">
        <v>0</v>
      </c>
      <c r="E2137">
        <v>0</v>
      </c>
      <c r="F2137" t="str">
        <f>"31/36"</f>
        <v>31/36</v>
      </c>
      <c r="G2137" s="10">
        <v>0.46239999999999998</v>
      </c>
    </row>
    <row r="2138" spans="1:7" x14ac:dyDescent="0.2">
      <c r="A2138" s="1" t="s">
        <v>122</v>
      </c>
      <c r="B2138" t="s">
        <v>2079</v>
      </c>
      <c r="C2138">
        <v>-3.0251377325085902</v>
      </c>
      <c r="D2138">
        <v>0</v>
      </c>
      <c r="E2138">
        <v>0</v>
      </c>
      <c r="F2138" t="str">
        <f>"56/65"</f>
        <v>56/65</v>
      </c>
      <c r="G2138" s="10">
        <v>0.53580000000000005</v>
      </c>
    </row>
    <row r="2139" spans="1:7" x14ac:dyDescent="0.2">
      <c r="A2139" s="1" t="s">
        <v>122</v>
      </c>
      <c r="B2139" t="s">
        <v>2080</v>
      </c>
      <c r="C2139">
        <v>-3.0249335037267699</v>
      </c>
      <c r="D2139">
        <v>0</v>
      </c>
      <c r="E2139">
        <v>0</v>
      </c>
      <c r="F2139" t="str">
        <f>"24/25"</f>
        <v>24/25</v>
      </c>
      <c r="G2139" s="10">
        <v>0.48309999999999997</v>
      </c>
    </row>
    <row r="2140" spans="1:7" x14ac:dyDescent="0.2">
      <c r="A2140" s="1" t="s">
        <v>122</v>
      </c>
      <c r="B2140" t="s">
        <v>2081</v>
      </c>
      <c r="C2140">
        <v>-3.0235454011549998</v>
      </c>
      <c r="D2140">
        <v>0</v>
      </c>
      <c r="E2140">
        <v>0</v>
      </c>
      <c r="F2140" t="str">
        <f>"18/19"</f>
        <v>18/19</v>
      </c>
      <c r="G2140" s="10">
        <v>0.36880000000000002</v>
      </c>
    </row>
    <row r="2141" spans="1:7" x14ac:dyDescent="0.2">
      <c r="A2141" s="1" t="s">
        <v>122</v>
      </c>
      <c r="B2141" t="s">
        <v>2082</v>
      </c>
      <c r="C2141">
        <v>-3.0222942303426001</v>
      </c>
      <c r="D2141">
        <v>0</v>
      </c>
      <c r="E2141">
        <v>0</v>
      </c>
      <c r="F2141" t="str">
        <f>"35/36"</f>
        <v>35/36</v>
      </c>
      <c r="G2141" s="10">
        <v>0.57010000000000005</v>
      </c>
    </row>
    <row r="2142" spans="1:7" x14ac:dyDescent="0.2">
      <c r="A2142" s="1" t="s">
        <v>122</v>
      </c>
      <c r="B2142" t="s">
        <v>2083</v>
      </c>
      <c r="C2142">
        <v>-3.0215144736673798</v>
      </c>
      <c r="D2142">
        <v>0</v>
      </c>
      <c r="E2142">
        <v>0</v>
      </c>
      <c r="F2142" t="str">
        <f>"28/31"</f>
        <v>28/31</v>
      </c>
      <c r="G2142" s="10">
        <v>0.44280000000000003</v>
      </c>
    </row>
    <row r="2143" spans="1:7" x14ac:dyDescent="0.2">
      <c r="A2143" s="1" t="s">
        <v>122</v>
      </c>
      <c r="B2143" t="s">
        <v>2084</v>
      </c>
      <c r="C2143">
        <v>-3.0214458361283101</v>
      </c>
      <c r="D2143">
        <v>0</v>
      </c>
      <c r="E2143">
        <v>0</v>
      </c>
      <c r="F2143" t="str">
        <f>"30/30"</f>
        <v>30/30</v>
      </c>
      <c r="G2143" s="10">
        <v>0.53920000000000001</v>
      </c>
    </row>
    <row r="2144" spans="1:7" x14ac:dyDescent="0.2">
      <c r="A2144" s="1" t="s">
        <v>122</v>
      </c>
      <c r="B2144" t="s">
        <v>2085</v>
      </c>
      <c r="C2144">
        <v>-3.0198889851188899</v>
      </c>
      <c r="D2144">
        <v>0</v>
      </c>
      <c r="E2144">
        <v>0</v>
      </c>
      <c r="F2144" t="str">
        <f>"55/68"</f>
        <v>55/68</v>
      </c>
      <c r="G2144" s="10">
        <v>0.50919999999999999</v>
      </c>
    </row>
    <row r="2145" spans="1:7" x14ac:dyDescent="0.2">
      <c r="A2145" s="1" t="s">
        <v>122</v>
      </c>
      <c r="B2145" t="s">
        <v>2086</v>
      </c>
      <c r="C2145">
        <v>-3.0181957893611</v>
      </c>
      <c r="D2145">
        <v>0</v>
      </c>
      <c r="E2145">
        <v>0</v>
      </c>
      <c r="F2145" t="str">
        <f>"24/25"</f>
        <v>24/25</v>
      </c>
      <c r="G2145" s="10">
        <v>0.47749999999999998</v>
      </c>
    </row>
    <row r="2146" spans="1:7" x14ac:dyDescent="0.2">
      <c r="A2146" s="1" t="s">
        <v>122</v>
      </c>
      <c r="B2146" t="s">
        <v>1231</v>
      </c>
      <c r="C2146">
        <v>-3.0180575520636399</v>
      </c>
      <c r="D2146">
        <v>0</v>
      </c>
      <c r="E2146">
        <v>0</v>
      </c>
      <c r="F2146" t="str">
        <f>"90/102"</f>
        <v>90/102</v>
      </c>
      <c r="G2146" s="10">
        <v>0.64939999999999998</v>
      </c>
    </row>
    <row r="2147" spans="1:7" x14ac:dyDescent="0.2">
      <c r="A2147" s="1" t="s">
        <v>122</v>
      </c>
      <c r="B2147" t="s">
        <v>779</v>
      </c>
      <c r="C2147">
        <v>-3.01795645074837</v>
      </c>
      <c r="D2147">
        <v>0</v>
      </c>
      <c r="E2147">
        <v>0</v>
      </c>
      <c r="F2147" t="str">
        <f>"41/50"</f>
        <v>41/50</v>
      </c>
      <c r="G2147" s="10">
        <v>0.46910000000000002</v>
      </c>
    </row>
    <row r="2148" spans="1:7" x14ac:dyDescent="0.2">
      <c r="A2148" s="1" t="s">
        <v>122</v>
      </c>
      <c r="B2148" t="s">
        <v>2087</v>
      </c>
      <c r="C2148">
        <v>-3.0175781193653499</v>
      </c>
      <c r="D2148">
        <v>0</v>
      </c>
      <c r="E2148">
        <v>0</v>
      </c>
      <c r="F2148" t="str">
        <f>"239/268"</f>
        <v>239/268</v>
      </c>
      <c r="G2148" s="10">
        <v>0.73819999999999997</v>
      </c>
    </row>
    <row r="2149" spans="1:7" x14ac:dyDescent="0.2">
      <c r="A2149" s="1" t="s">
        <v>122</v>
      </c>
      <c r="B2149" t="s">
        <v>1089</v>
      </c>
      <c r="C2149">
        <v>-3.0163539558173</v>
      </c>
      <c r="D2149">
        <v>0</v>
      </c>
      <c r="E2149">
        <v>0</v>
      </c>
      <c r="F2149" t="str">
        <f>"48/73"</f>
        <v>48/73</v>
      </c>
      <c r="G2149" s="10">
        <v>0.36959999999999998</v>
      </c>
    </row>
    <row r="2150" spans="1:7" x14ac:dyDescent="0.2">
      <c r="A2150" s="1" t="s">
        <v>122</v>
      </c>
      <c r="B2150" t="s">
        <v>2088</v>
      </c>
      <c r="C2150">
        <v>-3.0122624050662399</v>
      </c>
      <c r="D2150">
        <v>0</v>
      </c>
      <c r="E2150">
        <v>0</v>
      </c>
      <c r="F2150" t="str">
        <f>"46/50"</f>
        <v>46/50</v>
      </c>
      <c r="G2150" s="10">
        <v>0.56479999999999997</v>
      </c>
    </row>
    <row r="2151" spans="1:7" x14ac:dyDescent="0.2">
      <c r="A2151" s="1" t="s">
        <v>122</v>
      </c>
      <c r="B2151" t="s">
        <v>2089</v>
      </c>
      <c r="C2151">
        <v>-3.0120992325040001</v>
      </c>
      <c r="D2151">
        <v>0</v>
      </c>
      <c r="E2151">
        <v>0</v>
      </c>
      <c r="F2151" t="str">
        <f>"37/39"</f>
        <v>37/39</v>
      </c>
      <c r="G2151" s="10">
        <v>0.53090000000000004</v>
      </c>
    </row>
    <row r="2152" spans="1:7" x14ac:dyDescent="0.2">
      <c r="A2152" s="1" t="s">
        <v>122</v>
      </c>
      <c r="B2152" t="s">
        <v>2090</v>
      </c>
      <c r="C2152">
        <v>-3.0074235692861202</v>
      </c>
      <c r="D2152">
        <v>0</v>
      </c>
      <c r="E2152">
        <v>0</v>
      </c>
      <c r="F2152" t="str">
        <f>"42/47"</f>
        <v>42/47</v>
      </c>
      <c r="G2152" s="10">
        <v>0.53500000000000003</v>
      </c>
    </row>
    <row r="2153" spans="1:7" x14ac:dyDescent="0.2">
      <c r="A2153" s="1" t="s">
        <v>122</v>
      </c>
      <c r="B2153" t="s">
        <v>2091</v>
      </c>
      <c r="C2153">
        <v>-3.0073114118695901</v>
      </c>
      <c r="D2153">
        <v>0</v>
      </c>
      <c r="E2153">
        <v>0</v>
      </c>
      <c r="F2153" t="str">
        <f>"40/44"</f>
        <v>40/44</v>
      </c>
      <c r="G2153" s="10">
        <v>0.53449999999999998</v>
      </c>
    </row>
    <row r="2154" spans="1:7" x14ac:dyDescent="0.2">
      <c r="A2154" s="1" t="s">
        <v>122</v>
      </c>
      <c r="B2154" t="s">
        <v>2092</v>
      </c>
      <c r="C2154">
        <v>-3.00558877189725</v>
      </c>
      <c r="D2154">
        <v>0</v>
      </c>
      <c r="E2154">
        <v>0</v>
      </c>
      <c r="F2154" t="str">
        <f>"53/69"</f>
        <v>53/69</v>
      </c>
      <c r="G2154" s="10">
        <v>0.4425</v>
      </c>
    </row>
    <row r="2155" spans="1:7" x14ac:dyDescent="0.2">
      <c r="A2155" s="1" t="s">
        <v>122</v>
      </c>
      <c r="B2155" t="s">
        <v>2093</v>
      </c>
      <c r="C2155">
        <v>-3.00553442891378</v>
      </c>
      <c r="D2155">
        <v>0</v>
      </c>
      <c r="E2155">
        <v>0</v>
      </c>
      <c r="F2155" t="str">
        <f>"99/112"</f>
        <v>99/112</v>
      </c>
      <c r="G2155" s="10">
        <v>0.64849999999999997</v>
      </c>
    </row>
    <row r="2156" spans="1:7" x14ac:dyDescent="0.2">
      <c r="A2156" s="1" t="s">
        <v>122</v>
      </c>
      <c r="B2156" t="s">
        <v>2094</v>
      </c>
      <c r="C2156">
        <v>-3.0012801852379898</v>
      </c>
      <c r="D2156">
        <v>0</v>
      </c>
      <c r="E2156">
        <v>0</v>
      </c>
      <c r="F2156" t="str">
        <f>"50/58"</f>
        <v>50/58</v>
      </c>
      <c r="G2156" s="10">
        <v>0.51149999999999995</v>
      </c>
    </row>
    <row r="2157" spans="1:7" x14ac:dyDescent="0.2">
      <c r="A2157" s="1" t="s">
        <v>122</v>
      </c>
      <c r="B2157" t="s">
        <v>2095</v>
      </c>
      <c r="C2157">
        <v>-2.9963456557475698</v>
      </c>
      <c r="D2157">
        <v>0</v>
      </c>
      <c r="E2157">
        <v>0</v>
      </c>
      <c r="F2157" t="str">
        <f>"37/40"</f>
        <v>37/40</v>
      </c>
      <c r="G2157" s="10">
        <v>0.54690000000000005</v>
      </c>
    </row>
    <row r="2158" spans="1:7" x14ac:dyDescent="0.2">
      <c r="A2158" s="1" t="s">
        <v>122</v>
      </c>
      <c r="B2158" t="s">
        <v>2096</v>
      </c>
      <c r="C2158">
        <v>-2.9933186509291199</v>
      </c>
      <c r="D2158">
        <v>0</v>
      </c>
      <c r="E2158">
        <v>0</v>
      </c>
      <c r="F2158" t="str">
        <f>"63/69"</f>
        <v>63/69</v>
      </c>
      <c r="G2158" s="10">
        <v>0.60370000000000001</v>
      </c>
    </row>
    <row r="2159" spans="1:7" x14ac:dyDescent="0.2">
      <c r="A2159" s="1" t="s">
        <v>122</v>
      </c>
      <c r="B2159" t="s">
        <v>2097</v>
      </c>
      <c r="C2159">
        <v>-2.9926627835456001</v>
      </c>
      <c r="D2159">
        <v>0</v>
      </c>
      <c r="E2159">
        <v>0</v>
      </c>
      <c r="F2159" t="str">
        <f>"32/35"</f>
        <v>32/35</v>
      </c>
      <c r="G2159" s="10">
        <v>0.5081</v>
      </c>
    </row>
    <row r="2160" spans="1:7" x14ac:dyDescent="0.2">
      <c r="A2160" s="1" t="s">
        <v>122</v>
      </c>
      <c r="B2160" t="s">
        <v>621</v>
      </c>
      <c r="C2160">
        <v>-2.9911242629588299</v>
      </c>
      <c r="D2160">
        <v>0</v>
      </c>
      <c r="E2160">
        <v>0</v>
      </c>
      <c r="F2160" t="str">
        <f>"61/68"</f>
        <v>61/68</v>
      </c>
      <c r="G2160" s="10">
        <v>0.60309999999999997</v>
      </c>
    </row>
    <row r="2161" spans="1:7" x14ac:dyDescent="0.2">
      <c r="A2161" s="1" t="s">
        <v>122</v>
      </c>
      <c r="B2161" t="s">
        <v>1209</v>
      </c>
      <c r="C2161">
        <v>-2.9899260107645902</v>
      </c>
      <c r="D2161">
        <v>0</v>
      </c>
      <c r="E2161">
        <v>0</v>
      </c>
      <c r="F2161" t="str">
        <f>"33/33"</f>
        <v>33/33</v>
      </c>
      <c r="G2161" s="10">
        <v>0.55730000000000002</v>
      </c>
    </row>
    <row r="2162" spans="1:7" x14ac:dyDescent="0.2">
      <c r="A2162" s="1" t="s">
        <v>122</v>
      </c>
      <c r="B2162" t="s">
        <v>2098</v>
      </c>
      <c r="C2162">
        <v>-2.9888674255871699</v>
      </c>
      <c r="D2162">
        <v>0</v>
      </c>
      <c r="E2162">
        <v>0</v>
      </c>
      <c r="F2162" t="str">
        <f>"88/94"</f>
        <v>88/94</v>
      </c>
      <c r="G2162" s="10">
        <v>0.67390000000000005</v>
      </c>
    </row>
    <row r="2163" spans="1:7" x14ac:dyDescent="0.2">
      <c r="A2163" s="1" t="s">
        <v>122</v>
      </c>
      <c r="B2163" t="s">
        <v>1059</v>
      </c>
      <c r="C2163">
        <v>-2.98810442315362</v>
      </c>
      <c r="D2163">
        <v>0</v>
      </c>
      <c r="E2163">
        <v>0</v>
      </c>
      <c r="F2163" t="str">
        <f>"17/20"</f>
        <v>17/20</v>
      </c>
      <c r="G2163" s="10">
        <v>0.33939999999999998</v>
      </c>
    </row>
    <row r="2164" spans="1:7" x14ac:dyDescent="0.2">
      <c r="A2164" s="1" t="s">
        <v>122</v>
      </c>
      <c r="B2164" t="s">
        <v>1117</v>
      </c>
      <c r="C2164">
        <v>-2.9858604101918802</v>
      </c>
      <c r="D2164">
        <v>0</v>
      </c>
      <c r="E2164">
        <v>0</v>
      </c>
      <c r="F2164" t="str">
        <f>"26/29"</f>
        <v>26/29</v>
      </c>
      <c r="G2164" s="10">
        <v>0.43409999999999999</v>
      </c>
    </row>
    <row r="2165" spans="1:7" x14ac:dyDescent="0.2">
      <c r="A2165" s="1" t="s">
        <v>122</v>
      </c>
      <c r="B2165" t="s">
        <v>2099</v>
      </c>
      <c r="C2165">
        <v>-2.9838925156478702</v>
      </c>
      <c r="D2165">
        <v>0</v>
      </c>
      <c r="E2165">
        <v>0</v>
      </c>
      <c r="F2165" t="str">
        <f>"24/24"</f>
        <v>24/24</v>
      </c>
      <c r="G2165" s="10">
        <v>0.52869999999999995</v>
      </c>
    </row>
    <row r="2166" spans="1:7" x14ac:dyDescent="0.2">
      <c r="A2166" s="1" t="s">
        <v>122</v>
      </c>
      <c r="B2166" t="s">
        <v>286</v>
      </c>
      <c r="C2166">
        <v>-2.98379641375293</v>
      </c>
      <c r="D2166">
        <v>0</v>
      </c>
      <c r="E2166">
        <v>0</v>
      </c>
      <c r="F2166" t="str">
        <f>"43/48"</f>
        <v>43/48</v>
      </c>
      <c r="G2166" s="10">
        <v>0.54600000000000004</v>
      </c>
    </row>
    <row r="2167" spans="1:7" x14ac:dyDescent="0.2">
      <c r="A2167" s="1" t="s">
        <v>122</v>
      </c>
      <c r="B2167" t="s">
        <v>2100</v>
      </c>
      <c r="C2167">
        <v>-2.98289514164609</v>
      </c>
      <c r="D2167">
        <v>0</v>
      </c>
      <c r="E2167">
        <v>0</v>
      </c>
      <c r="F2167" t="str">
        <f>"64/69"</f>
        <v>64/69</v>
      </c>
      <c r="G2167" s="10">
        <v>0.63290000000000002</v>
      </c>
    </row>
    <row r="2168" spans="1:7" x14ac:dyDescent="0.2">
      <c r="A2168" s="1" t="s">
        <v>122</v>
      </c>
      <c r="B2168" t="s">
        <v>2101</v>
      </c>
      <c r="C2168">
        <v>-2.9804498913246098</v>
      </c>
      <c r="D2168">
        <v>0</v>
      </c>
      <c r="E2168">
        <v>0</v>
      </c>
      <c r="F2168" t="str">
        <f>"23/23"</f>
        <v>23/23</v>
      </c>
      <c r="G2168" s="10">
        <v>0.50839999999999996</v>
      </c>
    </row>
    <row r="2169" spans="1:7" x14ac:dyDescent="0.2">
      <c r="A2169" s="1" t="s">
        <v>122</v>
      </c>
      <c r="B2169" t="s">
        <v>2102</v>
      </c>
      <c r="C2169">
        <v>-2.9774592165699598</v>
      </c>
      <c r="D2169">
        <v>0</v>
      </c>
      <c r="E2169">
        <v>0</v>
      </c>
      <c r="F2169" t="str">
        <f>"17/18"</f>
        <v>17/18</v>
      </c>
      <c r="G2169" s="10">
        <v>0.378</v>
      </c>
    </row>
    <row r="2170" spans="1:7" x14ac:dyDescent="0.2">
      <c r="A2170" s="1" t="s">
        <v>122</v>
      </c>
      <c r="B2170" t="s">
        <v>2103</v>
      </c>
      <c r="C2170">
        <v>-2.9765358884895501</v>
      </c>
      <c r="D2170">
        <v>0</v>
      </c>
      <c r="E2170">
        <v>0</v>
      </c>
      <c r="F2170" t="str">
        <f>"147/193"</f>
        <v>147/193</v>
      </c>
      <c r="G2170" s="10">
        <v>0.57450000000000001</v>
      </c>
    </row>
    <row r="2171" spans="1:7" x14ac:dyDescent="0.2">
      <c r="A2171" s="1" t="s">
        <v>122</v>
      </c>
      <c r="B2171" t="s">
        <v>2104</v>
      </c>
      <c r="C2171">
        <v>-2.9748370772033801</v>
      </c>
      <c r="D2171">
        <v>0</v>
      </c>
      <c r="E2171">
        <v>0</v>
      </c>
      <c r="F2171" t="str">
        <f>"28/31"</f>
        <v>28/31</v>
      </c>
      <c r="G2171" s="10">
        <v>0.51400000000000001</v>
      </c>
    </row>
    <row r="2172" spans="1:7" x14ac:dyDescent="0.2">
      <c r="A2172" s="1" t="s">
        <v>122</v>
      </c>
      <c r="B2172" t="s">
        <v>2105</v>
      </c>
      <c r="C2172">
        <v>-2.9744950506341801</v>
      </c>
      <c r="D2172">
        <v>0</v>
      </c>
      <c r="E2172">
        <v>0</v>
      </c>
      <c r="F2172" t="str">
        <f>"17/19"</f>
        <v>17/19</v>
      </c>
      <c r="G2172" s="10">
        <v>0.3695</v>
      </c>
    </row>
    <row r="2173" spans="1:7" x14ac:dyDescent="0.2">
      <c r="A2173" s="1" t="s">
        <v>122</v>
      </c>
      <c r="B2173" t="s">
        <v>1503</v>
      </c>
      <c r="C2173">
        <v>-2.9742263697378002</v>
      </c>
      <c r="D2173">
        <v>0</v>
      </c>
      <c r="E2173">
        <v>0</v>
      </c>
      <c r="F2173" t="str">
        <f>"83/90"</f>
        <v>83/90</v>
      </c>
      <c r="G2173" s="10">
        <v>0.66479999999999995</v>
      </c>
    </row>
    <row r="2174" spans="1:7" x14ac:dyDescent="0.2">
      <c r="A2174" s="1" t="s">
        <v>122</v>
      </c>
      <c r="B2174" t="s">
        <v>2106</v>
      </c>
      <c r="C2174">
        <v>-2.9719585812353202</v>
      </c>
      <c r="D2174">
        <v>0</v>
      </c>
      <c r="E2174">
        <v>0</v>
      </c>
      <c r="F2174" t="str">
        <f>"19/19"</f>
        <v>19/19</v>
      </c>
      <c r="G2174" s="10">
        <v>0.46899999999999997</v>
      </c>
    </row>
    <row r="2175" spans="1:7" x14ac:dyDescent="0.2">
      <c r="A2175" s="1" t="s">
        <v>122</v>
      </c>
      <c r="B2175" t="s">
        <v>2107</v>
      </c>
      <c r="C2175">
        <v>-2.97058602505194</v>
      </c>
      <c r="D2175">
        <v>0</v>
      </c>
      <c r="E2175">
        <v>0</v>
      </c>
      <c r="F2175" t="str">
        <f>"28/29"</f>
        <v>28/29</v>
      </c>
      <c r="G2175" s="10">
        <v>0.505</v>
      </c>
    </row>
    <row r="2176" spans="1:7" x14ac:dyDescent="0.2">
      <c r="A2176" s="1" t="s">
        <v>122</v>
      </c>
      <c r="B2176" t="s">
        <v>170</v>
      </c>
      <c r="C2176">
        <v>-2.9702566600213798</v>
      </c>
      <c r="D2176">
        <v>0</v>
      </c>
      <c r="E2176">
        <v>0</v>
      </c>
      <c r="F2176" t="str">
        <f>"41/45"</f>
        <v>41/45</v>
      </c>
      <c r="G2176" s="10">
        <v>0.53480000000000005</v>
      </c>
    </row>
    <row r="2177" spans="1:7" x14ac:dyDescent="0.2">
      <c r="A2177" s="1" t="s">
        <v>122</v>
      </c>
      <c r="B2177" t="s">
        <v>2108</v>
      </c>
      <c r="C2177">
        <v>-2.9697048861094002</v>
      </c>
      <c r="D2177">
        <v>0</v>
      </c>
      <c r="E2177">
        <v>0</v>
      </c>
      <c r="F2177" t="str">
        <f>"38/45"</f>
        <v>38/45</v>
      </c>
      <c r="G2177" s="10">
        <v>0.46310000000000001</v>
      </c>
    </row>
    <row r="2178" spans="1:7" x14ac:dyDescent="0.2">
      <c r="A2178" s="1" t="s">
        <v>122</v>
      </c>
      <c r="B2178" t="s">
        <v>2109</v>
      </c>
      <c r="C2178">
        <v>-2.9653870003587399</v>
      </c>
      <c r="D2178">
        <v>0</v>
      </c>
      <c r="E2178">
        <v>0</v>
      </c>
      <c r="F2178" t="str">
        <f>"31/33"</f>
        <v>31/33</v>
      </c>
      <c r="G2178" s="10">
        <v>0.51019999999999999</v>
      </c>
    </row>
    <row r="2179" spans="1:7" x14ac:dyDescent="0.2">
      <c r="A2179" s="1" t="s">
        <v>122</v>
      </c>
      <c r="B2179" t="s">
        <v>601</v>
      </c>
      <c r="C2179">
        <v>-2.96359394093479</v>
      </c>
      <c r="D2179">
        <v>0</v>
      </c>
      <c r="E2179">
        <v>0</v>
      </c>
      <c r="F2179" t="str">
        <f>"49/51"</f>
        <v>49/51</v>
      </c>
      <c r="G2179" s="10">
        <v>0.60460000000000003</v>
      </c>
    </row>
    <row r="2180" spans="1:7" x14ac:dyDescent="0.2">
      <c r="A2180" s="1" t="s">
        <v>122</v>
      </c>
      <c r="B2180" t="s">
        <v>2110</v>
      </c>
      <c r="C2180">
        <v>-2.9616505357677099</v>
      </c>
      <c r="D2180">
        <v>0</v>
      </c>
      <c r="E2180">
        <v>0</v>
      </c>
      <c r="F2180" t="str">
        <f>"28/28"</f>
        <v>28/28</v>
      </c>
      <c r="G2180" s="10">
        <v>0.53720000000000001</v>
      </c>
    </row>
    <row r="2181" spans="1:7" x14ac:dyDescent="0.2">
      <c r="A2181" s="1" t="s">
        <v>122</v>
      </c>
      <c r="B2181" t="s">
        <v>2111</v>
      </c>
      <c r="C2181">
        <v>-2.9605518799767001</v>
      </c>
      <c r="D2181">
        <v>0</v>
      </c>
      <c r="E2181">
        <v>0</v>
      </c>
      <c r="F2181" t="str">
        <f>"26/28"</f>
        <v>26/28</v>
      </c>
      <c r="G2181" s="10">
        <v>0.46899999999999997</v>
      </c>
    </row>
    <row r="2182" spans="1:7" x14ac:dyDescent="0.2">
      <c r="A2182" s="1" t="s">
        <v>122</v>
      </c>
      <c r="B2182" t="s">
        <v>829</v>
      </c>
      <c r="C2182">
        <v>-2.9598321041647599</v>
      </c>
      <c r="D2182">
        <v>0</v>
      </c>
      <c r="E2182">
        <v>0</v>
      </c>
      <c r="F2182" t="str">
        <f>"32/37"</f>
        <v>32/37</v>
      </c>
      <c r="G2182" s="10">
        <v>0.4788</v>
      </c>
    </row>
    <row r="2183" spans="1:7" x14ac:dyDescent="0.2">
      <c r="A2183" s="1" t="s">
        <v>122</v>
      </c>
      <c r="B2183" t="s">
        <v>2112</v>
      </c>
      <c r="C2183">
        <v>-2.9589455890454901</v>
      </c>
      <c r="D2183">
        <v>0</v>
      </c>
      <c r="E2183">
        <v>0</v>
      </c>
      <c r="F2183" t="str">
        <f>"36/37"</f>
        <v>36/37</v>
      </c>
      <c r="G2183" s="10">
        <v>0.57520000000000004</v>
      </c>
    </row>
    <row r="2184" spans="1:7" x14ac:dyDescent="0.2">
      <c r="A2184" s="1" t="s">
        <v>122</v>
      </c>
      <c r="B2184" t="s">
        <v>2113</v>
      </c>
      <c r="C2184">
        <v>-2.95842667700011</v>
      </c>
      <c r="D2184">
        <v>0</v>
      </c>
      <c r="E2184">
        <v>0</v>
      </c>
      <c r="F2184" t="str">
        <f>"56/63"</f>
        <v>56/63</v>
      </c>
      <c r="G2184" s="10">
        <v>0.56699999999999995</v>
      </c>
    </row>
    <row r="2185" spans="1:7" x14ac:dyDescent="0.2">
      <c r="A2185" s="1" t="s">
        <v>122</v>
      </c>
      <c r="B2185" t="s">
        <v>2114</v>
      </c>
      <c r="C2185">
        <v>-2.9577927902258301</v>
      </c>
      <c r="D2185">
        <v>0</v>
      </c>
      <c r="E2185">
        <v>0</v>
      </c>
      <c r="F2185" t="str">
        <f>"34/34"</f>
        <v>34/34</v>
      </c>
      <c r="G2185" s="10">
        <v>0.55989999999999995</v>
      </c>
    </row>
    <row r="2186" spans="1:7" x14ac:dyDescent="0.2">
      <c r="A2186" s="1" t="s">
        <v>122</v>
      </c>
      <c r="B2186" t="s">
        <v>2115</v>
      </c>
      <c r="C2186">
        <v>-2.9565111084804299</v>
      </c>
      <c r="D2186">
        <v>0</v>
      </c>
      <c r="E2186">
        <v>0</v>
      </c>
      <c r="F2186" t="str">
        <f>"41/44"</f>
        <v>41/44</v>
      </c>
      <c r="G2186" s="10">
        <v>0.52259999999999995</v>
      </c>
    </row>
    <row r="2187" spans="1:7" x14ac:dyDescent="0.2">
      <c r="A2187" s="1" t="s">
        <v>122</v>
      </c>
      <c r="B2187" t="s">
        <v>1160</v>
      </c>
      <c r="C2187">
        <v>-2.9551693584507799</v>
      </c>
      <c r="D2187">
        <v>0</v>
      </c>
      <c r="E2187">
        <v>0</v>
      </c>
      <c r="F2187" t="str">
        <f>"45/49"</f>
        <v>45/49</v>
      </c>
      <c r="G2187" s="10">
        <v>0.5917</v>
      </c>
    </row>
    <row r="2188" spans="1:7" x14ac:dyDescent="0.2">
      <c r="A2188" s="1" t="s">
        <v>122</v>
      </c>
      <c r="B2188" t="s">
        <v>2116</v>
      </c>
      <c r="C2188">
        <v>-2.9541779524798399</v>
      </c>
      <c r="D2188">
        <v>0</v>
      </c>
      <c r="E2188">
        <v>0</v>
      </c>
      <c r="F2188" t="str">
        <f>"19/20"</f>
        <v>19/20</v>
      </c>
      <c r="G2188" s="10">
        <v>0.43340000000000001</v>
      </c>
    </row>
    <row r="2189" spans="1:7" x14ac:dyDescent="0.2">
      <c r="A2189" s="1" t="s">
        <v>122</v>
      </c>
      <c r="B2189" t="s">
        <v>304</v>
      </c>
      <c r="C2189">
        <v>-2.9518847335700298</v>
      </c>
      <c r="D2189">
        <v>0</v>
      </c>
      <c r="E2189">
        <v>0</v>
      </c>
      <c r="F2189" t="str">
        <f>"129/158"</f>
        <v>129/158</v>
      </c>
      <c r="G2189" s="10">
        <v>0.6069</v>
      </c>
    </row>
    <row r="2190" spans="1:7" x14ac:dyDescent="0.2">
      <c r="A2190" s="1" t="s">
        <v>122</v>
      </c>
      <c r="B2190" t="s">
        <v>2117</v>
      </c>
      <c r="C2190">
        <v>-2.9511773643027999</v>
      </c>
      <c r="D2190">
        <v>0</v>
      </c>
      <c r="E2190">
        <v>0</v>
      </c>
      <c r="F2190" t="str">
        <f>"96/112"</f>
        <v>96/112</v>
      </c>
      <c r="G2190" s="10">
        <v>0.62050000000000005</v>
      </c>
    </row>
    <row r="2191" spans="1:7" x14ac:dyDescent="0.2">
      <c r="A2191" s="1" t="s">
        <v>122</v>
      </c>
      <c r="B2191" t="s">
        <v>2118</v>
      </c>
      <c r="C2191">
        <v>-2.95081975995631</v>
      </c>
      <c r="D2191">
        <v>0</v>
      </c>
      <c r="E2191">
        <v>0</v>
      </c>
      <c r="F2191" t="str">
        <f>"66/76"</f>
        <v>66/76</v>
      </c>
      <c r="G2191" s="10">
        <v>0.56850000000000001</v>
      </c>
    </row>
    <row r="2192" spans="1:7" x14ac:dyDescent="0.2">
      <c r="A2192" s="1" t="s">
        <v>122</v>
      </c>
      <c r="B2192" t="s">
        <v>2119</v>
      </c>
      <c r="C2192">
        <v>-2.9483680911502099</v>
      </c>
      <c r="D2192">
        <v>0</v>
      </c>
      <c r="E2192">
        <v>0</v>
      </c>
      <c r="F2192" t="str">
        <f>"52/56"</f>
        <v>52/56</v>
      </c>
      <c r="G2192" s="10">
        <v>0.6109</v>
      </c>
    </row>
    <row r="2193" spans="1:7" x14ac:dyDescent="0.2">
      <c r="A2193" s="1" t="s">
        <v>122</v>
      </c>
      <c r="B2193" t="s">
        <v>32</v>
      </c>
      <c r="C2193">
        <v>-2.9472811459533101</v>
      </c>
      <c r="D2193">
        <v>0</v>
      </c>
      <c r="E2193">
        <v>0</v>
      </c>
      <c r="F2193" t="str">
        <f>"67/72"</f>
        <v>67/72</v>
      </c>
      <c r="G2193" s="10">
        <v>0.66139999999999999</v>
      </c>
    </row>
    <row r="2194" spans="1:7" x14ac:dyDescent="0.2">
      <c r="A2194" s="1" t="s">
        <v>122</v>
      </c>
      <c r="B2194" t="s">
        <v>2120</v>
      </c>
      <c r="C2194">
        <v>-2.9468502557296699</v>
      </c>
      <c r="D2194">
        <v>0</v>
      </c>
      <c r="E2194">
        <v>0</v>
      </c>
      <c r="F2194" t="str">
        <f>"32/38"</f>
        <v>32/38</v>
      </c>
      <c r="G2194" s="10">
        <v>0.45390000000000003</v>
      </c>
    </row>
    <row r="2195" spans="1:7" x14ac:dyDescent="0.2">
      <c r="A2195" s="1" t="s">
        <v>122</v>
      </c>
      <c r="B2195" t="s">
        <v>2121</v>
      </c>
      <c r="C2195">
        <v>-2.9455709179116498</v>
      </c>
      <c r="D2195">
        <v>0</v>
      </c>
      <c r="E2195" s="2">
        <v>3.1075612708808403E-5</v>
      </c>
      <c r="F2195" t="str">
        <f>"31/31"</f>
        <v>31/31</v>
      </c>
      <c r="G2195" s="10">
        <v>0.56789999999999996</v>
      </c>
    </row>
    <row r="2196" spans="1:7" x14ac:dyDescent="0.2">
      <c r="A2196" s="1" t="s">
        <v>122</v>
      </c>
      <c r="B2196" t="s">
        <v>720</v>
      </c>
      <c r="C2196">
        <v>-2.9444463334872202</v>
      </c>
      <c r="D2196">
        <v>0</v>
      </c>
      <c r="E2196" s="2">
        <v>3.1037389322942701E-5</v>
      </c>
      <c r="F2196" t="str">
        <f>"60/65"</f>
        <v>60/65</v>
      </c>
      <c r="G2196" s="10">
        <v>0.60309999999999997</v>
      </c>
    </row>
    <row r="2197" spans="1:7" x14ac:dyDescent="0.2">
      <c r="A2197" s="1" t="s">
        <v>122</v>
      </c>
      <c r="B2197" t="s">
        <v>2122</v>
      </c>
      <c r="C2197">
        <v>-2.9439225788118</v>
      </c>
      <c r="D2197">
        <v>0</v>
      </c>
      <c r="E2197" s="2">
        <v>3.0999259852030002E-5</v>
      </c>
      <c r="F2197" t="str">
        <f>"86/111"</f>
        <v>86/111</v>
      </c>
      <c r="G2197" s="10">
        <v>0.51790000000000003</v>
      </c>
    </row>
    <row r="2198" spans="1:7" x14ac:dyDescent="0.2">
      <c r="A2198" s="1" t="s">
        <v>122</v>
      </c>
      <c r="B2198" t="s">
        <v>2123</v>
      </c>
      <c r="C2198">
        <v>-2.9435989479086002</v>
      </c>
      <c r="D2198">
        <v>0</v>
      </c>
      <c r="E2198" s="2">
        <v>3.0961223950371103E-5</v>
      </c>
      <c r="F2198" t="str">
        <f>"17/19"</f>
        <v>17/19</v>
      </c>
      <c r="G2198" s="10">
        <v>0.3569</v>
      </c>
    </row>
    <row r="2199" spans="1:7" x14ac:dyDescent="0.2">
      <c r="A2199" s="1" t="s">
        <v>122</v>
      </c>
      <c r="B2199" t="s">
        <v>839</v>
      </c>
      <c r="C2199">
        <v>-2.9432049282378601</v>
      </c>
      <c r="D2199">
        <v>0</v>
      </c>
      <c r="E2199" s="2">
        <v>3.0923281273961298E-5</v>
      </c>
      <c r="F2199" t="str">
        <f>"47/50"</f>
        <v>47/50</v>
      </c>
      <c r="G2199" s="10">
        <v>0.61519999999999997</v>
      </c>
    </row>
    <row r="2200" spans="1:7" x14ac:dyDescent="0.2">
      <c r="A2200" s="1" t="s">
        <v>122</v>
      </c>
      <c r="B2200" t="s">
        <v>2124</v>
      </c>
      <c r="C2200">
        <v>-2.93808677297493</v>
      </c>
      <c r="D2200">
        <v>0</v>
      </c>
      <c r="E2200" s="2">
        <v>3.0885431480480299E-5</v>
      </c>
      <c r="F2200" t="str">
        <f>"26/26"</f>
        <v>26/26</v>
      </c>
      <c r="G2200" s="10">
        <v>0.53920000000000001</v>
      </c>
    </row>
    <row r="2201" spans="1:7" x14ac:dyDescent="0.2">
      <c r="A2201" s="1" t="s">
        <v>122</v>
      </c>
      <c r="B2201" t="s">
        <v>2125</v>
      </c>
      <c r="C2201">
        <v>-2.9363405749279101</v>
      </c>
      <c r="D2201">
        <v>0</v>
      </c>
      <c r="E2201" s="2">
        <v>3.0847674229281697E-5</v>
      </c>
      <c r="F2201" t="str">
        <f>"30/36"</f>
        <v>30/36</v>
      </c>
      <c r="G2201" s="10">
        <v>0.44340000000000002</v>
      </c>
    </row>
    <row r="2202" spans="1:7" x14ac:dyDescent="0.2">
      <c r="A2202" s="1" t="s">
        <v>122</v>
      </c>
      <c r="B2202" t="s">
        <v>973</v>
      </c>
      <c r="C2202">
        <v>-2.9356919897115001</v>
      </c>
      <c r="D2202">
        <v>0</v>
      </c>
      <c r="E2202" s="2">
        <v>3.0810009181382703E-5</v>
      </c>
      <c r="F2202" t="str">
        <f>"54/61"</f>
        <v>54/61</v>
      </c>
      <c r="G2202" s="10">
        <v>0.54749999999999999</v>
      </c>
    </row>
    <row r="2203" spans="1:7" x14ac:dyDescent="0.2">
      <c r="A2203" s="1" t="s">
        <v>122</v>
      </c>
      <c r="B2203" t="s">
        <v>2126</v>
      </c>
      <c r="C2203">
        <v>-2.93499221388047</v>
      </c>
      <c r="D2203">
        <v>0</v>
      </c>
      <c r="E2203" s="2">
        <v>3.0772435999454201E-5</v>
      </c>
      <c r="F2203" t="str">
        <f>"41/55"</f>
        <v>41/55</v>
      </c>
      <c r="G2203" s="10">
        <v>0.41880000000000001</v>
      </c>
    </row>
    <row r="2204" spans="1:7" x14ac:dyDescent="0.2">
      <c r="A2204" s="1" t="s">
        <v>122</v>
      </c>
      <c r="B2204" t="s">
        <v>2127</v>
      </c>
      <c r="C2204">
        <v>-2.9324402184650298</v>
      </c>
      <c r="D2204">
        <v>0</v>
      </c>
      <c r="E2204" s="2">
        <v>3.0734954347810502E-5</v>
      </c>
      <c r="F2204" t="str">
        <f>"36/43"</f>
        <v>36/43</v>
      </c>
      <c r="G2204" s="10">
        <v>0.49120000000000003</v>
      </c>
    </row>
    <row r="2205" spans="1:7" x14ac:dyDescent="0.2">
      <c r="A2205" s="1" t="s">
        <v>122</v>
      </c>
      <c r="B2205" t="s">
        <v>2128</v>
      </c>
      <c r="C2205">
        <v>-2.93125345930491</v>
      </c>
      <c r="D2205">
        <v>0</v>
      </c>
      <c r="E2205" s="2">
        <v>3.0697563892399498E-5</v>
      </c>
      <c r="F2205" t="str">
        <f>"32/36"</f>
        <v>32/36</v>
      </c>
      <c r="G2205" s="10">
        <v>0.50119999999999998</v>
      </c>
    </row>
    <row r="2206" spans="1:7" x14ac:dyDescent="0.2">
      <c r="A2206" s="1" t="s">
        <v>122</v>
      </c>
      <c r="B2206" t="s">
        <v>2129</v>
      </c>
      <c r="C2206">
        <v>-2.9302425788468902</v>
      </c>
      <c r="D2206">
        <v>0</v>
      </c>
      <c r="E2206" s="2">
        <v>3.0660264300792699E-5</v>
      </c>
      <c r="F2206" t="str">
        <f>"31/32"</f>
        <v>31/32</v>
      </c>
      <c r="G2206" s="10">
        <v>0.52100000000000002</v>
      </c>
    </row>
    <row r="2207" spans="1:7" x14ac:dyDescent="0.2">
      <c r="A2207" s="1" t="s">
        <v>122</v>
      </c>
      <c r="B2207" t="s">
        <v>2130</v>
      </c>
      <c r="C2207">
        <v>-2.9251756007645699</v>
      </c>
      <c r="D2207">
        <v>0</v>
      </c>
      <c r="E2207" s="2">
        <v>3.0623055242175297E-5</v>
      </c>
      <c r="F2207" t="str">
        <f>"23/25"</f>
        <v>23/25</v>
      </c>
      <c r="G2207" s="10">
        <v>0.4834</v>
      </c>
    </row>
    <row r="2208" spans="1:7" x14ac:dyDescent="0.2">
      <c r="A2208" s="1" t="s">
        <v>122</v>
      </c>
      <c r="B2208" t="s">
        <v>2131</v>
      </c>
      <c r="C2208">
        <v>-2.9249739896824201</v>
      </c>
      <c r="D2208">
        <v>0</v>
      </c>
      <c r="E2208" s="2">
        <v>3.0585936387336301E-5</v>
      </c>
      <c r="F2208" t="str">
        <f>"42/47"</f>
        <v>42/47</v>
      </c>
      <c r="G2208" s="10">
        <v>0.53500000000000003</v>
      </c>
    </row>
    <row r="2209" spans="1:7" x14ac:dyDescent="0.2">
      <c r="A2209" s="1" t="s">
        <v>122</v>
      </c>
      <c r="B2209" t="s">
        <v>766</v>
      </c>
      <c r="C2209">
        <v>-2.9224148291860801</v>
      </c>
      <c r="D2209">
        <v>0</v>
      </c>
      <c r="E2209" s="2">
        <v>3.0548907408659103E-5</v>
      </c>
      <c r="F2209" t="str">
        <f>"34/34"</f>
        <v>34/34</v>
      </c>
      <c r="G2209" s="10">
        <v>0.59530000000000005</v>
      </c>
    </row>
    <row r="2210" spans="1:7" x14ac:dyDescent="0.2">
      <c r="A2210" s="1" t="s">
        <v>122</v>
      </c>
      <c r="B2210" t="s">
        <v>2132</v>
      </c>
      <c r="C2210">
        <v>-2.92139198520377</v>
      </c>
      <c r="D2210">
        <v>0</v>
      </c>
      <c r="E2210" s="2">
        <v>3.05119679801118E-5</v>
      </c>
      <c r="F2210" t="str">
        <f>"36/40"</f>
        <v>36/40</v>
      </c>
      <c r="G2210" s="10">
        <v>0.51659999999999995</v>
      </c>
    </row>
    <row r="2211" spans="1:7" x14ac:dyDescent="0.2">
      <c r="A2211" s="1" t="s">
        <v>122</v>
      </c>
      <c r="B2211" t="s">
        <v>1207</v>
      </c>
      <c r="C2211">
        <v>-2.9209029360166299</v>
      </c>
      <c r="D2211">
        <v>0</v>
      </c>
      <c r="E2211" s="2">
        <v>3.0475117777237201E-5</v>
      </c>
      <c r="F2211" t="str">
        <f>"48/62"</f>
        <v>48/62</v>
      </c>
      <c r="G2211" s="10">
        <v>0.47339999999999999</v>
      </c>
    </row>
    <row r="2212" spans="1:7" x14ac:dyDescent="0.2">
      <c r="A2212" s="1" t="s">
        <v>122</v>
      </c>
      <c r="B2212" t="s">
        <v>2133</v>
      </c>
      <c r="C2212">
        <v>-2.9191819794524099</v>
      </c>
      <c r="D2212">
        <v>0</v>
      </c>
      <c r="E2212" s="2">
        <v>3.0438356477144101E-5</v>
      </c>
      <c r="F2212" t="str">
        <f>"28/29"</f>
        <v>28/29</v>
      </c>
      <c r="G2212" s="10">
        <v>0.52410000000000001</v>
      </c>
    </row>
    <row r="2213" spans="1:7" x14ac:dyDescent="0.2">
      <c r="A2213" s="1" t="s">
        <v>122</v>
      </c>
      <c r="B2213" t="s">
        <v>2134</v>
      </c>
      <c r="C2213">
        <v>-2.9190906759583299</v>
      </c>
      <c r="D2213">
        <v>0</v>
      </c>
      <c r="E2213" s="2">
        <v>3.04016837584969E-5</v>
      </c>
      <c r="F2213" t="str">
        <f>"60/70"</f>
        <v>60/70</v>
      </c>
      <c r="G2213" s="10">
        <v>0.55479999999999996</v>
      </c>
    </row>
    <row r="2214" spans="1:7" x14ac:dyDescent="0.2">
      <c r="A2214" s="1" t="s">
        <v>122</v>
      </c>
      <c r="B2214" t="s">
        <v>1167</v>
      </c>
      <c r="C2214">
        <v>-2.91837802911936</v>
      </c>
      <c r="D2214">
        <v>0</v>
      </c>
      <c r="E2214" s="2">
        <v>3.0365099301507099E-5</v>
      </c>
      <c r="F2214" t="str">
        <f>"28/29"</f>
        <v>28/29</v>
      </c>
      <c r="G2214" s="10">
        <v>0.5101</v>
      </c>
    </row>
    <row r="2215" spans="1:7" x14ac:dyDescent="0.2">
      <c r="A2215" s="1" t="s">
        <v>122</v>
      </c>
      <c r="B2215" t="s">
        <v>2135</v>
      </c>
      <c r="C2215">
        <v>-2.9178315370212098</v>
      </c>
      <c r="D2215">
        <v>0</v>
      </c>
      <c r="E2215" s="2">
        <v>3.0328602787923598E-5</v>
      </c>
      <c r="F2215" t="str">
        <f>"26/26"</f>
        <v>26/26</v>
      </c>
      <c r="G2215" s="10">
        <v>0.54079999999999995</v>
      </c>
    </row>
    <row r="2216" spans="1:7" x14ac:dyDescent="0.2">
      <c r="A2216" s="1" t="s">
        <v>122</v>
      </c>
      <c r="B2216" t="s">
        <v>2136</v>
      </c>
      <c r="C2216">
        <v>-2.9174162529877701</v>
      </c>
      <c r="D2216">
        <v>0</v>
      </c>
      <c r="E2216" s="2">
        <v>3.02921939010233E-5</v>
      </c>
      <c r="F2216" t="str">
        <f>"24/25"</f>
        <v>24/25</v>
      </c>
      <c r="G2216" s="10">
        <v>0.46550000000000002</v>
      </c>
    </row>
    <row r="2217" spans="1:7" x14ac:dyDescent="0.2">
      <c r="A2217" s="1" t="s">
        <v>122</v>
      </c>
      <c r="B2217" t="s">
        <v>2137</v>
      </c>
      <c r="C2217">
        <v>-2.9136960898519</v>
      </c>
      <c r="D2217">
        <v>0</v>
      </c>
      <c r="E2217" s="2">
        <v>3.0255872325602399E-5</v>
      </c>
      <c r="F2217" t="str">
        <f>"40/44"</f>
        <v>40/44</v>
      </c>
      <c r="G2217" s="10">
        <v>0.54369999999999996</v>
      </c>
    </row>
    <row r="2218" spans="1:7" x14ac:dyDescent="0.2">
      <c r="A2218" s="1" t="s">
        <v>122</v>
      </c>
      <c r="B2218" t="s">
        <v>658</v>
      </c>
      <c r="C2218">
        <v>-2.9125300283650501</v>
      </c>
      <c r="D2218">
        <v>0</v>
      </c>
      <c r="E2218" s="2">
        <v>3.0219637747966998E-5</v>
      </c>
      <c r="F2218" t="str">
        <f>"91/108"</f>
        <v>91/108</v>
      </c>
      <c r="G2218" s="10">
        <v>0.5877</v>
      </c>
    </row>
    <row r="2219" spans="1:7" x14ac:dyDescent="0.2">
      <c r="A2219" s="1" t="s">
        <v>122</v>
      </c>
      <c r="B2219" t="s">
        <v>2138</v>
      </c>
      <c r="C2219">
        <v>-2.9122866703734198</v>
      </c>
      <c r="D2219">
        <v>0</v>
      </c>
      <c r="E2219" s="2">
        <v>3.01834898559239E-5</v>
      </c>
      <c r="F2219" t="str">
        <f>"46/55"</f>
        <v>46/55</v>
      </c>
      <c r="G2219" s="10">
        <v>0.5111</v>
      </c>
    </row>
    <row r="2220" spans="1:7" x14ac:dyDescent="0.2">
      <c r="A2220" s="1" t="s">
        <v>122</v>
      </c>
      <c r="B2220" t="s">
        <v>2139</v>
      </c>
      <c r="C2220">
        <v>-2.9100077386855898</v>
      </c>
      <c r="D2220">
        <v>0</v>
      </c>
      <c r="E2220" s="2">
        <v>3.01474283387723E-5</v>
      </c>
      <c r="F2220" t="str">
        <f>"75/84"</f>
        <v>75/84</v>
      </c>
      <c r="G2220" s="10">
        <v>0.64400000000000002</v>
      </c>
    </row>
    <row r="2221" spans="1:7" x14ac:dyDescent="0.2">
      <c r="A2221" s="1" t="s">
        <v>122</v>
      </c>
      <c r="B2221" t="s">
        <v>1145</v>
      </c>
      <c r="C2221">
        <v>-2.9051810985254001</v>
      </c>
      <c r="D2221">
        <v>0</v>
      </c>
      <c r="E2221" s="2">
        <v>3.01114528872941E-5</v>
      </c>
      <c r="F2221" t="str">
        <f>"26/27"</f>
        <v>26/27</v>
      </c>
      <c r="G2221" s="10">
        <v>0.53010000000000002</v>
      </c>
    </row>
    <row r="2222" spans="1:7" x14ac:dyDescent="0.2">
      <c r="A2222" s="1" t="s">
        <v>122</v>
      </c>
      <c r="B2222" t="s">
        <v>2140</v>
      </c>
      <c r="C2222">
        <v>-2.9040126265344401</v>
      </c>
      <c r="D2222">
        <v>0</v>
      </c>
      <c r="E2222" s="2">
        <v>3.0075563193745399E-5</v>
      </c>
      <c r="F2222" t="str">
        <f>"34/34"</f>
        <v>34/34</v>
      </c>
      <c r="G2222" s="10">
        <v>0.56930000000000003</v>
      </c>
    </row>
    <row r="2223" spans="1:7" x14ac:dyDescent="0.2">
      <c r="A2223" s="1" t="s">
        <v>122</v>
      </c>
      <c r="B2223" t="s">
        <v>1361</v>
      </c>
      <c r="C2223">
        <v>-2.90218269416664</v>
      </c>
      <c r="D2223">
        <v>0</v>
      </c>
      <c r="E2223" s="2">
        <v>3.0039758951848099E-5</v>
      </c>
      <c r="F2223" t="str">
        <f>"43/50"</f>
        <v>43/50</v>
      </c>
      <c r="G2223" s="10">
        <v>0.50139999999999996</v>
      </c>
    </row>
    <row r="2224" spans="1:7" x14ac:dyDescent="0.2">
      <c r="A2224" s="1" t="s">
        <v>122</v>
      </c>
      <c r="B2224" t="s">
        <v>670</v>
      </c>
      <c r="C2224">
        <v>-2.90016080287206</v>
      </c>
      <c r="D2224">
        <v>0</v>
      </c>
      <c r="E2224" s="2">
        <v>3.00040398567805E-5</v>
      </c>
      <c r="F2224" t="str">
        <f>"61/71"</f>
        <v>61/71</v>
      </c>
      <c r="G2224" s="10">
        <v>0.5585</v>
      </c>
    </row>
    <row r="2225" spans="1:7" x14ac:dyDescent="0.2">
      <c r="A2225" s="1" t="s">
        <v>122</v>
      </c>
      <c r="B2225" t="s">
        <v>579</v>
      </c>
      <c r="C2225">
        <v>-2.8989442516978401</v>
      </c>
      <c r="D2225">
        <v>0</v>
      </c>
      <c r="E2225" s="2">
        <v>2.9968405605169099E-5</v>
      </c>
      <c r="F2225" t="str">
        <f>"49/56"</f>
        <v>49/56</v>
      </c>
      <c r="G2225" s="10">
        <v>0.56140000000000001</v>
      </c>
    </row>
    <row r="2226" spans="1:7" x14ac:dyDescent="0.2">
      <c r="A2226" s="1" t="s">
        <v>122</v>
      </c>
      <c r="B2226" t="s">
        <v>2141</v>
      </c>
      <c r="C2226">
        <v>-2.8977551087644802</v>
      </c>
      <c r="D2226">
        <v>0</v>
      </c>
      <c r="E2226" s="2">
        <v>2.993285589508E-5</v>
      </c>
      <c r="F2226" t="str">
        <f>"53/53"</f>
        <v>53/53</v>
      </c>
      <c r="G2226" s="10">
        <v>0.6925</v>
      </c>
    </row>
    <row r="2227" spans="1:7" x14ac:dyDescent="0.2">
      <c r="A2227" s="1" t="s">
        <v>122</v>
      </c>
      <c r="B2227" t="s">
        <v>2142</v>
      </c>
      <c r="C2227">
        <v>-2.8976044643356502</v>
      </c>
      <c r="D2227">
        <v>0</v>
      </c>
      <c r="E2227" s="2">
        <v>2.9897390426009998E-5</v>
      </c>
      <c r="F2227" t="str">
        <f>"28/29"</f>
        <v>28/29</v>
      </c>
      <c r="G2227" s="10">
        <v>0.52569999999999995</v>
      </c>
    </row>
    <row r="2228" spans="1:7" x14ac:dyDescent="0.2">
      <c r="A2228" s="1" t="s">
        <v>122</v>
      </c>
      <c r="B2228" t="s">
        <v>2143</v>
      </c>
      <c r="C2228">
        <v>-2.8954481810846202</v>
      </c>
      <c r="D2228">
        <v>0</v>
      </c>
      <c r="E2228" s="2">
        <v>2.9862008898878599E-5</v>
      </c>
      <c r="F2228" t="str">
        <f>"26/28"</f>
        <v>26/28</v>
      </c>
      <c r="G2228" s="10">
        <v>0.46229999999999999</v>
      </c>
    </row>
    <row r="2229" spans="1:7" x14ac:dyDescent="0.2">
      <c r="A2229" s="1" t="s">
        <v>122</v>
      </c>
      <c r="B2229" t="s">
        <v>2144</v>
      </c>
      <c r="C2229">
        <v>-2.89513491863848</v>
      </c>
      <c r="D2229">
        <v>0</v>
      </c>
      <c r="E2229" s="2">
        <v>2.9826711016019399E-5</v>
      </c>
      <c r="F2229" t="str">
        <f>"23/23"</f>
        <v>23/23</v>
      </c>
      <c r="G2229" s="10">
        <v>0.53180000000000005</v>
      </c>
    </row>
    <row r="2230" spans="1:7" x14ac:dyDescent="0.2">
      <c r="A2230" s="1" t="s">
        <v>122</v>
      </c>
      <c r="B2230" t="s">
        <v>2145</v>
      </c>
      <c r="C2230">
        <v>-2.8938661896400699</v>
      </c>
      <c r="D2230">
        <v>0</v>
      </c>
      <c r="E2230" s="2">
        <v>2.9791496481171699E-5</v>
      </c>
      <c r="F2230" t="str">
        <f>"36/39"</f>
        <v>36/39</v>
      </c>
      <c r="G2230" s="10">
        <v>0.54500000000000004</v>
      </c>
    </row>
    <row r="2231" spans="1:7" x14ac:dyDescent="0.2">
      <c r="A2231" s="1" t="s">
        <v>122</v>
      </c>
      <c r="B2231" t="s">
        <v>2146</v>
      </c>
      <c r="C2231">
        <v>-2.89188037947063</v>
      </c>
      <c r="D2231">
        <v>0</v>
      </c>
      <c r="E2231" s="2">
        <v>2.97563649994722E-5</v>
      </c>
      <c r="F2231" t="str">
        <f>"38/41"</f>
        <v>38/41</v>
      </c>
      <c r="G2231" s="10">
        <v>0.54190000000000005</v>
      </c>
    </row>
    <row r="2232" spans="1:7" x14ac:dyDescent="0.2">
      <c r="A2232" s="1" t="s">
        <v>122</v>
      </c>
      <c r="B2232" t="s">
        <v>2147</v>
      </c>
      <c r="C2232">
        <v>-2.8918280437239798</v>
      </c>
      <c r="D2232">
        <v>0</v>
      </c>
      <c r="E2232" s="2">
        <v>2.9721316277446899E-5</v>
      </c>
      <c r="F2232" t="str">
        <f>"21/23"</f>
        <v>21/23</v>
      </c>
      <c r="G2232" s="10">
        <v>0.44379999999999997</v>
      </c>
    </row>
    <row r="2233" spans="1:7" x14ac:dyDescent="0.2">
      <c r="A2233" s="1" t="s">
        <v>122</v>
      </c>
      <c r="B2233" t="s">
        <v>2148</v>
      </c>
      <c r="C2233">
        <v>-2.8907846927781899</v>
      </c>
      <c r="D2233">
        <v>0</v>
      </c>
      <c r="E2233" s="2">
        <v>2.96863500230028E-5</v>
      </c>
      <c r="F2233" t="str">
        <f>"17/17"</f>
        <v>17/17</v>
      </c>
      <c r="G2233" s="10">
        <v>0.45350000000000001</v>
      </c>
    </row>
    <row r="2234" spans="1:7" x14ac:dyDescent="0.2">
      <c r="A2234" s="1" t="s">
        <v>122</v>
      </c>
      <c r="B2234" t="s">
        <v>2149</v>
      </c>
      <c r="C2234">
        <v>-2.8897105517480499</v>
      </c>
      <c r="D2234">
        <v>0</v>
      </c>
      <c r="E2234" s="2">
        <v>2.9651465945420002E-5</v>
      </c>
      <c r="F2234" t="str">
        <f>"20/20"</f>
        <v>20/20</v>
      </c>
      <c r="G2234" s="10">
        <v>0.48270000000000002</v>
      </c>
    </row>
    <row r="2235" spans="1:7" x14ac:dyDescent="0.2">
      <c r="A2235" s="1" t="s">
        <v>122</v>
      </c>
      <c r="B2235" t="s">
        <v>2150</v>
      </c>
      <c r="C2235">
        <v>-2.88959898514605</v>
      </c>
      <c r="D2235">
        <v>0</v>
      </c>
      <c r="E2235" s="2">
        <v>2.9616663755343199E-5</v>
      </c>
      <c r="F2235" t="str">
        <f>"31/34"</f>
        <v>31/34</v>
      </c>
      <c r="G2235" s="10">
        <v>0.5081</v>
      </c>
    </row>
    <row r="2236" spans="1:7" x14ac:dyDescent="0.2">
      <c r="A2236" s="1" t="s">
        <v>122</v>
      </c>
      <c r="B2236" t="s">
        <v>2151</v>
      </c>
      <c r="C2236">
        <v>-2.8885670064717699</v>
      </c>
      <c r="D2236">
        <v>0</v>
      </c>
      <c r="E2236" s="2">
        <v>2.95819431647742E-5</v>
      </c>
      <c r="F2236" t="str">
        <f>"32/36"</f>
        <v>32/36</v>
      </c>
      <c r="G2236" s="10">
        <v>0.51400000000000001</v>
      </c>
    </row>
    <row r="2237" spans="1:7" x14ac:dyDescent="0.2">
      <c r="A2237" s="1" t="s">
        <v>122</v>
      </c>
      <c r="B2237" t="s">
        <v>1240</v>
      </c>
      <c r="C2237">
        <v>-2.88827798747023</v>
      </c>
      <c r="D2237">
        <v>0</v>
      </c>
      <c r="E2237" s="2">
        <v>2.95473038870637E-5</v>
      </c>
      <c r="F2237" t="str">
        <f>"43/45"</f>
        <v>43/45</v>
      </c>
      <c r="G2237" s="10">
        <v>0.61280000000000001</v>
      </c>
    </row>
    <row r="2238" spans="1:7" x14ac:dyDescent="0.2">
      <c r="A2238" s="1" t="s">
        <v>122</v>
      </c>
      <c r="B2238" t="s">
        <v>1227</v>
      </c>
      <c r="C2238">
        <v>-2.8875523398595599</v>
      </c>
      <c r="D2238">
        <v>0</v>
      </c>
      <c r="E2238" s="2">
        <v>2.9512745636903402E-5</v>
      </c>
      <c r="F2238" t="str">
        <f>"68/76"</f>
        <v>68/76</v>
      </c>
      <c r="G2238" s="10">
        <v>0.62009999999999998</v>
      </c>
    </row>
    <row r="2239" spans="1:7" x14ac:dyDescent="0.2">
      <c r="A2239" s="1" t="s">
        <v>122</v>
      </c>
      <c r="B2239" t="s">
        <v>2152</v>
      </c>
      <c r="C2239">
        <v>-2.8869200979403802</v>
      </c>
      <c r="D2239">
        <v>0</v>
      </c>
      <c r="E2239" s="2">
        <v>2.9478268130318199E-5</v>
      </c>
      <c r="F2239" t="str">
        <f>"41/43"</f>
        <v>41/43</v>
      </c>
      <c r="G2239" s="10">
        <v>0.59450000000000003</v>
      </c>
    </row>
    <row r="2240" spans="1:7" x14ac:dyDescent="0.2">
      <c r="A2240" s="1" t="s">
        <v>122</v>
      </c>
      <c r="B2240" t="s">
        <v>987</v>
      </c>
      <c r="C2240">
        <v>-2.8867708854793399</v>
      </c>
      <c r="D2240">
        <v>0</v>
      </c>
      <c r="E2240" s="2">
        <v>2.94438710846586E-5</v>
      </c>
      <c r="F2240" t="str">
        <f>"24/24"</f>
        <v>24/24</v>
      </c>
      <c r="G2240" s="10">
        <v>0.51590000000000003</v>
      </c>
    </row>
    <row r="2241" spans="1:7" x14ac:dyDescent="0.2">
      <c r="A2241" s="1" t="s">
        <v>122</v>
      </c>
      <c r="B2241" t="s">
        <v>918</v>
      </c>
      <c r="C2241">
        <v>-2.8864764395125402</v>
      </c>
      <c r="D2241">
        <v>0</v>
      </c>
      <c r="E2241" s="2">
        <v>2.9409554218592601E-5</v>
      </c>
      <c r="F2241" t="str">
        <f>"26/29"</f>
        <v>26/29</v>
      </c>
      <c r="G2241" s="10">
        <v>0.46899999999999997</v>
      </c>
    </row>
    <row r="2242" spans="1:7" x14ac:dyDescent="0.2">
      <c r="A2242" s="1" t="s">
        <v>122</v>
      </c>
      <c r="B2242" t="s">
        <v>2153</v>
      </c>
      <c r="C2242">
        <v>-2.8859981493466198</v>
      </c>
      <c r="D2242">
        <v>0</v>
      </c>
      <c r="E2242" s="2">
        <v>2.9375317252098299E-5</v>
      </c>
      <c r="F2242" t="str">
        <f>"22/26"</f>
        <v>22/26</v>
      </c>
      <c r="G2242" s="10">
        <v>0.37240000000000001</v>
      </c>
    </row>
    <row r="2243" spans="1:7" x14ac:dyDescent="0.2">
      <c r="A2243" s="1" t="s">
        <v>122</v>
      </c>
      <c r="B2243" t="s">
        <v>2154</v>
      </c>
      <c r="C2243">
        <v>-2.88340067397976</v>
      </c>
      <c r="D2243">
        <v>0</v>
      </c>
      <c r="E2243" s="2">
        <v>2.93411599064563E-5</v>
      </c>
      <c r="F2243" t="str">
        <f>"20/22"</f>
        <v>20/22</v>
      </c>
      <c r="G2243" s="10">
        <v>0.42409999999999998</v>
      </c>
    </row>
    <row r="2244" spans="1:7" x14ac:dyDescent="0.2">
      <c r="A2244" s="1" t="s">
        <v>122</v>
      </c>
      <c r="B2244" t="s">
        <v>2155</v>
      </c>
      <c r="C2244">
        <v>-2.88244253783038</v>
      </c>
      <c r="D2244">
        <v>0</v>
      </c>
      <c r="E2244" s="2">
        <v>2.9307081904242099E-5</v>
      </c>
      <c r="F2244" t="str">
        <f>"65/67"</f>
        <v>65/67</v>
      </c>
      <c r="G2244" s="10">
        <v>0.67659999999999998</v>
      </c>
    </row>
    <row r="2245" spans="1:7" x14ac:dyDescent="0.2">
      <c r="A2245" s="1" t="s">
        <v>122</v>
      </c>
      <c r="B2245" t="s">
        <v>2156</v>
      </c>
      <c r="C2245">
        <v>-2.8822499206901799</v>
      </c>
      <c r="D2245">
        <v>0</v>
      </c>
      <c r="E2245" s="2">
        <v>2.9273082969318399E-5</v>
      </c>
      <c r="F2245" t="str">
        <f>"25/25"</f>
        <v>25/25</v>
      </c>
      <c r="G2245" s="10">
        <v>0.56230000000000002</v>
      </c>
    </row>
    <row r="2246" spans="1:7" x14ac:dyDescent="0.2">
      <c r="A2246" s="1" t="s">
        <v>122</v>
      </c>
      <c r="B2246" t="s">
        <v>2157</v>
      </c>
      <c r="C2246">
        <v>-2.88101912204591</v>
      </c>
      <c r="D2246">
        <v>0</v>
      </c>
      <c r="E2246" s="2">
        <v>2.9239162826827798E-5</v>
      </c>
      <c r="F2246" t="str">
        <f>"17/17"</f>
        <v>17/17</v>
      </c>
      <c r="G2246" s="10">
        <v>0.42470000000000002</v>
      </c>
    </row>
    <row r="2247" spans="1:7" x14ac:dyDescent="0.2">
      <c r="A2247" s="1" t="s">
        <v>122</v>
      </c>
      <c r="B2247" t="s">
        <v>2158</v>
      </c>
      <c r="C2247">
        <v>-2.8807173677655999</v>
      </c>
      <c r="D2247">
        <v>0</v>
      </c>
      <c r="E2247" s="2">
        <v>2.9205321203185701E-5</v>
      </c>
      <c r="F2247" t="str">
        <f>"26/29"</f>
        <v>26/29</v>
      </c>
      <c r="G2247" s="10">
        <v>0.46629999999999999</v>
      </c>
    </row>
    <row r="2248" spans="1:7" x14ac:dyDescent="0.2">
      <c r="A2248" s="1" t="s">
        <v>122</v>
      </c>
      <c r="B2248" t="s">
        <v>2159</v>
      </c>
      <c r="C2248">
        <v>-2.8806167528834701</v>
      </c>
      <c r="D2248">
        <v>0</v>
      </c>
      <c r="E2248" s="2">
        <v>2.9171557826072202E-5</v>
      </c>
      <c r="F2248" t="str">
        <f>"21/23"</f>
        <v>21/23</v>
      </c>
      <c r="G2248" s="10">
        <v>0.42880000000000001</v>
      </c>
    </row>
    <row r="2249" spans="1:7" x14ac:dyDescent="0.2">
      <c r="A2249" s="1" t="s">
        <v>122</v>
      </c>
      <c r="B2249" t="s">
        <v>2160</v>
      </c>
      <c r="C2249">
        <v>-2.8777874232726801</v>
      </c>
      <c r="D2249">
        <v>0</v>
      </c>
      <c r="E2249" s="2">
        <v>2.9137872424425399E-5</v>
      </c>
      <c r="F2249" t="str">
        <f>"31/32"</f>
        <v>31/32</v>
      </c>
      <c r="G2249" s="10">
        <v>0.55430000000000001</v>
      </c>
    </row>
    <row r="2250" spans="1:7" x14ac:dyDescent="0.2">
      <c r="A2250" s="1" t="s">
        <v>122</v>
      </c>
      <c r="B2250" t="s">
        <v>2161</v>
      </c>
      <c r="C2250">
        <v>-2.87617465269147</v>
      </c>
      <c r="D2250">
        <v>0</v>
      </c>
      <c r="E2250" s="2">
        <v>2.9104264728434199E-5</v>
      </c>
      <c r="F2250" t="str">
        <f>"26/26"</f>
        <v>26/26</v>
      </c>
      <c r="G2250" s="10">
        <v>0.53069999999999995</v>
      </c>
    </row>
    <row r="2251" spans="1:7" x14ac:dyDescent="0.2">
      <c r="A2251" s="1" t="s">
        <v>122</v>
      </c>
      <c r="B2251" t="s">
        <v>612</v>
      </c>
      <c r="C2251">
        <v>-2.8740062981429801</v>
      </c>
      <c r="D2251">
        <v>0</v>
      </c>
      <c r="E2251" s="2">
        <v>2.9070734469530399E-5</v>
      </c>
      <c r="F2251" t="str">
        <f>"31/34"</f>
        <v>31/34</v>
      </c>
      <c r="G2251" s="10">
        <v>0.50329999999999997</v>
      </c>
    </row>
    <row r="2252" spans="1:7" x14ac:dyDescent="0.2">
      <c r="A2252" s="1" t="s">
        <v>122</v>
      </c>
      <c r="B2252" t="s">
        <v>2162</v>
      </c>
      <c r="C2252">
        <v>-2.8712954176920098</v>
      </c>
      <c r="D2252">
        <v>0</v>
      </c>
      <c r="E2252" s="2">
        <v>2.9037281380382498E-5</v>
      </c>
      <c r="F2252" t="str">
        <f>"31/31"</f>
        <v>31/31</v>
      </c>
      <c r="G2252" s="10">
        <v>0.53920000000000001</v>
      </c>
    </row>
    <row r="2253" spans="1:7" x14ac:dyDescent="0.2">
      <c r="A2253" s="1" t="s">
        <v>122</v>
      </c>
      <c r="B2253" t="s">
        <v>2163</v>
      </c>
      <c r="C2253">
        <v>-2.8703871590483399</v>
      </c>
      <c r="D2253">
        <v>0</v>
      </c>
      <c r="E2253" s="2">
        <v>2.89373824765509E-5</v>
      </c>
      <c r="F2253" t="str">
        <f>"21/21"</f>
        <v>21/21</v>
      </c>
      <c r="G2253" s="10">
        <v>0.49059999999999998</v>
      </c>
    </row>
    <row r="2254" spans="1:7" x14ac:dyDescent="0.2">
      <c r="A2254" s="1" t="s">
        <v>122</v>
      </c>
      <c r="B2254" t="s">
        <v>2164</v>
      </c>
      <c r="C2254">
        <v>-2.8703871590483399</v>
      </c>
      <c r="D2254">
        <v>0</v>
      </c>
      <c r="E2254" s="2">
        <v>2.89373824765509E-5</v>
      </c>
      <c r="F2254" t="str">
        <f>"21/21"</f>
        <v>21/21</v>
      </c>
      <c r="G2254" s="10">
        <v>0.49059999999999998</v>
      </c>
    </row>
    <row r="2255" spans="1:7" x14ac:dyDescent="0.2">
      <c r="A2255" s="1" t="s">
        <v>122</v>
      </c>
      <c r="B2255" t="s">
        <v>2165</v>
      </c>
      <c r="C2255">
        <v>-2.8703871590483399</v>
      </c>
      <c r="D2255">
        <v>0</v>
      </c>
      <c r="E2255" s="2">
        <v>2.89373824765509E-5</v>
      </c>
      <c r="F2255" t="str">
        <f>"21/21"</f>
        <v>21/21</v>
      </c>
      <c r="G2255" s="10">
        <v>0.49059999999999998</v>
      </c>
    </row>
    <row r="2256" spans="1:7" x14ac:dyDescent="0.2">
      <c r="A2256" s="1" t="s">
        <v>122</v>
      </c>
      <c r="B2256" t="s">
        <v>2166</v>
      </c>
      <c r="C2256">
        <v>-2.8703298368930299</v>
      </c>
      <c r="D2256">
        <v>0</v>
      </c>
      <c r="E2256" s="2">
        <v>2.8904235417585799E-5</v>
      </c>
      <c r="F2256" t="str">
        <f>"25/29"</f>
        <v>25/29</v>
      </c>
      <c r="G2256" s="10">
        <v>0.43240000000000001</v>
      </c>
    </row>
    <row r="2257" spans="1:7" x14ac:dyDescent="0.2">
      <c r="A2257" s="1" t="s">
        <v>122</v>
      </c>
      <c r="B2257" t="s">
        <v>2167</v>
      </c>
      <c r="C2257">
        <v>-2.8702470702149001</v>
      </c>
      <c r="D2257">
        <v>0</v>
      </c>
      <c r="E2257" s="2">
        <v>2.88711642100142E-5</v>
      </c>
      <c r="F2257" t="str">
        <f>"19/19"</f>
        <v>19/19</v>
      </c>
      <c r="G2257" s="10">
        <v>0.47670000000000001</v>
      </c>
    </row>
    <row r="2258" spans="1:7" x14ac:dyDescent="0.2">
      <c r="A2258" s="1" t="s">
        <v>122</v>
      </c>
      <c r="B2258" t="s">
        <v>2168</v>
      </c>
      <c r="C2258">
        <v>-2.8697491657932801</v>
      </c>
      <c r="D2258">
        <v>0</v>
      </c>
      <c r="E2258" s="2">
        <v>2.8838168593774199E-5</v>
      </c>
      <c r="F2258" t="str">
        <f>"32/36"</f>
        <v>32/36</v>
      </c>
      <c r="G2258" s="10">
        <v>0.52390000000000003</v>
      </c>
    </row>
    <row r="2259" spans="1:7" x14ac:dyDescent="0.2">
      <c r="A2259" s="1" t="s">
        <v>122</v>
      </c>
      <c r="B2259" t="s">
        <v>18</v>
      </c>
      <c r="C2259">
        <v>-2.8683875327181001</v>
      </c>
      <c r="D2259">
        <v>0</v>
      </c>
      <c r="E2259" s="2">
        <v>2.8805248309991298E-5</v>
      </c>
      <c r="F2259" t="str">
        <f>"68/74"</f>
        <v>68/74</v>
      </c>
      <c r="G2259" s="10">
        <v>0.64810000000000001</v>
      </c>
    </row>
    <row r="2260" spans="1:7" x14ac:dyDescent="0.2">
      <c r="A2260" s="1" t="s">
        <v>122</v>
      </c>
      <c r="B2260" t="s">
        <v>2169</v>
      </c>
      <c r="C2260">
        <v>-2.8665874670595302</v>
      </c>
      <c r="D2260">
        <v>0</v>
      </c>
      <c r="E2260" s="2">
        <v>2.8772403100972E-5</v>
      </c>
      <c r="F2260" t="str">
        <f>"80/91"</f>
        <v>80/91</v>
      </c>
      <c r="G2260" s="10">
        <v>0.62060000000000004</v>
      </c>
    </row>
    <row r="2261" spans="1:7" x14ac:dyDescent="0.2">
      <c r="A2261" s="1" t="s">
        <v>122</v>
      </c>
      <c r="B2261" t="s">
        <v>2170</v>
      </c>
      <c r="C2261">
        <v>-2.8662456906759401</v>
      </c>
      <c r="D2261">
        <v>0</v>
      </c>
      <c r="E2261" s="2">
        <v>2.87396327101964E-5</v>
      </c>
      <c r="F2261" t="str">
        <f>"31/33"</f>
        <v>31/33</v>
      </c>
      <c r="G2261" s="10">
        <v>0.55200000000000005</v>
      </c>
    </row>
    <row r="2262" spans="1:7" x14ac:dyDescent="0.2">
      <c r="A2262" s="1" t="s">
        <v>122</v>
      </c>
      <c r="B2262" t="s">
        <v>2171</v>
      </c>
      <c r="C2262">
        <v>-2.8648991898699099</v>
      </c>
      <c r="D2262">
        <v>0</v>
      </c>
      <c r="E2262" s="2">
        <v>2.8706936882312201E-5</v>
      </c>
      <c r="F2262" t="str">
        <f>"22/23"</f>
        <v>22/23</v>
      </c>
      <c r="G2262" s="10">
        <v>0.47320000000000001</v>
      </c>
    </row>
    <row r="2263" spans="1:7" x14ac:dyDescent="0.2">
      <c r="A2263" s="1" t="s">
        <v>122</v>
      </c>
      <c r="B2263" t="s">
        <v>2172</v>
      </c>
      <c r="C2263">
        <v>-2.86417024335617</v>
      </c>
      <c r="D2263">
        <v>0</v>
      </c>
      <c r="E2263" s="2">
        <v>2.8674315363127699E-5</v>
      </c>
      <c r="F2263" t="str">
        <f>"24/25"</f>
        <v>24/25</v>
      </c>
      <c r="G2263" s="10">
        <v>0.52270000000000005</v>
      </c>
    </row>
    <row r="2264" spans="1:7" x14ac:dyDescent="0.2">
      <c r="A2264" s="1" t="s">
        <v>122</v>
      </c>
      <c r="B2264" t="s">
        <v>725</v>
      </c>
      <c r="C2264">
        <v>-2.86406087108913</v>
      </c>
      <c r="D2264">
        <v>0</v>
      </c>
      <c r="E2264" s="2">
        <v>2.8641767899605501E-5</v>
      </c>
      <c r="F2264" t="str">
        <f>"39/42"</f>
        <v>39/42</v>
      </c>
      <c r="G2264" s="10">
        <v>0.56910000000000005</v>
      </c>
    </row>
    <row r="2265" spans="1:7" x14ac:dyDescent="0.2">
      <c r="A2265" s="1" t="s">
        <v>122</v>
      </c>
      <c r="B2265" t="s">
        <v>572</v>
      </c>
      <c r="C2265">
        <v>-2.8612737734059199</v>
      </c>
      <c r="D2265">
        <v>0</v>
      </c>
      <c r="E2265" s="2">
        <v>2.8609294239855401E-5</v>
      </c>
      <c r="F2265" t="str">
        <f>"44/51"</f>
        <v>44/51</v>
      </c>
      <c r="G2265" s="10">
        <v>0.50800000000000001</v>
      </c>
    </row>
    <row r="2266" spans="1:7" x14ac:dyDescent="0.2">
      <c r="A2266" s="1" t="s">
        <v>122</v>
      </c>
      <c r="B2266" t="s">
        <v>2173</v>
      </c>
      <c r="C2266">
        <v>-2.8612497089378599</v>
      </c>
      <c r="D2266">
        <v>0</v>
      </c>
      <c r="E2266" s="2">
        <v>2.85768941331284E-5</v>
      </c>
      <c r="F2266" t="str">
        <f>"63/77"</f>
        <v>63/77</v>
      </c>
      <c r="G2266" s="10">
        <v>0.55020000000000002</v>
      </c>
    </row>
    <row r="2267" spans="1:7" x14ac:dyDescent="0.2">
      <c r="A2267" s="1" t="s">
        <v>122</v>
      </c>
      <c r="B2267" t="s">
        <v>2174</v>
      </c>
      <c r="C2267">
        <v>-2.8608400903421498</v>
      </c>
      <c r="D2267">
        <v>0</v>
      </c>
      <c r="E2267" s="2">
        <v>2.8544567329810399E-5</v>
      </c>
      <c r="F2267" t="str">
        <f>"19/19"</f>
        <v>19/19</v>
      </c>
      <c r="G2267" s="10">
        <v>0.44640000000000002</v>
      </c>
    </row>
    <row r="2268" spans="1:7" x14ac:dyDescent="0.2">
      <c r="A2268" s="1" t="s">
        <v>122</v>
      </c>
      <c r="B2268" t="s">
        <v>2175</v>
      </c>
      <c r="C2268">
        <v>-2.85947808539024</v>
      </c>
      <c r="D2268">
        <v>0</v>
      </c>
      <c r="E2268" s="2">
        <v>2.8512313581415199E-5</v>
      </c>
      <c r="F2268" t="str">
        <f>"53/59"</f>
        <v>53/59</v>
      </c>
      <c r="G2268" s="10">
        <v>0.57809999999999995</v>
      </c>
    </row>
    <row r="2269" spans="1:7" x14ac:dyDescent="0.2">
      <c r="A2269" s="1" t="s">
        <v>122</v>
      </c>
      <c r="B2269" t="s">
        <v>2176</v>
      </c>
      <c r="C2269">
        <v>-2.8580082837523402</v>
      </c>
      <c r="D2269">
        <v>0</v>
      </c>
      <c r="E2269" s="2">
        <v>2.84801326405784E-5</v>
      </c>
      <c r="F2269" t="str">
        <f>"28/28"</f>
        <v>28/28</v>
      </c>
      <c r="G2269" s="10">
        <v>0.56930000000000003</v>
      </c>
    </row>
    <row r="2270" spans="1:7" x14ac:dyDescent="0.2">
      <c r="A2270" s="1" t="s">
        <v>122</v>
      </c>
      <c r="B2270" t="s">
        <v>858</v>
      </c>
      <c r="C2270">
        <v>-2.85733827067093</v>
      </c>
      <c r="D2270">
        <v>0</v>
      </c>
      <c r="E2270" s="2">
        <v>2.8448024261051199E-5</v>
      </c>
      <c r="F2270" t="str">
        <f>"23/24"</f>
        <v>23/24</v>
      </c>
      <c r="G2270" s="10">
        <v>0.46899999999999997</v>
      </c>
    </row>
    <row r="2271" spans="1:7" x14ac:dyDescent="0.2">
      <c r="A2271" s="1" t="s">
        <v>122</v>
      </c>
      <c r="B2271" t="s">
        <v>322</v>
      </c>
      <c r="C2271">
        <v>-2.8569702720799599</v>
      </c>
      <c r="D2271">
        <v>0</v>
      </c>
      <c r="E2271" s="2">
        <v>2.8415988197694201E-5</v>
      </c>
      <c r="F2271" t="str">
        <f>"28/41"</f>
        <v>28/41</v>
      </c>
      <c r="G2271" s="10">
        <v>0.30790000000000001</v>
      </c>
    </row>
    <row r="2272" spans="1:7" x14ac:dyDescent="0.2">
      <c r="A2272" s="1" t="s">
        <v>122</v>
      </c>
      <c r="B2272" t="s">
        <v>2177</v>
      </c>
      <c r="C2272">
        <v>-2.8559470350429699</v>
      </c>
      <c r="D2272">
        <v>0</v>
      </c>
      <c r="E2272" s="2">
        <v>2.8384024206470698E-5</v>
      </c>
      <c r="F2272" t="str">
        <f>"19/19"</f>
        <v>19/19</v>
      </c>
      <c r="G2272" s="10">
        <v>0.4889</v>
      </c>
    </row>
    <row r="2273" spans="1:7" x14ac:dyDescent="0.2">
      <c r="A2273" s="1" t="s">
        <v>122</v>
      </c>
      <c r="B2273" t="s">
        <v>2178</v>
      </c>
      <c r="C2273">
        <v>-2.8553762432221799</v>
      </c>
      <c r="D2273">
        <v>0</v>
      </c>
      <c r="E2273" s="2">
        <v>2.8352132044440902E-5</v>
      </c>
      <c r="F2273" t="str">
        <f>"64/71"</f>
        <v>64/71</v>
      </c>
      <c r="G2273" s="10">
        <v>0.59540000000000004</v>
      </c>
    </row>
    <row r="2274" spans="1:7" x14ac:dyDescent="0.2">
      <c r="A2274" s="1" t="s">
        <v>122</v>
      </c>
      <c r="B2274" t="s">
        <v>2179</v>
      </c>
      <c r="C2274">
        <v>-2.85202605354494</v>
      </c>
      <c r="D2274">
        <v>0</v>
      </c>
      <c r="E2274" s="2">
        <v>2.83203114697558E-5</v>
      </c>
      <c r="F2274" t="str">
        <f>"28/34"</f>
        <v>28/34</v>
      </c>
      <c r="G2274" s="10">
        <v>0.42380000000000001</v>
      </c>
    </row>
    <row r="2275" spans="1:7" x14ac:dyDescent="0.2">
      <c r="A2275" s="1" t="s">
        <v>122</v>
      </c>
      <c r="B2275" t="s">
        <v>2180</v>
      </c>
      <c r="C2275">
        <v>-2.8484811927684999</v>
      </c>
      <c r="D2275">
        <v>0</v>
      </c>
      <c r="E2275" s="2">
        <v>2.8288562241650699E-5</v>
      </c>
      <c r="F2275" t="str">
        <f>"56/71"</f>
        <v>56/71</v>
      </c>
      <c r="G2275" s="10">
        <v>0.50049999999999994</v>
      </c>
    </row>
    <row r="2276" spans="1:7" x14ac:dyDescent="0.2">
      <c r="A2276" s="1" t="s">
        <v>122</v>
      </c>
      <c r="B2276" t="s">
        <v>1223</v>
      </c>
      <c r="C2276">
        <v>-2.84776253803442</v>
      </c>
      <c r="D2276">
        <v>0</v>
      </c>
      <c r="E2276" s="2">
        <v>2.8256884120439401E-5</v>
      </c>
      <c r="F2276" t="str">
        <f>"55/61"</f>
        <v>55/61</v>
      </c>
      <c r="G2276" s="10">
        <v>0.62319999999999998</v>
      </c>
    </row>
    <row r="2277" spans="1:7" x14ac:dyDescent="0.2">
      <c r="A2277" s="1" t="s">
        <v>122</v>
      </c>
      <c r="B2277" t="s">
        <v>2181</v>
      </c>
      <c r="C2277">
        <v>-2.8469168975665999</v>
      </c>
      <c r="D2277">
        <v>0</v>
      </c>
      <c r="E2277" s="2">
        <v>2.8225276867508298E-5</v>
      </c>
      <c r="F2277" t="str">
        <f>"26/28"</f>
        <v>26/28</v>
      </c>
      <c r="G2277" s="10">
        <v>0.51580000000000004</v>
      </c>
    </row>
    <row r="2278" spans="1:7" x14ac:dyDescent="0.2">
      <c r="A2278" s="1" t="s">
        <v>122</v>
      </c>
      <c r="B2278" t="s">
        <v>2182</v>
      </c>
      <c r="C2278">
        <v>-2.8441507934050398</v>
      </c>
      <c r="D2278">
        <v>0</v>
      </c>
      <c r="E2278" s="2">
        <v>2.8193740245310001E-5</v>
      </c>
      <c r="F2278" t="str">
        <f>"18/20"</f>
        <v>18/20</v>
      </c>
      <c r="G2278" s="10">
        <v>0.37619999999999998</v>
      </c>
    </row>
    <row r="2279" spans="1:7" x14ac:dyDescent="0.2">
      <c r="A2279" s="1" t="s">
        <v>122</v>
      </c>
      <c r="B2279" t="s">
        <v>2183</v>
      </c>
      <c r="C2279">
        <v>-2.8432521488551199</v>
      </c>
      <c r="D2279">
        <v>0</v>
      </c>
      <c r="E2279" s="2">
        <v>2.8162274017357601E-5</v>
      </c>
      <c r="F2279" t="str">
        <f>"42/48"</f>
        <v>42/48</v>
      </c>
      <c r="G2279" s="10">
        <v>0.54459999999999997</v>
      </c>
    </row>
    <row r="2280" spans="1:7" x14ac:dyDescent="0.2">
      <c r="A2280" s="1" t="s">
        <v>122</v>
      </c>
      <c r="B2280" t="s">
        <v>2184</v>
      </c>
      <c r="C2280">
        <v>-2.8410902209756799</v>
      </c>
      <c r="D2280">
        <v>0</v>
      </c>
      <c r="E2280" s="2">
        <v>2.8130877948219001E-5</v>
      </c>
      <c r="F2280" t="str">
        <f>"25/25"</f>
        <v>25/25</v>
      </c>
      <c r="G2280" s="10">
        <v>0.56499999999999995</v>
      </c>
    </row>
    <row r="2281" spans="1:7" x14ac:dyDescent="0.2">
      <c r="A2281" s="1" t="s">
        <v>122</v>
      </c>
      <c r="B2281" t="s">
        <v>2185</v>
      </c>
      <c r="C2281">
        <v>-2.83978955615861</v>
      </c>
      <c r="D2281">
        <v>0</v>
      </c>
      <c r="E2281" s="2">
        <v>2.8099551803510501E-5</v>
      </c>
      <c r="F2281" t="str">
        <f>"17/18"</f>
        <v>17/18</v>
      </c>
      <c r="G2281" s="10">
        <v>0.4133</v>
      </c>
    </row>
    <row r="2282" spans="1:7" x14ac:dyDescent="0.2">
      <c r="A2282" s="1" t="s">
        <v>122</v>
      </c>
      <c r="B2282" t="s">
        <v>773</v>
      </c>
      <c r="C2282">
        <v>-2.8388709962968099</v>
      </c>
      <c r="D2282">
        <v>0</v>
      </c>
      <c r="E2282" s="2">
        <v>2.8068295349891499E-5</v>
      </c>
      <c r="F2282" t="str">
        <f>"19/22"</f>
        <v>19/22</v>
      </c>
      <c r="G2282" s="10">
        <v>0.38059999999999999</v>
      </c>
    </row>
    <row r="2283" spans="1:7" x14ac:dyDescent="0.2">
      <c r="A2283" s="1" t="s">
        <v>122</v>
      </c>
      <c r="B2283" t="s">
        <v>2186</v>
      </c>
      <c r="C2283">
        <v>-2.83708838930845</v>
      </c>
      <c r="D2283">
        <v>0</v>
      </c>
      <c r="E2283" s="2">
        <v>2.8037108355058198E-5</v>
      </c>
      <c r="F2283" t="str">
        <f>"27/29"</f>
        <v>27/29</v>
      </c>
      <c r="G2283" s="10">
        <v>0.53200000000000003</v>
      </c>
    </row>
    <row r="2284" spans="1:7" x14ac:dyDescent="0.2">
      <c r="A2284" s="1" t="s">
        <v>122</v>
      </c>
      <c r="B2284" t="s">
        <v>2187</v>
      </c>
      <c r="C2284">
        <v>-2.8360257168571099</v>
      </c>
      <c r="D2284">
        <v>0</v>
      </c>
      <c r="E2284" s="2">
        <v>2.8005990587738502E-5</v>
      </c>
      <c r="F2284" t="str">
        <f>"20/22"</f>
        <v>20/22</v>
      </c>
      <c r="G2284" s="10">
        <v>0.43409999999999999</v>
      </c>
    </row>
    <row r="2285" spans="1:7" x14ac:dyDescent="0.2">
      <c r="A2285" s="1" t="s">
        <v>122</v>
      </c>
      <c r="B2285" t="s">
        <v>1368</v>
      </c>
      <c r="C2285">
        <v>-2.8354392775086299</v>
      </c>
      <c r="D2285">
        <v>0</v>
      </c>
      <c r="E2285" s="2">
        <v>2.7974941817685601E-5</v>
      </c>
      <c r="F2285" t="str">
        <f>"68/80"</f>
        <v>68/80</v>
      </c>
      <c r="G2285" s="10">
        <v>0.57379999999999998</v>
      </c>
    </row>
    <row r="2286" spans="1:7" x14ac:dyDescent="0.2">
      <c r="A2286" s="1" t="s">
        <v>122</v>
      </c>
      <c r="B2286" t="s">
        <v>2188</v>
      </c>
      <c r="C2286">
        <v>-2.8336933977717802</v>
      </c>
      <c r="D2286">
        <v>0</v>
      </c>
      <c r="E2286" s="2">
        <v>2.79439618156727E-5</v>
      </c>
      <c r="F2286" t="str">
        <f>"17/18"</f>
        <v>17/18</v>
      </c>
      <c r="G2286" s="10">
        <v>0.43369999999999997</v>
      </c>
    </row>
    <row r="2287" spans="1:7" x14ac:dyDescent="0.2">
      <c r="A2287" s="1" t="s">
        <v>122</v>
      </c>
      <c r="B2287" t="s">
        <v>1088</v>
      </c>
      <c r="C2287">
        <v>-2.8324755200726202</v>
      </c>
      <c r="D2287">
        <v>0</v>
      </c>
      <c r="E2287" s="2">
        <v>2.79130503534872E-5</v>
      </c>
      <c r="F2287" t="str">
        <f>"27/29"</f>
        <v>27/29</v>
      </c>
      <c r="G2287" s="10">
        <v>0.51100000000000001</v>
      </c>
    </row>
    <row r="2288" spans="1:7" x14ac:dyDescent="0.2">
      <c r="A2288" s="1" t="s">
        <v>122</v>
      </c>
      <c r="B2288" t="s">
        <v>2189</v>
      </c>
      <c r="C2288">
        <v>-2.8302960619238502</v>
      </c>
      <c r="D2288">
        <v>0</v>
      </c>
      <c r="E2288" s="2">
        <v>2.7882207203925301E-5</v>
      </c>
      <c r="F2288" t="str">
        <f>"18/18"</f>
        <v>18/18</v>
      </c>
      <c r="G2288" s="10">
        <v>0.47720000000000001</v>
      </c>
    </row>
    <row r="2289" spans="1:7" x14ac:dyDescent="0.2">
      <c r="A2289" s="1" t="s">
        <v>122</v>
      </c>
      <c r="B2289" t="s">
        <v>2190</v>
      </c>
      <c r="C2289">
        <v>-2.8300629578454402</v>
      </c>
      <c r="D2289">
        <v>0</v>
      </c>
      <c r="E2289" s="2">
        <v>2.7851432140786302E-5</v>
      </c>
      <c r="F2289" t="str">
        <f>"27/28"</f>
        <v>27/28</v>
      </c>
      <c r="G2289" s="10">
        <v>0.52569999999999995</v>
      </c>
    </row>
    <row r="2290" spans="1:7" x14ac:dyDescent="0.2">
      <c r="A2290" s="1" t="s">
        <v>122</v>
      </c>
      <c r="B2290" t="s">
        <v>2191</v>
      </c>
      <c r="C2290">
        <v>-2.8300116348645501</v>
      </c>
      <c r="D2290">
        <v>0</v>
      </c>
      <c r="E2290" s="2">
        <v>2.7820724938867099E-5</v>
      </c>
      <c r="F2290" t="str">
        <f>"23/29"</f>
        <v>23/29</v>
      </c>
      <c r="G2290" s="10">
        <v>0.38419999999999999</v>
      </c>
    </row>
    <row r="2291" spans="1:7" x14ac:dyDescent="0.2">
      <c r="A2291" s="1" t="s">
        <v>122</v>
      </c>
      <c r="B2291" t="s">
        <v>2192</v>
      </c>
      <c r="C2291">
        <v>-2.8273879911161002</v>
      </c>
      <c r="D2291">
        <v>0</v>
      </c>
      <c r="E2291" s="2">
        <v>2.7790085373956399E-5</v>
      </c>
      <c r="F2291" t="str">
        <f>"25/28"</f>
        <v>25/28</v>
      </c>
      <c r="G2291" s="10">
        <v>0.45639999999999997</v>
      </c>
    </row>
    <row r="2292" spans="1:7" x14ac:dyDescent="0.2">
      <c r="A2292" s="1" t="s">
        <v>122</v>
      </c>
      <c r="B2292" t="s">
        <v>320</v>
      </c>
      <c r="C2292">
        <v>-2.8261293452079199</v>
      </c>
      <c r="D2292">
        <v>0</v>
      </c>
      <c r="E2292" s="2">
        <v>2.7759513222829899E-5</v>
      </c>
      <c r="F2292" t="str">
        <f>"32/36"</f>
        <v>32/36</v>
      </c>
      <c r="G2292" s="10">
        <v>0.5252</v>
      </c>
    </row>
    <row r="2293" spans="1:7" x14ac:dyDescent="0.2">
      <c r="A2293" s="1" t="s">
        <v>122</v>
      </c>
      <c r="B2293" t="s">
        <v>1453</v>
      </c>
      <c r="C2293">
        <v>-2.8246210879357601</v>
      </c>
      <c r="D2293">
        <v>0</v>
      </c>
      <c r="E2293" s="2">
        <v>2.7729008263244399E-5</v>
      </c>
      <c r="F2293" t="str">
        <f>"26/26"</f>
        <v>26/26</v>
      </c>
      <c r="G2293" s="10">
        <v>0.54600000000000004</v>
      </c>
    </row>
    <row r="2294" spans="1:7" x14ac:dyDescent="0.2">
      <c r="A2294" s="1" t="s">
        <v>122</v>
      </c>
      <c r="B2294" t="s">
        <v>1733</v>
      </c>
      <c r="C2294">
        <v>-2.82402794883797</v>
      </c>
      <c r="D2294">
        <v>0</v>
      </c>
      <c r="E2294" s="2">
        <v>2.7698570273932401E-5</v>
      </c>
      <c r="F2294" t="str">
        <f>"50/52"</f>
        <v>50/52</v>
      </c>
      <c r="G2294" s="10">
        <v>0.63670000000000004</v>
      </c>
    </row>
    <row r="2295" spans="1:7" x14ac:dyDescent="0.2">
      <c r="A2295" s="1" t="s">
        <v>122</v>
      </c>
      <c r="B2295" t="s">
        <v>2193</v>
      </c>
      <c r="C2295">
        <v>-2.82234035912535</v>
      </c>
      <c r="D2295">
        <v>0</v>
      </c>
      <c r="E2295" s="2">
        <v>2.7668199034596899E-5</v>
      </c>
      <c r="F2295" t="str">
        <f>"18/21"</f>
        <v>18/21</v>
      </c>
      <c r="G2295" s="10">
        <v>0.4017</v>
      </c>
    </row>
    <row r="2296" spans="1:7" x14ac:dyDescent="0.2">
      <c r="A2296" s="1" t="s">
        <v>122</v>
      </c>
      <c r="B2296" t="s">
        <v>760</v>
      </c>
      <c r="C2296">
        <v>-2.8217558655502599</v>
      </c>
      <c r="D2296">
        <v>0</v>
      </c>
      <c r="E2296" s="2">
        <v>2.76378943259063E-5</v>
      </c>
      <c r="F2296" t="str">
        <f>"37/38"</f>
        <v>37/38</v>
      </c>
      <c r="G2296" s="10">
        <v>0.58179999999999998</v>
      </c>
    </row>
    <row r="2297" spans="1:7" x14ac:dyDescent="0.2">
      <c r="A2297" s="1" t="s">
        <v>122</v>
      </c>
      <c r="B2297" t="s">
        <v>2194</v>
      </c>
      <c r="C2297">
        <v>-2.8210648988676899</v>
      </c>
      <c r="D2297">
        <v>0</v>
      </c>
      <c r="E2297" s="2">
        <v>2.76076559294884E-5</v>
      </c>
      <c r="F2297" t="str">
        <f>"28/36"</f>
        <v>28/36</v>
      </c>
      <c r="G2297" s="10">
        <v>0.39539999999999997</v>
      </c>
    </row>
    <row r="2298" spans="1:7" x14ac:dyDescent="0.2">
      <c r="A2298" s="1" t="s">
        <v>122</v>
      </c>
      <c r="B2298" t="s">
        <v>2195</v>
      </c>
      <c r="C2298">
        <v>-2.82094084911708</v>
      </c>
      <c r="D2298">
        <v>0</v>
      </c>
      <c r="E2298" s="2">
        <v>2.7577483627926102E-5</v>
      </c>
      <c r="F2298" t="str">
        <f>"23/28"</f>
        <v>23/28</v>
      </c>
      <c r="G2298" s="10">
        <v>0.39929999999999999</v>
      </c>
    </row>
    <row r="2299" spans="1:7" x14ac:dyDescent="0.2">
      <c r="A2299" s="1" t="s">
        <v>122</v>
      </c>
      <c r="B2299" t="s">
        <v>2196</v>
      </c>
      <c r="C2299">
        <v>-2.8208483979438701</v>
      </c>
      <c r="D2299">
        <v>0</v>
      </c>
      <c r="E2299" s="2">
        <v>2.7547377204751499E-5</v>
      </c>
      <c r="F2299" t="str">
        <f>"27/29"</f>
        <v>27/29</v>
      </c>
      <c r="G2299" s="10">
        <v>0.48249999999999998</v>
      </c>
    </row>
    <row r="2300" spans="1:7" x14ac:dyDescent="0.2">
      <c r="A2300" s="1" t="s">
        <v>122</v>
      </c>
      <c r="B2300" t="s">
        <v>1374</v>
      </c>
      <c r="C2300">
        <v>-2.8185835945781501</v>
      </c>
      <c r="D2300">
        <v>0</v>
      </c>
      <c r="E2300" s="2">
        <v>2.7517336444441E-5</v>
      </c>
      <c r="F2300" t="str">
        <f>"83/96"</f>
        <v>83/96</v>
      </c>
      <c r="G2300" s="10">
        <v>0.62009999999999998</v>
      </c>
    </row>
    <row r="2301" spans="1:7" x14ac:dyDescent="0.2">
      <c r="A2301" s="1" t="s">
        <v>122</v>
      </c>
      <c r="B2301" t="s">
        <v>2197</v>
      </c>
      <c r="C2301">
        <v>-2.8130387094334601</v>
      </c>
      <c r="D2301">
        <v>0</v>
      </c>
      <c r="E2301" s="2">
        <v>2.748736113241E-5</v>
      </c>
      <c r="F2301" t="str">
        <f>"29/31"</f>
        <v>29/31</v>
      </c>
      <c r="G2301" s="10">
        <v>0.51170000000000004</v>
      </c>
    </row>
    <row r="2302" spans="1:7" x14ac:dyDescent="0.2">
      <c r="A2302" s="1" t="s">
        <v>122</v>
      </c>
      <c r="B2302" t="s">
        <v>2198</v>
      </c>
      <c r="C2302">
        <v>-2.81085605263516</v>
      </c>
      <c r="D2302">
        <v>0</v>
      </c>
      <c r="E2302" s="2">
        <v>5.4914902110016201E-5</v>
      </c>
      <c r="F2302" t="str">
        <f>"27/28"</f>
        <v>27/28</v>
      </c>
      <c r="G2302" s="10">
        <v>0.53310000000000002</v>
      </c>
    </row>
    <row r="2303" spans="1:7" x14ac:dyDescent="0.2">
      <c r="A2303" s="1" t="s">
        <v>122</v>
      </c>
      <c r="B2303" t="s">
        <v>2199</v>
      </c>
      <c r="C2303">
        <v>-2.80817616221261</v>
      </c>
      <c r="D2303">
        <v>0</v>
      </c>
      <c r="E2303" s="2">
        <v>5.4855211999026999E-5</v>
      </c>
      <c r="F2303" t="str">
        <f>"37/46"</f>
        <v>37/46</v>
      </c>
      <c r="G2303" s="10">
        <v>0.44919999999999999</v>
      </c>
    </row>
    <row r="2304" spans="1:7" x14ac:dyDescent="0.2">
      <c r="A2304" s="1" t="s">
        <v>122</v>
      </c>
      <c r="B2304" t="s">
        <v>2200</v>
      </c>
      <c r="C2304">
        <v>-2.8069481268913998</v>
      </c>
      <c r="D2304">
        <v>0</v>
      </c>
      <c r="E2304" s="2">
        <v>5.4795651508257201E-5</v>
      </c>
      <c r="F2304" t="str">
        <f>"26/28"</f>
        <v>26/28</v>
      </c>
      <c r="G2304" s="10">
        <v>0.47770000000000001</v>
      </c>
    </row>
    <row r="2305" spans="1:7" x14ac:dyDescent="0.2">
      <c r="A2305" s="1" t="s">
        <v>122</v>
      </c>
      <c r="B2305" t="s">
        <v>2201</v>
      </c>
      <c r="C2305">
        <v>-2.8057251349377799</v>
      </c>
      <c r="D2305">
        <v>0</v>
      </c>
      <c r="E2305" s="2">
        <v>5.4736220215948903E-5</v>
      </c>
      <c r="F2305" t="str">
        <f>"24/27"</f>
        <v>24/27</v>
      </c>
      <c r="G2305" s="10">
        <v>0.40600000000000003</v>
      </c>
    </row>
    <row r="2306" spans="1:7" x14ac:dyDescent="0.2">
      <c r="A2306" s="1" t="s">
        <v>122</v>
      </c>
      <c r="B2306" t="s">
        <v>2202</v>
      </c>
      <c r="C2306">
        <v>-2.8036006110702298</v>
      </c>
      <c r="D2306">
        <v>0</v>
      </c>
      <c r="E2306" s="2">
        <v>5.4676917702172097E-5</v>
      </c>
      <c r="F2306" t="str">
        <f>"32/33"</f>
        <v>32/33</v>
      </c>
      <c r="G2306" s="10">
        <v>0.57230000000000003</v>
      </c>
    </row>
    <row r="2307" spans="1:7" x14ac:dyDescent="0.2">
      <c r="A2307" s="1" t="s">
        <v>122</v>
      </c>
      <c r="B2307" t="s">
        <v>2203</v>
      </c>
      <c r="C2307">
        <v>-2.8032579531309199</v>
      </c>
      <c r="D2307">
        <v>0</v>
      </c>
      <c r="E2307" s="2">
        <v>5.46177435488148E-5</v>
      </c>
      <c r="F2307" t="str">
        <f>"22/24"</f>
        <v>22/24</v>
      </c>
      <c r="G2307" s="10">
        <v>0.44719999999999999</v>
      </c>
    </row>
    <row r="2308" spans="1:7" x14ac:dyDescent="0.2">
      <c r="A2308" s="1" t="s">
        <v>122</v>
      </c>
      <c r="B2308" t="s">
        <v>2204</v>
      </c>
      <c r="C2308">
        <v>-2.8023449178531901</v>
      </c>
      <c r="D2308">
        <v>0</v>
      </c>
      <c r="E2308" s="2">
        <v>5.45586973395728E-5</v>
      </c>
      <c r="F2308" t="str">
        <f>"28/31"</f>
        <v>28/31</v>
      </c>
      <c r="G2308" s="10">
        <v>0.48899999999999999</v>
      </c>
    </row>
    <row r="2309" spans="1:7" x14ac:dyDescent="0.2">
      <c r="A2309" s="1" t="s">
        <v>122</v>
      </c>
      <c r="B2309" t="s">
        <v>830</v>
      </c>
      <c r="C2309">
        <v>-2.80151292495328</v>
      </c>
      <c r="D2309">
        <v>2.2222222222222199E-2</v>
      </c>
      <c r="E2309" s="2">
        <v>5.4499778659940502E-5</v>
      </c>
      <c r="F2309" t="str">
        <f>"37/40"</f>
        <v>37/40</v>
      </c>
      <c r="G2309" s="10">
        <v>0.57069999999999999</v>
      </c>
    </row>
    <row r="2310" spans="1:7" x14ac:dyDescent="0.2">
      <c r="A2310" s="1" t="s">
        <v>122</v>
      </c>
      <c r="B2310" t="s">
        <v>2205</v>
      </c>
      <c r="C2310">
        <v>-2.8006792131141802</v>
      </c>
      <c r="D2310">
        <v>0</v>
      </c>
      <c r="E2310" s="2">
        <v>5.4440987097200501E-5</v>
      </c>
      <c r="F2310" t="str">
        <f>"27/27"</f>
        <v>27/27</v>
      </c>
      <c r="G2310" s="10">
        <v>0.54530000000000001</v>
      </c>
    </row>
    <row r="2311" spans="1:7" x14ac:dyDescent="0.2">
      <c r="A2311" s="1" t="s">
        <v>122</v>
      </c>
      <c r="B2311" t="s">
        <v>2206</v>
      </c>
      <c r="C2311">
        <v>-2.7999887382939801</v>
      </c>
      <c r="D2311">
        <v>0</v>
      </c>
      <c r="E2311" s="2">
        <v>5.4382322240414699E-5</v>
      </c>
      <c r="F2311" t="str">
        <f>"26/27"</f>
        <v>26/27</v>
      </c>
      <c r="G2311" s="10">
        <v>0.5474</v>
      </c>
    </row>
    <row r="2312" spans="1:7" x14ac:dyDescent="0.2">
      <c r="A2312" s="1" t="s">
        <v>122</v>
      </c>
      <c r="B2312" t="s">
        <v>2207</v>
      </c>
      <c r="C2312">
        <v>-2.7997417229474402</v>
      </c>
      <c r="D2312">
        <v>0</v>
      </c>
      <c r="E2312" s="2">
        <v>5.4323783680414299E-5</v>
      </c>
      <c r="F2312" t="str">
        <f>"20/24"</f>
        <v>20/24</v>
      </c>
      <c r="G2312" s="10">
        <v>0.34720000000000001</v>
      </c>
    </row>
    <row r="2313" spans="1:7" x14ac:dyDescent="0.2">
      <c r="A2313" s="1" t="s">
        <v>122</v>
      </c>
      <c r="B2313" t="s">
        <v>2208</v>
      </c>
      <c r="C2313">
        <v>-2.7967294385005901</v>
      </c>
      <c r="D2313">
        <v>0</v>
      </c>
      <c r="E2313" s="2">
        <v>5.4265371009790201E-5</v>
      </c>
      <c r="F2313" t="str">
        <f>"24/24"</f>
        <v>24/24</v>
      </c>
      <c r="G2313" s="10">
        <v>0.51170000000000004</v>
      </c>
    </row>
    <row r="2314" spans="1:7" x14ac:dyDescent="0.2">
      <c r="A2314" s="1" t="s">
        <v>122</v>
      </c>
      <c r="B2314" t="s">
        <v>2209</v>
      </c>
      <c r="C2314">
        <v>-2.7953991552178099</v>
      </c>
      <c r="D2314">
        <v>0</v>
      </c>
      <c r="E2314" s="2">
        <v>5.4207083822883901E-5</v>
      </c>
      <c r="F2314" t="str">
        <f>"34/39"</f>
        <v>34/39</v>
      </c>
      <c r="G2314" s="10">
        <v>0.49230000000000002</v>
      </c>
    </row>
    <row r="2315" spans="1:7" x14ac:dyDescent="0.2">
      <c r="A2315" s="1" t="s">
        <v>122</v>
      </c>
      <c r="B2315" t="s">
        <v>2210</v>
      </c>
      <c r="C2315">
        <v>-2.7952096467029399</v>
      </c>
      <c r="D2315">
        <v>0</v>
      </c>
      <c r="E2315" s="2">
        <v>5.4148921715777803E-5</v>
      </c>
      <c r="F2315" t="str">
        <f>"35/38"</f>
        <v>35/38</v>
      </c>
      <c r="G2315" s="10">
        <v>0.54459999999999997</v>
      </c>
    </row>
    <row r="2316" spans="1:7" x14ac:dyDescent="0.2">
      <c r="A2316" s="1" t="s">
        <v>122</v>
      </c>
      <c r="B2316" t="s">
        <v>2211</v>
      </c>
      <c r="C2316">
        <v>-2.7948650304030598</v>
      </c>
      <c r="D2316">
        <v>0</v>
      </c>
      <c r="E2316" s="2">
        <v>5.4090884286286E-5</v>
      </c>
      <c r="F2316" t="str">
        <f>"32/37"</f>
        <v>32/37</v>
      </c>
      <c r="G2316" s="10">
        <v>0.53669999999999995</v>
      </c>
    </row>
    <row r="2317" spans="1:7" x14ac:dyDescent="0.2">
      <c r="A2317" s="1" t="s">
        <v>122</v>
      </c>
      <c r="B2317" t="s">
        <v>2212</v>
      </c>
      <c r="C2317">
        <v>-2.7933724665128699</v>
      </c>
      <c r="D2317">
        <v>0</v>
      </c>
      <c r="E2317" s="2">
        <v>5.4032971133945301E-5</v>
      </c>
      <c r="F2317" t="str">
        <f>"20/20"</f>
        <v>20/20</v>
      </c>
      <c r="G2317" s="10">
        <v>0.52890000000000004</v>
      </c>
    </row>
    <row r="2318" spans="1:7" x14ac:dyDescent="0.2">
      <c r="A2318" s="1" t="s">
        <v>122</v>
      </c>
      <c r="B2318" t="s">
        <v>2213</v>
      </c>
      <c r="C2318">
        <v>-2.7923714796091699</v>
      </c>
      <c r="D2318">
        <v>0</v>
      </c>
      <c r="E2318" s="2">
        <v>5.3975181860005202E-5</v>
      </c>
      <c r="F2318" t="str">
        <f>"18/18"</f>
        <v>18/18</v>
      </c>
      <c r="G2318" s="10">
        <v>0.47439999999999999</v>
      </c>
    </row>
    <row r="2319" spans="1:7" x14ac:dyDescent="0.2">
      <c r="A2319" s="1" t="s">
        <v>122</v>
      </c>
      <c r="B2319" t="s">
        <v>2214</v>
      </c>
      <c r="C2319">
        <v>-2.7902839648807198</v>
      </c>
      <c r="D2319">
        <v>0</v>
      </c>
      <c r="E2319" s="2">
        <v>5.39175160674197E-5</v>
      </c>
      <c r="F2319" t="str">
        <f>"15/16"</f>
        <v>15/16</v>
      </c>
      <c r="G2319" s="10">
        <v>0.3664</v>
      </c>
    </row>
    <row r="2320" spans="1:7" x14ac:dyDescent="0.2">
      <c r="A2320" s="1" t="s">
        <v>122</v>
      </c>
      <c r="B2320" t="s">
        <v>2215</v>
      </c>
      <c r="C2320">
        <v>-2.7893337322422802</v>
      </c>
      <c r="D2320">
        <v>0</v>
      </c>
      <c r="E2320" s="2">
        <v>5.3859973360837698E-5</v>
      </c>
      <c r="F2320" t="str">
        <f>"25/27"</f>
        <v>25/27</v>
      </c>
      <c r="G2320" s="10">
        <v>0.50629999999999997</v>
      </c>
    </row>
    <row r="2321" spans="1:7" x14ac:dyDescent="0.2">
      <c r="A2321" s="1" t="s">
        <v>122</v>
      </c>
      <c r="B2321" t="s">
        <v>2216</v>
      </c>
      <c r="C2321">
        <v>-2.7885217140499399</v>
      </c>
      <c r="D2321">
        <v>0</v>
      </c>
      <c r="E2321" s="2">
        <v>5.3802553346593702E-5</v>
      </c>
      <c r="F2321" t="str">
        <f>"16/16"</f>
        <v>16/16</v>
      </c>
      <c r="G2321" s="10">
        <v>0.46010000000000001</v>
      </c>
    </row>
    <row r="2322" spans="1:7" x14ac:dyDescent="0.2">
      <c r="A2322" s="1" t="s">
        <v>122</v>
      </c>
      <c r="B2322" t="s">
        <v>2217</v>
      </c>
      <c r="C2322">
        <v>-2.7873119937472901</v>
      </c>
      <c r="D2322">
        <v>0</v>
      </c>
      <c r="E2322" s="2">
        <v>5.37452556326996E-5</v>
      </c>
      <c r="F2322" t="str">
        <f>"28/35"</f>
        <v>28/35</v>
      </c>
      <c r="G2322" s="10">
        <v>0.42309999999999998</v>
      </c>
    </row>
    <row r="2323" spans="1:7" x14ac:dyDescent="0.2">
      <c r="A2323" s="1" t="s">
        <v>122</v>
      </c>
      <c r="B2323" t="s">
        <v>2218</v>
      </c>
      <c r="C2323">
        <v>-2.7860663294325598</v>
      </c>
      <c r="D2323">
        <v>0</v>
      </c>
      <c r="E2323" s="2">
        <v>5.3688079828835001E-5</v>
      </c>
      <c r="F2323" t="str">
        <f>"88/106"</f>
        <v>88/106</v>
      </c>
      <c r="G2323" s="10">
        <v>0.62129999999999996</v>
      </c>
    </row>
    <row r="2324" spans="1:7" x14ac:dyDescent="0.2">
      <c r="A2324" s="1" t="s">
        <v>122</v>
      </c>
      <c r="B2324" t="s">
        <v>2219</v>
      </c>
      <c r="C2324">
        <v>-2.7858920351623402</v>
      </c>
      <c r="D2324">
        <v>0</v>
      </c>
      <c r="E2324" s="2">
        <v>5.3631025546338897E-5</v>
      </c>
      <c r="F2324" t="str">
        <f>"50/57"</f>
        <v>50/57</v>
      </c>
      <c r="G2324" s="10">
        <v>0.57809999999999995</v>
      </c>
    </row>
    <row r="2325" spans="1:7" x14ac:dyDescent="0.2">
      <c r="A2325" s="1" t="s">
        <v>122</v>
      </c>
      <c r="B2325" t="s">
        <v>1189</v>
      </c>
      <c r="C2325">
        <v>-2.7851956101419799</v>
      </c>
      <c r="D2325">
        <v>0</v>
      </c>
      <c r="E2325" s="2">
        <v>8.0361138597300803E-5</v>
      </c>
      <c r="F2325" t="str">
        <f>"60/70"</f>
        <v>60/70</v>
      </c>
      <c r="G2325" s="10">
        <v>0.58560000000000001</v>
      </c>
    </row>
    <row r="2326" spans="1:7" x14ac:dyDescent="0.2">
      <c r="A2326" s="1" t="s">
        <v>122</v>
      </c>
      <c r="B2326" t="s">
        <v>2220</v>
      </c>
      <c r="C2326">
        <v>-2.7842962146621102</v>
      </c>
      <c r="D2326">
        <v>0</v>
      </c>
      <c r="E2326" s="2">
        <v>8.0275919998576195E-5</v>
      </c>
      <c r="F2326" t="str">
        <f>"22/29"</f>
        <v>22/29</v>
      </c>
      <c r="G2326" s="10">
        <v>0.34720000000000001</v>
      </c>
    </row>
    <row r="2327" spans="1:7" x14ac:dyDescent="0.2">
      <c r="A2327" s="1" t="s">
        <v>122</v>
      </c>
      <c r="B2327" t="s">
        <v>2221</v>
      </c>
      <c r="C2327">
        <v>-2.7839714853109099</v>
      </c>
      <c r="D2327">
        <v>0</v>
      </c>
      <c r="E2327" s="2">
        <v>8.0190881947730196E-5</v>
      </c>
      <c r="F2327" t="str">
        <f>"15/18"</f>
        <v>15/18</v>
      </c>
      <c r="G2327" s="10">
        <v>0.32929999999999998</v>
      </c>
    </row>
    <row r="2328" spans="1:7" x14ac:dyDescent="0.2">
      <c r="A2328" s="1" t="s">
        <v>122</v>
      </c>
      <c r="B2328" t="s">
        <v>885</v>
      </c>
      <c r="C2328">
        <v>-2.7796900631026902</v>
      </c>
      <c r="D2328">
        <v>0</v>
      </c>
      <c r="E2328" s="2">
        <v>8.0106023871595098E-5</v>
      </c>
      <c r="F2328" t="str">
        <f>"67/71"</f>
        <v>67/71</v>
      </c>
      <c r="G2328" s="10">
        <v>0.67390000000000005</v>
      </c>
    </row>
    <row r="2329" spans="1:7" x14ac:dyDescent="0.2">
      <c r="A2329" s="1" t="s">
        <v>122</v>
      </c>
      <c r="B2329" t="s">
        <v>2222</v>
      </c>
      <c r="C2329">
        <v>-2.77898368776866</v>
      </c>
      <c r="D2329">
        <v>0</v>
      </c>
      <c r="E2329" s="2">
        <v>8.0021345199426402E-5</v>
      </c>
      <c r="F2329" t="str">
        <f>"19/22"</f>
        <v>19/22</v>
      </c>
      <c r="G2329" s="10">
        <v>0.3871</v>
      </c>
    </row>
    <row r="2330" spans="1:7" x14ac:dyDescent="0.2">
      <c r="A2330" s="1" t="s">
        <v>122</v>
      </c>
      <c r="B2330" t="s">
        <v>2223</v>
      </c>
      <c r="C2330">
        <v>-2.7768840450343202</v>
      </c>
      <c r="D2330">
        <v>0</v>
      </c>
      <c r="E2330" s="2">
        <v>7.9936845362890504E-5</v>
      </c>
      <c r="F2330" t="str">
        <f>"23/27"</f>
        <v>23/27</v>
      </c>
      <c r="G2330" s="10">
        <v>0.40920000000000001</v>
      </c>
    </row>
    <row r="2331" spans="1:7" x14ac:dyDescent="0.2">
      <c r="A2331" s="1" t="s">
        <v>122</v>
      </c>
      <c r="B2331" t="s">
        <v>976</v>
      </c>
      <c r="C2331">
        <v>-2.7750318719157399</v>
      </c>
      <c r="D2331">
        <v>0</v>
      </c>
      <c r="E2331" s="2">
        <v>7.9852523796052004E-5</v>
      </c>
      <c r="F2331" t="str">
        <f>"67/83"</f>
        <v>67/83</v>
      </c>
      <c r="G2331" s="10">
        <v>0.5544</v>
      </c>
    </row>
    <row r="2332" spans="1:7" x14ac:dyDescent="0.2">
      <c r="A2332" s="1" t="s">
        <v>122</v>
      </c>
      <c r="B2332" t="s">
        <v>2224</v>
      </c>
      <c r="C2332">
        <v>-2.7743566086128402</v>
      </c>
      <c r="D2332">
        <v>0</v>
      </c>
      <c r="E2332" s="2">
        <v>7.9768379935360705E-5</v>
      </c>
      <c r="F2332" t="str">
        <f>"16/16"</f>
        <v>16/16</v>
      </c>
      <c r="G2332" s="10">
        <v>0.47670000000000001</v>
      </c>
    </row>
    <row r="2333" spans="1:7" x14ac:dyDescent="0.2">
      <c r="A2333" s="1" t="s">
        <v>122</v>
      </c>
      <c r="B2333" t="s">
        <v>763</v>
      </c>
      <c r="C2333">
        <v>-2.7740763409695202</v>
      </c>
      <c r="D2333">
        <v>0</v>
      </c>
      <c r="E2333" s="2">
        <v>7.9684413219639297E-5</v>
      </c>
      <c r="F2333" t="str">
        <f>"49/67"</f>
        <v>49/67</v>
      </c>
      <c r="G2333" s="10">
        <v>0.44340000000000002</v>
      </c>
    </row>
    <row r="2334" spans="1:7" x14ac:dyDescent="0.2">
      <c r="A2334" s="1" t="s">
        <v>122</v>
      </c>
      <c r="B2334" t="s">
        <v>2225</v>
      </c>
      <c r="C2334">
        <v>-2.7738867954584401</v>
      </c>
      <c r="D2334">
        <v>0</v>
      </c>
      <c r="E2334" s="2">
        <v>7.9600623090070801E-5</v>
      </c>
      <c r="F2334" t="str">
        <f>"25/28"</f>
        <v>25/28</v>
      </c>
      <c r="G2334" s="10">
        <v>0.47389999999999999</v>
      </c>
    </row>
    <row r="2335" spans="1:7" x14ac:dyDescent="0.2">
      <c r="A2335" s="1" t="s">
        <v>122</v>
      </c>
      <c r="B2335" t="s">
        <v>2226</v>
      </c>
      <c r="C2335">
        <v>-2.7737566009080998</v>
      </c>
      <c r="D2335">
        <v>0</v>
      </c>
      <c r="E2335" s="2">
        <v>7.9517008990186299E-5</v>
      </c>
      <c r="F2335" t="str">
        <f>"34/40"</f>
        <v>34/40</v>
      </c>
      <c r="G2335" s="10">
        <v>0.50549999999999995</v>
      </c>
    </row>
    <row r="2336" spans="1:7" x14ac:dyDescent="0.2">
      <c r="A2336" s="1" t="s">
        <v>122</v>
      </c>
      <c r="B2336" t="s">
        <v>1242</v>
      </c>
      <c r="C2336">
        <v>-2.7729136981943401</v>
      </c>
      <c r="D2336">
        <v>0</v>
      </c>
      <c r="E2336" s="2">
        <v>7.9433570365852404E-5</v>
      </c>
      <c r="F2336" t="str">
        <f>"79/94"</f>
        <v>79/94</v>
      </c>
      <c r="G2336" s="10">
        <v>0.58150000000000002</v>
      </c>
    </row>
    <row r="2337" spans="1:7" x14ac:dyDescent="0.2">
      <c r="A2337" s="1" t="s">
        <v>122</v>
      </c>
      <c r="B2337" t="s">
        <v>2227</v>
      </c>
      <c r="C2337">
        <v>-2.7718271326567101</v>
      </c>
      <c r="D2337">
        <v>0</v>
      </c>
      <c r="E2337" s="2">
        <v>7.9350306665259299E-5</v>
      </c>
      <c r="F2337" t="str">
        <f>"27/31"</f>
        <v>27/31</v>
      </c>
      <c r="G2337" s="10">
        <v>0.44519999999999998</v>
      </c>
    </row>
    <row r="2338" spans="1:7" x14ac:dyDescent="0.2">
      <c r="A2338" s="1" t="s">
        <v>122</v>
      </c>
      <c r="B2338" t="s">
        <v>2228</v>
      </c>
      <c r="C2338">
        <v>-2.7717755442218501</v>
      </c>
      <c r="D2338">
        <v>0</v>
      </c>
      <c r="E2338" s="2">
        <v>7.9267217338908194E-5</v>
      </c>
      <c r="F2338" t="str">
        <f>"17/19"</f>
        <v>17/19</v>
      </c>
      <c r="G2338" s="10">
        <v>0.373</v>
      </c>
    </row>
    <row r="2339" spans="1:7" x14ac:dyDescent="0.2">
      <c r="A2339" s="1" t="s">
        <v>122</v>
      </c>
      <c r="B2339" t="s">
        <v>2229</v>
      </c>
      <c r="C2339">
        <v>-2.7714967562909001</v>
      </c>
      <c r="D2339">
        <v>0</v>
      </c>
      <c r="E2339" s="2">
        <v>7.9184301839599694E-5</v>
      </c>
      <c r="F2339" t="str">
        <f>"48/51"</f>
        <v>48/51</v>
      </c>
      <c r="G2339" s="10">
        <v>0.60770000000000002</v>
      </c>
    </row>
    <row r="2340" spans="1:7" x14ac:dyDescent="0.2">
      <c r="A2340" s="1" t="s">
        <v>122</v>
      </c>
      <c r="B2340" t="s">
        <v>1215</v>
      </c>
      <c r="C2340">
        <v>-2.77027258141137</v>
      </c>
      <c r="D2340">
        <v>0</v>
      </c>
      <c r="E2340" s="2">
        <v>7.9101559622421497E-5</v>
      </c>
      <c r="F2340" t="str">
        <f>"83/99"</f>
        <v>83/99</v>
      </c>
      <c r="G2340" s="10">
        <v>0.60499999999999998</v>
      </c>
    </row>
    <row r="2341" spans="1:7" x14ac:dyDescent="0.2">
      <c r="A2341" s="1" t="s">
        <v>122</v>
      </c>
      <c r="B2341" t="s">
        <v>2230</v>
      </c>
      <c r="C2341">
        <v>-2.7702149242792302</v>
      </c>
      <c r="D2341">
        <v>0</v>
      </c>
      <c r="E2341" s="2">
        <v>7.9018990144736297E-5</v>
      </c>
      <c r="F2341" t="str">
        <f>"33/40"</f>
        <v>33/40</v>
      </c>
      <c r="G2341" s="10">
        <v>0.4491</v>
      </c>
    </row>
    <row r="2342" spans="1:7" x14ac:dyDescent="0.2">
      <c r="A2342" s="1" t="s">
        <v>122</v>
      </c>
      <c r="B2342" t="s">
        <v>2231</v>
      </c>
      <c r="C2342">
        <v>-2.76951702978364</v>
      </c>
      <c r="D2342">
        <v>0</v>
      </c>
      <c r="E2342" s="2">
        <v>7.8936592866170305E-5</v>
      </c>
      <c r="F2342" t="str">
        <f>"45/49"</f>
        <v>45/49</v>
      </c>
      <c r="G2342" s="10">
        <v>0.5857</v>
      </c>
    </row>
    <row r="2343" spans="1:7" x14ac:dyDescent="0.2">
      <c r="A2343" s="1" t="s">
        <v>122</v>
      </c>
      <c r="B2343" t="s">
        <v>2232</v>
      </c>
      <c r="C2343">
        <v>-2.76736981150483</v>
      </c>
      <c r="D2343">
        <v>0</v>
      </c>
      <c r="E2343" s="2">
        <v>7.8854367248601403E-5</v>
      </c>
      <c r="F2343" t="str">
        <f>"18/19"</f>
        <v>18/19</v>
      </c>
      <c r="G2343" s="10">
        <v>0.44369999999999998</v>
      </c>
    </row>
    <row r="2344" spans="1:7" x14ac:dyDescent="0.2">
      <c r="A2344" s="1" t="s">
        <v>122</v>
      </c>
      <c r="B2344" t="s">
        <v>2233</v>
      </c>
      <c r="C2344">
        <v>-2.7660717638308201</v>
      </c>
      <c r="D2344">
        <v>0</v>
      </c>
      <c r="E2344" s="2">
        <v>7.8772312756147095E-5</v>
      </c>
      <c r="F2344" t="str">
        <f>"19/19"</f>
        <v>19/19</v>
      </c>
      <c r="G2344" s="10">
        <v>0.52149999999999996</v>
      </c>
    </row>
    <row r="2345" spans="1:7" x14ac:dyDescent="0.2">
      <c r="A2345" s="1" t="s">
        <v>122</v>
      </c>
      <c r="B2345" t="s">
        <v>2234</v>
      </c>
      <c r="C2345">
        <v>-2.7642097716009602</v>
      </c>
      <c r="D2345">
        <v>0</v>
      </c>
      <c r="E2345" s="2">
        <v>7.8690428855153206E-5</v>
      </c>
      <c r="F2345" t="str">
        <f>"26/27"</f>
        <v>26/27</v>
      </c>
      <c r="G2345" s="10">
        <v>0.503</v>
      </c>
    </row>
    <row r="2346" spans="1:7" x14ac:dyDescent="0.2">
      <c r="A2346" s="1" t="s">
        <v>122</v>
      </c>
      <c r="B2346" t="s">
        <v>2235</v>
      </c>
      <c r="C2346">
        <v>-2.76349184892725</v>
      </c>
      <c r="D2346">
        <v>0</v>
      </c>
      <c r="E2346" s="2">
        <v>7.8608715014182102E-5</v>
      </c>
      <c r="F2346" t="str">
        <f>"47/50"</f>
        <v>47/50</v>
      </c>
      <c r="G2346" s="10">
        <v>0.61770000000000003</v>
      </c>
    </row>
    <row r="2347" spans="1:7" x14ac:dyDescent="0.2">
      <c r="A2347" s="1" t="s">
        <v>122</v>
      </c>
      <c r="B2347" t="s">
        <v>2236</v>
      </c>
      <c r="C2347">
        <v>-2.7627976367779401</v>
      </c>
      <c r="D2347">
        <v>0</v>
      </c>
      <c r="E2347" s="2">
        <v>7.8445795397572403E-5</v>
      </c>
      <c r="F2347" t="str">
        <f>"20/20"</f>
        <v>20/20</v>
      </c>
      <c r="G2347" s="10">
        <v>0.51519999999999999</v>
      </c>
    </row>
    <row r="2348" spans="1:7" x14ac:dyDescent="0.2">
      <c r="A2348" s="1" t="s">
        <v>122</v>
      </c>
      <c r="B2348" t="s">
        <v>2237</v>
      </c>
      <c r="C2348">
        <v>-2.7627976367779401</v>
      </c>
      <c r="D2348">
        <v>0</v>
      </c>
      <c r="E2348" s="2">
        <v>7.8445795397572403E-5</v>
      </c>
      <c r="F2348" t="str">
        <f>"20/20"</f>
        <v>20/20</v>
      </c>
      <c r="G2348" s="10">
        <v>0.51519999999999999</v>
      </c>
    </row>
    <row r="2349" spans="1:7" x14ac:dyDescent="0.2">
      <c r="A2349" s="1" t="s">
        <v>122</v>
      </c>
      <c r="B2349" t="s">
        <v>736</v>
      </c>
      <c r="C2349">
        <v>-2.76211139714498</v>
      </c>
      <c r="D2349">
        <v>0</v>
      </c>
      <c r="E2349" s="2">
        <v>7.8364588570038705E-5</v>
      </c>
      <c r="F2349" t="str">
        <f>"30/34"</f>
        <v>30/34</v>
      </c>
      <c r="G2349" s="10">
        <v>0.49809999999999999</v>
      </c>
    </row>
    <row r="2350" spans="1:7" x14ac:dyDescent="0.2">
      <c r="A2350" s="1" t="s">
        <v>122</v>
      </c>
      <c r="B2350" t="s">
        <v>2238</v>
      </c>
      <c r="C2350">
        <v>-2.7598625740611902</v>
      </c>
      <c r="D2350">
        <v>0</v>
      </c>
      <c r="E2350" s="2">
        <v>7.8283549698714901E-5</v>
      </c>
      <c r="F2350" t="str">
        <f>"48/49"</f>
        <v>48/49</v>
      </c>
      <c r="G2350" s="10">
        <v>0.67069999999999996</v>
      </c>
    </row>
    <row r="2351" spans="1:7" x14ac:dyDescent="0.2">
      <c r="A2351" s="1" t="s">
        <v>122</v>
      </c>
      <c r="B2351" t="s">
        <v>2239</v>
      </c>
      <c r="C2351">
        <v>-2.7591503192424298</v>
      </c>
      <c r="D2351">
        <v>0</v>
      </c>
      <c r="E2351" s="2">
        <v>7.8202678263075798E-5</v>
      </c>
      <c r="F2351" t="str">
        <f>"37/37"</f>
        <v>37/37</v>
      </c>
      <c r="G2351" s="10">
        <v>0.5958</v>
      </c>
    </row>
    <row r="2352" spans="1:7" x14ac:dyDescent="0.2">
      <c r="A2352" s="1" t="s">
        <v>122</v>
      </c>
      <c r="B2352" t="s">
        <v>2240</v>
      </c>
      <c r="C2352">
        <v>-2.7581929639412901</v>
      </c>
      <c r="D2352">
        <v>0</v>
      </c>
      <c r="E2352" s="2">
        <v>7.8121973744744403E-5</v>
      </c>
      <c r="F2352" t="str">
        <f>"27/27"</f>
        <v>27/27</v>
      </c>
      <c r="G2352" s="10">
        <v>0.60770000000000002</v>
      </c>
    </row>
    <row r="2353" spans="1:7" x14ac:dyDescent="0.2">
      <c r="A2353" s="1" t="s">
        <v>122</v>
      </c>
      <c r="B2353" t="s">
        <v>1113</v>
      </c>
      <c r="C2353">
        <v>-2.7570229049558801</v>
      </c>
      <c r="D2353">
        <v>0</v>
      </c>
      <c r="E2353" s="2">
        <v>7.8041435627481794E-5</v>
      </c>
      <c r="F2353" t="str">
        <f>"25/27"</f>
        <v>25/27</v>
      </c>
      <c r="G2353" s="10">
        <v>0.48220000000000002</v>
      </c>
    </row>
    <row r="2354" spans="1:7" x14ac:dyDescent="0.2">
      <c r="A2354" s="1" t="s">
        <v>122</v>
      </c>
      <c r="B2354" t="s">
        <v>2241</v>
      </c>
      <c r="C2354">
        <v>-2.7566627075302002</v>
      </c>
      <c r="D2354">
        <v>0</v>
      </c>
      <c r="E2354" s="2">
        <v>7.7961063397175403E-5</v>
      </c>
      <c r="F2354" t="str">
        <f>"33/39"</f>
        <v>33/39</v>
      </c>
      <c r="G2354" s="10">
        <v>0.46810000000000002</v>
      </c>
    </row>
    <row r="2355" spans="1:7" x14ac:dyDescent="0.2">
      <c r="A2355" s="1" t="s">
        <v>122</v>
      </c>
      <c r="B2355" t="s">
        <v>2242</v>
      </c>
      <c r="C2355">
        <v>-2.7556845930792599</v>
      </c>
      <c r="D2355">
        <v>0</v>
      </c>
      <c r="E2355" s="2">
        <v>7.7880856541828506E-5</v>
      </c>
      <c r="F2355" t="str">
        <f>"59/60"</f>
        <v>59/60</v>
      </c>
      <c r="G2355" s="10">
        <v>0.70040000000000002</v>
      </c>
    </row>
    <row r="2356" spans="1:7" x14ac:dyDescent="0.2">
      <c r="A2356" s="1" t="s">
        <v>122</v>
      </c>
      <c r="B2356" t="s">
        <v>2243</v>
      </c>
      <c r="C2356">
        <v>-2.75308346336571</v>
      </c>
      <c r="D2356">
        <v>0</v>
      </c>
      <c r="E2356" s="2">
        <v>7.7800814551549197E-5</v>
      </c>
      <c r="F2356" t="str">
        <f>"37/43"</f>
        <v>37/43</v>
      </c>
      <c r="G2356" s="10">
        <v>0.50890000000000002</v>
      </c>
    </row>
    <row r="2357" spans="1:7" x14ac:dyDescent="0.2">
      <c r="A2357" s="1" t="s">
        <v>122</v>
      </c>
      <c r="B2357" t="s">
        <v>2244</v>
      </c>
      <c r="C2357">
        <v>-2.7512125829804699</v>
      </c>
      <c r="D2357">
        <v>0</v>
      </c>
      <c r="E2357" s="2">
        <v>7.7720936918539396E-5</v>
      </c>
      <c r="F2357" t="str">
        <f>"29/29"</f>
        <v>29/29</v>
      </c>
      <c r="G2357" s="10">
        <v>0.56659999999999999</v>
      </c>
    </row>
    <row r="2358" spans="1:7" x14ac:dyDescent="0.2">
      <c r="A2358" s="1" t="s">
        <v>122</v>
      </c>
      <c r="B2358" t="s">
        <v>874</v>
      </c>
      <c r="C2358">
        <v>-2.7508645602508799</v>
      </c>
      <c r="D2358">
        <v>0</v>
      </c>
      <c r="E2358" s="2">
        <v>7.7641223137084396E-5</v>
      </c>
      <c r="F2358" t="str">
        <f>"23/23"</f>
        <v>23/23</v>
      </c>
      <c r="G2358" s="10">
        <v>0.54590000000000005</v>
      </c>
    </row>
    <row r="2359" spans="1:7" x14ac:dyDescent="0.2">
      <c r="A2359" s="1" t="s">
        <v>122</v>
      </c>
      <c r="B2359" t="s">
        <v>2245</v>
      </c>
      <c r="C2359">
        <v>-2.7504977516026599</v>
      </c>
      <c r="D2359">
        <v>0</v>
      </c>
      <c r="E2359" s="2">
        <v>7.7561672703542405E-5</v>
      </c>
      <c r="F2359" t="str">
        <f>"25/29"</f>
        <v>25/29</v>
      </c>
      <c r="G2359" s="10">
        <v>0.44230000000000003</v>
      </c>
    </row>
    <row r="2360" spans="1:7" x14ac:dyDescent="0.2">
      <c r="A2360" s="1" t="s">
        <v>122</v>
      </c>
      <c r="B2360" t="s">
        <v>2246</v>
      </c>
      <c r="C2360">
        <v>-2.74926153691584</v>
      </c>
      <c r="D2360">
        <v>0</v>
      </c>
      <c r="E2360" s="2">
        <v>7.7482285116332997E-5</v>
      </c>
      <c r="F2360" t="str">
        <f>"33/37"</f>
        <v>33/37</v>
      </c>
      <c r="G2360" s="10">
        <v>0.54139999999999999</v>
      </c>
    </row>
    <row r="2361" spans="1:7" x14ac:dyDescent="0.2">
      <c r="A2361" s="1" t="s">
        <v>122</v>
      </c>
      <c r="B2361" t="s">
        <v>774</v>
      </c>
      <c r="C2361">
        <v>-2.7460712965486298</v>
      </c>
      <c r="D2361">
        <v>0</v>
      </c>
      <c r="E2361" s="2">
        <v>7.7403059875927801E-5</v>
      </c>
      <c r="F2361" t="str">
        <f>"23/24"</f>
        <v>23/24</v>
      </c>
      <c r="G2361" s="10">
        <v>0.50209999999999999</v>
      </c>
    </row>
    <row r="2362" spans="1:7" x14ac:dyDescent="0.2">
      <c r="A2362" s="1" t="s">
        <v>122</v>
      </c>
      <c r="B2362" t="s">
        <v>1102</v>
      </c>
      <c r="C2362">
        <v>-2.74557980463157</v>
      </c>
      <c r="D2362">
        <v>0</v>
      </c>
      <c r="E2362" s="2">
        <v>7.7323996484838999E-5</v>
      </c>
      <c r="F2362" t="str">
        <f>"34/39"</f>
        <v>34/39</v>
      </c>
      <c r="G2362" s="10">
        <v>0.49969999999999998</v>
      </c>
    </row>
    <row r="2363" spans="1:7" x14ac:dyDescent="0.2">
      <c r="A2363" s="1" t="s">
        <v>122</v>
      </c>
      <c r="B2363" t="s">
        <v>2247</v>
      </c>
      <c r="C2363">
        <v>-2.74454157264603</v>
      </c>
      <c r="D2363">
        <v>0</v>
      </c>
      <c r="E2363" s="2">
        <v>7.7245094447609506E-5</v>
      </c>
      <c r="F2363" t="str">
        <f>"18/19"</f>
        <v>18/19</v>
      </c>
      <c r="G2363" s="10">
        <v>0.44180000000000003</v>
      </c>
    </row>
    <row r="2364" spans="1:7" x14ac:dyDescent="0.2">
      <c r="A2364" s="1" t="s">
        <v>122</v>
      </c>
      <c r="B2364" t="s">
        <v>805</v>
      </c>
      <c r="C2364">
        <v>-2.7435369477599099</v>
      </c>
      <c r="D2364">
        <v>0</v>
      </c>
      <c r="E2364" s="2">
        <v>7.7166353270802598E-5</v>
      </c>
      <c r="F2364" t="str">
        <f>"57/68"</f>
        <v>57/68</v>
      </c>
      <c r="G2364" s="10">
        <v>0.56850000000000001</v>
      </c>
    </row>
    <row r="2365" spans="1:7" x14ac:dyDescent="0.2">
      <c r="A2365" s="1" t="s">
        <v>122</v>
      </c>
      <c r="B2365" t="s">
        <v>2248</v>
      </c>
      <c r="C2365">
        <v>-2.7407366717766601</v>
      </c>
      <c r="D2365">
        <v>0</v>
      </c>
      <c r="E2365" s="2">
        <v>7.7087772462991198E-5</v>
      </c>
      <c r="F2365" t="str">
        <f>"40/45"</f>
        <v>40/45</v>
      </c>
      <c r="G2365" s="10">
        <v>0.53449999999999998</v>
      </c>
    </row>
    <row r="2366" spans="1:7" x14ac:dyDescent="0.2">
      <c r="A2366" s="1" t="s">
        <v>122</v>
      </c>
      <c r="B2366" t="s">
        <v>581</v>
      </c>
      <c r="C2366">
        <v>-2.7404822235049502</v>
      </c>
      <c r="D2366">
        <v>0</v>
      </c>
      <c r="E2366" s="2">
        <v>7.7009351534748096E-5</v>
      </c>
      <c r="F2366" t="str">
        <f>"23/29"</f>
        <v>23/29</v>
      </c>
      <c r="G2366" s="10">
        <v>0.37609999999999999</v>
      </c>
    </row>
    <row r="2367" spans="1:7" x14ac:dyDescent="0.2">
      <c r="A2367" s="1" t="s">
        <v>122</v>
      </c>
      <c r="B2367" t="s">
        <v>2249</v>
      </c>
      <c r="C2367">
        <v>-2.7401922668257002</v>
      </c>
      <c r="D2367">
        <v>0</v>
      </c>
      <c r="E2367" s="2">
        <v>7.6931089998635496E-5</v>
      </c>
      <c r="F2367" t="str">
        <f>"18/20"</f>
        <v>18/20</v>
      </c>
      <c r="G2367" s="10">
        <v>0.39100000000000001</v>
      </c>
    </row>
    <row r="2368" spans="1:7" x14ac:dyDescent="0.2">
      <c r="A2368" s="1" t="s">
        <v>122</v>
      </c>
      <c r="B2368" t="s">
        <v>1236</v>
      </c>
      <c r="C2368">
        <v>-2.7374568488923101</v>
      </c>
      <c r="D2368">
        <v>0</v>
      </c>
      <c r="E2368" s="2">
        <v>7.6852987369195304E-5</v>
      </c>
      <c r="F2368" t="str">
        <f>"71/80"</f>
        <v>71/80</v>
      </c>
      <c r="G2368" s="10">
        <v>0.64470000000000005</v>
      </c>
    </row>
    <row r="2369" spans="1:7" x14ac:dyDescent="0.2">
      <c r="A2369" s="1" t="s">
        <v>122</v>
      </c>
      <c r="B2369" t="s">
        <v>2250</v>
      </c>
      <c r="C2369">
        <v>-2.7371887603186198</v>
      </c>
      <c r="D2369">
        <v>0</v>
      </c>
      <c r="E2369" s="2">
        <v>7.6775043162938497E-5</v>
      </c>
      <c r="F2369" t="str">
        <f>"70/79"</f>
        <v>70/79</v>
      </c>
      <c r="G2369" s="10">
        <v>0.62909999999999999</v>
      </c>
    </row>
    <row r="2370" spans="1:7" x14ac:dyDescent="0.2">
      <c r="A2370" s="1" t="s">
        <v>122</v>
      </c>
      <c r="B2370" t="s">
        <v>2251</v>
      </c>
      <c r="C2370">
        <v>-2.7358668365949499</v>
      </c>
      <c r="D2370">
        <v>0</v>
      </c>
      <c r="E2370" s="2">
        <v>7.6697256898335695E-5</v>
      </c>
      <c r="F2370" t="str">
        <f>"18/18"</f>
        <v>18/18</v>
      </c>
      <c r="G2370" s="10">
        <v>0.50460000000000005</v>
      </c>
    </row>
    <row r="2371" spans="1:7" x14ac:dyDescent="0.2">
      <c r="A2371" s="1" t="s">
        <v>122</v>
      </c>
      <c r="B2371" t="s">
        <v>2252</v>
      </c>
      <c r="C2371">
        <v>-2.7350956038737899</v>
      </c>
      <c r="D2371">
        <v>0</v>
      </c>
      <c r="E2371" s="2">
        <v>7.6619628095807006E-5</v>
      </c>
      <c r="F2371" t="str">
        <f>"29/35"</f>
        <v>29/35</v>
      </c>
      <c r="G2371" s="10">
        <v>0.4284</v>
      </c>
    </row>
    <row r="2372" spans="1:7" x14ac:dyDescent="0.2">
      <c r="A2372" s="1" t="s">
        <v>122</v>
      </c>
      <c r="B2372" t="s">
        <v>2253</v>
      </c>
      <c r="C2372">
        <v>-2.73502211054547</v>
      </c>
      <c r="D2372">
        <v>0</v>
      </c>
      <c r="E2372" s="2">
        <v>7.6542156277712207E-5</v>
      </c>
      <c r="F2372" t="str">
        <f>"105/129"</f>
        <v>105/129</v>
      </c>
      <c r="G2372" s="10">
        <v>0.61709999999999998</v>
      </c>
    </row>
    <row r="2373" spans="1:7" x14ac:dyDescent="0.2">
      <c r="A2373" s="1" t="s">
        <v>122</v>
      </c>
      <c r="B2373" t="s">
        <v>1640</v>
      </c>
      <c r="C2373">
        <v>-2.7339158895288</v>
      </c>
      <c r="D2373">
        <v>0</v>
      </c>
      <c r="E2373" s="2">
        <v>7.6464840968340801E-5</v>
      </c>
      <c r="F2373" t="str">
        <f>"64/70"</f>
        <v>64/70</v>
      </c>
      <c r="G2373" s="10">
        <v>0.61809999999999998</v>
      </c>
    </row>
    <row r="2374" spans="1:7" x14ac:dyDescent="0.2">
      <c r="A2374" s="1" t="s">
        <v>122</v>
      </c>
      <c r="B2374" t="s">
        <v>2254</v>
      </c>
      <c r="C2374">
        <v>-2.7324650272650901</v>
      </c>
      <c r="D2374">
        <v>0</v>
      </c>
      <c r="E2374" s="2">
        <v>7.6387681693902498E-5</v>
      </c>
      <c r="F2374" t="str">
        <f>"21/21"</f>
        <v>21/21</v>
      </c>
      <c r="G2374" s="10">
        <v>0.51280000000000003</v>
      </c>
    </row>
    <row r="2375" spans="1:7" x14ac:dyDescent="0.2">
      <c r="A2375" s="1" t="s">
        <v>122</v>
      </c>
      <c r="B2375" t="s">
        <v>2255</v>
      </c>
      <c r="C2375">
        <v>-2.7317277896480698</v>
      </c>
      <c r="D2375">
        <v>0</v>
      </c>
      <c r="E2375" s="2">
        <v>7.6310677982517505E-5</v>
      </c>
      <c r="F2375" t="str">
        <f>"15/18"</f>
        <v>15/18</v>
      </c>
      <c r="G2375" s="10">
        <v>0.31109999999999999</v>
      </c>
    </row>
    <row r="2376" spans="1:7" x14ac:dyDescent="0.2">
      <c r="A2376" s="1" t="s">
        <v>122</v>
      </c>
      <c r="B2376" t="s">
        <v>2256</v>
      </c>
      <c r="C2376">
        <v>-2.7310950020456599</v>
      </c>
      <c r="D2376">
        <v>0</v>
      </c>
      <c r="E2376" s="2">
        <v>7.6233829364206801E-5</v>
      </c>
      <c r="F2376" t="str">
        <f>"30/31"</f>
        <v>30/31</v>
      </c>
      <c r="G2376" s="10">
        <v>0.56850000000000001</v>
      </c>
    </row>
    <row r="2377" spans="1:7" x14ac:dyDescent="0.2">
      <c r="A2377" s="1" t="s">
        <v>122</v>
      </c>
      <c r="B2377" t="s">
        <v>2257</v>
      </c>
      <c r="C2377">
        <v>-2.72980195464394</v>
      </c>
      <c r="D2377">
        <v>0</v>
      </c>
      <c r="E2377" s="2">
        <v>7.6157135370882604E-5</v>
      </c>
      <c r="F2377" t="str">
        <f>"23/23"</f>
        <v>23/23</v>
      </c>
      <c r="G2377" s="10">
        <v>0.53269999999999995</v>
      </c>
    </row>
    <row r="2378" spans="1:7" x14ac:dyDescent="0.2">
      <c r="A2378" s="1" t="s">
        <v>122</v>
      </c>
      <c r="B2378" t="s">
        <v>682</v>
      </c>
      <c r="C2378">
        <v>-2.72942238103201</v>
      </c>
      <c r="D2378">
        <v>0</v>
      </c>
      <c r="E2378" s="2">
        <v>7.6080595536338997E-5</v>
      </c>
      <c r="F2378" t="str">
        <f>"97/113"</f>
        <v>97/113</v>
      </c>
      <c r="G2378" s="10">
        <v>0.63009999999999999</v>
      </c>
    </row>
    <row r="2379" spans="1:7" x14ac:dyDescent="0.2">
      <c r="A2379" s="1" t="s">
        <v>122</v>
      </c>
      <c r="B2379" t="s">
        <v>2258</v>
      </c>
      <c r="C2379">
        <v>-2.7275356569693301</v>
      </c>
      <c r="D2379">
        <v>0</v>
      </c>
      <c r="E2379" s="2">
        <v>7.6004209396242302E-5</v>
      </c>
      <c r="F2379" t="str">
        <f>"77/91"</f>
        <v>77/91</v>
      </c>
      <c r="G2379" s="10">
        <v>0.62129999999999996</v>
      </c>
    </row>
    <row r="2380" spans="1:7" x14ac:dyDescent="0.2">
      <c r="A2380" s="1" t="s">
        <v>122</v>
      </c>
      <c r="B2380" t="s">
        <v>2259</v>
      </c>
      <c r="C2380">
        <v>-2.7231787662421501</v>
      </c>
      <c r="D2380">
        <v>0</v>
      </c>
      <c r="E2380" s="2">
        <v>7.5927976488121706E-5</v>
      </c>
      <c r="F2380" t="str">
        <f>"38/40"</f>
        <v>38/40</v>
      </c>
      <c r="G2380" s="10">
        <v>0.57410000000000005</v>
      </c>
    </row>
    <row r="2381" spans="1:7" x14ac:dyDescent="0.2">
      <c r="A2381" s="1" t="s">
        <v>122</v>
      </c>
      <c r="B2381" t="s">
        <v>2260</v>
      </c>
      <c r="C2381">
        <v>-2.7214078451684802</v>
      </c>
      <c r="D2381">
        <v>0</v>
      </c>
      <c r="E2381" s="2">
        <v>7.5851896351360095E-5</v>
      </c>
      <c r="F2381" t="str">
        <f>"28/31"</f>
        <v>28/31</v>
      </c>
      <c r="G2381" s="10">
        <v>0.52349999999999997</v>
      </c>
    </row>
    <row r="2382" spans="1:7" x14ac:dyDescent="0.2">
      <c r="A2382" s="1" t="s">
        <v>122</v>
      </c>
      <c r="B2382" t="s">
        <v>2261</v>
      </c>
      <c r="C2382">
        <v>-2.7189416032596698</v>
      </c>
      <c r="D2382">
        <v>0</v>
      </c>
      <c r="E2382" s="2">
        <v>7.5775968527184504E-5</v>
      </c>
      <c r="F2382" t="str">
        <f>"45/53"</f>
        <v>45/53</v>
      </c>
      <c r="G2382" s="10">
        <v>0.53359999999999996</v>
      </c>
    </row>
    <row r="2383" spans="1:7" x14ac:dyDescent="0.2">
      <c r="A2383" s="1" t="s">
        <v>122</v>
      </c>
      <c r="B2383" t="s">
        <v>2262</v>
      </c>
      <c r="C2383">
        <v>-2.7184034215288602</v>
      </c>
      <c r="D2383">
        <v>0</v>
      </c>
      <c r="E2383" s="2">
        <v>7.56245679906667E-5</v>
      </c>
      <c r="F2383" t="str">
        <f>"21/21"</f>
        <v>21/21</v>
      </c>
      <c r="G2383" s="10">
        <v>0.50839999999999996</v>
      </c>
    </row>
    <row r="2384" spans="1:7" x14ac:dyDescent="0.2">
      <c r="A2384" s="1" t="s">
        <v>122</v>
      </c>
      <c r="B2384" t="s">
        <v>2263</v>
      </c>
      <c r="C2384">
        <v>-2.7184034215288602</v>
      </c>
      <c r="D2384">
        <v>0</v>
      </c>
      <c r="E2384" s="2">
        <v>7.56245679906667E-5</v>
      </c>
      <c r="F2384" t="str">
        <f>"21/21"</f>
        <v>21/21</v>
      </c>
      <c r="G2384" s="10">
        <v>0.50839999999999996</v>
      </c>
    </row>
    <row r="2385" spans="1:7" x14ac:dyDescent="0.2">
      <c r="A2385" s="1" t="s">
        <v>122</v>
      </c>
      <c r="B2385" t="s">
        <v>2264</v>
      </c>
      <c r="C2385">
        <v>-2.71736373033246</v>
      </c>
      <c r="D2385">
        <v>0</v>
      </c>
      <c r="E2385" s="2">
        <v>7.5549094369917498E-5</v>
      </c>
      <c r="F2385" t="str">
        <f>"21/21"</f>
        <v>21/21</v>
      </c>
      <c r="G2385" s="10">
        <v>0.52729999999999999</v>
      </c>
    </row>
    <row r="2386" spans="1:7" x14ac:dyDescent="0.2">
      <c r="A2386" s="1" t="s">
        <v>122</v>
      </c>
      <c r="B2386" t="s">
        <v>726</v>
      </c>
      <c r="C2386">
        <v>-2.7132061664562199</v>
      </c>
      <c r="D2386">
        <v>0</v>
      </c>
      <c r="E2386" s="2">
        <v>7.5473771244922595E-5</v>
      </c>
      <c r="F2386" t="str">
        <f>"16/19"</f>
        <v>16/19</v>
      </c>
      <c r="G2386" s="10">
        <v>0.3669</v>
      </c>
    </row>
    <row r="2387" spans="1:7" x14ac:dyDescent="0.2">
      <c r="A2387" s="1" t="s">
        <v>122</v>
      </c>
      <c r="B2387" t="s">
        <v>2265</v>
      </c>
      <c r="C2387">
        <v>-2.7113143882605701</v>
      </c>
      <c r="D2387">
        <v>0</v>
      </c>
      <c r="E2387" s="2">
        <v>7.5398598165993394E-5</v>
      </c>
      <c r="F2387" t="str">
        <f>"63/68"</f>
        <v>63/68</v>
      </c>
      <c r="G2387" s="10">
        <v>0.64539999999999997</v>
      </c>
    </row>
    <row r="2388" spans="1:7" x14ac:dyDescent="0.2">
      <c r="A2388" s="1" t="s">
        <v>122</v>
      </c>
      <c r="B2388" t="s">
        <v>2266</v>
      </c>
      <c r="C2388">
        <v>-2.7094166912176201</v>
      </c>
      <c r="D2388">
        <v>0</v>
      </c>
      <c r="E2388" s="2">
        <v>7.5323574685231203E-5</v>
      </c>
      <c r="F2388" t="str">
        <f>"19/20"</f>
        <v>19/20</v>
      </c>
      <c r="G2388" s="10">
        <v>0.47099999999999997</v>
      </c>
    </row>
    <row r="2389" spans="1:7" x14ac:dyDescent="0.2">
      <c r="A2389" s="1" t="s">
        <v>122</v>
      </c>
      <c r="B2389" t="s">
        <v>2267</v>
      </c>
      <c r="C2389">
        <v>-2.70848033060398</v>
      </c>
      <c r="D2389">
        <v>0</v>
      </c>
      <c r="E2389" s="2">
        <v>7.5248700356518204E-5</v>
      </c>
      <c r="F2389" t="str">
        <f>"27/30"</f>
        <v>27/30</v>
      </c>
      <c r="G2389" s="10">
        <v>0.48899999999999999</v>
      </c>
    </row>
    <row r="2390" spans="1:7" x14ac:dyDescent="0.2">
      <c r="A2390" s="1" t="s">
        <v>122</v>
      </c>
      <c r="B2390" t="s">
        <v>1487</v>
      </c>
      <c r="C2390">
        <v>-2.7064718528902199</v>
      </c>
      <c r="D2390">
        <v>0</v>
      </c>
      <c r="E2390" s="2">
        <v>7.5173974735508799E-5</v>
      </c>
      <c r="F2390" t="str">
        <f>"117/130"</f>
        <v>117/130</v>
      </c>
      <c r="G2390" s="10">
        <v>0.69799999999999995</v>
      </c>
    </row>
    <row r="2391" spans="1:7" x14ac:dyDescent="0.2">
      <c r="A2391" s="1" t="s">
        <v>122</v>
      </c>
      <c r="B2391" t="s">
        <v>2268</v>
      </c>
      <c r="C2391">
        <v>-2.7059336158930001</v>
      </c>
      <c r="D2391">
        <v>0</v>
      </c>
      <c r="E2391" s="2">
        <v>7.50993973796204E-5</v>
      </c>
      <c r="F2391" t="str">
        <f>"18/20"</f>
        <v>18/20</v>
      </c>
      <c r="G2391" s="10">
        <v>0.40089999999999998</v>
      </c>
    </row>
    <row r="2392" spans="1:7" x14ac:dyDescent="0.2">
      <c r="A2392" s="1" t="s">
        <v>122</v>
      </c>
      <c r="B2392" t="s">
        <v>2269</v>
      </c>
      <c r="C2392">
        <v>-2.6970639357805801</v>
      </c>
      <c r="D2392">
        <v>0</v>
      </c>
      <c r="E2392" s="2">
        <v>7.5024967848025105E-5</v>
      </c>
      <c r="F2392" t="str">
        <f>"47/54"</f>
        <v>47/54</v>
      </c>
      <c r="G2392" s="10">
        <v>0.5696</v>
      </c>
    </row>
    <row r="2393" spans="1:7" x14ac:dyDescent="0.2">
      <c r="A2393" s="1" t="s">
        <v>122</v>
      </c>
      <c r="B2393" t="s">
        <v>2270</v>
      </c>
      <c r="C2393">
        <v>-2.6952704066930702</v>
      </c>
      <c r="D2393">
        <v>0</v>
      </c>
      <c r="E2393" s="2">
        <v>7.49506857016409E-5</v>
      </c>
      <c r="F2393" t="str">
        <f>"31/40"</f>
        <v>31/40</v>
      </c>
      <c r="G2393" s="10">
        <v>0.4249</v>
      </c>
    </row>
    <row r="2394" spans="1:7" x14ac:dyDescent="0.2">
      <c r="A2394" s="1" t="s">
        <v>122</v>
      </c>
      <c r="B2394" t="s">
        <v>2271</v>
      </c>
      <c r="C2394">
        <v>-2.6937739561175902</v>
      </c>
      <c r="D2394">
        <v>0</v>
      </c>
      <c r="E2394" s="2">
        <v>7.4876550503123006E-5</v>
      </c>
      <c r="F2394" t="str">
        <f>"43/49"</f>
        <v>43/49</v>
      </c>
      <c r="G2394" s="10">
        <v>0.56799999999999995</v>
      </c>
    </row>
    <row r="2395" spans="1:7" x14ac:dyDescent="0.2">
      <c r="A2395" s="1" t="s">
        <v>122</v>
      </c>
      <c r="B2395" t="s">
        <v>2272</v>
      </c>
      <c r="C2395">
        <v>-2.6931638831071298</v>
      </c>
      <c r="D2395">
        <v>0</v>
      </c>
      <c r="E2395" s="2">
        <v>7.4802561816855102E-5</v>
      </c>
      <c r="F2395" t="str">
        <f>"44/49"</f>
        <v>44/49</v>
      </c>
      <c r="G2395" s="10">
        <v>0.59050000000000002</v>
      </c>
    </row>
    <row r="2396" spans="1:7" x14ac:dyDescent="0.2">
      <c r="A2396" s="1" t="s">
        <v>122</v>
      </c>
      <c r="B2396" t="s">
        <v>1135</v>
      </c>
      <c r="C2396">
        <v>-2.6917095264250999</v>
      </c>
      <c r="D2396">
        <v>0</v>
      </c>
      <c r="E2396" s="2">
        <v>7.4728719208941094E-5</v>
      </c>
      <c r="F2396" t="str">
        <f>"17/17"</f>
        <v>17/17</v>
      </c>
      <c r="G2396" s="10">
        <v>0.52869999999999995</v>
      </c>
    </row>
    <row r="2397" spans="1:7" x14ac:dyDescent="0.2">
      <c r="A2397" s="1" t="s">
        <v>122</v>
      </c>
      <c r="B2397" t="s">
        <v>2273</v>
      </c>
      <c r="C2397">
        <v>-2.6910955135701302</v>
      </c>
      <c r="D2397">
        <v>0</v>
      </c>
      <c r="E2397" s="2">
        <v>7.4655022247196594E-5</v>
      </c>
      <c r="F2397" t="str">
        <f>"34/34"</f>
        <v>34/34</v>
      </c>
      <c r="G2397" s="10">
        <v>0.61450000000000005</v>
      </c>
    </row>
    <row r="2398" spans="1:7" x14ac:dyDescent="0.2">
      <c r="A2398" s="1" t="s">
        <v>122</v>
      </c>
      <c r="B2398" t="s">
        <v>2274</v>
      </c>
      <c r="C2398">
        <v>-2.69101471136864</v>
      </c>
      <c r="D2398">
        <v>0</v>
      </c>
      <c r="E2398" s="2">
        <v>7.4581470501140201E-5</v>
      </c>
      <c r="F2398" t="str">
        <f>"65/76"</f>
        <v>65/76</v>
      </c>
      <c r="G2398" s="10">
        <v>0.58040000000000003</v>
      </c>
    </row>
    <row r="2399" spans="1:7" x14ac:dyDescent="0.2">
      <c r="A2399" s="1" t="s">
        <v>122</v>
      </c>
      <c r="B2399" t="s">
        <v>362</v>
      </c>
      <c r="C2399">
        <v>-2.69081756088644</v>
      </c>
      <c r="D2399">
        <v>0</v>
      </c>
      <c r="E2399" s="2">
        <v>7.4508063541985596E-5</v>
      </c>
      <c r="F2399" t="str">
        <f>"36/41"</f>
        <v>36/41</v>
      </c>
      <c r="G2399" s="10">
        <v>0.52869999999999995</v>
      </c>
    </row>
    <row r="2400" spans="1:7" x14ac:dyDescent="0.2">
      <c r="A2400" s="1" t="s">
        <v>122</v>
      </c>
      <c r="B2400" t="s">
        <v>1090</v>
      </c>
      <c r="C2400">
        <v>-2.68895584070206</v>
      </c>
      <c r="D2400">
        <v>0</v>
      </c>
      <c r="E2400" s="2">
        <v>7.4434800942632597E-5</v>
      </c>
      <c r="F2400" t="str">
        <f>"21/21"</f>
        <v>21/21</v>
      </c>
      <c r="G2400" s="10">
        <v>0.52880000000000005</v>
      </c>
    </row>
    <row r="2401" spans="1:7" x14ac:dyDescent="0.2">
      <c r="A2401" s="1" t="s">
        <v>122</v>
      </c>
      <c r="B2401" t="s">
        <v>2275</v>
      </c>
      <c r="C2401">
        <v>-2.6878303020277801</v>
      </c>
      <c r="D2401">
        <v>0</v>
      </c>
      <c r="E2401" s="2">
        <v>7.4361682277659501E-5</v>
      </c>
      <c r="F2401" t="str">
        <f>"17/19"</f>
        <v>17/19</v>
      </c>
      <c r="G2401" s="10">
        <v>0.37709999999999999</v>
      </c>
    </row>
    <row r="2402" spans="1:7" x14ac:dyDescent="0.2">
      <c r="A2402" s="1" t="s">
        <v>122</v>
      </c>
      <c r="B2402" t="s">
        <v>2276</v>
      </c>
      <c r="C2402">
        <v>-2.6837257059023201</v>
      </c>
      <c r="D2402">
        <v>0</v>
      </c>
      <c r="E2402" s="2">
        <v>7.4288707123314402E-5</v>
      </c>
      <c r="F2402" t="str">
        <f>"21/22"</f>
        <v>21/22</v>
      </c>
      <c r="G2402" s="10">
        <v>0.48870000000000002</v>
      </c>
    </row>
    <row r="2403" spans="1:7" x14ac:dyDescent="0.2">
      <c r="A2403" s="1" t="s">
        <v>122</v>
      </c>
      <c r="B2403" t="s">
        <v>2277</v>
      </c>
      <c r="C2403">
        <v>-2.6835146855801302</v>
      </c>
      <c r="D2403">
        <v>0</v>
      </c>
      <c r="E2403" s="2">
        <v>9.8954500076676305E-5</v>
      </c>
      <c r="F2403" t="str">
        <f>"47/54"</f>
        <v>47/54</v>
      </c>
      <c r="G2403" s="10">
        <v>0.57179999999999997</v>
      </c>
    </row>
    <row r="2404" spans="1:7" x14ac:dyDescent="0.2">
      <c r="A2404" s="1" t="s">
        <v>122</v>
      </c>
      <c r="B2404" t="s">
        <v>983</v>
      </c>
      <c r="C2404">
        <v>-2.6834913554024999</v>
      </c>
      <c r="D2404">
        <v>0</v>
      </c>
      <c r="E2404" s="2">
        <v>9.8857580879735404E-5</v>
      </c>
      <c r="F2404" t="str">
        <f>"33/36"</f>
        <v>33/36</v>
      </c>
      <c r="G2404" s="10">
        <v>0.54330000000000001</v>
      </c>
    </row>
    <row r="2405" spans="1:7" x14ac:dyDescent="0.2">
      <c r="A2405" s="1" t="s">
        <v>122</v>
      </c>
      <c r="B2405" t="s">
        <v>2278</v>
      </c>
      <c r="C2405">
        <v>-2.6795591372509602</v>
      </c>
      <c r="D2405">
        <v>0</v>
      </c>
      <c r="E2405" s="2">
        <v>9.8760851348541899E-5</v>
      </c>
      <c r="F2405" t="str">
        <f>"14/16"</f>
        <v>14/16</v>
      </c>
      <c r="G2405" s="10">
        <v>0.34970000000000001</v>
      </c>
    </row>
    <row r="2406" spans="1:7" x14ac:dyDescent="0.2">
      <c r="A2406" s="1" t="s">
        <v>122</v>
      </c>
      <c r="B2406" t="s">
        <v>1095</v>
      </c>
      <c r="C2406">
        <v>-2.6784895896268202</v>
      </c>
      <c r="D2406">
        <v>0</v>
      </c>
      <c r="E2406" s="2">
        <v>9.8664310926891306E-5</v>
      </c>
      <c r="F2406" t="str">
        <f>"15/16"</f>
        <v>15/16</v>
      </c>
      <c r="G2406" s="10">
        <v>0.40360000000000001</v>
      </c>
    </row>
    <row r="2407" spans="1:7" x14ac:dyDescent="0.2">
      <c r="A2407" s="1" t="s">
        <v>122</v>
      </c>
      <c r="B2407" t="s">
        <v>784</v>
      </c>
      <c r="C2407">
        <v>-2.6782075283323898</v>
      </c>
      <c r="D2407">
        <v>0</v>
      </c>
      <c r="E2407" s="2">
        <v>9.8567959060751802E-5</v>
      </c>
      <c r="F2407" t="str">
        <f>"76/88"</f>
        <v>76/88</v>
      </c>
      <c r="G2407" s="10">
        <v>0.61419999999999997</v>
      </c>
    </row>
    <row r="2408" spans="1:7" x14ac:dyDescent="0.2">
      <c r="A2408" s="1" t="s">
        <v>122</v>
      </c>
      <c r="B2408" t="s">
        <v>295</v>
      </c>
      <c r="C2408">
        <v>-2.6765626608654398</v>
      </c>
      <c r="D2408">
        <v>0</v>
      </c>
      <c r="E2408" s="2">
        <v>9.8471795198253504E-5</v>
      </c>
      <c r="F2408" t="str">
        <f>"99/106"</f>
        <v>99/106</v>
      </c>
      <c r="G2408" s="10">
        <v>0.71450000000000002</v>
      </c>
    </row>
    <row r="2409" spans="1:7" x14ac:dyDescent="0.2">
      <c r="A2409" s="1" t="s">
        <v>122</v>
      </c>
      <c r="B2409" t="s">
        <v>2279</v>
      </c>
      <c r="C2409">
        <v>-2.6736278226428198</v>
      </c>
      <c r="D2409">
        <v>0</v>
      </c>
      <c r="E2409" s="2">
        <v>9.8375818789678195E-5</v>
      </c>
      <c r="F2409" t="str">
        <f>"38/40"</f>
        <v>38/40</v>
      </c>
      <c r="G2409" s="10">
        <v>0.56330000000000002</v>
      </c>
    </row>
    <row r="2410" spans="1:7" x14ac:dyDescent="0.2">
      <c r="A2410" s="1" t="s">
        <v>122</v>
      </c>
      <c r="B2410" t="s">
        <v>2280</v>
      </c>
      <c r="C2410">
        <v>-2.6734464786310901</v>
      </c>
      <c r="D2410">
        <v>0</v>
      </c>
      <c r="E2410" s="2">
        <v>9.8280029287448701E-5</v>
      </c>
      <c r="F2410" t="str">
        <f>"23/24"</f>
        <v>23/24</v>
      </c>
      <c r="G2410" s="10">
        <v>0.50819999999999999</v>
      </c>
    </row>
    <row r="2411" spans="1:7" x14ac:dyDescent="0.2">
      <c r="A2411" s="1" t="s">
        <v>122</v>
      </c>
      <c r="B2411" t="s">
        <v>620</v>
      </c>
      <c r="C2411">
        <v>-2.6733966495009298</v>
      </c>
      <c r="D2411">
        <v>0</v>
      </c>
      <c r="E2411" s="2">
        <v>9.8184426146118495E-5</v>
      </c>
      <c r="F2411" t="str">
        <f>"48/89"</f>
        <v>48/89</v>
      </c>
      <c r="G2411" s="10">
        <v>0.3165</v>
      </c>
    </row>
    <row r="2412" spans="1:7" x14ac:dyDescent="0.2">
      <c r="A2412" s="1" t="s">
        <v>122</v>
      </c>
      <c r="B2412" t="s">
        <v>2281</v>
      </c>
      <c r="C2412">
        <v>-2.6705746290471799</v>
      </c>
      <c r="D2412">
        <v>0</v>
      </c>
      <c r="E2412" s="2">
        <v>9.8089008822361301E-5</v>
      </c>
      <c r="F2412" t="str">
        <f>"16/17"</f>
        <v>16/17</v>
      </c>
      <c r="G2412" s="10">
        <v>0.4163</v>
      </c>
    </row>
    <row r="2413" spans="1:7" x14ac:dyDescent="0.2">
      <c r="A2413" s="1" t="s">
        <v>122</v>
      </c>
      <c r="B2413" t="s">
        <v>2282</v>
      </c>
      <c r="C2413">
        <v>-2.6692616634399999</v>
      </c>
      <c r="D2413">
        <v>0</v>
      </c>
      <c r="E2413" s="2">
        <v>9.7993776774960999E-5</v>
      </c>
      <c r="F2413" t="str">
        <f>"43/51"</f>
        <v>43/51</v>
      </c>
      <c r="G2413" s="10">
        <v>0.50119999999999998</v>
      </c>
    </row>
    <row r="2414" spans="1:7" x14ac:dyDescent="0.2">
      <c r="A2414" s="1" t="s">
        <v>122</v>
      </c>
      <c r="B2414" t="s">
        <v>2283</v>
      </c>
      <c r="C2414">
        <v>-2.6674769881791098</v>
      </c>
      <c r="D2414">
        <v>0</v>
      </c>
      <c r="E2414" s="2">
        <v>9.7898729464800999E-5</v>
      </c>
      <c r="F2414" t="str">
        <f>"14/15"</f>
        <v>14/15</v>
      </c>
      <c r="G2414" s="10">
        <v>0.39329999999999998</v>
      </c>
    </row>
    <row r="2415" spans="1:7" x14ac:dyDescent="0.2">
      <c r="A2415" s="1" t="s">
        <v>122</v>
      </c>
      <c r="B2415" t="s">
        <v>364</v>
      </c>
      <c r="C2415">
        <v>-2.66614138763132</v>
      </c>
      <c r="D2415">
        <v>0</v>
      </c>
      <c r="E2415" s="2">
        <v>9.78038663548545E-5</v>
      </c>
      <c r="F2415" t="str">
        <f>"38/46"</f>
        <v>38/46</v>
      </c>
      <c r="G2415" s="10">
        <v>0.47860000000000003</v>
      </c>
    </row>
    <row r="2416" spans="1:7" x14ac:dyDescent="0.2">
      <c r="A2416" s="1" t="s">
        <v>122</v>
      </c>
      <c r="B2416" t="s">
        <v>1217</v>
      </c>
      <c r="C2416">
        <v>-2.6655233244551102</v>
      </c>
      <c r="D2416">
        <v>0</v>
      </c>
      <c r="E2416" s="2">
        <v>9.7709186910174101E-5</v>
      </c>
      <c r="F2416" t="str">
        <f>"26/31"</f>
        <v>26/31</v>
      </c>
      <c r="G2416" s="10">
        <v>0.45929999999999999</v>
      </c>
    </row>
    <row r="2417" spans="1:7" x14ac:dyDescent="0.2">
      <c r="A2417" s="1" t="s">
        <v>122</v>
      </c>
      <c r="B2417" t="s">
        <v>2284</v>
      </c>
      <c r="C2417">
        <v>-2.66532175492876</v>
      </c>
      <c r="D2417">
        <v>0</v>
      </c>
      <c r="E2417" s="2">
        <v>9.7614690597881796E-5</v>
      </c>
      <c r="F2417" t="str">
        <f>"26/32"</f>
        <v>26/32</v>
      </c>
      <c r="G2417" s="10">
        <v>0.43369999999999997</v>
      </c>
    </row>
    <row r="2418" spans="1:7" x14ac:dyDescent="0.2">
      <c r="A2418" s="1" t="s">
        <v>122</v>
      </c>
      <c r="B2418" t="s">
        <v>2285</v>
      </c>
      <c r="C2418">
        <v>-2.6643464418164302</v>
      </c>
      <c r="D2418">
        <v>0</v>
      </c>
      <c r="E2418" s="2">
        <v>9.7520376887159205E-5</v>
      </c>
      <c r="F2418" t="str">
        <f>"13/15"</f>
        <v>13/15</v>
      </c>
      <c r="G2418" s="10">
        <v>0.35980000000000001</v>
      </c>
    </row>
    <row r="2419" spans="1:7" x14ac:dyDescent="0.2">
      <c r="A2419" s="1" t="s">
        <v>122</v>
      </c>
      <c r="B2419" t="s">
        <v>2286</v>
      </c>
      <c r="C2419">
        <v>-2.6637092185001201</v>
      </c>
      <c r="D2419">
        <v>0</v>
      </c>
      <c r="E2419" s="2">
        <v>9.7426245249237299E-5</v>
      </c>
      <c r="F2419" t="str">
        <f>"26/31"</f>
        <v>26/31</v>
      </c>
      <c r="G2419" s="10">
        <v>0.47320000000000001</v>
      </c>
    </row>
    <row r="2420" spans="1:7" x14ac:dyDescent="0.2">
      <c r="A2420" s="1" t="s">
        <v>122</v>
      </c>
      <c r="B2420" t="s">
        <v>2287</v>
      </c>
      <c r="C2420">
        <v>-2.6625044475544302</v>
      </c>
      <c r="D2420">
        <v>0</v>
      </c>
      <c r="E2420" s="2">
        <v>9.7332295157386497E-5</v>
      </c>
      <c r="F2420" t="str">
        <f>"25/29"</f>
        <v>25/29</v>
      </c>
      <c r="G2420" s="10">
        <v>0.44330000000000003</v>
      </c>
    </row>
    <row r="2421" spans="1:7" x14ac:dyDescent="0.2">
      <c r="A2421" s="1" t="s">
        <v>122</v>
      </c>
      <c r="B2421" t="s">
        <v>2288</v>
      </c>
      <c r="C2421">
        <v>-2.6619993890888698</v>
      </c>
      <c r="D2421">
        <v>0</v>
      </c>
      <c r="E2421" s="2">
        <v>9.7238526086907293E-5</v>
      </c>
      <c r="F2421" t="str">
        <f>"25/27"</f>
        <v>25/27</v>
      </c>
      <c r="G2421" s="10">
        <v>0.4869</v>
      </c>
    </row>
    <row r="2422" spans="1:7" x14ac:dyDescent="0.2">
      <c r="A2422" s="1" t="s">
        <v>122</v>
      </c>
      <c r="B2422" t="s">
        <v>1366</v>
      </c>
      <c r="C2422">
        <v>-2.6602756020126401</v>
      </c>
      <c r="D2422">
        <v>0</v>
      </c>
      <c r="E2422" s="2">
        <v>9.7144937515120105E-5</v>
      </c>
      <c r="F2422" t="str">
        <f>"70/78"</f>
        <v>70/78</v>
      </c>
      <c r="G2422" s="10">
        <v>0.64300000000000002</v>
      </c>
    </row>
    <row r="2423" spans="1:7" x14ac:dyDescent="0.2">
      <c r="A2423" s="1" t="s">
        <v>122</v>
      </c>
      <c r="B2423" t="s">
        <v>1027</v>
      </c>
      <c r="C2423">
        <v>-2.6597868452288398</v>
      </c>
      <c r="D2423">
        <v>0</v>
      </c>
      <c r="E2423" s="2">
        <v>9.6958299786945094E-5</v>
      </c>
      <c r="F2423" t="str">
        <f>"22/24"</f>
        <v>22/24</v>
      </c>
      <c r="G2423" s="10">
        <v>0.48880000000000001</v>
      </c>
    </row>
    <row r="2424" spans="1:7" x14ac:dyDescent="0.2">
      <c r="A2424" s="1" t="s">
        <v>122</v>
      </c>
      <c r="B2424" t="s">
        <v>1028</v>
      </c>
      <c r="C2424">
        <v>-2.6597868452288398</v>
      </c>
      <c r="D2424">
        <v>0</v>
      </c>
      <c r="E2424" s="2">
        <v>9.6958299786945094E-5</v>
      </c>
      <c r="F2424" t="str">
        <f>"22/24"</f>
        <v>22/24</v>
      </c>
      <c r="G2424" s="10">
        <v>0.48880000000000001</v>
      </c>
    </row>
    <row r="2425" spans="1:7" x14ac:dyDescent="0.2">
      <c r="A2425" s="1" t="s">
        <v>122</v>
      </c>
      <c r="B2425" t="s">
        <v>38</v>
      </c>
      <c r="C2425">
        <v>-2.6586322177662298</v>
      </c>
      <c r="D2425">
        <v>0</v>
      </c>
      <c r="E2425" s="2">
        <v>9.6865249595210902E-5</v>
      </c>
      <c r="F2425" t="str">
        <f>"58/63"</f>
        <v>58/63</v>
      </c>
      <c r="G2425" s="10">
        <v>0.64810000000000001</v>
      </c>
    </row>
    <row r="2426" spans="1:7" x14ac:dyDescent="0.2">
      <c r="A2426" s="1" t="s">
        <v>122</v>
      </c>
      <c r="B2426" t="s">
        <v>1305</v>
      </c>
      <c r="C2426">
        <v>-2.6584415366283798</v>
      </c>
      <c r="D2426">
        <v>0</v>
      </c>
      <c r="E2426" s="2">
        <v>9.6772377831457095E-5</v>
      </c>
      <c r="F2426" t="str">
        <f>"41/46"</f>
        <v>41/46</v>
      </c>
      <c r="G2426" s="10">
        <v>0.55830000000000002</v>
      </c>
    </row>
    <row r="2427" spans="1:7" x14ac:dyDescent="0.2">
      <c r="A2427" s="1" t="s">
        <v>122</v>
      </c>
      <c r="B2427" t="s">
        <v>2289</v>
      </c>
      <c r="C2427">
        <v>-2.65829873133218</v>
      </c>
      <c r="D2427">
        <v>0</v>
      </c>
      <c r="E2427" s="2">
        <v>9.6679683982959599E-5</v>
      </c>
      <c r="F2427" t="str">
        <f>"18/18"</f>
        <v>18/18</v>
      </c>
      <c r="G2427" s="10">
        <v>0.4924</v>
      </c>
    </row>
    <row r="2428" spans="1:7" x14ac:dyDescent="0.2">
      <c r="A2428" s="1" t="s">
        <v>122</v>
      </c>
      <c r="B2428" t="s">
        <v>2290</v>
      </c>
      <c r="C2428">
        <v>-2.6559130140052098</v>
      </c>
      <c r="D2428">
        <v>0</v>
      </c>
      <c r="E2428" s="2">
        <v>9.6587167538956804E-5</v>
      </c>
      <c r="F2428" t="str">
        <f>"33/35"</f>
        <v>33/35</v>
      </c>
      <c r="G2428" s="10">
        <v>0.59050000000000002</v>
      </c>
    </row>
    <row r="2429" spans="1:7" x14ac:dyDescent="0.2">
      <c r="A2429" s="1" t="s">
        <v>122</v>
      </c>
      <c r="B2429" t="s">
        <v>800</v>
      </c>
      <c r="C2429">
        <v>-2.6534848906329702</v>
      </c>
      <c r="D2429">
        <v>0</v>
      </c>
      <c r="E2429" s="2">
        <v>9.6494827990640299E-5</v>
      </c>
      <c r="F2429" t="str">
        <f>"30/35"</f>
        <v>30/35</v>
      </c>
      <c r="G2429" s="10">
        <v>0.47189999999999999</v>
      </c>
    </row>
    <row r="2430" spans="1:7" x14ac:dyDescent="0.2">
      <c r="A2430" s="1" t="s">
        <v>122</v>
      </c>
      <c r="B2430" t="s">
        <v>929</v>
      </c>
      <c r="C2430">
        <v>-2.65338278249618</v>
      </c>
      <c r="D2430">
        <v>0</v>
      </c>
      <c r="E2430" s="2">
        <v>9.6402664831145895E-5</v>
      </c>
      <c r="F2430" t="str">
        <f>"11/19"</f>
        <v>11/19</v>
      </c>
      <c r="G2430" s="10">
        <v>9.4299999999999995E-2</v>
      </c>
    </row>
    <row r="2431" spans="1:7" x14ac:dyDescent="0.2">
      <c r="A2431" s="1" t="s">
        <v>122</v>
      </c>
      <c r="B2431" t="s">
        <v>794</v>
      </c>
      <c r="C2431">
        <v>-2.65282789975288</v>
      </c>
      <c r="D2431">
        <v>0</v>
      </c>
      <c r="E2431" s="2">
        <v>9.6310677555543699E-5</v>
      </c>
      <c r="F2431" t="str">
        <f>"35/38"</f>
        <v>35/38</v>
      </c>
      <c r="G2431" s="10">
        <v>0.54479999999999995</v>
      </c>
    </row>
    <row r="2432" spans="1:7" x14ac:dyDescent="0.2">
      <c r="A2432" s="1" t="s">
        <v>122</v>
      </c>
      <c r="B2432" t="s">
        <v>2291</v>
      </c>
      <c r="C2432">
        <v>-2.6504593816964901</v>
      </c>
      <c r="D2432">
        <v>0</v>
      </c>
      <c r="E2432" s="2">
        <v>9.6218865660829199E-5</v>
      </c>
      <c r="F2432" t="str">
        <f>"48/57"</f>
        <v>48/57</v>
      </c>
      <c r="G2432" s="10">
        <v>0.53359999999999996</v>
      </c>
    </row>
    <row r="2433" spans="1:7" x14ac:dyDescent="0.2">
      <c r="A2433" s="1" t="s">
        <v>122</v>
      </c>
      <c r="B2433" t="s">
        <v>323</v>
      </c>
      <c r="C2433">
        <v>-2.6491876948653901</v>
      </c>
      <c r="D2433">
        <v>0</v>
      </c>
      <c r="E2433" s="2">
        <v>9.6127228645914102E-5</v>
      </c>
      <c r="F2433" t="str">
        <f>"37/44"</f>
        <v>37/44</v>
      </c>
      <c r="G2433" s="10">
        <v>0.5252</v>
      </c>
    </row>
    <row r="2434" spans="1:7" x14ac:dyDescent="0.2">
      <c r="A2434" s="1" t="s">
        <v>122</v>
      </c>
      <c r="B2434" t="s">
        <v>1357</v>
      </c>
      <c r="C2434">
        <v>-2.64861984927831</v>
      </c>
      <c r="D2434">
        <v>0</v>
      </c>
      <c r="E2434" s="2">
        <v>9.6035766011617294E-5</v>
      </c>
      <c r="F2434" t="str">
        <f>"38/39"</f>
        <v>38/39</v>
      </c>
      <c r="G2434" s="10">
        <v>0.61839999999999995</v>
      </c>
    </row>
    <row r="2435" spans="1:7" x14ac:dyDescent="0.2">
      <c r="A2435" s="1" t="s">
        <v>122</v>
      </c>
      <c r="B2435" t="s">
        <v>2292</v>
      </c>
      <c r="C2435">
        <v>-2.6476549594913599</v>
      </c>
      <c r="D2435">
        <v>0</v>
      </c>
      <c r="E2435" s="2">
        <v>9.5944477260655694E-5</v>
      </c>
      <c r="F2435" t="str">
        <f>"26/28"</f>
        <v>26/28</v>
      </c>
      <c r="G2435" s="10">
        <v>0.53900000000000003</v>
      </c>
    </row>
    <row r="2436" spans="1:7" x14ac:dyDescent="0.2">
      <c r="A2436" s="1" t="s">
        <v>122</v>
      </c>
      <c r="B2436" t="s">
        <v>2293</v>
      </c>
      <c r="C2436">
        <v>-2.6470949116305098</v>
      </c>
      <c r="D2436">
        <v>0</v>
      </c>
      <c r="E2436" s="2">
        <v>9.5853361897635102E-5</v>
      </c>
      <c r="F2436" t="str">
        <f>"21/24"</f>
        <v>21/24</v>
      </c>
      <c r="G2436" s="10">
        <v>0.46629999999999999</v>
      </c>
    </row>
    <row r="2437" spans="1:7" x14ac:dyDescent="0.2">
      <c r="A2437" s="1" t="s">
        <v>122</v>
      </c>
      <c r="B2437" t="s">
        <v>2294</v>
      </c>
      <c r="C2437">
        <v>-2.6462700427988399</v>
      </c>
      <c r="D2437">
        <v>0</v>
      </c>
      <c r="E2437" s="2">
        <v>9.5762419429041597E-5</v>
      </c>
      <c r="F2437" t="str">
        <f>"113/138"</f>
        <v>113/138</v>
      </c>
      <c r="G2437" s="10">
        <v>0.61839999999999995</v>
      </c>
    </row>
    <row r="2438" spans="1:7" x14ac:dyDescent="0.2">
      <c r="A2438" s="1" t="s">
        <v>122</v>
      </c>
      <c r="B2438" t="s">
        <v>2295</v>
      </c>
      <c r="C2438">
        <v>-2.64619156367888</v>
      </c>
      <c r="D2438">
        <v>0</v>
      </c>
      <c r="E2438" s="2">
        <v>9.5671649363231995E-5</v>
      </c>
      <c r="F2438" t="str">
        <f>"27/30"</f>
        <v>27/30</v>
      </c>
      <c r="G2438" s="10">
        <v>0.52349999999999997</v>
      </c>
    </row>
    <row r="2439" spans="1:7" x14ac:dyDescent="0.2">
      <c r="A2439" s="1" t="s">
        <v>122</v>
      </c>
      <c r="B2439" t="s">
        <v>2296</v>
      </c>
      <c r="C2439">
        <v>-2.6426268395583401</v>
      </c>
      <c r="D2439">
        <v>0</v>
      </c>
      <c r="E2439" s="2">
        <v>9.5581051210426001E-5</v>
      </c>
      <c r="F2439" t="str">
        <f>"43/47"</f>
        <v>43/47</v>
      </c>
      <c r="G2439" s="10">
        <v>0.61439999999999995</v>
      </c>
    </row>
    <row r="2440" spans="1:7" x14ac:dyDescent="0.2">
      <c r="A2440" s="1" t="s">
        <v>122</v>
      </c>
      <c r="B2440" t="s">
        <v>2297</v>
      </c>
      <c r="C2440">
        <v>-2.6412211136271999</v>
      </c>
      <c r="D2440">
        <v>0</v>
      </c>
      <c r="E2440" s="2">
        <v>9.54906244826961E-5</v>
      </c>
      <c r="F2440" t="str">
        <f>"20/20"</f>
        <v>20/20</v>
      </c>
      <c r="G2440" s="10">
        <v>0.52610000000000001</v>
      </c>
    </row>
    <row r="2441" spans="1:7" x14ac:dyDescent="0.2">
      <c r="A2441" s="1" t="s">
        <v>122</v>
      </c>
      <c r="B2441" t="s">
        <v>2298</v>
      </c>
      <c r="C2441">
        <v>-2.6409738080276202</v>
      </c>
      <c r="D2441">
        <v>0</v>
      </c>
      <c r="E2441" s="2">
        <v>9.5400368693960102E-5</v>
      </c>
      <c r="F2441" t="str">
        <f>"31/33"</f>
        <v>31/33</v>
      </c>
      <c r="G2441" s="10">
        <v>0.55310000000000004</v>
      </c>
    </row>
    <row r="2442" spans="1:7" x14ac:dyDescent="0.2">
      <c r="A2442" s="1" t="s">
        <v>122</v>
      </c>
      <c r="B2442" t="s">
        <v>2299</v>
      </c>
      <c r="C2442">
        <v>-2.63973145393792</v>
      </c>
      <c r="D2442">
        <v>0</v>
      </c>
      <c r="E2442" s="2">
        <v>9.5310283359971494E-5</v>
      </c>
      <c r="F2442" t="str">
        <f>"28/34"</f>
        <v>28/34</v>
      </c>
      <c r="G2442" s="10">
        <v>0.45700000000000002</v>
      </c>
    </row>
    <row r="2443" spans="1:7" x14ac:dyDescent="0.2">
      <c r="A2443" s="1" t="s">
        <v>122</v>
      </c>
      <c r="B2443" t="s">
        <v>2300</v>
      </c>
      <c r="C2443">
        <v>-2.6390918560832199</v>
      </c>
      <c r="D2443">
        <v>0</v>
      </c>
      <c r="E2443" s="2">
        <v>9.5220367998311104E-5</v>
      </c>
      <c r="F2443" t="str">
        <f>"39/43"</f>
        <v>39/43</v>
      </c>
      <c r="G2443" s="10">
        <v>0.57850000000000001</v>
      </c>
    </row>
    <row r="2444" spans="1:7" x14ac:dyDescent="0.2">
      <c r="A2444" s="1" t="s">
        <v>122</v>
      </c>
      <c r="B2444" t="s">
        <v>2301</v>
      </c>
      <c r="C2444">
        <v>-2.63883802173449</v>
      </c>
      <c r="D2444">
        <v>0</v>
      </c>
      <c r="E2444" s="2">
        <v>9.5130622128378699E-5</v>
      </c>
      <c r="F2444" t="str">
        <f>"19/20"</f>
        <v>19/20</v>
      </c>
      <c r="G2444" s="10">
        <v>0.45379999999999998</v>
      </c>
    </row>
    <row r="2445" spans="1:7" x14ac:dyDescent="0.2">
      <c r="A2445" s="1" t="s">
        <v>122</v>
      </c>
      <c r="B2445" t="s">
        <v>1365</v>
      </c>
      <c r="C2445">
        <v>-2.63836225845044</v>
      </c>
      <c r="D2445">
        <v>0</v>
      </c>
      <c r="E2445" s="2">
        <v>9.5041045271384E-5</v>
      </c>
      <c r="F2445" t="str">
        <f>"64/68"</f>
        <v>64/68</v>
      </c>
      <c r="G2445" s="10">
        <v>0.66859999999999997</v>
      </c>
    </row>
    <row r="2446" spans="1:7" x14ac:dyDescent="0.2">
      <c r="A2446" s="1" t="s">
        <v>122</v>
      </c>
      <c r="B2446" t="s">
        <v>2302</v>
      </c>
      <c r="C2446">
        <v>-2.6382061189711101</v>
      </c>
      <c r="D2446">
        <v>0</v>
      </c>
      <c r="E2446" s="2">
        <v>9.4951636950338494E-5</v>
      </c>
      <c r="F2446" t="str">
        <f>"21/23"</f>
        <v>21/23</v>
      </c>
      <c r="G2446" s="10">
        <v>0.47189999999999999</v>
      </c>
    </row>
    <row r="2447" spans="1:7" x14ac:dyDescent="0.2">
      <c r="A2447" s="1" t="s">
        <v>122</v>
      </c>
      <c r="B2447" t="s">
        <v>2303</v>
      </c>
      <c r="C2447">
        <v>-2.63441649338422</v>
      </c>
      <c r="D2447">
        <v>0</v>
      </c>
      <c r="E2447" s="2">
        <v>9.4862396690046806E-5</v>
      </c>
      <c r="F2447" t="str">
        <f>"19/22"</f>
        <v>19/22</v>
      </c>
      <c r="G2447" s="10">
        <v>0.45900000000000002</v>
      </c>
    </row>
    <row r="2448" spans="1:7" x14ac:dyDescent="0.2">
      <c r="A2448" s="1" t="s">
        <v>122</v>
      </c>
      <c r="B2448" t="s">
        <v>2304</v>
      </c>
      <c r="C2448">
        <v>-2.6344121208817</v>
      </c>
      <c r="D2448">
        <v>0</v>
      </c>
      <c r="E2448" s="2">
        <v>9.4773324017098399E-5</v>
      </c>
      <c r="F2448" t="str">
        <f>"19/22"</f>
        <v>19/22</v>
      </c>
      <c r="G2448" s="10">
        <v>0.40920000000000001</v>
      </c>
    </row>
    <row r="2449" spans="1:7" x14ac:dyDescent="0.2">
      <c r="A2449" s="1" t="s">
        <v>122</v>
      </c>
      <c r="B2449" t="s">
        <v>607</v>
      </c>
      <c r="C2449">
        <v>-2.63315979972471</v>
      </c>
      <c r="D2449">
        <v>0</v>
      </c>
      <c r="E2449" s="2">
        <v>9.4684418459859093E-5</v>
      </c>
      <c r="F2449" t="str">
        <f>"41/46"</f>
        <v>41/46</v>
      </c>
      <c r="G2449" s="10">
        <v>0.56910000000000005</v>
      </c>
    </row>
    <row r="2450" spans="1:7" x14ac:dyDescent="0.2">
      <c r="A2450" s="1" t="s">
        <v>122</v>
      </c>
      <c r="B2450" t="s">
        <v>2305</v>
      </c>
      <c r="C2450">
        <v>-2.6330650247310898</v>
      </c>
      <c r="D2450">
        <v>0</v>
      </c>
      <c r="E2450" s="2">
        <v>9.4595679548462801E-5</v>
      </c>
      <c r="F2450" t="str">
        <f>"29/34"</f>
        <v>29/34</v>
      </c>
      <c r="G2450" s="10">
        <v>0.48609999999999998</v>
      </c>
    </row>
    <row r="2451" spans="1:7" x14ac:dyDescent="0.2">
      <c r="A2451" s="1" t="s">
        <v>122</v>
      </c>
      <c r="B2451" t="s">
        <v>2306</v>
      </c>
      <c r="C2451">
        <v>-2.6329589318285</v>
      </c>
      <c r="D2451">
        <v>0</v>
      </c>
      <c r="E2451" s="2">
        <v>9.45071068148032E-5</v>
      </c>
      <c r="F2451" t="str">
        <f>"38/46"</f>
        <v>38/46</v>
      </c>
      <c r="G2451" s="10">
        <v>0.504</v>
      </c>
    </row>
    <row r="2452" spans="1:7" x14ac:dyDescent="0.2">
      <c r="A2452" s="1" t="s">
        <v>122</v>
      </c>
      <c r="B2452" t="s">
        <v>1110</v>
      </c>
      <c r="C2452">
        <v>-2.62936680241345</v>
      </c>
      <c r="D2452">
        <v>0</v>
      </c>
      <c r="E2452">
        <v>1.1802337474065601E-4</v>
      </c>
      <c r="F2452" t="str">
        <f>"69/78"</f>
        <v>69/78</v>
      </c>
      <c r="G2452" s="10">
        <v>0.64100000000000001</v>
      </c>
    </row>
    <row r="2453" spans="1:7" x14ac:dyDescent="0.2">
      <c r="A2453" s="1" t="s">
        <v>122</v>
      </c>
      <c r="B2453" t="s">
        <v>2307</v>
      </c>
      <c r="C2453">
        <v>-2.62772458837056</v>
      </c>
      <c r="D2453">
        <v>0</v>
      </c>
      <c r="E2453">
        <v>1.17913072521273E-4</v>
      </c>
      <c r="F2453" t="str">
        <f>"105/122"</f>
        <v>105/122</v>
      </c>
      <c r="G2453" s="10">
        <v>0.65239999999999998</v>
      </c>
    </row>
    <row r="2454" spans="1:7" x14ac:dyDescent="0.2">
      <c r="A2454" s="1" t="s">
        <v>122</v>
      </c>
      <c r="B2454" t="s">
        <v>2308</v>
      </c>
      <c r="C2454">
        <v>-2.6267588234888199</v>
      </c>
      <c r="D2454">
        <v>0</v>
      </c>
      <c r="E2454">
        <v>1.17802976281757E-4</v>
      </c>
      <c r="F2454" t="str">
        <f>"33/36"</f>
        <v>33/36</v>
      </c>
      <c r="G2454" s="10">
        <v>0.53359999999999996</v>
      </c>
    </row>
    <row r="2455" spans="1:7" x14ac:dyDescent="0.2">
      <c r="A2455" s="1" t="s">
        <v>122</v>
      </c>
      <c r="B2455" t="s">
        <v>597</v>
      </c>
      <c r="C2455">
        <v>-2.6262799256967102</v>
      </c>
      <c r="D2455">
        <v>0</v>
      </c>
      <c r="E2455">
        <v>1.17693085445673E-4</v>
      </c>
      <c r="F2455" t="str">
        <f>"39/42"</f>
        <v>39/42</v>
      </c>
      <c r="G2455" s="10">
        <v>0.61480000000000001</v>
      </c>
    </row>
    <row r="2456" spans="1:7" x14ac:dyDescent="0.2">
      <c r="A2456" s="1" t="s">
        <v>122</v>
      </c>
      <c r="B2456" t="s">
        <v>2309</v>
      </c>
      <c r="C2456">
        <v>-2.6257192303579799</v>
      </c>
      <c r="D2456">
        <v>0</v>
      </c>
      <c r="E2456">
        <v>1.17583399438734E-4</v>
      </c>
      <c r="F2456" t="str">
        <f>"33/34"</f>
        <v>33/34</v>
      </c>
      <c r="G2456" s="10">
        <v>0.6069</v>
      </c>
    </row>
    <row r="2457" spans="1:7" x14ac:dyDescent="0.2">
      <c r="A2457" s="1" t="s">
        <v>122</v>
      </c>
      <c r="B2457" t="s">
        <v>2310</v>
      </c>
      <c r="C2457">
        <v>-2.6225409382281502</v>
      </c>
      <c r="D2457">
        <v>0</v>
      </c>
      <c r="E2457">
        <v>1.17473917688791E-4</v>
      </c>
      <c r="F2457" t="str">
        <f>"17/20"</f>
        <v>17/20</v>
      </c>
      <c r="G2457" s="10">
        <v>0.40439999999999998</v>
      </c>
    </row>
    <row r="2458" spans="1:7" x14ac:dyDescent="0.2">
      <c r="A2458" s="1" t="s">
        <v>122</v>
      </c>
      <c r="B2458" t="s">
        <v>2311</v>
      </c>
      <c r="C2458">
        <v>-2.6225301562381498</v>
      </c>
      <c r="D2458">
        <v>0</v>
      </c>
      <c r="E2458">
        <v>1.17364639625825E-4</v>
      </c>
      <c r="F2458" t="str">
        <f>"54/63"</f>
        <v>54/63</v>
      </c>
      <c r="G2458" s="10">
        <v>0.5857</v>
      </c>
    </row>
    <row r="2459" spans="1:7" x14ac:dyDescent="0.2">
      <c r="A2459" s="1" t="s">
        <v>122</v>
      </c>
      <c r="B2459" t="s">
        <v>87</v>
      </c>
      <c r="C2459">
        <v>-2.6205880640923001</v>
      </c>
      <c r="D2459">
        <v>0</v>
      </c>
      <c r="E2459">
        <v>1.17255564681935E-4</v>
      </c>
      <c r="F2459" t="str">
        <f>"45/48"</f>
        <v>45/48</v>
      </c>
      <c r="G2459" s="10">
        <v>0.60609999999999997</v>
      </c>
    </row>
    <row r="2460" spans="1:7" x14ac:dyDescent="0.2">
      <c r="A2460" s="1" t="s">
        <v>122</v>
      </c>
      <c r="B2460" t="s">
        <v>911</v>
      </c>
      <c r="C2460">
        <v>-2.6184271797871399</v>
      </c>
      <c r="D2460">
        <v>0</v>
      </c>
      <c r="E2460">
        <v>1.1714669229132901E-4</v>
      </c>
      <c r="F2460" t="str">
        <f>"18/18"</f>
        <v>18/18</v>
      </c>
      <c r="G2460" s="10">
        <v>0.52869999999999995</v>
      </c>
    </row>
    <row r="2461" spans="1:7" x14ac:dyDescent="0.2">
      <c r="A2461" s="1" t="s">
        <v>122</v>
      </c>
      <c r="B2461" t="s">
        <v>2312</v>
      </c>
      <c r="C2461">
        <v>-2.6170274779230498</v>
      </c>
      <c r="D2461">
        <v>0</v>
      </c>
      <c r="E2461">
        <v>1.1703802189031701E-4</v>
      </c>
      <c r="F2461" t="str">
        <f>"29/33"</f>
        <v>29/33</v>
      </c>
      <c r="G2461" s="10">
        <v>0.49059999999999998</v>
      </c>
    </row>
    <row r="2462" spans="1:7" x14ac:dyDescent="0.2">
      <c r="A2462" s="1" t="s">
        <v>122</v>
      </c>
      <c r="B2462" t="s">
        <v>2313</v>
      </c>
      <c r="C2462">
        <v>-2.6166281122170401</v>
      </c>
      <c r="D2462">
        <v>0</v>
      </c>
      <c r="E2462">
        <v>1.16929552917295E-4</v>
      </c>
      <c r="F2462" t="str">
        <f>"34/45"</f>
        <v>34/45</v>
      </c>
      <c r="G2462" s="10">
        <v>0.44159999999999999</v>
      </c>
    </row>
    <row r="2463" spans="1:7" x14ac:dyDescent="0.2">
      <c r="A2463" s="1" t="s">
        <v>122</v>
      </c>
      <c r="B2463" t="s">
        <v>527</v>
      </c>
      <c r="C2463">
        <v>-2.6162631646058498</v>
      </c>
      <c r="D2463">
        <v>0</v>
      </c>
      <c r="E2463">
        <v>1.1682128481274201E-4</v>
      </c>
      <c r="F2463" t="str">
        <f>"144/168"</f>
        <v>144/168</v>
      </c>
      <c r="G2463" s="10">
        <v>0.68379999999999996</v>
      </c>
    </row>
    <row r="2464" spans="1:7" x14ac:dyDescent="0.2">
      <c r="A2464" s="1" t="s">
        <v>122</v>
      </c>
      <c r="B2464" t="s">
        <v>2314</v>
      </c>
      <c r="C2464">
        <v>-2.6152921552183899</v>
      </c>
      <c r="D2464">
        <v>0</v>
      </c>
      <c r="E2464">
        <v>1.16713217019206E-4</v>
      </c>
      <c r="F2464" t="str">
        <f>"26/26"</f>
        <v>26/26</v>
      </c>
      <c r="G2464" s="10">
        <v>0.60770000000000002</v>
      </c>
    </row>
    <row r="2465" spans="1:7" x14ac:dyDescent="0.2">
      <c r="A2465" s="1" t="s">
        <v>122</v>
      </c>
      <c r="B2465" t="s">
        <v>1237</v>
      </c>
      <c r="C2465">
        <v>-2.6129610646834598</v>
      </c>
      <c r="D2465">
        <v>0</v>
      </c>
      <c r="E2465">
        <v>1.16605348981296E-4</v>
      </c>
      <c r="F2465" t="str">
        <f>"34/38"</f>
        <v>34/38</v>
      </c>
      <c r="G2465" s="10">
        <v>0.53910000000000002</v>
      </c>
    </row>
    <row r="2466" spans="1:7" x14ac:dyDescent="0.2">
      <c r="A2466" s="1" t="s">
        <v>122</v>
      </c>
      <c r="B2466" t="s">
        <v>2315</v>
      </c>
      <c r="C2466">
        <v>-2.6123007034542201</v>
      </c>
      <c r="D2466">
        <v>0</v>
      </c>
      <c r="E2466">
        <v>1.16497680145671E-4</v>
      </c>
      <c r="F2466" t="str">
        <f>"24/26"</f>
        <v>24/26</v>
      </c>
      <c r="G2466" s="10">
        <v>0.49220000000000003</v>
      </c>
    </row>
    <row r="2467" spans="1:7" x14ac:dyDescent="0.2">
      <c r="A2467" s="1" t="s">
        <v>122</v>
      </c>
      <c r="B2467" t="s">
        <v>624</v>
      </c>
      <c r="C2467">
        <v>-2.6116586896324998</v>
      </c>
      <c r="D2467">
        <v>0</v>
      </c>
      <c r="E2467">
        <v>1.16390209961035E-4</v>
      </c>
      <c r="F2467" t="str">
        <f>"113/128"</f>
        <v>113/128</v>
      </c>
      <c r="G2467" s="10">
        <v>0.68189999999999995</v>
      </c>
    </row>
    <row r="2468" spans="1:7" x14ac:dyDescent="0.2">
      <c r="A2468" s="1" t="s">
        <v>122</v>
      </c>
      <c r="B2468" t="s">
        <v>2316</v>
      </c>
      <c r="C2468">
        <v>-2.6116506077188202</v>
      </c>
      <c r="D2468">
        <v>0</v>
      </c>
      <c r="E2468">
        <v>1.16282937878121E-4</v>
      </c>
      <c r="F2468" t="str">
        <f>"29/30"</f>
        <v>29/30</v>
      </c>
      <c r="G2468" s="10">
        <v>0.59379999999999999</v>
      </c>
    </row>
    <row r="2469" spans="1:7" x14ac:dyDescent="0.2">
      <c r="A2469" s="1" t="s">
        <v>122</v>
      </c>
      <c r="B2469" t="s">
        <v>2317</v>
      </c>
      <c r="C2469">
        <v>-2.6093361727933799</v>
      </c>
      <c r="D2469">
        <v>0</v>
      </c>
      <c r="E2469">
        <v>1.16175863349689E-4</v>
      </c>
      <c r="F2469" t="str">
        <f>"33/34"</f>
        <v>33/34</v>
      </c>
      <c r="G2469" s="10">
        <v>0.58079999999999998</v>
      </c>
    </row>
    <row r="2470" spans="1:7" x14ac:dyDescent="0.2">
      <c r="A2470" s="1" t="s">
        <v>122</v>
      </c>
      <c r="B2470" t="s">
        <v>2318</v>
      </c>
      <c r="C2470">
        <v>-2.6089387488388698</v>
      </c>
      <c r="D2470">
        <v>0</v>
      </c>
      <c r="E2470">
        <v>1.1606898583050799E-4</v>
      </c>
      <c r="F2470" t="str">
        <f>"29/32"</f>
        <v>29/32</v>
      </c>
      <c r="G2470" s="10">
        <v>0.53480000000000005</v>
      </c>
    </row>
    <row r="2471" spans="1:7" x14ac:dyDescent="0.2">
      <c r="A2471" s="1" t="s">
        <v>122</v>
      </c>
      <c r="B2471" t="s">
        <v>2319</v>
      </c>
      <c r="C2471">
        <v>-2.6067087732213201</v>
      </c>
      <c r="D2471">
        <v>0</v>
      </c>
      <c r="E2471">
        <v>1.15962304777355E-4</v>
      </c>
      <c r="F2471" t="str">
        <f>"18/18"</f>
        <v>18/18</v>
      </c>
      <c r="G2471" s="10">
        <v>0.51580000000000004</v>
      </c>
    </row>
    <row r="2472" spans="1:7" x14ac:dyDescent="0.2">
      <c r="A2472" s="1" t="s">
        <v>122</v>
      </c>
      <c r="B2472" t="s">
        <v>1084</v>
      </c>
      <c r="C2472">
        <v>-2.6058765216738999</v>
      </c>
      <c r="D2472">
        <v>0</v>
      </c>
      <c r="E2472">
        <v>1.15855819649001E-4</v>
      </c>
      <c r="F2472" t="str">
        <f>"21/22"</f>
        <v>21/22</v>
      </c>
      <c r="G2472" s="10">
        <v>0.48220000000000002</v>
      </c>
    </row>
    <row r="2473" spans="1:7" x14ac:dyDescent="0.2">
      <c r="A2473" s="1" t="s">
        <v>122</v>
      </c>
      <c r="B2473" t="s">
        <v>2320</v>
      </c>
      <c r="C2473">
        <v>-2.6056816820622699</v>
      </c>
      <c r="D2473">
        <v>0</v>
      </c>
      <c r="E2473">
        <v>1.15749529906203E-4</v>
      </c>
      <c r="F2473" t="str">
        <f>"15/15"</f>
        <v>15/15</v>
      </c>
      <c r="G2473" s="10">
        <v>0.44390000000000002</v>
      </c>
    </row>
    <row r="2474" spans="1:7" x14ac:dyDescent="0.2">
      <c r="A2474" s="1" t="s">
        <v>122</v>
      </c>
      <c r="B2474" t="s">
        <v>1169</v>
      </c>
      <c r="C2474">
        <v>-2.6050349345325801</v>
      </c>
      <c r="D2474">
        <v>0</v>
      </c>
      <c r="E2474">
        <v>1.15643435011697E-4</v>
      </c>
      <c r="F2474" t="str">
        <f>"45/48"</f>
        <v>45/48</v>
      </c>
      <c r="G2474" s="10">
        <v>0.60460000000000003</v>
      </c>
    </row>
    <row r="2475" spans="1:7" x14ac:dyDescent="0.2">
      <c r="A2475" s="1" t="s">
        <v>122</v>
      </c>
      <c r="B2475" t="s">
        <v>722</v>
      </c>
      <c r="C2475">
        <v>-2.6048477057465198</v>
      </c>
      <c r="D2475">
        <v>0</v>
      </c>
      <c r="E2475">
        <v>1.15537534430185E-4</v>
      </c>
      <c r="F2475" t="str">
        <f>"28/35"</f>
        <v>28/35</v>
      </c>
      <c r="G2475" s="10">
        <v>0.42730000000000001</v>
      </c>
    </row>
    <row r="2476" spans="1:7" x14ac:dyDescent="0.2">
      <c r="A2476" s="1" t="s">
        <v>122</v>
      </c>
      <c r="B2476" t="s">
        <v>2321</v>
      </c>
      <c r="C2476">
        <v>-2.6037571125141201</v>
      </c>
      <c r="D2476">
        <v>0</v>
      </c>
      <c r="E2476">
        <v>1.15431827628327E-4</v>
      </c>
      <c r="F2476" t="str">
        <f>"19/20"</f>
        <v>19/20</v>
      </c>
      <c r="G2476" s="10">
        <v>0.49149999999999999</v>
      </c>
    </row>
    <row r="2477" spans="1:7" x14ac:dyDescent="0.2">
      <c r="A2477" s="1" t="s">
        <v>122</v>
      </c>
      <c r="B2477" t="s">
        <v>2322</v>
      </c>
      <c r="C2477">
        <v>-2.60298429914427</v>
      </c>
      <c r="D2477">
        <v>0</v>
      </c>
      <c r="E2477">
        <v>1.15326314074737E-4</v>
      </c>
      <c r="F2477" t="str">
        <f>"19/22"</f>
        <v>19/22</v>
      </c>
      <c r="G2477" s="10">
        <v>0.42580000000000001</v>
      </c>
    </row>
    <row r="2478" spans="1:7" x14ac:dyDescent="0.2">
      <c r="A2478" s="1" t="s">
        <v>122</v>
      </c>
      <c r="B2478" t="s">
        <v>2323</v>
      </c>
      <c r="C2478">
        <v>-2.6011143083183002</v>
      </c>
      <c r="D2478">
        <v>0</v>
      </c>
      <c r="E2478">
        <v>1.15220993239965E-4</v>
      </c>
      <c r="F2478" t="str">
        <f>"42/47"</f>
        <v>42/47</v>
      </c>
      <c r="G2478" s="10">
        <v>0.56850000000000001</v>
      </c>
    </row>
    <row r="2479" spans="1:7" x14ac:dyDescent="0.2">
      <c r="A2479" s="1" t="s">
        <v>122</v>
      </c>
      <c r="B2479" t="s">
        <v>582</v>
      </c>
      <c r="C2479">
        <v>-2.6006176307213602</v>
      </c>
      <c r="D2479">
        <v>0</v>
      </c>
      <c r="E2479">
        <v>1.15115864596498E-4</v>
      </c>
      <c r="F2479" t="str">
        <f>"39/47"</f>
        <v>39/47</v>
      </c>
      <c r="G2479" s="10">
        <v>0.53380000000000005</v>
      </c>
    </row>
    <row r="2480" spans="1:7" x14ac:dyDescent="0.2">
      <c r="A2480" s="1" t="s">
        <v>122</v>
      </c>
      <c r="B2480" t="s">
        <v>2324</v>
      </c>
      <c r="C2480">
        <v>-2.59934095205687</v>
      </c>
      <c r="D2480">
        <v>0</v>
      </c>
      <c r="E2480">
        <v>1.15010927618744E-4</v>
      </c>
      <c r="F2480" t="str">
        <f>"22/23"</f>
        <v>22/23</v>
      </c>
      <c r="G2480" s="10">
        <v>0.5081</v>
      </c>
    </row>
    <row r="2481" spans="1:7" x14ac:dyDescent="0.2">
      <c r="A2481" s="1" t="s">
        <v>122</v>
      </c>
      <c r="B2481" t="s">
        <v>2325</v>
      </c>
      <c r="C2481">
        <v>-2.5990784987249</v>
      </c>
      <c r="D2481">
        <v>0</v>
      </c>
      <c r="E2481">
        <v>1.1490618178302499E-4</v>
      </c>
      <c r="F2481" t="str">
        <f>"15/15"</f>
        <v>15/15</v>
      </c>
      <c r="G2481" s="10">
        <v>0.4572</v>
      </c>
    </row>
    <row r="2482" spans="1:7" x14ac:dyDescent="0.2">
      <c r="A2482" s="1" t="s">
        <v>122</v>
      </c>
      <c r="B2482" t="s">
        <v>2326</v>
      </c>
      <c r="C2482">
        <v>-2.5980638415068298</v>
      </c>
      <c r="D2482">
        <v>0</v>
      </c>
      <c r="E2482">
        <v>1.14801626567572E-4</v>
      </c>
      <c r="F2482" t="str">
        <f>"15/19"</f>
        <v>15/19</v>
      </c>
      <c r="G2482" s="10">
        <v>0.34229999999999999</v>
      </c>
    </row>
    <row r="2483" spans="1:7" x14ac:dyDescent="0.2">
      <c r="A2483" s="1" t="s">
        <v>122</v>
      </c>
      <c r="B2483" t="s">
        <v>719</v>
      </c>
      <c r="C2483">
        <v>-2.5972204087204398</v>
      </c>
      <c r="D2483">
        <v>0</v>
      </c>
      <c r="E2483">
        <v>1.14697261452511E-4</v>
      </c>
      <c r="F2483" t="str">
        <f>"68/78"</f>
        <v>68/78</v>
      </c>
      <c r="G2483" s="10">
        <v>0.61360000000000003</v>
      </c>
    </row>
    <row r="2484" spans="1:7" x14ac:dyDescent="0.2">
      <c r="A2484" s="1" t="s">
        <v>122</v>
      </c>
      <c r="B2484" t="s">
        <v>2327</v>
      </c>
      <c r="C2484">
        <v>-2.5943351539792601</v>
      </c>
      <c r="D2484">
        <v>0</v>
      </c>
      <c r="E2484">
        <v>1.1459308591985601E-4</v>
      </c>
      <c r="F2484" t="str">
        <f>"22/23"</f>
        <v>22/23</v>
      </c>
      <c r="G2484" s="10">
        <v>0.5081</v>
      </c>
    </row>
    <row r="2485" spans="1:7" x14ac:dyDescent="0.2">
      <c r="A2485" s="1" t="s">
        <v>122</v>
      </c>
      <c r="B2485" t="s">
        <v>2328</v>
      </c>
      <c r="C2485">
        <v>-2.5940105822611299</v>
      </c>
      <c r="D2485">
        <v>2.5000000000000001E-2</v>
      </c>
      <c r="E2485">
        <v>1.1448909945350401E-4</v>
      </c>
      <c r="F2485" t="str">
        <f>"14/15"</f>
        <v>14/15</v>
      </c>
      <c r="G2485" s="10">
        <v>0.37659999999999999</v>
      </c>
    </row>
    <row r="2486" spans="1:7" x14ac:dyDescent="0.2">
      <c r="A2486" s="1" t="s">
        <v>122</v>
      </c>
      <c r="B2486" t="s">
        <v>2329</v>
      </c>
      <c r="C2486">
        <v>-2.5934501943011301</v>
      </c>
      <c r="D2486">
        <v>0</v>
      </c>
      <c r="E2486">
        <v>1.14385301539222E-4</v>
      </c>
      <c r="F2486" t="str">
        <f>"17/19"</f>
        <v>17/19</v>
      </c>
      <c r="G2486" s="10">
        <v>0.3664</v>
      </c>
    </row>
    <row r="2487" spans="1:7" x14ac:dyDescent="0.2">
      <c r="A2487" s="1" t="s">
        <v>122</v>
      </c>
      <c r="B2487" t="s">
        <v>2330</v>
      </c>
      <c r="C2487">
        <v>-2.5930379219835298</v>
      </c>
      <c r="D2487">
        <v>0</v>
      </c>
      <c r="E2487">
        <v>1.14281691664639E-4</v>
      </c>
      <c r="F2487" t="str">
        <f>"18/20"</f>
        <v>18/20</v>
      </c>
      <c r="G2487" s="10">
        <v>0.40379999999999999</v>
      </c>
    </row>
    <row r="2488" spans="1:7" x14ac:dyDescent="0.2">
      <c r="A2488" s="1" t="s">
        <v>122</v>
      </c>
      <c r="B2488" t="s">
        <v>775</v>
      </c>
      <c r="C2488">
        <v>-2.5927922534425001</v>
      </c>
      <c r="D2488">
        <v>0</v>
      </c>
      <c r="E2488">
        <v>1.14178269319241E-4</v>
      </c>
      <c r="F2488" t="str">
        <f>"24/30"</f>
        <v>24/30</v>
      </c>
      <c r="G2488" s="10">
        <v>0.39229999999999998</v>
      </c>
    </row>
    <row r="2489" spans="1:7" x14ac:dyDescent="0.2">
      <c r="A2489" s="1" t="s">
        <v>122</v>
      </c>
      <c r="B2489" t="s">
        <v>2331</v>
      </c>
      <c r="C2489">
        <v>-2.5918372073768801</v>
      </c>
      <c r="D2489">
        <v>0</v>
      </c>
      <c r="E2489">
        <v>1.1407503399436E-4</v>
      </c>
      <c r="F2489" t="str">
        <f>"21/23"</f>
        <v>21/23</v>
      </c>
      <c r="G2489" s="10">
        <v>0.47299999999999998</v>
      </c>
    </row>
    <row r="2490" spans="1:7" x14ac:dyDescent="0.2">
      <c r="A2490" s="1" t="s">
        <v>122</v>
      </c>
      <c r="B2490" t="s">
        <v>2332</v>
      </c>
      <c r="C2490">
        <v>-2.5911989963614999</v>
      </c>
      <c r="D2490">
        <v>0</v>
      </c>
      <c r="E2490">
        <v>1.1397198518316301E-4</v>
      </c>
      <c r="F2490" t="str">
        <f>"18/19"</f>
        <v>18/19</v>
      </c>
      <c r="G2490" s="10">
        <v>0.46250000000000002</v>
      </c>
    </row>
    <row r="2491" spans="1:7" x14ac:dyDescent="0.2">
      <c r="A2491" s="1" t="s">
        <v>122</v>
      </c>
      <c r="B2491" t="s">
        <v>709</v>
      </c>
      <c r="C2491">
        <v>-2.58979062264723</v>
      </c>
      <c r="D2491">
        <v>0</v>
      </c>
      <c r="E2491">
        <v>1.13869122380651E-4</v>
      </c>
      <c r="F2491" t="str">
        <f>"39/41"</f>
        <v>39/41</v>
      </c>
      <c r="G2491" s="10">
        <v>0.62860000000000005</v>
      </c>
    </row>
    <row r="2492" spans="1:7" x14ac:dyDescent="0.2">
      <c r="A2492" s="1" t="s">
        <v>122</v>
      </c>
      <c r="B2492" t="s">
        <v>2333</v>
      </c>
      <c r="C2492">
        <v>-2.5894371726215999</v>
      </c>
      <c r="D2492">
        <v>0</v>
      </c>
      <c r="E2492">
        <v>1.13766445083645E-4</v>
      </c>
      <c r="F2492" t="str">
        <f>"21/23"</f>
        <v>21/23</v>
      </c>
      <c r="G2492" s="10">
        <v>0.46250000000000002</v>
      </c>
    </row>
    <row r="2493" spans="1:7" x14ac:dyDescent="0.2">
      <c r="A2493" s="1" t="s">
        <v>122</v>
      </c>
      <c r="B2493" t="s">
        <v>1606</v>
      </c>
      <c r="C2493">
        <v>-2.5891632192631699</v>
      </c>
      <c r="D2493">
        <v>0</v>
      </c>
      <c r="E2493">
        <v>1.13663952790776E-4</v>
      </c>
      <c r="F2493" t="str">
        <f>"19/20"</f>
        <v>19/20</v>
      </c>
      <c r="G2493" s="10">
        <v>0.48780000000000001</v>
      </c>
    </row>
    <row r="2494" spans="1:7" x14ac:dyDescent="0.2">
      <c r="A2494" s="1" t="s">
        <v>122</v>
      </c>
      <c r="B2494" t="s">
        <v>1073</v>
      </c>
      <c r="C2494">
        <v>-2.58848665183924</v>
      </c>
      <c r="D2494">
        <v>0</v>
      </c>
      <c r="E2494">
        <v>1.13561645002486E-4</v>
      </c>
      <c r="F2494" t="str">
        <f>"85/97"</f>
        <v>85/97</v>
      </c>
      <c r="G2494" s="10">
        <v>0.6704</v>
      </c>
    </row>
    <row r="2495" spans="1:7" x14ac:dyDescent="0.2">
      <c r="A2495" s="1" t="s">
        <v>122</v>
      </c>
      <c r="B2495" t="s">
        <v>365</v>
      </c>
      <c r="C2495">
        <v>-2.5879877449548601</v>
      </c>
      <c r="D2495">
        <v>0</v>
      </c>
      <c r="E2495">
        <v>1.1345952122100901E-4</v>
      </c>
      <c r="F2495" t="str">
        <f>"30/49"</f>
        <v>30/49</v>
      </c>
      <c r="G2495" s="10">
        <v>0.314</v>
      </c>
    </row>
    <row r="2496" spans="1:7" x14ac:dyDescent="0.2">
      <c r="A2496" s="1" t="s">
        <v>122</v>
      </c>
      <c r="B2496" t="s">
        <v>2334</v>
      </c>
      <c r="C2496">
        <v>-2.5877148340427301</v>
      </c>
      <c r="D2496">
        <v>0</v>
      </c>
      <c r="E2496">
        <v>1.1335758095037E-4</v>
      </c>
      <c r="F2496" t="str">
        <f>"13/15"</f>
        <v>13/15</v>
      </c>
      <c r="G2496" s="10">
        <v>0.32929999999999998</v>
      </c>
    </row>
    <row r="2497" spans="1:7" x14ac:dyDescent="0.2">
      <c r="A2497" s="1" t="s">
        <v>122</v>
      </c>
      <c r="B2497" t="s">
        <v>2335</v>
      </c>
      <c r="C2497">
        <v>-2.5870221284153199</v>
      </c>
      <c r="D2497">
        <v>0</v>
      </c>
      <c r="E2497">
        <v>1.13255823696375E-4</v>
      </c>
      <c r="F2497" t="str">
        <f>"16/16"</f>
        <v>16/16</v>
      </c>
      <c r="G2497" s="10">
        <v>0.48070000000000002</v>
      </c>
    </row>
    <row r="2498" spans="1:7" x14ac:dyDescent="0.2">
      <c r="A2498" s="1" t="s">
        <v>122</v>
      </c>
      <c r="B2498" t="s">
        <v>619</v>
      </c>
      <c r="C2498">
        <v>-2.5866238879756298</v>
      </c>
      <c r="D2498">
        <v>0</v>
      </c>
      <c r="E2498">
        <v>1.1315424896660199E-4</v>
      </c>
      <c r="F2498" t="str">
        <f>"46/50"</f>
        <v>46/50</v>
      </c>
      <c r="G2498" s="10">
        <v>0.60309999999999997</v>
      </c>
    </row>
    <row r="2499" spans="1:7" x14ac:dyDescent="0.2">
      <c r="A2499" s="1" t="s">
        <v>122</v>
      </c>
      <c r="B2499" t="s">
        <v>2336</v>
      </c>
      <c r="C2499">
        <v>-2.58595880589557</v>
      </c>
      <c r="D2499">
        <v>0</v>
      </c>
      <c r="E2499">
        <v>1.1305285627039601E-4</v>
      </c>
      <c r="F2499" t="str">
        <f>"33/35"</f>
        <v>33/35</v>
      </c>
      <c r="G2499" s="10">
        <v>0.55169999999999997</v>
      </c>
    </row>
    <row r="2500" spans="1:7" x14ac:dyDescent="0.2">
      <c r="A2500" s="1" t="s">
        <v>122</v>
      </c>
      <c r="B2500" t="s">
        <v>2337</v>
      </c>
      <c r="C2500">
        <v>-2.5857513485372099</v>
      </c>
      <c r="D2500">
        <v>0</v>
      </c>
      <c r="E2500">
        <v>1.12951645118856E-4</v>
      </c>
      <c r="F2500" t="str">
        <f>"35/37"</f>
        <v>35/37</v>
      </c>
      <c r="G2500" s="10">
        <v>0.6099</v>
      </c>
    </row>
    <row r="2501" spans="1:7" x14ac:dyDescent="0.2">
      <c r="A2501" s="1" t="s">
        <v>122</v>
      </c>
      <c r="B2501" t="s">
        <v>36</v>
      </c>
      <c r="C2501">
        <v>-2.5857028451536102</v>
      </c>
      <c r="D2501">
        <v>0</v>
      </c>
      <c r="E2501">
        <v>1.12850615024832E-4</v>
      </c>
      <c r="F2501" t="str">
        <f>"32/53"</f>
        <v>32/53</v>
      </c>
      <c r="G2501" s="10">
        <v>0.314</v>
      </c>
    </row>
    <row r="2502" spans="1:7" x14ac:dyDescent="0.2">
      <c r="A2502" s="1" t="s">
        <v>122</v>
      </c>
      <c r="B2502" t="s">
        <v>2338</v>
      </c>
      <c r="C2502">
        <v>-2.58550812727858</v>
      </c>
      <c r="D2502">
        <v>0</v>
      </c>
      <c r="E2502">
        <v>1.12749765502915E-4</v>
      </c>
      <c r="F2502" t="str">
        <f>"28/29"</f>
        <v>28/29</v>
      </c>
      <c r="G2502" s="10">
        <v>0.57469999999999999</v>
      </c>
    </row>
    <row r="2503" spans="1:7" x14ac:dyDescent="0.2">
      <c r="A2503" s="1" t="s">
        <v>122</v>
      </c>
      <c r="B2503" t="s">
        <v>2339</v>
      </c>
      <c r="C2503">
        <v>-2.58512619279802</v>
      </c>
      <c r="D2503">
        <v>0</v>
      </c>
      <c r="E2503">
        <v>1.1264909606943E-4</v>
      </c>
      <c r="F2503" t="str">
        <f>"53/57"</f>
        <v>53/57</v>
      </c>
      <c r="G2503" s="10">
        <v>0.62609999999999999</v>
      </c>
    </row>
    <row r="2504" spans="1:7" x14ac:dyDescent="0.2">
      <c r="A2504" s="1" t="s">
        <v>122</v>
      </c>
      <c r="B2504" t="s">
        <v>630</v>
      </c>
      <c r="C2504">
        <v>-2.5820993772855698</v>
      </c>
      <c r="D2504">
        <v>0</v>
      </c>
      <c r="E2504">
        <v>1.3505832749091399E-4</v>
      </c>
      <c r="F2504" t="str">
        <f>"48/51"</f>
        <v>48/51</v>
      </c>
      <c r="G2504" s="10">
        <v>0.65429999999999999</v>
      </c>
    </row>
    <row r="2505" spans="1:7" x14ac:dyDescent="0.2">
      <c r="A2505" s="1" t="s">
        <v>122</v>
      </c>
      <c r="B2505" t="s">
        <v>2340</v>
      </c>
      <c r="C2505">
        <v>-2.5806651265855498</v>
      </c>
      <c r="D2505">
        <v>0</v>
      </c>
      <c r="E2505">
        <v>1.34937954650013E-4</v>
      </c>
      <c r="F2505" t="str">
        <f>"52/55"</f>
        <v>52/55</v>
      </c>
      <c r="G2505" s="10">
        <v>0.65959999999999996</v>
      </c>
    </row>
    <row r="2506" spans="1:7" x14ac:dyDescent="0.2">
      <c r="A2506" s="1" t="s">
        <v>122</v>
      </c>
      <c r="B2506" t="s">
        <v>2341</v>
      </c>
      <c r="C2506">
        <v>-2.5794425629384801</v>
      </c>
      <c r="D2506">
        <v>0</v>
      </c>
      <c r="E2506">
        <v>1.34817796186388E-4</v>
      </c>
      <c r="F2506" t="str">
        <f>"23/23"</f>
        <v>23/23</v>
      </c>
      <c r="G2506" s="10">
        <v>0.54790000000000005</v>
      </c>
    </row>
    <row r="2507" spans="1:7" x14ac:dyDescent="0.2">
      <c r="A2507" s="1" t="s">
        <v>122</v>
      </c>
      <c r="B2507" t="s">
        <v>2342</v>
      </c>
      <c r="C2507">
        <v>-2.57922151022915</v>
      </c>
      <c r="D2507">
        <v>0</v>
      </c>
      <c r="E2507">
        <v>1.3469785152786E-4</v>
      </c>
      <c r="F2507" t="str">
        <f>"42/51"</f>
        <v>42/51</v>
      </c>
      <c r="G2507" s="10">
        <v>0.5181</v>
      </c>
    </row>
    <row r="2508" spans="1:7" x14ac:dyDescent="0.2">
      <c r="A2508" s="1" t="s">
        <v>122</v>
      </c>
      <c r="B2508" t="s">
        <v>2343</v>
      </c>
      <c r="C2508">
        <v>-2.5789519175468101</v>
      </c>
      <c r="D2508">
        <v>0</v>
      </c>
      <c r="E2508">
        <v>1.34578120104279E-4</v>
      </c>
      <c r="F2508" t="str">
        <f>"50/54"</f>
        <v>50/54</v>
      </c>
      <c r="G2508" s="10">
        <v>0.62609999999999999</v>
      </c>
    </row>
    <row r="2509" spans="1:7" x14ac:dyDescent="0.2">
      <c r="A2509" s="1" t="s">
        <v>122</v>
      </c>
      <c r="B2509" t="s">
        <v>330</v>
      </c>
      <c r="C2509">
        <v>-2.5779834828205899</v>
      </c>
      <c r="D2509">
        <v>0</v>
      </c>
      <c r="E2509">
        <v>1.3445860134752601E-4</v>
      </c>
      <c r="F2509" t="str">
        <f>"23/25"</f>
        <v>23/25</v>
      </c>
      <c r="G2509" s="10">
        <v>0.52149999999999996</v>
      </c>
    </row>
    <row r="2510" spans="1:7" x14ac:dyDescent="0.2">
      <c r="A2510" s="1" t="s">
        <v>122</v>
      </c>
      <c r="B2510" t="s">
        <v>1577</v>
      </c>
      <c r="C2510">
        <v>-2.5775108182017599</v>
      </c>
      <c r="D2510">
        <v>0</v>
      </c>
      <c r="E2510">
        <v>1.34339294691494E-4</v>
      </c>
      <c r="F2510" t="str">
        <f>"53/59"</f>
        <v>53/59</v>
      </c>
      <c r="G2510" s="10">
        <v>0.63670000000000004</v>
      </c>
    </row>
    <row r="2511" spans="1:7" x14ac:dyDescent="0.2">
      <c r="A2511" s="1" t="s">
        <v>122</v>
      </c>
      <c r="B2511" t="s">
        <v>730</v>
      </c>
      <c r="C2511">
        <v>-2.5767554421955601</v>
      </c>
      <c r="D2511">
        <v>0</v>
      </c>
      <c r="E2511">
        <v>1.3422019957208699E-4</v>
      </c>
      <c r="F2511" t="str">
        <f>"33/39"</f>
        <v>33/39</v>
      </c>
      <c r="G2511" s="10">
        <v>0.50919999999999999</v>
      </c>
    </row>
    <row r="2512" spans="1:7" x14ac:dyDescent="0.2">
      <c r="A2512" s="1" t="s">
        <v>122</v>
      </c>
      <c r="B2512" t="s">
        <v>660</v>
      </c>
      <c r="C2512">
        <v>-2.5763833250547798</v>
      </c>
      <c r="D2512">
        <v>0</v>
      </c>
      <c r="E2512">
        <v>1.3410131542720499E-4</v>
      </c>
      <c r="F2512" t="str">
        <f>"20/25"</f>
        <v>20/25</v>
      </c>
      <c r="G2512" s="10">
        <v>0.36309999999999998</v>
      </c>
    </row>
    <row r="2513" spans="1:7" x14ac:dyDescent="0.2">
      <c r="A2513" s="1" t="s">
        <v>122</v>
      </c>
      <c r="B2513" t="s">
        <v>2344</v>
      </c>
      <c r="C2513">
        <v>-2.5760294625078402</v>
      </c>
      <c r="D2513">
        <v>0</v>
      </c>
      <c r="E2513">
        <v>1.33982641696738E-4</v>
      </c>
      <c r="F2513" t="str">
        <f>"79/82"</f>
        <v>79/82</v>
      </c>
      <c r="G2513" s="10">
        <v>0.73819999999999997</v>
      </c>
    </row>
    <row r="2514" spans="1:7" x14ac:dyDescent="0.2">
      <c r="A2514" s="1" t="s">
        <v>122</v>
      </c>
      <c r="B2514" t="s">
        <v>1092</v>
      </c>
      <c r="C2514">
        <v>-2.5747704985042699</v>
      </c>
      <c r="D2514">
        <v>0</v>
      </c>
      <c r="E2514">
        <v>1.3386417782255901E-4</v>
      </c>
      <c r="F2514" t="str">
        <f>"17/17"</f>
        <v>17/17</v>
      </c>
      <c r="G2514" s="10">
        <v>0.51590000000000003</v>
      </c>
    </row>
    <row r="2515" spans="1:7" x14ac:dyDescent="0.2">
      <c r="A2515" s="1" t="s">
        <v>122</v>
      </c>
      <c r="B2515" t="s">
        <v>2345</v>
      </c>
      <c r="C2515">
        <v>-2.57339605649141</v>
      </c>
      <c r="D2515">
        <v>0</v>
      </c>
      <c r="E2515">
        <v>1.3374592324851101E-4</v>
      </c>
      <c r="F2515" t="str">
        <f>"45/54"</f>
        <v>45/54</v>
      </c>
      <c r="G2515" s="10">
        <v>0.53400000000000003</v>
      </c>
    </row>
    <row r="2516" spans="1:7" x14ac:dyDescent="0.2">
      <c r="A2516" s="1" t="s">
        <v>122</v>
      </c>
      <c r="B2516" t="s">
        <v>2346</v>
      </c>
      <c r="C2516">
        <v>-2.5728493002714599</v>
      </c>
      <c r="D2516">
        <v>0</v>
      </c>
      <c r="E2516">
        <v>1.33510039785991E-4</v>
      </c>
      <c r="F2516" t="str">
        <f>"17/20"</f>
        <v>17/20</v>
      </c>
      <c r="G2516" s="10">
        <v>0.40479999999999999</v>
      </c>
    </row>
    <row r="2517" spans="1:7" x14ac:dyDescent="0.2">
      <c r="A2517" s="1" t="s">
        <v>122</v>
      </c>
      <c r="B2517" t="s">
        <v>2347</v>
      </c>
      <c r="C2517">
        <v>-2.5728493002714599</v>
      </c>
      <c r="D2517">
        <v>0</v>
      </c>
      <c r="E2517">
        <v>1.33510039785991E-4</v>
      </c>
      <c r="F2517" t="str">
        <f>"17/20"</f>
        <v>17/20</v>
      </c>
      <c r="G2517" s="10">
        <v>0.40479999999999999</v>
      </c>
    </row>
    <row r="2518" spans="1:7" x14ac:dyDescent="0.2">
      <c r="A2518" s="1" t="s">
        <v>122</v>
      </c>
      <c r="B2518" t="s">
        <v>85</v>
      </c>
      <c r="C2518">
        <v>-2.5726934966498001</v>
      </c>
      <c r="D2518">
        <v>0</v>
      </c>
      <c r="E2518">
        <v>1.3339240979499099E-4</v>
      </c>
      <c r="F2518" t="str">
        <f>"18/20"</f>
        <v>18/20</v>
      </c>
      <c r="G2518" s="10">
        <v>0.41460000000000002</v>
      </c>
    </row>
    <row r="2519" spans="1:7" x14ac:dyDescent="0.2">
      <c r="A2519" s="1" t="s">
        <v>122</v>
      </c>
      <c r="B2519" t="s">
        <v>2348</v>
      </c>
      <c r="C2519">
        <v>-2.5694206470279499</v>
      </c>
      <c r="D2519">
        <v>0</v>
      </c>
      <c r="E2519">
        <v>1.33274986899044E-4</v>
      </c>
      <c r="F2519" t="str">
        <f>"22/24"</f>
        <v>22/24</v>
      </c>
      <c r="G2519" s="10">
        <v>0.49590000000000001</v>
      </c>
    </row>
    <row r="2520" spans="1:7" x14ac:dyDescent="0.2">
      <c r="A2520" s="1" t="s">
        <v>122</v>
      </c>
      <c r="B2520" t="s">
        <v>325</v>
      </c>
      <c r="C2520">
        <v>-2.56904422096048</v>
      </c>
      <c r="D2520">
        <v>0</v>
      </c>
      <c r="E2520">
        <v>1.33040760208536E-4</v>
      </c>
      <c r="F2520" t="str">
        <f>"22/24"</f>
        <v>22/24</v>
      </c>
      <c r="G2520" s="10">
        <v>0.52149999999999996</v>
      </c>
    </row>
    <row r="2521" spans="1:7" x14ac:dyDescent="0.2">
      <c r="A2521" s="1" t="s">
        <v>122</v>
      </c>
      <c r="B2521" t="s">
        <v>327</v>
      </c>
      <c r="C2521">
        <v>-2.56904422096048</v>
      </c>
      <c r="D2521">
        <v>0</v>
      </c>
      <c r="E2521">
        <v>1.33040760208536E-4</v>
      </c>
      <c r="F2521" t="str">
        <f>"22/24"</f>
        <v>22/24</v>
      </c>
      <c r="G2521" s="10">
        <v>0.52149999999999996</v>
      </c>
    </row>
    <row r="2522" spans="1:7" x14ac:dyDescent="0.2">
      <c r="A2522" s="1" t="s">
        <v>122</v>
      </c>
      <c r="B2522" t="s">
        <v>245</v>
      </c>
      <c r="C2522">
        <v>-2.5679788179426901</v>
      </c>
      <c r="D2522">
        <v>0</v>
      </c>
      <c r="E2522">
        <v>1.32923955326878E-4</v>
      </c>
      <c r="F2522" t="str">
        <f>"42/46"</f>
        <v>42/46</v>
      </c>
      <c r="G2522" s="10">
        <v>0.63109999999999999</v>
      </c>
    </row>
    <row r="2523" spans="1:7" x14ac:dyDescent="0.2">
      <c r="A2523" s="1" t="s">
        <v>122</v>
      </c>
      <c r="B2523" t="s">
        <v>2349</v>
      </c>
      <c r="C2523">
        <v>-2.56630297249019</v>
      </c>
      <c r="D2523">
        <v>0</v>
      </c>
      <c r="E2523">
        <v>1.32807355366065E-4</v>
      </c>
      <c r="F2523" t="str">
        <f>"17/19"</f>
        <v>17/19</v>
      </c>
      <c r="G2523" s="10">
        <v>0.43959999999999999</v>
      </c>
    </row>
    <row r="2524" spans="1:7" x14ac:dyDescent="0.2">
      <c r="A2524" s="1" t="s">
        <v>122</v>
      </c>
      <c r="B2524" t="s">
        <v>2350</v>
      </c>
      <c r="C2524">
        <v>-2.5630699060908402</v>
      </c>
      <c r="D2524">
        <v>0</v>
      </c>
      <c r="E2524">
        <v>1.32690959787304E-4</v>
      </c>
      <c r="F2524" t="str">
        <f>"21/22"</f>
        <v>21/22</v>
      </c>
      <c r="G2524" s="10">
        <v>0.49059999999999998</v>
      </c>
    </row>
    <row r="2525" spans="1:7" x14ac:dyDescent="0.2">
      <c r="A2525" s="1" t="s">
        <v>122</v>
      </c>
      <c r="B2525" t="s">
        <v>2351</v>
      </c>
      <c r="C2525">
        <v>-2.56173656618114</v>
      </c>
      <c r="D2525">
        <v>0</v>
      </c>
      <c r="E2525">
        <v>1.3257476805369001E-4</v>
      </c>
      <c r="F2525" t="str">
        <f>"35/36"</f>
        <v>35/36</v>
      </c>
      <c r="G2525" s="10">
        <v>0.61219999999999997</v>
      </c>
    </row>
    <row r="2526" spans="1:7" x14ac:dyDescent="0.2">
      <c r="A2526" s="1" t="s">
        <v>122</v>
      </c>
      <c r="B2526" t="s">
        <v>2352</v>
      </c>
      <c r="C2526">
        <v>-2.5603958869983301</v>
      </c>
      <c r="D2526">
        <v>0</v>
      </c>
      <c r="E2526">
        <v>1.32458779630196E-4</v>
      </c>
      <c r="F2526" t="str">
        <f>"29/32"</f>
        <v>29/32</v>
      </c>
      <c r="G2526" s="10">
        <v>0.50980000000000003</v>
      </c>
    </row>
    <row r="2527" spans="1:7" x14ac:dyDescent="0.2">
      <c r="A2527" s="1" t="s">
        <v>122</v>
      </c>
      <c r="B2527" t="s">
        <v>2353</v>
      </c>
      <c r="C2527">
        <v>-2.55692460723805</v>
      </c>
      <c r="D2527">
        <v>0</v>
      </c>
      <c r="E2527">
        <v>1.3234299398366599E-4</v>
      </c>
      <c r="F2527" t="str">
        <f>"78/80"</f>
        <v>78/80</v>
      </c>
      <c r="G2527" s="10">
        <v>0.74690000000000001</v>
      </c>
    </row>
    <row r="2528" spans="1:7" x14ac:dyDescent="0.2">
      <c r="A2528" s="1" t="s">
        <v>122</v>
      </c>
      <c r="B2528" t="s">
        <v>2354</v>
      </c>
      <c r="C2528">
        <v>-2.55486463928364</v>
      </c>
      <c r="D2528">
        <v>0</v>
      </c>
      <c r="E2528">
        <v>1.3222741058280699E-4</v>
      </c>
      <c r="F2528" t="str">
        <f>"18/22"</f>
        <v>18/22</v>
      </c>
      <c r="G2528" s="10">
        <v>0.36549999999999999</v>
      </c>
    </row>
    <row r="2529" spans="1:7" x14ac:dyDescent="0.2">
      <c r="A2529" s="1" t="s">
        <v>122</v>
      </c>
      <c r="B2529" t="s">
        <v>2355</v>
      </c>
      <c r="C2529">
        <v>-2.5537990113245401</v>
      </c>
      <c r="D2529">
        <v>0</v>
      </c>
      <c r="E2529">
        <v>1.3211202889818E-4</v>
      </c>
      <c r="F2529" t="str">
        <f>"31/33"</f>
        <v>31/33</v>
      </c>
      <c r="G2529" s="10">
        <v>0.57620000000000005</v>
      </c>
    </row>
    <row r="2530" spans="1:7" x14ac:dyDescent="0.2">
      <c r="A2530" s="1" t="s">
        <v>122</v>
      </c>
      <c r="B2530" t="s">
        <v>2356</v>
      </c>
      <c r="C2530">
        <v>-2.55221897711289</v>
      </c>
      <c r="D2530">
        <v>0</v>
      </c>
      <c r="E2530">
        <v>1.3199684840219201E-4</v>
      </c>
      <c r="F2530" t="str">
        <f>"50/57"</f>
        <v>50/57</v>
      </c>
      <c r="G2530" s="10">
        <v>0.57850000000000001</v>
      </c>
    </row>
    <row r="2531" spans="1:7" x14ac:dyDescent="0.2">
      <c r="A2531" s="1" t="s">
        <v>122</v>
      </c>
      <c r="B2531" t="s">
        <v>2357</v>
      </c>
      <c r="C2531">
        <v>-2.5505626017805101</v>
      </c>
      <c r="D2531">
        <v>0</v>
      </c>
      <c r="E2531">
        <v>1.31881868569089E-4</v>
      </c>
      <c r="F2531" t="str">
        <f>"17/17"</f>
        <v>17/17</v>
      </c>
      <c r="G2531" s="10">
        <v>0.48570000000000002</v>
      </c>
    </row>
    <row r="2532" spans="1:7" x14ac:dyDescent="0.2">
      <c r="A2532" s="1" t="s">
        <v>122</v>
      </c>
      <c r="B2532" t="s">
        <v>2358</v>
      </c>
      <c r="C2532">
        <v>-2.5501915376441699</v>
      </c>
      <c r="D2532">
        <v>0</v>
      </c>
      <c r="E2532">
        <v>1.3176708887494701E-4</v>
      </c>
      <c r="F2532" t="str">
        <f>"21/23"</f>
        <v>21/23</v>
      </c>
      <c r="G2532" s="10">
        <v>0.48699999999999999</v>
      </c>
    </row>
    <row r="2533" spans="1:7" x14ac:dyDescent="0.2">
      <c r="A2533" s="1" t="s">
        <v>122</v>
      </c>
      <c r="B2533" t="s">
        <v>2359</v>
      </c>
      <c r="C2533">
        <v>-2.5487739338836</v>
      </c>
      <c r="D2533">
        <v>0</v>
      </c>
      <c r="E2533">
        <v>1.31652508797665E-4</v>
      </c>
      <c r="F2533" t="str">
        <f>"16/18"</f>
        <v>16/18</v>
      </c>
      <c r="G2533" s="10">
        <v>0.4163</v>
      </c>
    </row>
    <row r="2534" spans="1:7" x14ac:dyDescent="0.2">
      <c r="A2534" s="1" t="s">
        <v>122</v>
      </c>
      <c r="B2534" t="s">
        <v>2360</v>
      </c>
      <c r="C2534">
        <v>-2.54747099549679</v>
      </c>
      <c r="D2534">
        <v>0</v>
      </c>
      <c r="E2534">
        <v>1.3153812781695399E-4</v>
      </c>
      <c r="F2534" t="str">
        <f>"19/23"</f>
        <v>19/23</v>
      </c>
      <c r="G2534" s="10">
        <v>0.40479999999999999</v>
      </c>
    </row>
    <row r="2535" spans="1:7" x14ac:dyDescent="0.2">
      <c r="A2535" s="1" t="s">
        <v>122</v>
      </c>
      <c r="B2535" t="s">
        <v>777</v>
      </c>
      <c r="C2535">
        <v>-2.54475874269747</v>
      </c>
      <c r="D2535">
        <v>0</v>
      </c>
      <c r="E2535">
        <v>1.31309961073126E-4</v>
      </c>
      <c r="F2535" t="str">
        <f>"15/15"</f>
        <v>15/15</v>
      </c>
      <c r="G2535" s="10">
        <v>0.4889</v>
      </c>
    </row>
    <row r="2536" spans="1:7" x14ac:dyDescent="0.2">
      <c r="A2536" s="1" t="s">
        <v>122</v>
      </c>
      <c r="B2536" t="s">
        <v>776</v>
      </c>
      <c r="C2536">
        <v>-2.54475874269747</v>
      </c>
      <c r="D2536">
        <v>0</v>
      </c>
      <c r="E2536">
        <v>1.31309961073126E-4</v>
      </c>
      <c r="F2536" t="str">
        <f>"15/15"</f>
        <v>15/15</v>
      </c>
      <c r="G2536" s="10">
        <v>0.4889</v>
      </c>
    </row>
    <row r="2537" spans="1:7" x14ac:dyDescent="0.2">
      <c r="A2537" s="1" t="s">
        <v>122</v>
      </c>
      <c r="B2537" t="s">
        <v>2361</v>
      </c>
      <c r="C2537">
        <v>-2.54362114583865</v>
      </c>
      <c r="D2537">
        <v>0</v>
      </c>
      <c r="E2537">
        <v>1.3119617427843501E-4</v>
      </c>
      <c r="F2537" t="str">
        <f>"19/19"</f>
        <v>19/19</v>
      </c>
      <c r="G2537" s="10">
        <v>0.50380000000000003</v>
      </c>
    </row>
    <row r="2538" spans="1:7" x14ac:dyDescent="0.2">
      <c r="A2538" s="1" t="s">
        <v>122</v>
      </c>
      <c r="B2538" t="s">
        <v>2362</v>
      </c>
      <c r="C2538">
        <v>-2.5435997769859902</v>
      </c>
      <c r="D2538">
        <v>0</v>
      </c>
      <c r="E2538">
        <v>1.31082584517155E-4</v>
      </c>
      <c r="F2538" t="str">
        <f>"37/41"</f>
        <v>37/41</v>
      </c>
      <c r="G2538" s="10">
        <v>0.58650000000000002</v>
      </c>
    </row>
    <row r="2539" spans="1:7" x14ac:dyDescent="0.2">
      <c r="A2539" s="1" t="s">
        <v>122</v>
      </c>
      <c r="B2539" t="s">
        <v>2363</v>
      </c>
      <c r="C2539">
        <v>-2.5427344241343901</v>
      </c>
      <c r="D2539">
        <v>0</v>
      </c>
      <c r="E2539">
        <v>1.5279738982427901E-4</v>
      </c>
      <c r="F2539" t="str">
        <f>"26/27"</f>
        <v>26/27</v>
      </c>
      <c r="G2539" s="10">
        <v>0.54530000000000001</v>
      </c>
    </row>
    <row r="2540" spans="1:7" x14ac:dyDescent="0.2">
      <c r="A2540" s="1" t="s">
        <v>122</v>
      </c>
      <c r="B2540" t="s">
        <v>2364</v>
      </c>
      <c r="C2540">
        <v>-2.5408354008796801</v>
      </c>
      <c r="D2540">
        <v>0</v>
      </c>
      <c r="E2540">
        <v>1.52665326393143E-4</v>
      </c>
      <c r="F2540" t="str">
        <f>"40/43"</f>
        <v>40/43</v>
      </c>
      <c r="G2540" s="10">
        <v>0.60770000000000002</v>
      </c>
    </row>
    <row r="2541" spans="1:7" x14ac:dyDescent="0.2">
      <c r="A2541" s="1" t="s">
        <v>122</v>
      </c>
      <c r="B2541" t="s">
        <v>2365</v>
      </c>
      <c r="C2541">
        <v>-2.53762166798407</v>
      </c>
      <c r="D2541">
        <v>0</v>
      </c>
      <c r="E2541">
        <v>1.7432398977238299E-4</v>
      </c>
      <c r="F2541" t="str">
        <f>"25/27"</f>
        <v>25/27</v>
      </c>
      <c r="G2541" s="10">
        <v>0.52729999999999999</v>
      </c>
    </row>
    <row r="2542" spans="1:7" x14ac:dyDescent="0.2">
      <c r="A2542" s="1" t="s">
        <v>122</v>
      </c>
      <c r="B2542" t="s">
        <v>2366</v>
      </c>
      <c r="C2542">
        <v>-2.5362908519925398</v>
      </c>
      <c r="D2542">
        <v>0</v>
      </c>
      <c r="E2542">
        <v>1.7417358080795399E-4</v>
      </c>
      <c r="F2542" t="str">
        <f>"23/28"</f>
        <v>23/28</v>
      </c>
      <c r="G2542" s="10">
        <v>0.4284</v>
      </c>
    </row>
    <row r="2543" spans="1:7" x14ac:dyDescent="0.2">
      <c r="A2543" s="1" t="s">
        <v>122</v>
      </c>
      <c r="B2543" t="s">
        <v>2367</v>
      </c>
      <c r="C2543">
        <v>-2.5328108840582302</v>
      </c>
      <c r="D2543">
        <v>0</v>
      </c>
      <c r="E2543">
        <v>1.7402343116932701E-4</v>
      </c>
      <c r="F2543" t="str">
        <f>"19/19"</f>
        <v>19/19</v>
      </c>
      <c r="G2543" s="10">
        <v>0.52880000000000005</v>
      </c>
    </row>
    <row r="2544" spans="1:7" x14ac:dyDescent="0.2">
      <c r="A2544" s="1" t="s">
        <v>122</v>
      </c>
      <c r="B2544" t="s">
        <v>2368</v>
      </c>
      <c r="C2544">
        <v>-2.5305051926140099</v>
      </c>
      <c r="D2544">
        <v>0</v>
      </c>
      <c r="E2544">
        <v>1.7387354018640801E-4</v>
      </c>
      <c r="F2544" t="str">
        <f>"25/28"</f>
        <v>25/28</v>
      </c>
      <c r="G2544" s="10">
        <v>0.49120000000000003</v>
      </c>
    </row>
    <row r="2545" spans="1:7" x14ac:dyDescent="0.2">
      <c r="A2545" s="1" t="s">
        <v>122</v>
      </c>
      <c r="B2545" t="s">
        <v>2369</v>
      </c>
      <c r="C2545">
        <v>-2.5298149252225102</v>
      </c>
      <c r="D2545">
        <v>0</v>
      </c>
      <c r="E2545">
        <v>1.73723907191411E-4</v>
      </c>
      <c r="F2545" t="str">
        <f>"35/40"</f>
        <v>35/40</v>
      </c>
      <c r="G2545" s="10">
        <v>0.53480000000000005</v>
      </c>
    </row>
    <row r="2546" spans="1:7" x14ac:dyDescent="0.2">
      <c r="A2546" s="1" t="s">
        <v>122</v>
      </c>
      <c r="B2546" t="s">
        <v>2370</v>
      </c>
      <c r="C2546">
        <v>-2.5293518866675999</v>
      </c>
      <c r="D2546">
        <v>0</v>
      </c>
      <c r="E2546">
        <v>1.7357453151884699E-4</v>
      </c>
      <c r="F2546" t="str">
        <f>"21/21"</f>
        <v>21/21</v>
      </c>
      <c r="G2546" s="10">
        <v>0.54190000000000005</v>
      </c>
    </row>
    <row r="2547" spans="1:7" x14ac:dyDescent="0.2">
      <c r="A2547" s="1" t="s">
        <v>122</v>
      </c>
      <c r="B2547" t="s">
        <v>318</v>
      </c>
      <c r="C2547">
        <v>-2.5284190773887301</v>
      </c>
      <c r="D2547">
        <v>0</v>
      </c>
      <c r="E2547">
        <v>1.7342541250551499E-4</v>
      </c>
      <c r="F2547" t="str">
        <f>"19/29"</f>
        <v>19/29</v>
      </c>
      <c r="G2547" s="10">
        <v>0.30790000000000001</v>
      </c>
    </row>
    <row r="2548" spans="1:7" x14ac:dyDescent="0.2">
      <c r="A2548" s="1" t="s">
        <v>122</v>
      </c>
      <c r="B2548" t="s">
        <v>2371</v>
      </c>
      <c r="C2548">
        <v>-2.5283576381122801</v>
      </c>
      <c r="D2548">
        <v>0</v>
      </c>
      <c r="E2548">
        <v>1.7327654949048901E-4</v>
      </c>
      <c r="F2548" t="str">
        <f>"42/46"</f>
        <v>42/46</v>
      </c>
      <c r="G2548" s="10">
        <v>0.61450000000000005</v>
      </c>
    </row>
    <row r="2549" spans="1:7" x14ac:dyDescent="0.2">
      <c r="A2549" s="1" t="s">
        <v>122</v>
      </c>
      <c r="B2549" t="s">
        <v>2372</v>
      </c>
      <c r="C2549">
        <v>-2.5270383226437101</v>
      </c>
      <c r="D2549">
        <v>0</v>
      </c>
      <c r="E2549">
        <v>1.7297958882298101E-4</v>
      </c>
      <c r="F2549" t="str">
        <f>"14/15"</f>
        <v>14/15</v>
      </c>
      <c r="G2549" s="10">
        <v>0.43309999999999998</v>
      </c>
    </row>
    <row r="2550" spans="1:7" x14ac:dyDescent="0.2">
      <c r="A2550" s="1" t="s">
        <v>122</v>
      </c>
      <c r="B2550" t="s">
        <v>2373</v>
      </c>
      <c r="C2550">
        <v>-2.5270383226437101</v>
      </c>
      <c r="D2550">
        <v>0</v>
      </c>
      <c r="E2550">
        <v>1.7297958882298101E-4</v>
      </c>
      <c r="F2550" t="str">
        <f>"14/15"</f>
        <v>14/15</v>
      </c>
      <c r="G2550" s="10">
        <v>0.43309999999999998</v>
      </c>
    </row>
    <row r="2551" spans="1:7" x14ac:dyDescent="0.2">
      <c r="A2551" s="1" t="s">
        <v>122</v>
      </c>
      <c r="B2551" t="s">
        <v>610</v>
      </c>
      <c r="C2551">
        <v>-2.52646178908812</v>
      </c>
      <c r="D2551">
        <v>0</v>
      </c>
      <c r="E2551">
        <v>1.7283148985994799E-4</v>
      </c>
      <c r="F2551" t="str">
        <f>"25/25"</f>
        <v>25/25</v>
      </c>
      <c r="G2551" s="10">
        <v>0.59530000000000005</v>
      </c>
    </row>
    <row r="2552" spans="1:7" x14ac:dyDescent="0.2">
      <c r="A2552" s="1" t="s">
        <v>122</v>
      </c>
      <c r="B2552" t="s">
        <v>2374</v>
      </c>
      <c r="C2552">
        <v>-2.5251567590756099</v>
      </c>
      <c r="D2552">
        <v>0</v>
      </c>
      <c r="E2552">
        <v>1.7268364427409699E-4</v>
      </c>
      <c r="F2552" t="str">
        <f>"14/15"</f>
        <v>14/15</v>
      </c>
      <c r="G2552" s="10">
        <v>0.4375</v>
      </c>
    </row>
    <row r="2553" spans="1:7" x14ac:dyDescent="0.2">
      <c r="A2553" s="1" t="s">
        <v>122</v>
      </c>
      <c r="B2553" t="s">
        <v>28</v>
      </c>
      <c r="C2553">
        <v>-2.52483731499817</v>
      </c>
      <c r="D2553">
        <v>0</v>
      </c>
      <c r="E2553">
        <v>1.7253605141574299E-4</v>
      </c>
      <c r="F2553" t="str">
        <f>"69/72"</f>
        <v>69/72</v>
      </c>
      <c r="G2553" s="10">
        <v>0.71319999999999995</v>
      </c>
    </row>
    <row r="2554" spans="1:7" x14ac:dyDescent="0.2">
      <c r="A2554" s="1" t="s">
        <v>122</v>
      </c>
      <c r="B2554" t="s">
        <v>2375</v>
      </c>
      <c r="C2554">
        <v>-2.52421765321703</v>
      </c>
      <c r="D2554">
        <v>0</v>
      </c>
      <c r="E2554">
        <v>1.7238871063741999E-4</v>
      </c>
      <c r="F2554" t="str">
        <f>"40/43"</f>
        <v>40/43</v>
      </c>
      <c r="G2554" s="10">
        <v>0.61419999999999997</v>
      </c>
    </row>
    <row r="2555" spans="1:7" x14ac:dyDescent="0.2">
      <c r="A2555" s="1" t="s">
        <v>122</v>
      </c>
      <c r="B2555" t="s">
        <v>2376</v>
      </c>
      <c r="C2555">
        <v>-2.5232989739849798</v>
      </c>
      <c r="D2555">
        <v>0</v>
      </c>
      <c r="E2555">
        <v>1.72094782742045E-4</v>
      </c>
      <c r="F2555" t="str">
        <f>"20/20"</f>
        <v>20/20</v>
      </c>
      <c r="G2555" s="10">
        <v>0.49759999999999999</v>
      </c>
    </row>
    <row r="2556" spans="1:7" x14ac:dyDescent="0.2">
      <c r="A2556" s="1" t="s">
        <v>122</v>
      </c>
      <c r="B2556" t="s">
        <v>2377</v>
      </c>
      <c r="C2556">
        <v>-2.5232989739849798</v>
      </c>
      <c r="D2556">
        <v>0</v>
      </c>
      <c r="E2556">
        <v>1.72094782742045E-4</v>
      </c>
      <c r="F2556" t="str">
        <f>"20/20"</f>
        <v>20/20</v>
      </c>
      <c r="G2556" s="10">
        <v>0.49759999999999999</v>
      </c>
    </row>
    <row r="2557" spans="1:7" x14ac:dyDescent="0.2">
      <c r="A2557" s="1" t="s">
        <v>122</v>
      </c>
      <c r="B2557" t="s">
        <v>2378</v>
      </c>
      <c r="C2557">
        <v>-2.5227499894880201</v>
      </c>
      <c r="D2557">
        <v>0</v>
      </c>
      <c r="E2557">
        <v>1.7194819434107299E-4</v>
      </c>
      <c r="F2557" t="str">
        <f>"20/21"</f>
        <v>20/21</v>
      </c>
      <c r="G2557" s="10">
        <v>0.49980000000000002</v>
      </c>
    </row>
    <row r="2558" spans="1:7" x14ac:dyDescent="0.2">
      <c r="A2558" s="1" t="s">
        <v>122</v>
      </c>
      <c r="B2558" t="s">
        <v>2379</v>
      </c>
      <c r="C2558">
        <v>-2.52190098617465</v>
      </c>
      <c r="D2558">
        <v>0</v>
      </c>
      <c r="E2558">
        <v>1.93277087383806E-4</v>
      </c>
      <c r="F2558" t="str">
        <f>"40/49"</f>
        <v>40/49</v>
      </c>
      <c r="G2558" s="10">
        <v>0.48299999999999998</v>
      </c>
    </row>
    <row r="2559" spans="1:7" x14ac:dyDescent="0.2">
      <c r="A2559" s="1" t="s">
        <v>122</v>
      </c>
      <c r="B2559" t="s">
        <v>2380</v>
      </c>
      <c r="C2559">
        <v>-2.5213619851094702</v>
      </c>
      <c r="D2559">
        <v>0</v>
      </c>
      <c r="E2559">
        <v>1.9294866412571899E-4</v>
      </c>
      <c r="F2559" t="str">
        <f>"14/16"</f>
        <v>14/16</v>
      </c>
      <c r="G2559" s="10">
        <v>0.4163</v>
      </c>
    </row>
    <row r="2560" spans="1:7" x14ac:dyDescent="0.2">
      <c r="A2560" s="1" t="s">
        <v>122</v>
      </c>
      <c r="B2560" t="s">
        <v>2381</v>
      </c>
      <c r="C2560">
        <v>-2.5213619851094702</v>
      </c>
      <c r="D2560">
        <v>0</v>
      </c>
      <c r="E2560">
        <v>1.9294866412571899E-4</v>
      </c>
      <c r="F2560" t="str">
        <f>"14/16"</f>
        <v>14/16</v>
      </c>
      <c r="G2560" s="10">
        <v>0.4163</v>
      </c>
    </row>
    <row r="2561" spans="1:7" x14ac:dyDescent="0.2">
      <c r="A2561" s="1" t="s">
        <v>122</v>
      </c>
      <c r="B2561" t="s">
        <v>1243</v>
      </c>
      <c r="C2561">
        <v>-2.52095212084398</v>
      </c>
      <c r="D2561">
        <v>0</v>
      </c>
      <c r="E2561">
        <v>1.9278487069267501E-4</v>
      </c>
      <c r="F2561" t="str">
        <f>"46/50"</f>
        <v>46/50</v>
      </c>
      <c r="G2561" s="10">
        <v>0.59860000000000002</v>
      </c>
    </row>
    <row r="2562" spans="1:7" x14ac:dyDescent="0.2">
      <c r="A2562" s="1" t="s">
        <v>122</v>
      </c>
      <c r="B2562" t="s">
        <v>2382</v>
      </c>
      <c r="C2562">
        <v>-2.5204367316102601</v>
      </c>
      <c r="D2562">
        <v>0</v>
      </c>
      <c r="E2562">
        <v>1.9262135511108699E-4</v>
      </c>
      <c r="F2562" t="str">
        <f>"23/24"</f>
        <v>23/24</v>
      </c>
      <c r="G2562" s="10">
        <v>0.54849999999999999</v>
      </c>
    </row>
    <row r="2563" spans="1:7" x14ac:dyDescent="0.2">
      <c r="A2563" s="1" t="s">
        <v>122</v>
      </c>
      <c r="B2563" t="s">
        <v>2383</v>
      </c>
      <c r="C2563">
        <v>-2.5187246065306401</v>
      </c>
      <c r="D2563">
        <v>0</v>
      </c>
      <c r="E2563">
        <v>1.92458116674552E-4</v>
      </c>
      <c r="F2563" t="str">
        <f>"16/17"</f>
        <v>16/17</v>
      </c>
      <c r="G2563" s="10">
        <v>0.45929999999999999</v>
      </c>
    </row>
    <row r="2564" spans="1:7" x14ac:dyDescent="0.2">
      <c r="A2564" s="1" t="s">
        <v>122</v>
      </c>
      <c r="B2564" t="s">
        <v>2384</v>
      </c>
      <c r="C2564">
        <v>-2.5183424497253899</v>
      </c>
      <c r="D2564">
        <v>0</v>
      </c>
      <c r="E2564">
        <v>1.92295154679061E-4</v>
      </c>
      <c r="F2564" t="str">
        <f>"21/27"</f>
        <v>21/27</v>
      </c>
      <c r="G2564" s="10">
        <v>0.39550000000000002</v>
      </c>
    </row>
    <row r="2565" spans="1:7" x14ac:dyDescent="0.2">
      <c r="A2565" s="1" t="s">
        <v>122</v>
      </c>
      <c r="B2565" t="s">
        <v>2385</v>
      </c>
      <c r="C2565">
        <v>-2.5178380108684202</v>
      </c>
      <c r="D2565">
        <v>0</v>
      </c>
      <c r="E2565">
        <v>1.92132468422988E-4</v>
      </c>
      <c r="F2565" t="str">
        <f>"88/99"</f>
        <v>88/99</v>
      </c>
      <c r="G2565" s="10">
        <v>0.66700000000000004</v>
      </c>
    </row>
    <row r="2566" spans="1:7" x14ac:dyDescent="0.2">
      <c r="A2566" s="1" t="s">
        <v>122</v>
      </c>
      <c r="B2566" t="s">
        <v>2386</v>
      </c>
      <c r="C2566">
        <v>-2.51741617498524</v>
      </c>
      <c r="D2566">
        <v>0</v>
      </c>
      <c r="E2566">
        <v>1.9197005720707699E-4</v>
      </c>
      <c r="F2566" t="str">
        <f>"16/17"</f>
        <v>16/17</v>
      </c>
      <c r="G2566" s="10">
        <v>0.4335</v>
      </c>
    </row>
    <row r="2567" spans="1:7" x14ac:dyDescent="0.2">
      <c r="A2567" s="1" t="s">
        <v>122</v>
      </c>
      <c r="B2567" t="s">
        <v>2387</v>
      </c>
      <c r="C2567">
        <v>-2.5160280603329799</v>
      </c>
      <c r="D2567">
        <v>0</v>
      </c>
      <c r="E2567">
        <v>2.1311991148270599E-4</v>
      </c>
      <c r="F2567" t="str">
        <f>"15/15"</f>
        <v>15/15</v>
      </c>
      <c r="G2567" s="10">
        <v>0.47389999999999999</v>
      </c>
    </row>
    <row r="2568" spans="1:7" x14ac:dyDescent="0.2">
      <c r="A2568" s="1" t="s">
        <v>122</v>
      </c>
      <c r="B2568" t="s">
        <v>2388</v>
      </c>
      <c r="C2568">
        <v>-2.51417369756438</v>
      </c>
      <c r="D2568">
        <v>0</v>
      </c>
      <c r="E2568">
        <v>2.12940063456138E-4</v>
      </c>
      <c r="F2568" t="str">
        <f>"20/21"</f>
        <v>20/21</v>
      </c>
      <c r="G2568" s="10">
        <v>0.54479999999999995</v>
      </c>
    </row>
    <row r="2569" spans="1:7" x14ac:dyDescent="0.2">
      <c r="A2569" s="1" t="s">
        <v>122</v>
      </c>
      <c r="B2569" t="s">
        <v>2389</v>
      </c>
      <c r="C2569">
        <v>-2.5138718254544701</v>
      </c>
      <c r="D2569">
        <v>0</v>
      </c>
      <c r="E2569">
        <v>2.1276051871460701E-4</v>
      </c>
      <c r="F2569" t="str">
        <f>"23/28"</f>
        <v>23/28</v>
      </c>
      <c r="G2569" s="10">
        <v>0.40820000000000001</v>
      </c>
    </row>
    <row r="2570" spans="1:7" x14ac:dyDescent="0.2">
      <c r="A2570" s="1" t="s">
        <v>122</v>
      </c>
      <c r="B2570" t="s">
        <v>2390</v>
      </c>
      <c r="C2570">
        <v>-2.5131892408812302</v>
      </c>
      <c r="D2570">
        <v>0</v>
      </c>
      <c r="E2570">
        <v>2.1258127649159599E-4</v>
      </c>
      <c r="F2570" t="str">
        <f>"20/20"</f>
        <v>20/20</v>
      </c>
      <c r="G2570" s="10">
        <v>0.57809999999999995</v>
      </c>
    </row>
    <row r="2571" spans="1:7" x14ac:dyDescent="0.2">
      <c r="A2571" s="1" t="s">
        <v>122</v>
      </c>
      <c r="B2571" t="s">
        <v>2391</v>
      </c>
      <c r="C2571">
        <v>-2.5123889131815802</v>
      </c>
      <c r="D2571">
        <v>0</v>
      </c>
      <c r="E2571">
        <v>2.1240233602316799E-4</v>
      </c>
      <c r="F2571" t="str">
        <f>"20/22"</f>
        <v>20/22</v>
      </c>
      <c r="G2571" s="10">
        <v>0.45379999999999998</v>
      </c>
    </row>
    <row r="2572" spans="1:7" x14ac:dyDescent="0.2">
      <c r="A2572" s="1" t="s">
        <v>122</v>
      </c>
      <c r="B2572" t="s">
        <v>368</v>
      </c>
      <c r="C2572">
        <v>-2.5122055073857501</v>
      </c>
      <c r="D2572">
        <v>0</v>
      </c>
      <c r="E2572">
        <v>2.1222369654796001E-4</v>
      </c>
      <c r="F2572" t="str">
        <f>"66/72"</f>
        <v>66/72</v>
      </c>
      <c r="G2572" s="10">
        <v>0.68400000000000005</v>
      </c>
    </row>
    <row r="2573" spans="1:7" x14ac:dyDescent="0.2">
      <c r="A2573" s="1" t="s">
        <v>122</v>
      </c>
      <c r="B2573" t="s">
        <v>335</v>
      </c>
      <c r="C2573">
        <v>-2.5121281240686</v>
      </c>
      <c r="D2573">
        <v>0</v>
      </c>
      <c r="E2573">
        <v>2.12045357307163E-4</v>
      </c>
      <c r="F2573" t="str">
        <f>"35/38"</f>
        <v>35/38</v>
      </c>
      <c r="G2573" s="10">
        <v>0.58650000000000002</v>
      </c>
    </row>
    <row r="2574" spans="1:7" x14ac:dyDescent="0.2">
      <c r="A2574" s="1" t="s">
        <v>122</v>
      </c>
      <c r="B2574" t="s">
        <v>2392</v>
      </c>
      <c r="C2574">
        <v>-2.5118379208564501</v>
      </c>
      <c r="D2574">
        <v>0</v>
      </c>
      <c r="E2574">
        <v>2.11867317544521E-4</v>
      </c>
      <c r="F2574" t="str">
        <f>"52/58"</f>
        <v>52/58</v>
      </c>
      <c r="G2574" s="10">
        <v>0.63739999999999997</v>
      </c>
    </row>
    <row r="2575" spans="1:7" x14ac:dyDescent="0.2">
      <c r="A2575" s="1" t="s">
        <v>122</v>
      </c>
      <c r="B2575" t="s">
        <v>1608</v>
      </c>
      <c r="C2575">
        <v>-2.5103115876864099</v>
      </c>
      <c r="D2575">
        <v>0</v>
      </c>
      <c r="E2575">
        <v>2.32858534156943E-4</v>
      </c>
      <c r="F2575" t="str">
        <f>"84/94"</f>
        <v>84/94</v>
      </c>
      <c r="G2575" s="10">
        <v>0.66590000000000005</v>
      </c>
    </row>
    <row r="2576" spans="1:7" x14ac:dyDescent="0.2">
      <c r="A2576" s="1" t="s">
        <v>122</v>
      </c>
      <c r="B2576" t="s">
        <v>2393</v>
      </c>
      <c r="C2576">
        <v>-2.50975619003753</v>
      </c>
      <c r="D2576">
        <v>0</v>
      </c>
      <c r="E2576">
        <v>2.32663346785479E-4</v>
      </c>
      <c r="F2576" t="str">
        <f>"16/16"</f>
        <v>16/16</v>
      </c>
      <c r="G2576" s="10">
        <v>0.49719999999999998</v>
      </c>
    </row>
    <row r="2577" spans="1:7" x14ac:dyDescent="0.2">
      <c r="A2577" s="1" t="s">
        <v>122</v>
      </c>
      <c r="B2577" t="s">
        <v>1206</v>
      </c>
      <c r="C2577">
        <v>-2.5089219907675901</v>
      </c>
      <c r="D2577">
        <v>0</v>
      </c>
      <c r="E2577">
        <v>2.32468486361036E-4</v>
      </c>
      <c r="F2577" t="str">
        <f>"25/33"</f>
        <v>25/33</v>
      </c>
      <c r="G2577" s="10">
        <v>0.40539999999999998</v>
      </c>
    </row>
    <row r="2578" spans="1:7" x14ac:dyDescent="0.2">
      <c r="A2578" s="1" t="s">
        <v>122</v>
      </c>
      <c r="B2578" t="s">
        <v>1087</v>
      </c>
      <c r="C2578">
        <v>-2.5086400438852499</v>
      </c>
      <c r="D2578">
        <v>0</v>
      </c>
      <c r="E2578">
        <v>2.32273952062826E-4</v>
      </c>
      <c r="F2578" t="str">
        <f>"26/36"</f>
        <v>26/36</v>
      </c>
      <c r="G2578" s="10">
        <v>0.36020000000000002</v>
      </c>
    </row>
    <row r="2579" spans="1:7" x14ac:dyDescent="0.2">
      <c r="A2579" s="1" t="s">
        <v>122</v>
      </c>
      <c r="B2579" t="s">
        <v>2394</v>
      </c>
      <c r="C2579">
        <v>-2.50818883018326</v>
      </c>
      <c r="D2579">
        <v>0</v>
      </c>
      <c r="E2579">
        <v>2.32079743072806E-4</v>
      </c>
      <c r="F2579" t="str">
        <f>"19/19"</f>
        <v>19/19</v>
      </c>
      <c r="G2579" s="10">
        <v>0.52729999999999999</v>
      </c>
    </row>
    <row r="2580" spans="1:7" x14ac:dyDescent="0.2">
      <c r="A2580" s="1" t="s">
        <v>122</v>
      </c>
      <c r="B2580" t="s">
        <v>2395</v>
      </c>
      <c r="C2580">
        <v>-2.5077727840381501</v>
      </c>
      <c r="D2580">
        <v>0</v>
      </c>
      <c r="E2580">
        <v>2.3188585857567001E-4</v>
      </c>
      <c r="F2580" t="str">
        <f>"31/35"</f>
        <v>31/35</v>
      </c>
      <c r="G2580" s="10">
        <v>0.55069999999999997</v>
      </c>
    </row>
    <row r="2581" spans="1:7" x14ac:dyDescent="0.2">
      <c r="A2581" s="1" t="s">
        <v>122</v>
      </c>
      <c r="B2581" t="s">
        <v>1358</v>
      </c>
      <c r="C2581">
        <v>-2.5056503559879002</v>
      </c>
      <c r="D2581">
        <v>0</v>
      </c>
      <c r="E2581">
        <v>2.3169229775882799E-4</v>
      </c>
      <c r="F2581" t="str">
        <f>"39/43"</f>
        <v>39/43</v>
      </c>
      <c r="G2581" s="10">
        <v>0.58560000000000001</v>
      </c>
    </row>
    <row r="2582" spans="1:7" x14ac:dyDescent="0.2">
      <c r="A2582" s="1" t="s">
        <v>122</v>
      </c>
      <c r="B2582" t="s">
        <v>2396</v>
      </c>
      <c r="C2582">
        <v>-2.5028215105119598</v>
      </c>
      <c r="D2582">
        <v>0</v>
      </c>
      <c r="E2582">
        <v>2.5254442888626298E-4</v>
      </c>
      <c r="F2582" t="str">
        <f>"16/18"</f>
        <v>16/18</v>
      </c>
      <c r="G2582" s="10">
        <v>0.40810000000000002</v>
      </c>
    </row>
    <row r="2583" spans="1:7" x14ac:dyDescent="0.2">
      <c r="A2583" s="1" t="s">
        <v>122</v>
      </c>
      <c r="B2583" t="s">
        <v>2397</v>
      </c>
      <c r="C2583">
        <v>-2.5021976774260302</v>
      </c>
      <c r="D2583">
        <v>0</v>
      </c>
      <c r="E2583">
        <v>2.7336180646181802E-4</v>
      </c>
      <c r="F2583" t="str">
        <f>"29/31"</f>
        <v>29/31</v>
      </c>
      <c r="G2583" s="10">
        <v>0.55310000000000004</v>
      </c>
    </row>
    <row r="2584" spans="1:7" x14ac:dyDescent="0.2">
      <c r="A2584" s="1" t="s">
        <v>122</v>
      </c>
      <c r="B2584" t="s">
        <v>1034</v>
      </c>
      <c r="C2584">
        <v>-2.5014953148277601</v>
      </c>
      <c r="D2584">
        <v>0</v>
      </c>
      <c r="E2584">
        <v>2.7313419463295701E-4</v>
      </c>
      <c r="F2584" t="str">
        <f>"16/16"</f>
        <v>16/16</v>
      </c>
      <c r="G2584" s="10">
        <v>0.51590000000000003</v>
      </c>
    </row>
    <row r="2585" spans="1:7" x14ac:dyDescent="0.2">
      <c r="A2585" s="1" t="s">
        <v>122</v>
      </c>
      <c r="B2585" t="s">
        <v>2398</v>
      </c>
      <c r="C2585">
        <v>-2.4991614095702799</v>
      </c>
      <c r="D2585">
        <v>0</v>
      </c>
      <c r="E2585">
        <v>2.93899804720245E-4</v>
      </c>
      <c r="F2585" t="str">
        <f>"16/16"</f>
        <v>16/16</v>
      </c>
      <c r="G2585" s="10">
        <v>0.51870000000000005</v>
      </c>
    </row>
    <row r="2586" spans="1:7" x14ac:dyDescent="0.2">
      <c r="A2586" s="1" t="s">
        <v>122</v>
      </c>
      <c r="B2586" t="s">
        <v>663</v>
      </c>
      <c r="C2586">
        <v>-2.4949911112813301</v>
      </c>
      <c r="D2586">
        <v>0</v>
      </c>
      <c r="E2586">
        <v>2.9365549898065999E-4</v>
      </c>
      <c r="F2586" t="str">
        <f>"50/56"</f>
        <v>50/56</v>
      </c>
      <c r="G2586" s="10">
        <v>0.60870000000000002</v>
      </c>
    </row>
    <row r="2587" spans="1:7" x14ac:dyDescent="0.2">
      <c r="A2587" s="1" t="s">
        <v>122</v>
      </c>
      <c r="B2587" t="s">
        <v>2399</v>
      </c>
      <c r="C2587">
        <v>-2.4938937571419899</v>
      </c>
      <c r="D2587">
        <v>0</v>
      </c>
      <c r="E2587">
        <v>3.14369570426318E-4</v>
      </c>
      <c r="F2587" t="str">
        <f>"27/31"</f>
        <v>27/31</v>
      </c>
      <c r="G2587" s="10">
        <v>0.49399999999999999</v>
      </c>
    </row>
    <row r="2588" spans="1:7" x14ac:dyDescent="0.2">
      <c r="A2588" s="1" t="s">
        <v>122</v>
      </c>
      <c r="B2588" t="s">
        <v>2400</v>
      </c>
      <c r="C2588">
        <v>-2.4936995898118601</v>
      </c>
      <c r="D2588">
        <v>0</v>
      </c>
      <c r="E2588">
        <v>3.1410868281600503E-4</v>
      </c>
      <c r="F2588" t="str">
        <f>"21/23"</f>
        <v>21/23</v>
      </c>
      <c r="G2588" s="10">
        <v>0.48499999999999999</v>
      </c>
    </row>
    <row r="2589" spans="1:7" x14ac:dyDescent="0.2">
      <c r="A2589" s="1" t="s">
        <v>122</v>
      </c>
      <c r="B2589" t="s">
        <v>843</v>
      </c>
      <c r="C2589">
        <v>-2.49333119646557</v>
      </c>
      <c r="D2589">
        <v>0</v>
      </c>
      <c r="E2589">
        <v>3.1384822785512998E-4</v>
      </c>
      <c r="F2589" t="str">
        <f>"60/71"</f>
        <v>60/71</v>
      </c>
      <c r="G2589" s="10">
        <v>0.60919999999999996</v>
      </c>
    </row>
    <row r="2590" spans="1:7" x14ac:dyDescent="0.2">
      <c r="A2590" s="1" t="s">
        <v>122</v>
      </c>
      <c r="B2590" t="s">
        <v>2401</v>
      </c>
      <c r="C2590">
        <v>-2.49009631524804</v>
      </c>
      <c r="D2590">
        <v>0</v>
      </c>
      <c r="E2590">
        <v>3.3449408476622899E-4</v>
      </c>
      <c r="F2590" t="str">
        <f>"35/42"</f>
        <v>35/42</v>
      </c>
      <c r="G2590" s="10">
        <v>0.51090000000000002</v>
      </c>
    </row>
    <row r="2591" spans="1:7" x14ac:dyDescent="0.2">
      <c r="A2591" s="1" t="s">
        <v>122</v>
      </c>
      <c r="B2591" t="s">
        <v>2402</v>
      </c>
      <c r="C2591">
        <v>-2.4894871783020398</v>
      </c>
      <c r="D2591">
        <v>0</v>
      </c>
      <c r="E2591">
        <v>3.3394074467563199E-4</v>
      </c>
      <c r="F2591" t="str">
        <f>"22/23"</f>
        <v>22/23</v>
      </c>
      <c r="G2591" s="10">
        <v>0.50980000000000003</v>
      </c>
    </row>
    <row r="2592" spans="1:7" x14ac:dyDescent="0.2">
      <c r="A2592" s="1" t="s">
        <v>122</v>
      </c>
      <c r="B2592" t="s">
        <v>2403</v>
      </c>
      <c r="C2592">
        <v>-2.4894871783020398</v>
      </c>
      <c r="D2592">
        <v>0</v>
      </c>
      <c r="E2592">
        <v>3.3394074467563199E-4</v>
      </c>
      <c r="F2592" t="str">
        <f>"22/23"</f>
        <v>22/23</v>
      </c>
      <c r="G2592" s="10">
        <v>0.50980000000000003</v>
      </c>
    </row>
    <row r="2593" spans="1:7" x14ac:dyDescent="0.2">
      <c r="A2593" s="1" t="s">
        <v>122</v>
      </c>
      <c r="B2593" t="s">
        <v>2404</v>
      </c>
      <c r="C2593">
        <v>-2.4877797794043599</v>
      </c>
      <c r="D2593">
        <v>0</v>
      </c>
      <c r="E2593">
        <v>3.33664760589123E-4</v>
      </c>
      <c r="F2593" t="str">
        <f>"15/15"</f>
        <v>15/15</v>
      </c>
      <c r="G2593" s="10">
        <v>0.45710000000000001</v>
      </c>
    </row>
    <row r="2594" spans="1:7" x14ac:dyDescent="0.2">
      <c r="A2594" s="1" t="s">
        <v>122</v>
      </c>
      <c r="B2594" t="s">
        <v>2405</v>
      </c>
      <c r="C2594">
        <v>-2.4868878520039002</v>
      </c>
      <c r="D2594">
        <v>0</v>
      </c>
      <c r="E2594">
        <v>3.5422605931659099E-4</v>
      </c>
      <c r="F2594" t="str">
        <f>"24/26"</f>
        <v>24/26</v>
      </c>
      <c r="G2594" s="10">
        <v>0.50800000000000001</v>
      </c>
    </row>
    <row r="2595" spans="1:7" x14ac:dyDescent="0.2">
      <c r="A2595" s="1" t="s">
        <v>122</v>
      </c>
      <c r="B2595" t="s">
        <v>2406</v>
      </c>
      <c r="C2595">
        <v>-2.4867326874807199</v>
      </c>
      <c r="D2595">
        <v>0</v>
      </c>
      <c r="E2595">
        <v>3.5393379359108202E-4</v>
      </c>
      <c r="F2595" t="str">
        <f>"15/15"</f>
        <v>15/15</v>
      </c>
      <c r="G2595" s="10">
        <v>0.49209999999999998</v>
      </c>
    </row>
    <row r="2596" spans="1:7" x14ac:dyDescent="0.2">
      <c r="A2596" s="1" t="s">
        <v>122</v>
      </c>
      <c r="B2596" t="s">
        <v>2407</v>
      </c>
      <c r="C2596">
        <v>-2.4855737166623699</v>
      </c>
      <c r="D2596">
        <v>0</v>
      </c>
      <c r="E2596">
        <v>3.5364200975465101E-4</v>
      </c>
      <c r="F2596" t="str">
        <f>"21/26"</f>
        <v>21/26</v>
      </c>
      <c r="G2596" s="10">
        <v>0.39860000000000001</v>
      </c>
    </row>
    <row r="2597" spans="1:7" x14ac:dyDescent="0.2">
      <c r="A2597" s="1" t="s">
        <v>122</v>
      </c>
      <c r="B2597" t="s">
        <v>2408</v>
      </c>
      <c r="C2597">
        <v>-2.4847483638418701</v>
      </c>
      <c r="D2597">
        <v>0</v>
      </c>
      <c r="E2597">
        <v>3.7413604229978901E-4</v>
      </c>
      <c r="F2597" t="str">
        <f>"21/21"</f>
        <v>21/21</v>
      </c>
      <c r="G2597" s="10">
        <v>0.59279999999999999</v>
      </c>
    </row>
    <row r="2598" spans="1:7" x14ac:dyDescent="0.2">
      <c r="A2598" s="1" t="s">
        <v>122</v>
      </c>
      <c r="B2598" t="s">
        <v>2409</v>
      </c>
      <c r="C2598">
        <v>-2.48249343618544</v>
      </c>
      <c r="D2598">
        <v>0</v>
      </c>
      <c r="E2598">
        <v>3.9459633981193102E-4</v>
      </c>
      <c r="F2598" t="str">
        <f>"40/51"</f>
        <v>40/51</v>
      </c>
      <c r="G2598" s="10">
        <v>0.49120000000000003</v>
      </c>
    </row>
    <row r="2599" spans="1:7" x14ac:dyDescent="0.2">
      <c r="A2599" s="1" t="s">
        <v>122</v>
      </c>
      <c r="B2599" t="s">
        <v>935</v>
      </c>
      <c r="C2599">
        <v>-2.4813040791935901</v>
      </c>
      <c r="D2599">
        <v>0</v>
      </c>
      <c r="E2599">
        <v>3.9427183624300699E-4</v>
      </c>
      <c r="F2599" t="str">
        <f>"81/102"</f>
        <v>81/102</v>
      </c>
      <c r="G2599" s="10">
        <v>0.58189999999999997</v>
      </c>
    </row>
    <row r="2600" spans="1:7" x14ac:dyDescent="0.2">
      <c r="A2600" s="1" t="s">
        <v>122</v>
      </c>
      <c r="B2600" t="s">
        <v>894</v>
      </c>
      <c r="C2600">
        <v>-2.4812909017851901</v>
      </c>
      <c r="D2600">
        <v>0</v>
      </c>
      <c r="E2600">
        <v>3.9394786595850099E-4</v>
      </c>
      <c r="F2600" t="str">
        <f>"69/79"</f>
        <v>69/79</v>
      </c>
      <c r="G2600" s="10">
        <v>0.63670000000000004</v>
      </c>
    </row>
    <row r="2601" spans="1:7" x14ac:dyDescent="0.2">
      <c r="A2601" s="1" t="s">
        <v>122</v>
      </c>
      <c r="B2601" t="s">
        <v>646</v>
      </c>
      <c r="C2601">
        <v>-2.4803553193830599</v>
      </c>
      <c r="D2601">
        <v>0</v>
      </c>
      <c r="E2601">
        <v>3.9362442764490698E-4</v>
      </c>
      <c r="F2601" t="str">
        <f>"82/90"</f>
        <v>82/90</v>
      </c>
      <c r="G2601" s="10">
        <v>0.6925</v>
      </c>
    </row>
    <row r="2602" spans="1:7" x14ac:dyDescent="0.2">
      <c r="A2602" s="1" t="s">
        <v>122</v>
      </c>
      <c r="B2602" t="s">
        <v>1302</v>
      </c>
      <c r="C2602">
        <v>-2.4793159817350099</v>
      </c>
      <c r="D2602">
        <v>0</v>
      </c>
      <c r="E2602">
        <v>3.9330151999302399E-4</v>
      </c>
      <c r="F2602" t="str">
        <f>"41/43"</f>
        <v>41/43</v>
      </c>
      <c r="G2602" s="10">
        <v>0.66059999999999997</v>
      </c>
    </row>
    <row r="2603" spans="1:7" x14ac:dyDescent="0.2">
      <c r="A2603" s="1" t="s">
        <v>122</v>
      </c>
      <c r="B2603" t="s">
        <v>1177</v>
      </c>
      <c r="C2603">
        <v>-2.4792512559739301</v>
      </c>
      <c r="D2603">
        <v>0</v>
      </c>
      <c r="E2603">
        <v>3.9297914169794798E-4</v>
      </c>
      <c r="F2603" t="str">
        <f>"31/36"</f>
        <v>31/36</v>
      </c>
      <c r="G2603" s="10">
        <v>0.51090000000000002</v>
      </c>
    </row>
    <row r="2604" spans="1:7" x14ac:dyDescent="0.2">
      <c r="A2604" s="1" t="s">
        <v>122</v>
      </c>
      <c r="B2604" t="s">
        <v>40</v>
      </c>
      <c r="C2604">
        <v>-2.4790590438705502</v>
      </c>
      <c r="D2604">
        <v>0</v>
      </c>
      <c r="E2604">
        <v>3.9265729145904698E-4</v>
      </c>
      <c r="F2604" t="str">
        <f>"29/42"</f>
        <v>29/42</v>
      </c>
      <c r="G2604" s="10">
        <v>0.37609999999999999</v>
      </c>
    </row>
    <row r="2605" spans="1:7" x14ac:dyDescent="0.2">
      <c r="A2605" s="1" t="s">
        <v>122</v>
      </c>
      <c r="B2605" t="s">
        <v>2410</v>
      </c>
      <c r="C2605">
        <v>-2.4761213063212399</v>
      </c>
      <c r="D2605">
        <v>0</v>
      </c>
      <c r="E2605">
        <v>3.9201516996851702E-4</v>
      </c>
      <c r="F2605" t="str">
        <f>"18/18"</f>
        <v>18/18</v>
      </c>
      <c r="G2605" s="10">
        <v>0.52610000000000001</v>
      </c>
    </row>
    <row r="2606" spans="1:7" x14ac:dyDescent="0.2">
      <c r="A2606" s="1" t="s">
        <v>122</v>
      </c>
      <c r="B2606" t="s">
        <v>2411</v>
      </c>
      <c r="C2606">
        <v>-2.4761213063212399</v>
      </c>
      <c r="D2606">
        <v>0</v>
      </c>
      <c r="E2606">
        <v>3.9201516996851702E-4</v>
      </c>
      <c r="F2606" t="str">
        <f>"18/18"</f>
        <v>18/18</v>
      </c>
      <c r="G2606" s="10">
        <v>0.52610000000000001</v>
      </c>
    </row>
    <row r="2607" spans="1:7" x14ac:dyDescent="0.2">
      <c r="A2607" s="1" t="s">
        <v>122</v>
      </c>
      <c r="B2607" t="s">
        <v>2412</v>
      </c>
      <c r="C2607">
        <v>-2.4720213190388098</v>
      </c>
      <c r="D2607">
        <v>0</v>
      </c>
      <c r="E2607">
        <v>3.91694896136843E-4</v>
      </c>
      <c r="F2607" t="str">
        <f>"15/18"</f>
        <v>15/18</v>
      </c>
      <c r="G2607" s="10">
        <v>0.37330000000000002</v>
      </c>
    </row>
    <row r="2608" spans="1:7" x14ac:dyDescent="0.2">
      <c r="A2608" s="1" t="s">
        <v>122</v>
      </c>
      <c r="B2608" t="s">
        <v>2413</v>
      </c>
      <c r="C2608">
        <v>-2.4718875101150499</v>
      </c>
      <c r="D2608">
        <v>0</v>
      </c>
      <c r="E2608">
        <v>3.9137514520122101E-4</v>
      </c>
      <c r="F2608" t="str">
        <f>"28/30"</f>
        <v>28/30</v>
      </c>
      <c r="G2608" s="10">
        <v>0.53690000000000004</v>
      </c>
    </row>
    <row r="2609" spans="1:7" x14ac:dyDescent="0.2">
      <c r="A2609" s="1" t="s">
        <v>122</v>
      </c>
      <c r="B2609" t="s">
        <v>2414</v>
      </c>
      <c r="C2609">
        <v>-2.46969917441406</v>
      </c>
      <c r="D2609">
        <v>0</v>
      </c>
      <c r="E2609">
        <v>4.3221969650130597E-4</v>
      </c>
      <c r="F2609" t="str">
        <f>"15/15"</f>
        <v>15/15</v>
      </c>
      <c r="G2609" s="10">
        <v>0.50700000000000001</v>
      </c>
    </row>
    <row r="2610" spans="1:7" x14ac:dyDescent="0.2">
      <c r="A2610" s="1" t="s">
        <v>122</v>
      </c>
      <c r="B2610" t="s">
        <v>2415</v>
      </c>
      <c r="C2610">
        <v>-2.46961295528821</v>
      </c>
      <c r="D2610">
        <v>0</v>
      </c>
      <c r="E2610">
        <v>4.3186743920994403E-4</v>
      </c>
      <c r="F2610" t="str">
        <f>"70/93"</f>
        <v>70/93</v>
      </c>
      <c r="G2610" s="10">
        <v>0.52080000000000004</v>
      </c>
    </row>
    <row r="2611" spans="1:7" x14ac:dyDescent="0.2">
      <c r="A2611" s="1" t="s">
        <v>122</v>
      </c>
      <c r="B2611" t="s">
        <v>1348</v>
      </c>
      <c r="C2611">
        <v>-2.46904642731237</v>
      </c>
      <c r="D2611">
        <v>0</v>
      </c>
      <c r="E2611">
        <v>4.3151575562752501E-4</v>
      </c>
      <c r="F2611" t="str">
        <f>"16/16"</f>
        <v>16/16</v>
      </c>
      <c r="G2611" s="10">
        <v>0.48970000000000002</v>
      </c>
    </row>
    <row r="2612" spans="1:7" x14ac:dyDescent="0.2">
      <c r="A2612" s="1" t="s">
        <v>122</v>
      </c>
      <c r="B2612" t="s">
        <v>2416</v>
      </c>
      <c r="C2612">
        <v>-2.4690258264671598</v>
      </c>
      <c r="D2612">
        <v>0</v>
      </c>
      <c r="E2612">
        <v>4.3116464435362199E-4</v>
      </c>
      <c r="F2612" t="str">
        <f>"20/20"</f>
        <v>20/20</v>
      </c>
      <c r="G2612" s="10">
        <v>0.56399999999999995</v>
      </c>
    </row>
    <row r="2613" spans="1:7" x14ac:dyDescent="0.2">
      <c r="A2613" s="1" t="s">
        <v>122</v>
      </c>
      <c r="B2613" t="s">
        <v>2417</v>
      </c>
      <c r="C2613">
        <v>-2.46881564043517</v>
      </c>
      <c r="D2613">
        <v>0</v>
      </c>
      <c r="E2613">
        <v>4.3081410399235901E-4</v>
      </c>
      <c r="F2613" t="str">
        <f>"28/32"</f>
        <v>28/32</v>
      </c>
      <c r="G2613" s="10">
        <v>0.4793</v>
      </c>
    </row>
    <row r="2614" spans="1:7" x14ac:dyDescent="0.2">
      <c r="A2614" s="1" t="s">
        <v>122</v>
      </c>
      <c r="B2614" t="s">
        <v>1170</v>
      </c>
      <c r="C2614">
        <v>-2.46823146305444</v>
      </c>
      <c r="D2614">
        <v>0</v>
      </c>
      <c r="E2614">
        <v>4.3046413315239702E-4</v>
      </c>
      <c r="F2614" t="str">
        <f>"46/50"</f>
        <v>46/50</v>
      </c>
      <c r="G2614" s="10">
        <v>0.63670000000000004</v>
      </c>
    </row>
    <row r="2615" spans="1:7" x14ac:dyDescent="0.2">
      <c r="A2615" s="1" t="s">
        <v>122</v>
      </c>
      <c r="B2615" t="s">
        <v>746</v>
      </c>
      <c r="C2615">
        <v>-2.4678543089610501</v>
      </c>
      <c r="D2615">
        <v>0</v>
      </c>
      <c r="E2615">
        <v>4.30114730446916E-4</v>
      </c>
      <c r="F2615" t="str">
        <f>"35/35"</f>
        <v>35/35</v>
      </c>
      <c r="G2615" s="10">
        <v>0.67159999999999997</v>
      </c>
    </row>
    <row r="2616" spans="1:7" x14ac:dyDescent="0.2">
      <c r="A2616" s="1" t="s">
        <v>122</v>
      </c>
      <c r="B2616" t="s">
        <v>2418</v>
      </c>
      <c r="C2616">
        <v>-2.4671569716488002</v>
      </c>
      <c r="D2616">
        <v>0</v>
      </c>
      <c r="E2616">
        <v>4.2976589449359402E-4</v>
      </c>
      <c r="F2616" t="str">
        <f>"19/21"</f>
        <v>19/21</v>
      </c>
      <c r="G2616" s="10">
        <v>0.46150000000000002</v>
      </c>
    </row>
    <row r="2617" spans="1:7" x14ac:dyDescent="0.2">
      <c r="A2617" s="1" t="s">
        <v>122</v>
      </c>
      <c r="B2617" t="s">
        <v>2419</v>
      </c>
      <c r="C2617">
        <v>-2.4666601840780999</v>
      </c>
      <c r="D2617">
        <v>0</v>
      </c>
      <c r="E2617">
        <v>4.2941762391458799E-4</v>
      </c>
      <c r="F2617" t="str">
        <f>"38/44"</f>
        <v>38/44</v>
      </c>
      <c r="G2617" s="10">
        <v>0.56850000000000001</v>
      </c>
    </row>
    <row r="2618" spans="1:7" x14ac:dyDescent="0.2">
      <c r="A2618" s="1" t="s">
        <v>122</v>
      </c>
      <c r="B2618" t="s">
        <v>2420</v>
      </c>
      <c r="C2618">
        <v>-2.4666206944660001</v>
      </c>
      <c r="D2618">
        <v>0</v>
      </c>
      <c r="E2618">
        <v>4.29069917336519E-4</v>
      </c>
      <c r="F2618" t="str">
        <f>"29/29"</f>
        <v>29/29</v>
      </c>
      <c r="G2618" s="10">
        <v>0.6381</v>
      </c>
    </row>
    <row r="2619" spans="1:7" x14ac:dyDescent="0.2">
      <c r="A2619" s="1" t="s">
        <v>122</v>
      </c>
      <c r="B2619" t="s">
        <v>2421</v>
      </c>
      <c r="C2619">
        <v>-2.4662355837542398</v>
      </c>
      <c r="D2619">
        <v>0</v>
      </c>
      <c r="E2619">
        <v>4.2872277339045398E-4</v>
      </c>
      <c r="F2619" t="str">
        <f>"14/18"</f>
        <v>14/18</v>
      </c>
      <c r="G2619" s="10">
        <v>0.29499999999999998</v>
      </c>
    </row>
    <row r="2620" spans="1:7" x14ac:dyDescent="0.2">
      <c r="A2620" s="1" t="s">
        <v>122</v>
      </c>
      <c r="B2620" t="s">
        <v>2422</v>
      </c>
      <c r="C2620">
        <v>-2.4655770677014202</v>
      </c>
      <c r="D2620">
        <v>0</v>
      </c>
      <c r="E2620">
        <v>4.2837619071188401E-4</v>
      </c>
      <c r="F2620" t="str">
        <f>"21/21"</f>
        <v>21/21</v>
      </c>
      <c r="G2620" s="10">
        <v>0.53269999999999995</v>
      </c>
    </row>
    <row r="2621" spans="1:7" x14ac:dyDescent="0.2">
      <c r="A2621" s="1" t="s">
        <v>122</v>
      </c>
      <c r="B2621" t="s">
        <v>2423</v>
      </c>
      <c r="C2621">
        <v>-2.4645225703670599</v>
      </c>
      <c r="D2621">
        <v>0</v>
      </c>
      <c r="E2621">
        <v>4.2803016794071199E-4</v>
      </c>
      <c r="F2621" t="str">
        <f>"14/16"</f>
        <v>14/16</v>
      </c>
      <c r="G2621" s="10">
        <v>0.37690000000000001</v>
      </c>
    </row>
    <row r="2622" spans="1:7" x14ac:dyDescent="0.2">
      <c r="A2622" s="1" t="s">
        <v>122</v>
      </c>
      <c r="B2622" t="s">
        <v>1072</v>
      </c>
      <c r="C2622">
        <v>-2.4636991204043599</v>
      </c>
      <c r="D2622">
        <v>0</v>
      </c>
      <c r="E2622">
        <v>4.27684703721228E-4</v>
      </c>
      <c r="F2622" t="str">
        <f>"25/34"</f>
        <v>25/34</v>
      </c>
      <c r="G2622" s="10">
        <v>0.38879999999999998</v>
      </c>
    </row>
    <row r="2623" spans="1:7" x14ac:dyDescent="0.2">
      <c r="A2623" s="1" t="s">
        <v>122</v>
      </c>
      <c r="B2623" t="s">
        <v>2424</v>
      </c>
      <c r="C2623">
        <v>-2.4634580403358601</v>
      </c>
      <c r="D2623">
        <v>0</v>
      </c>
      <c r="E2623">
        <v>4.2733979670209801E-4</v>
      </c>
      <c r="F2623" t="str">
        <f>"20/22"</f>
        <v>20/22</v>
      </c>
      <c r="G2623" s="10">
        <v>0.45610000000000001</v>
      </c>
    </row>
    <row r="2624" spans="1:7" x14ac:dyDescent="0.2">
      <c r="A2624" s="1" t="s">
        <v>122</v>
      </c>
      <c r="B2624" t="s">
        <v>544</v>
      </c>
      <c r="C2624">
        <v>-2.4624239379316202</v>
      </c>
      <c r="D2624">
        <v>0</v>
      </c>
      <c r="E2624">
        <v>4.2699544553634301E-4</v>
      </c>
      <c r="F2624" t="str">
        <f>"73/84"</f>
        <v>73/84</v>
      </c>
      <c r="G2624" s="10">
        <v>0.6583</v>
      </c>
    </row>
    <row r="2625" spans="1:7" x14ac:dyDescent="0.2">
      <c r="A2625" s="1" t="s">
        <v>122</v>
      </c>
      <c r="B2625" t="s">
        <v>822</v>
      </c>
      <c r="C2625">
        <v>-2.4623961417666602</v>
      </c>
      <c r="D2625">
        <v>0</v>
      </c>
      <c r="E2625">
        <v>4.2665164888132102E-4</v>
      </c>
      <c r="F2625" t="str">
        <f>"42/45"</f>
        <v>42/45</v>
      </c>
      <c r="G2625" s="10">
        <v>0.63029999999999997</v>
      </c>
    </row>
    <row r="2626" spans="1:7" x14ac:dyDescent="0.2">
      <c r="A2626" s="1" t="s">
        <v>122</v>
      </c>
      <c r="B2626" t="s">
        <v>2425</v>
      </c>
      <c r="C2626">
        <v>-2.4616918909057501</v>
      </c>
      <c r="D2626">
        <v>0</v>
      </c>
      <c r="E2626">
        <v>4.2630840539871397E-4</v>
      </c>
      <c r="F2626" t="str">
        <f>"17/17"</f>
        <v>17/17</v>
      </c>
      <c r="G2626" s="10">
        <v>0.54479999999999995</v>
      </c>
    </row>
    <row r="2627" spans="1:7" x14ac:dyDescent="0.2">
      <c r="A2627" s="1" t="s">
        <v>122</v>
      </c>
      <c r="B2627" t="s">
        <v>296</v>
      </c>
      <c r="C2627">
        <v>-2.4615996571705199</v>
      </c>
      <c r="D2627">
        <v>0</v>
      </c>
      <c r="E2627">
        <v>4.25965713754502E-4</v>
      </c>
      <c r="F2627" t="str">
        <f>"59/68"</f>
        <v>59/68</v>
      </c>
      <c r="G2627" s="10">
        <v>0.6109</v>
      </c>
    </row>
    <row r="2628" spans="1:7" x14ac:dyDescent="0.2">
      <c r="A2628" s="1" t="s">
        <v>122</v>
      </c>
      <c r="B2628" t="s">
        <v>2426</v>
      </c>
      <c r="C2628">
        <v>-2.4599339573932699</v>
      </c>
      <c r="D2628">
        <v>0</v>
      </c>
      <c r="E2628">
        <v>4.25623572618957E-4</v>
      </c>
      <c r="F2628" t="str">
        <f>"18/19"</f>
        <v>18/19</v>
      </c>
      <c r="G2628" s="10">
        <v>0.46779999999999999</v>
      </c>
    </row>
    <row r="2629" spans="1:7" x14ac:dyDescent="0.2">
      <c r="A2629" s="1" t="s">
        <v>122</v>
      </c>
      <c r="B2629" t="s">
        <v>2427</v>
      </c>
      <c r="C2629">
        <v>-2.4592671608227801</v>
      </c>
      <c r="D2629">
        <v>0</v>
      </c>
      <c r="E2629">
        <v>4.25281980666614E-4</v>
      </c>
      <c r="F2629" t="str">
        <f>"26/35"</f>
        <v>26/35</v>
      </c>
      <c r="G2629" s="10">
        <v>0.40410000000000001</v>
      </c>
    </row>
    <row r="2630" spans="1:7" x14ac:dyDescent="0.2">
      <c r="A2630" s="1" t="s">
        <v>122</v>
      </c>
      <c r="B2630" t="s">
        <v>1347</v>
      </c>
      <c r="C2630">
        <v>-2.4589175121275999</v>
      </c>
      <c r="D2630">
        <v>0</v>
      </c>
      <c r="E2630">
        <v>4.2494093657626398E-4</v>
      </c>
      <c r="F2630" t="str">
        <f>"109/127"</f>
        <v>109/127</v>
      </c>
      <c r="G2630" s="10">
        <v>0.67659999999999998</v>
      </c>
    </row>
    <row r="2631" spans="1:7" x14ac:dyDescent="0.2">
      <c r="A2631" s="1" t="s">
        <v>122</v>
      </c>
      <c r="B2631" t="s">
        <v>2428</v>
      </c>
      <c r="C2631">
        <v>-2.45790819143707</v>
      </c>
      <c r="D2631">
        <v>0</v>
      </c>
      <c r="E2631">
        <v>4.2460043903093001E-4</v>
      </c>
      <c r="F2631" t="str">
        <f>"26/30"</f>
        <v>26/30</v>
      </c>
      <c r="G2631" s="10">
        <v>0.495</v>
      </c>
    </row>
    <row r="2632" spans="1:7" x14ac:dyDescent="0.2">
      <c r="A2632" s="1" t="s">
        <v>122</v>
      </c>
      <c r="B2632" t="s">
        <v>1017</v>
      </c>
      <c r="C2632">
        <v>-2.4577568493337001</v>
      </c>
      <c r="D2632">
        <v>0</v>
      </c>
      <c r="E2632">
        <v>4.2426048671785502E-4</v>
      </c>
      <c r="F2632" t="str">
        <f>"57/65"</f>
        <v>57/65</v>
      </c>
      <c r="G2632" s="10">
        <v>0.62029999999999996</v>
      </c>
    </row>
    <row r="2633" spans="1:7" x14ac:dyDescent="0.2">
      <c r="A2633" s="1" t="s">
        <v>122</v>
      </c>
      <c r="B2633" t="s">
        <v>2429</v>
      </c>
      <c r="C2633">
        <v>-2.4576519282742701</v>
      </c>
      <c r="D2633">
        <v>0</v>
      </c>
      <c r="E2633">
        <v>4.2392107832848103E-4</v>
      </c>
      <c r="F2633" t="str">
        <f>"33/35"</f>
        <v>33/35</v>
      </c>
      <c r="G2633" s="10">
        <v>0.60229999999999995</v>
      </c>
    </row>
    <row r="2634" spans="1:7" x14ac:dyDescent="0.2">
      <c r="A2634" s="1" t="s">
        <v>122</v>
      </c>
      <c r="B2634" t="s">
        <v>2430</v>
      </c>
      <c r="C2634">
        <v>-2.4573874912216298</v>
      </c>
      <c r="D2634">
        <v>0</v>
      </c>
      <c r="E2634">
        <v>4.23582212558434E-4</v>
      </c>
      <c r="F2634" t="str">
        <f>"34/40"</f>
        <v>34/40</v>
      </c>
      <c r="G2634" s="10">
        <v>0.52880000000000005</v>
      </c>
    </row>
    <row r="2635" spans="1:7" x14ac:dyDescent="0.2">
      <c r="A2635" s="1" t="s">
        <v>122</v>
      </c>
      <c r="B2635" t="s">
        <v>2431</v>
      </c>
      <c r="C2635">
        <v>-2.4560018432666699</v>
      </c>
      <c r="D2635">
        <v>0</v>
      </c>
      <c r="E2635">
        <v>4.2324388810750899E-4</v>
      </c>
      <c r="F2635" t="str">
        <f>"16/17"</f>
        <v>16/17</v>
      </c>
      <c r="G2635" s="10">
        <v>0.46839999999999998</v>
      </c>
    </row>
    <row r="2636" spans="1:7" x14ac:dyDescent="0.2">
      <c r="A2636" s="1" t="s">
        <v>122</v>
      </c>
      <c r="B2636" t="s">
        <v>2432</v>
      </c>
      <c r="C2636">
        <v>-2.4558082002225001</v>
      </c>
      <c r="D2636">
        <v>0</v>
      </c>
      <c r="E2636">
        <v>4.2290610367965001E-4</v>
      </c>
      <c r="F2636" t="str">
        <f>"21/23"</f>
        <v>21/23</v>
      </c>
      <c r="G2636" s="10">
        <v>0.46810000000000002</v>
      </c>
    </row>
    <row r="2637" spans="1:7" x14ac:dyDescent="0.2">
      <c r="A2637" s="1" t="s">
        <v>122</v>
      </c>
      <c r="B2637" t="s">
        <v>2433</v>
      </c>
      <c r="C2637">
        <v>-2.4557336763894502</v>
      </c>
      <c r="D2637">
        <v>0</v>
      </c>
      <c r="E2637">
        <v>4.2256885798293498E-4</v>
      </c>
      <c r="F2637" t="str">
        <f>"15/18"</f>
        <v>15/18</v>
      </c>
      <c r="G2637" s="10">
        <v>0.38080000000000003</v>
      </c>
    </row>
    <row r="2638" spans="1:7" x14ac:dyDescent="0.2">
      <c r="A2638" s="1" t="s">
        <v>122</v>
      </c>
      <c r="B2638" t="s">
        <v>2434</v>
      </c>
      <c r="C2638">
        <v>-2.4552016019848901</v>
      </c>
      <c r="D2638">
        <v>0</v>
      </c>
      <c r="E2638">
        <v>4.2223214972956298E-4</v>
      </c>
      <c r="F2638" t="str">
        <f>"14/20"</f>
        <v>14/20</v>
      </c>
      <c r="G2638" s="10">
        <v>0.24340000000000001</v>
      </c>
    </row>
    <row r="2639" spans="1:7" x14ac:dyDescent="0.2">
      <c r="A2639" s="1" t="s">
        <v>122</v>
      </c>
      <c r="B2639" t="s">
        <v>2435</v>
      </c>
      <c r="C2639">
        <v>-2.4545930088338399</v>
      </c>
      <c r="D2639">
        <v>0</v>
      </c>
      <c r="E2639">
        <v>4.2189597763582899E-4</v>
      </c>
      <c r="F2639" t="str">
        <f>"16/16"</f>
        <v>16/16</v>
      </c>
      <c r="G2639" s="10">
        <v>0.51170000000000004</v>
      </c>
    </row>
    <row r="2640" spans="1:7" x14ac:dyDescent="0.2">
      <c r="A2640" s="1" t="s">
        <v>122</v>
      </c>
      <c r="B2640" t="s">
        <v>2436</v>
      </c>
      <c r="C2640">
        <v>-2.4539474354623301</v>
      </c>
      <c r="D2640">
        <v>0</v>
      </c>
      <c r="E2640">
        <v>4.21560340422117E-4</v>
      </c>
      <c r="F2640" t="str">
        <f>"16/17"</f>
        <v>16/17</v>
      </c>
      <c r="G2640" s="10">
        <v>0.47270000000000001</v>
      </c>
    </row>
    <row r="2641" spans="1:7" x14ac:dyDescent="0.2">
      <c r="A2641" s="1" t="s">
        <v>122</v>
      </c>
      <c r="B2641" t="s">
        <v>2437</v>
      </c>
      <c r="C2641">
        <v>-2.4519760022566701</v>
      </c>
      <c r="D2641">
        <v>0</v>
      </c>
      <c r="E2641">
        <v>4.2122523681287802E-4</v>
      </c>
      <c r="F2641" t="str">
        <f>"30/36"</f>
        <v>30/36</v>
      </c>
      <c r="G2641" s="10">
        <v>0.49869999999999998</v>
      </c>
    </row>
    <row r="2642" spans="1:7" x14ac:dyDescent="0.2">
      <c r="A2642" s="1" t="s">
        <v>122</v>
      </c>
      <c r="B2642" t="s">
        <v>921</v>
      </c>
      <c r="C2642">
        <v>-2.4516315444968102</v>
      </c>
      <c r="D2642">
        <v>0</v>
      </c>
      <c r="E2642">
        <v>4.2089066553661702E-4</v>
      </c>
      <c r="F2642" t="str">
        <f>"27/29"</f>
        <v>27/29</v>
      </c>
      <c r="G2642" s="10">
        <v>0.54969999999999997</v>
      </c>
    </row>
    <row r="2643" spans="1:7" x14ac:dyDescent="0.2">
      <c r="A2643" s="1" t="s">
        <v>122</v>
      </c>
      <c r="B2643" t="s">
        <v>2438</v>
      </c>
      <c r="C2643">
        <v>-2.4514231289732602</v>
      </c>
      <c r="D2643">
        <v>0</v>
      </c>
      <c r="E2643">
        <v>4.2055662532587403E-4</v>
      </c>
      <c r="F2643" t="str">
        <f>"59/67"</f>
        <v>59/67</v>
      </c>
      <c r="G2643" s="10">
        <v>0.62919999999999998</v>
      </c>
    </row>
    <row r="2644" spans="1:7" x14ac:dyDescent="0.2">
      <c r="A2644" s="1" t="s">
        <v>122</v>
      </c>
      <c r="B2644" t="s">
        <v>2439</v>
      </c>
      <c r="C2644">
        <v>-2.4505724165434302</v>
      </c>
      <c r="D2644">
        <v>0</v>
      </c>
      <c r="E2644">
        <v>4.20223114917209E-4</v>
      </c>
      <c r="F2644" t="str">
        <f>"31/37"</f>
        <v>31/37</v>
      </c>
      <c r="G2644" s="10">
        <v>0.52769999999999995</v>
      </c>
    </row>
    <row r="2645" spans="1:7" x14ac:dyDescent="0.2">
      <c r="A2645" s="1" t="s">
        <v>122</v>
      </c>
      <c r="B2645" t="s">
        <v>886</v>
      </c>
      <c r="C2645">
        <v>-2.4493015237570099</v>
      </c>
      <c r="D2645">
        <v>0</v>
      </c>
      <c r="E2645">
        <v>4.1989013305118901E-4</v>
      </c>
      <c r="F2645" t="str">
        <f>"32/32"</f>
        <v>32/32</v>
      </c>
      <c r="G2645" s="10">
        <v>0.65659999999999996</v>
      </c>
    </row>
    <row r="2646" spans="1:7" x14ac:dyDescent="0.2">
      <c r="A2646" s="1" t="s">
        <v>122</v>
      </c>
      <c r="B2646" t="s">
        <v>1569</v>
      </c>
      <c r="C2646">
        <v>-2.4491421210154298</v>
      </c>
      <c r="D2646">
        <v>0</v>
      </c>
      <c r="E2646">
        <v>4.19557678472368E-4</v>
      </c>
      <c r="F2646" t="str">
        <f>"48/53"</f>
        <v>48/53</v>
      </c>
      <c r="G2646" s="10">
        <v>0.63670000000000004</v>
      </c>
    </row>
    <row r="2647" spans="1:7" x14ac:dyDescent="0.2">
      <c r="A2647" s="1" t="s">
        <v>122</v>
      </c>
      <c r="B2647" t="s">
        <v>2440</v>
      </c>
      <c r="C2647">
        <v>-2.4490891193152899</v>
      </c>
      <c r="D2647">
        <v>0</v>
      </c>
      <c r="E2647">
        <v>4.1922574992927299E-4</v>
      </c>
      <c r="F2647" t="str">
        <f>"33/40"</f>
        <v>33/40</v>
      </c>
      <c r="G2647" s="10">
        <v>0.504</v>
      </c>
    </row>
    <row r="2648" spans="1:7" x14ac:dyDescent="0.2">
      <c r="A2648" s="1" t="s">
        <v>122</v>
      </c>
      <c r="B2648" t="s">
        <v>2441</v>
      </c>
      <c r="C2648">
        <v>-2.44758320780248</v>
      </c>
      <c r="D2648">
        <v>0</v>
      </c>
      <c r="E2648">
        <v>4.3884169599221599E-4</v>
      </c>
      <c r="F2648" t="str">
        <f>"21/22"</f>
        <v>21/22</v>
      </c>
      <c r="G2648" s="10">
        <v>0.505</v>
      </c>
    </row>
    <row r="2649" spans="1:7" x14ac:dyDescent="0.2">
      <c r="A2649" s="1" t="s">
        <v>122</v>
      </c>
      <c r="B2649" t="s">
        <v>2442</v>
      </c>
      <c r="C2649">
        <v>-2.4474958348349198</v>
      </c>
      <c r="D2649">
        <v>0</v>
      </c>
      <c r="E2649">
        <v>4.3849505958148E-4</v>
      </c>
      <c r="F2649" t="str">
        <f>"16/18"</f>
        <v>16/18</v>
      </c>
      <c r="G2649" s="10">
        <v>0.41589999999999999</v>
      </c>
    </row>
    <row r="2650" spans="1:7" x14ac:dyDescent="0.2">
      <c r="A2650" s="1" t="s">
        <v>122</v>
      </c>
      <c r="B2650" t="s">
        <v>2443</v>
      </c>
      <c r="C2650">
        <v>-2.4469172116902298</v>
      </c>
      <c r="D2650">
        <v>0</v>
      </c>
      <c r="E2650">
        <v>4.3814897034739799E-4</v>
      </c>
      <c r="F2650" t="str">
        <f>"37/43"</f>
        <v>37/43</v>
      </c>
      <c r="G2650" s="10">
        <v>0.53410000000000002</v>
      </c>
    </row>
    <row r="2651" spans="1:7" x14ac:dyDescent="0.2">
      <c r="A2651" s="1" t="s">
        <v>122</v>
      </c>
      <c r="B2651" t="s">
        <v>2444</v>
      </c>
      <c r="C2651">
        <v>-2.4466329885743998</v>
      </c>
      <c r="D2651">
        <v>0</v>
      </c>
      <c r="E2651">
        <v>4.3780342699538898E-4</v>
      </c>
      <c r="F2651" t="str">
        <f>"26/28"</f>
        <v>26/28</v>
      </c>
      <c r="G2651" s="10">
        <v>0.56359999999999999</v>
      </c>
    </row>
    <row r="2652" spans="1:7" x14ac:dyDescent="0.2">
      <c r="A2652" s="1" t="s">
        <v>122</v>
      </c>
      <c r="B2652" t="s">
        <v>2445</v>
      </c>
      <c r="C2652">
        <v>-2.4465709008689398</v>
      </c>
      <c r="D2652">
        <v>0</v>
      </c>
      <c r="E2652">
        <v>4.37458428234952E-4</v>
      </c>
      <c r="F2652" t="str">
        <f>"15/24"</f>
        <v>15/24</v>
      </c>
      <c r="G2652" s="10">
        <v>0.18029999999999999</v>
      </c>
    </row>
    <row r="2653" spans="1:7" x14ac:dyDescent="0.2">
      <c r="A2653" s="1" t="s">
        <v>122</v>
      </c>
      <c r="B2653" t="s">
        <v>2446</v>
      </c>
      <c r="C2653">
        <v>-2.44611606725719</v>
      </c>
      <c r="D2653">
        <v>0</v>
      </c>
      <c r="E2653">
        <v>4.37113972779648E-4</v>
      </c>
      <c r="F2653" t="str">
        <f>"20/21"</f>
        <v>20/21</v>
      </c>
      <c r="G2653" s="10">
        <v>0.52249999999999996</v>
      </c>
    </row>
    <row r="2654" spans="1:7" x14ac:dyDescent="0.2">
      <c r="A2654" s="1" t="s">
        <v>122</v>
      </c>
      <c r="B2654" t="s">
        <v>2447</v>
      </c>
      <c r="C2654">
        <v>-2.4460193460998099</v>
      </c>
      <c r="D2654">
        <v>0</v>
      </c>
      <c r="E2654">
        <v>4.3677005934709203E-4</v>
      </c>
      <c r="F2654" t="str">
        <f>"20/22"</f>
        <v>20/22</v>
      </c>
      <c r="G2654" s="10">
        <v>0.49869999999999998</v>
      </c>
    </row>
    <row r="2655" spans="1:7" x14ac:dyDescent="0.2">
      <c r="A2655" s="1" t="s">
        <v>122</v>
      </c>
      <c r="B2655" t="s">
        <v>2448</v>
      </c>
      <c r="C2655">
        <v>-2.4449968194126801</v>
      </c>
      <c r="D2655">
        <v>0</v>
      </c>
      <c r="E2655">
        <v>4.5626426332524101E-4</v>
      </c>
      <c r="F2655" t="str">
        <f>"36/44"</f>
        <v>36/44</v>
      </c>
      <c r="G2655" s="10">
        <v>0.50700000000000001</v>
      </c>
    </row>
    <row r="2656" spans="1:7" x14ac:dyDescent="0.2">
      <c r="A2656" s="1" t="s">
        <v>122</v>
      </c>
      <c r="B2656" t="s">
        <v>260</v>
      </c>
      <c r="C2656">
        <v>-2.4431427139371702</v>
      </c>
      <c r="D2656">
        <v>0</v>
      </c>
      <c r="E2656">
        <v>4.55905846779031E-4</v>
      </c>
      <c r="F2656" t="str">
        <f>"36/38"</f>
        <v>36/38</v>
      </c>
      <c r="G2656" s="10">
        <v>0.62290000000000001</v>
      </c>
    </row>
    <row r="2657" spans="1:7" x14ac:dyDescent="0.2">
      <c r="A2657" s="1" t="s">
        <v>122</v>
      </c>
      <c r="B2657" t="s">
        <v>2449</v>
      </c>
      <c r="C2657">
        <v>-2.4416285793378898</v>
      </c>
      <c r="D2657">
        <v>0</v>
      </c>
      <c r="E2657">
        <v>4.7535442736990502E-4</v>
      </c>
      <c r="F2657" t="str">
        <f>"21/21"</f>
        <v>21/21</v>
      </c>
      <c r="G2657" s="10">
        <v>0.57069999999999999</v>
      </c>
    </row>
    <row r="2658" spans="1:7" x14ac:dyDescent="0.2">
      <c r="A2658" s="1" t="s">
        <v>122</v>
      </c>
      <c r="B2658" t="s">
        <v>317</v>
      </c>
      <c r="C2658">
        <v>-2.4391214841094002</v>
      </c>
      <c r="D2658">
        <v>0</v>
      </c>
      <c r="E2658">
        <v>4.9477250038338098E-4</v>
      </c>
      <c r="F2658" t="str">
        <f>"47/52"</f>
        <v>47/52</v>
      </c>
      <c r="G2658" s="10">
        <v>0.6069</v>
      </c>
    </row>
    <row r="2659" spans="1:7" x14ac:dyDescent="0.2">
      <c r="A2659" s="1" t="s">
        <v>122</v>
      </c>
      <c r="B2659" t="s">
        <v>2450</v>
      </c>
      <c r="C2659">
        <v>-2.4390082020626802</v>
      </c>
      <c r="D2659">
        <v>0</v>
      </c>
      <c r="E2659">
        <v>4.9438474764013399E-4</v>
      </c>
      <c r="F2659" t="str">
        <f>"15/15"</f>
        <v>15/15</v>
      </c>
      <c r="G2659" s="10">
        <v>0.49299999999999999</v>
      </c>
    </row>
    <row r="2660" spans="1:7" x14ac:dyDescent="0.2">
      <c r="A2660" s="1" t="s">
        <v>122</v>
      </c>
      <c r="B2660" t="s">
        <v>2451</v>
      </c>
      <c r="C2660">
        <v>-2.4388519534031499</v>
      </c>
      <c r="D2660">
        <v>0</v>
      </c>
      <c r="E2660">
        <v>4.9399760218387702E-4</v>
      </c>
      <c r="F2660" t="str">
        <f>"27/30"</f>
        <v>27/30</v>
      </c>
      <c r="G2660" s="10">
        <v>0.56499999999999995</v>
      </c>
    </row>
    <row r="2661" spans="1:7" x14ac:dyDescent="0.2">
      <c r="A2661" s="1" t="s">
        <v>122</v>
      </c>
      <c r="B2661" t="s">
        <v>667</v>
      </c>
      <c r="C2661">
        <v>-2.4358452333392799</v>
      </c>
      <c r="D2661">
        <v>0</v>
      </c>
      <c r="E2661">
        <v>4.9361106258905398E-4</v>
      </c>
      <c r="F2661" t="str">
        <f>"30/35"</f>
        <v>30/35</v>
      </c>
      <c r="G2661" s="10">
        <v>0.51229999999999998</v>
      </c>
    </row>
    <row r="2662" spans="1:7" x14ac:dyDescent="0.2">
      <c r="A2662" s="1" t="s">
        <v>122</v>
      </c>
      <c r="B2662" t="s">
        <v>2452</v>
      </c>
      <c r="C2662">
        <v>-2.43578348657041</v>
      </c>
      <c r="D2662">
        <v>0</v>
      </c>
      <c r="E2662">
        <v>4.9322512743456704E-4</v>
      </c>
      <c r="F2662" t="str">
        <f>"25/30"</f>
        <v>25/30</v>
      </c>
      <c r="G2662" s="10">
        <v>0.46629999999999999</v>
      </c>
    </row>
    <row r="2663" spans="1:7" x14ac:dyDescent="0.2">
      <c r="A2663" s="1" t="s">
        <v>122</v>
      </c>
      <c r="B2663" t="s">
        <v>2453</v>
      </c>
      <c r="C2663">
        <v>-2.4352191518642998</v>
      </c>
      <c r="D2663">
        <v>0</v>
      </c>
      <c r="E2663">
        <v>4.9283979530375895E-4</v>
      </c>
      <c r="F2663" t="str">
        <f>"43/50"</f>
        <v>43/50</v>
      </c>
      <c r="G2663" s="10">
        <v>0.56779999999999997</v>
      </c>
    </row>
    <row r="2664" spans="1:7" x14ac:dyDescent="0.2">
      <c r="A2664" s="1" t="s">
        <v>122</v>
      </c>
      <c r="B2664" t="s">
        <v>1131</v>
      </c>
      <c r="C2664">
        <v>-2.4344664319643998</v>
      </c>
      <c r="D2664">
        <v>0</v>
      </c>
      <c r="E2664">
        <v>4.9245506478439599E-4</v>
      </c>
      <c r="F2664" t="str">
        <f>"31/42"</f>
        <v>31/42</v>
      </c>
      <c r="G2664" s="10">
        <v>0.40699999999999997</v>
      </c>
    </row>
    <row r="2665" spans="1:7" x14ac:dyDescent="0.2">
      <c r="A2665" s="1" t="s">
        <v>122</v>
      </c>
      <c r="B2665" t="s">
        <v>2454</v>
      </c>
      <c r="C2665">
        <v>-2.4329208180342801</v>
      </c>
      <c r="D2665">
        <v>0</v>
      </c>
      <c r="E2665">
        <v>4.9207093446865095E-4</v>
      </c>
      <c r="F2665" t="str">
        <f>"25/27"</f>
        <v>25/27</v>
      </c>
      <c r="G2665" s="10">
        <v>0.55559999999999998</v>
      </c>
    </row>
    <row r="2666" spans="1:7" x14ac:dyDescent="0.2">
      <c r="A2666" s="1" t="s">
        <v>122</v>
      </c>
      <c r="B2666" t="s">
        <v>2455</v>
      </c>
      <c r="C2666">
        <v>-2.4289465790285898</v>
      </c>
      <c r="D2666">
        <v>0</v>
      </c>
      <c r="E2666">
        <v>4.9168740295308701E-4</v>
      </c>
      <c r="F2666" t="str">
        <f>"24/24"</f>
        <v>24/24</v>
      </c>
      <c r="G2666" s="10">
        <v>0.57410000000000005</v>
      </c>
    </row>
    <row r="2667" spans="1:7" x14ac:dyDescent="0.2">
      <c r="A2667" s="1" t="s">
        <v>122</v>
      </c>
      <c r="B2667" t="s">
        <v>2456</v>
      </c>
      <c r="C2667">
        <v>-2.4276090512912698</v>
      </c>
      <c r="D2667">
        <v>0</v>
      </c>
      <c r="E2667">
        <v>5.1095664759218302E-4</v>
      </c>
      <c r="F2667" t="str">
        <f>"21/27"</f>
        <v>21/27</v>
      </c>
      <c r="G2667" s="10">
        <v>0.38240000000000002</v>
      </c>
    </row>
    <row r="2668" spans="1:7" x14ac:dyDescent="0.2">
      <c r="A2668" s="1" t="s">
        <v>122</v>
      </c>
      <c r="B2668" t="s">
        <v>1235</v>
      </c>
      <c r="C2668">
        <v>-2.42718063870768</v>
      </c>
      <c r="D2668">
        <v>0</v>
      </c>
      <c r="E2668">
        <v>5.1055901595981599E-4</v>
      </c>
      <c r="F2668" t="str">
        <f>"32/33"</f>
        <v>32/33</v>
      </c>
      <c r="G2668" s="10">
        <v>0.61519999999999997</v>
      </c>
    </row>
    <row r="2669" spans="1:7" x14ac:dyDescent="0.2">
      <c r="A2669" s="1" t="s">
        <v>122</v>
      </c>
      <c r="B2669" t="s">
        <v>2457</v>
      </c>
      <c r="C2669">
        <v>-2.4265883198699298</v>
      </c>
      <c r="D2669">
        <v>0</v>
      </c>
      <c r="E2669">
        <v>5.1016200272812099E-4</v>
      </c>
      <c r="F2669" t="str">
        <f>"48/54"</f>
        <v>48/54</v>
      </c>
      <c r="G2669" s="10">
        <v>0.60509999999999997</v>
      </c>
    </row>
    <row r="2670" spans="1:7" x14ac:dyDescent="0.2">
      <c r="A2670" s="1" t="s">
        <v>122</v>
      </c>
      <c r="B2670" t="s">
        <v>880</v>
      </c>
      <c r="C2670">
        <v>-2.42603764895795</v>
      </c>
      <c r="D2670">
        <v>0</v>
      </c>
      <c r="E2670">
        <v>5.0976560645560505E-4</v>
      </c>
      <c r="F2670" t="str">
        <f>"28/34"</f>
        <v>28/34</v>
      </c>
      <c r="G2670" s="10">
        <v>0.45610000000000001</v>
      </c>
    </row>
    <row r="2671" spans="1:7" x14ac:dyDescent="0.2">
      <c r="A2671" s="1" t="s">
        <v>122</v>
      </c>
      <c r="B2671" t="s">
        <v>2458</v>
      </c>
      <c r="C2671">
        <v>-2.4249628057333599</v>
      </c>
      <c r="D2671">
        <v>0</v>
      </c>
      <c r="E2671">
        <v>5.2896097284776099E-4</v>
      </c>
      <c r="F2671" t="str">
        <f>"29/33"</f>
        <v>29/33</v>
      </c>
      <c r="G2671" s="10">
        <v>0.50970000000000004</v>
      </c>
    </row>
    <row r="2672" spans="1:7" x14ac:dyDescent="0.2">
      <c r="A2672" s="1" t="s">
        <v>122</v>
      </c>
      <c r="B2672" t="s">
        <v>1099</v>
      </c>
      <c r="C2672">
        <v>-2.4247645143002301</v>
      </c>
      <c r="D2672">
        <v>0</v>
      </c>
      <c r="E2672">
        <v>5.2855060746929104E-4</v>
      </c>
      <c r="F2672" t="str">
        <f>"63/70"</f>
        <v>63/70</v>
      </c>
      <c r="G2672" s="10">
        <v>0.65149999999999997</v>
      </c>
    </row>
    <row r="2673" spans="1:7" x14ac:dyDescent="0.2">
      <c r="A2673" s="1" t="s">
        <v>122</v>
      </c>
      <c r="B2673" t="s">
        <v>2459</v>
      </c>
      <c r="C2673">
        <v>-2.4238033766259499</v>
      </c>
      <c r="D2673">
        <v>0</v>
      </c>
      <c r="E2673">
        <v>5.28140878316214E-4</v>
      </c>
      <c r="F2673" t="str">
        <f>"44/46"</f>
        <v>44/46</v>
      </c>
      <c r="G2673" s="10">
        <v>0.66459999999999997</v>
      </c>
    </row>
    <row r="2674" spans="1:7" x14ac:dyDescent="0.2">
      <c r="A2674" s="1" t="s">
        <v>122</v>
      </c>
      <c r="B2674" t="s">
        <v>2460</v>
      </c>
      <c r="C2674">
        <v>-2.42341921054904</v>
      </c>
      <c r="D2674">
        <v>0</v>
      </c>
      <c r="E2674">
        <v>5.2773178391008195E-4</v>
      </c>
      <c r="F2674" t="str">
        <f>"20/20"</f>
        <v>20/20</v>
      </c>
      <c r="G2674" s="10">
        <v>0.57399999999999995</v>
      </c>
    </row>
    <row r="2675" spans="1:7" x14ac:dyDescent="0.2">
      <c r="A2675" s="1" t="s">
        <v>122</v>
      </c>
      <c r="B2675" t="s">
        <v>2461</v>
      </c>
      <c r="C2675">
        <v>-2.4207362260329899</v>
      </c>
      <c r="D2675">
        <v>0</v>
      </c>
      <c r="E2675">
        <v>5.4685381621321098E-4</v>
      </c>
      <c r="F2675" t="str">
        <f>"26/33"</f>
        <v>26/33</v>
      </c>
      <c r="G2675" s="10">
        <v>0.45950000000000002</v>
      </c>
    </row>
    <row r="2676" spans="1:7" x14ac:dyDescent="0.2">
      <c r="A2676" s="1" t="s">
        <v>122</v>
      </c>
      <c r="B2676" t="s">
        <v>859</v>
      </c>
      <c r="C2676">
        <v>-2.42066533618519</v>
      </c>
      <c r="D2676">
        <v>0</v>
      </c>
      <c r="E2676">
        <v>5.4643088209394301E-4</v>
      </c>
      <c r="F2676" t="str">
        <f>"39/43"</f>
        <v>39/43</v>
      </c>
      <c r="G2676" s="10">
        <v>0.59860000000000002</v>
      </c>
    </row>
    <row r="2677" spans="1:7" x14ac:dyDescent="0.2">
      <c r="A2677" s="1" t="s">
        <v>122</v>
      </c>
      <c r="B2677" t="s">
        <v>2462</v>
      </c>
      <c r="C2677">
        <v>-2.4199552990150601</v>
      </c>
      <c r="D2677">
        <v>0</v>
      </c>
      <c r="E2677">
        <v>5.4600860165955796E-4</v>
      </c>
      <c r="F2677" t="str">
        <f>"32/33"</f>
        <v>32/33</v>
      </c>
      <c r="G2677" s="10">
        <v>0.62009999999999998</v>
      </c>
    </row>
    <row r="2678" spans="1:7" x14ac:dyDescent="0.2">
      <c r="A2678" s="1" t="s">
        <v>122</v>
      </c>
      <c r="B2678" t="s">
        <v>2463</v>
      </c>
      <c r="C2678">
        <v>-2.4194663826760499</v>
      </c>
      <c r="D2678">
        <v>0</v>
      </c>
      <c r="E2678">
        <v>5.4558697339572896E-4</v>
      </c>
      <c r="F2678" t="str">
        <f>"20/20"</f>
        <v>20/20</v>
      </c>
      <c r="G2678" s="10">
        <v>0.5272</v>
      </c>
    </row>
    <row r="2679" spans="1:7" x14ac:dyDescent="0.2">
      <c r="A2679" s="1" t="s">
        <v>122</v>
      </c>
      <c r="B2679" t="s">
        <v>2464</v>
      </c>
      <c r="C2679">
        <v>-2.4183397293645799</v>
      </c>
      <c r="D2679">
        <v>0</v>
      </c>
      <c r="E2679">
        <v>5.4516599579280001E-4</v>
      </c>
      <c r="F2679" t="str">
        <f>"19/21"</f>
        <v>19/21</v>
      </c>
      <c r="G2679" s="10">
        <v>0.48699999999999999</v>
      </c>
    </row>
    <row r="2680" spans="1:7" x14ac:dyDescent="0.2">
      <c r="A2680" s="1" t="s">
        <v>122</v>
      </c>
      <c r="B2680" t="s">
        <v>570</v>
      </c>
      <c r="C2680">
        <v>-2.4179475588551602</v>
      </c>
      <c r="D2680">
        <v>0</v>
      </c>
      <c r="E2680">
        <v>5.4474566734577404E-4</v>
      </c>
      <c r="F2680" t="str">
        <f>"37/46"</f>
        <v>37/46</v>
      </c>
      <c r="G2680" s="10">
        <v>0.50190000000000001</v>
      </c>
    </row>
    <row r="2681" spans="1:7" x14ac:dyDescent="0.2">
      <c r="A2681" s="1" t="s">
        <v>122</v>
      </c>
      <c r="B2681" t="s">
        <v>2465</v>
      </c>
      <c r="C2681">
        <v>-2.4103731252042402</v>
      </c>
      <c r="D2681">
        <v>0</v>
      </c>
      <c r="E2681">
        <v>5.6333220020555899E-4</v>
      </c>
      <c r="F2681" t="str">
        <f>"24/26"</f>
        <v>24/26</v>
      </c>
      <c r="G2681" s="10">
        <v>0.55249999999999999</v>
      </c>
    </row>
    <row r="2682" spans="1:7" x14ac:dyDescent="0.2">
      <c r="A2682" s="1" t="s">
        <v>122</v>
      </c>
      <c r="B2682" t="s">
        <v>2466</v>
      </c>
      <c r="C2682">
        <v>-2.4103731252042402</v>
      </c>
      <c r="D2682">
        <v>0</v>
      </c>
      <c r="E2682">
        <v>5.6333220020555899E-4</v>
      </c>
      <c r="F2682" t="str">
        <f>"24/26"</f>
        <v>24/26</v>
      </c>
      <c r="G2682" s="10">
        <v>0.55249999999999999</v>
      </c>
    </row>
    <row r="2683" spans="1:7" x14ac:dyDescent="0.2">
      <c r="A2683" s="1" t="s">
        <v>122</v>
      </c>
      <c r="B2683" t="s">
        <v>2467</v>
      </c>
      <c r="C2683">
        <v>-2.41008569780583</v>
      </c>
      <c r="D2683">
        <v>0</v>
      </c>
      <c r="E2683">
        <v>5.6289886774386205E-4</v>
      </c>
      <c r="F2683" t="str">
        <f>"20/22"</f>
        <v>20/22</v>
      </c>
      <c r="G2683" s="10">
        <v>0.49819999999999998</v>
      </c>
    </row>
    <row r="2684" spans="1:7" x14ac:dyDescent="0.2">
      <c r="A2684" s="1" t="s">
        <v>122</v>
      </c>
      <c r="B2684" t="s">
        <v>2468</v>
      </c>
      <c r="C2684">
        <v>-2.4093250307771199</v>
      </c>
      <c r="D2684">
        <v>0</v>
      </c>
      <c r="E2684">
        <v>6.0125697394782895E-4</v>
      </c>
      <c r="F2684" t="str">
        <f>"25/26"</f>
        <v>25/26</v>
      </c>
      <c r="G2684" s="10">
        <v>0.60929999999999995</v>
      </c>
    </row>
    <row r="2685" spans="1:7" x14ac:dyDescent="0.2">
      <c r="A2685" s="1" t="s">
        <v>122</v>
      </c>
      <c r="B2685" t="s">
        <v>2469</v>
      </c>
      <c r="C2685">
        <v>-2.40845362729099</v>
      </c>
      <c r="D2685">
        <v>0</v>
      </c>
      <c r="E2685">
        <v>6.0079517903696299E-4</v>
      </c>
      <c r="F2685" t="str">
        <f>"26/30"</f>
        <v>26/30</v>
      </c>
      <c r="G2685" s="10">
        <v>0.48039999999999999</v>
      </c>
    </row>
    <row r="2686" spans="1:7" x14ac:dyDescent="0.2">
      <c r="A2686" s="1" t="s">
        <v>122</v>
      </c>
      <c r="B2686" t="s">
        <v>1196</v>
      </c>
      <c r="C2686">
        <v>-2.4063544250654498</v>
      </c>
      <c r="D2686">
        <v>0</v>
      </c>
      <c r="E2686">
        <v>6.0033409294407204E-4</v>
      </c>
      <c r="F2686" t="str">
        <f>"66/75"</f>
        <v>66/75</v>
      </c>
      <c r="G2686" s="10">
        <v>0.64259999999999995</v>
      </c>
    </row>
    <row r="2687" spans="1:7" x14ac:dyDescent="0.2">
      <c r="A2687" s="1" t="s">
        <v>122</v>
      </c>
      <c r="B2687" t="s">
        <v>2470</v>
      </c>
      <c r="C2687">
        <v>-2.4038334305162801</v>
      </c>
      <c r="D2687">
        <v>0</v>
      </c>
      <c r="E2687">
        <v>5.9987371403844004E-4</v>
      </c>
      <c r="F2687" t="str">
        <f>"27/32"</f>
        <v>27/32</v>
      </c>
      <c r="G2687" s="10">
        <v>0.49230000000000002</v>
      </c>
    </row>
    <row r="2688" spans="1:7" x14ac:dyDescent="0.2">
      <c r="A2688" s="1" t="s">
        <v>122</v>
      </c>
      <c r="B2688" t="s">
        <v>2471</v>
      </c>
      <c r="C2688">
        <v>-2.4029274259567899</v>
      </c>
      <c r="D2688">
        <v>0</v>
      </c>
      <c r="E2688">
        <v>5.9941404069434898E-4</v>
      </c>
      <c r="F2688" t="str">
        <f>"43/47"</f>
        <v>43/47</v>
      </c>
      <c r="G2688" s="10">
        <v>0.627</v>
      </c>
    </row>
    <row r="2689" spans="1:7" x14ac:dyDescent="0.2">
      <c r="A2689" s="1" t="s">
        <v>122</v>
      </c>
      <c r="B2689" t="s">
        <v>2472</v>
      </c>
      <c r="C2689">
        <v>-2.39908046316024</v>
      </c>
      <c r="D2689">
        <v>0</v>
      </c>
      <c r="E2689">
        <v>5.9895507129106103E-4</v>
      </c>
      <c r="F2689" t="str">
        <f>"22/25"</f>
        <v>22/25</v>
      </c>
      <c r="G2689" s="10">
        <v>0.45679999999999998</v>
      </c>
    </row>
    <row r="2690" spans="1:7" x14ac:dyDescent="0.2">
      <c r="A2690" s="1" t="s">
        <v>122</v>
      </c>
      <c r="B2690" t="s">
        <v>2473</v>
      </c>
      <c r="C2690">
        <v>-2.3990618244842601</v>
      </c>
      <c r="D2690">
        <v>0</v>
      </c>
      <c r="E2690">
        <v>5.9849680421279695E-4</v>
      </c>
      <c r="F2690" t="str">
        <f>"54/60"</f>
        <v>54/60</v>
      </c>
      <c r="G2690" s="10">
        <v>0.65539999999999998</v>
      </c>
    </row>
    <row r="2691" spans="1:7" x14ac:dyDescent="0.2">
      <c r="A2691" s="1" t="s">
        <v>122</v>
      </c>
      <c r="B2691" t="s">
        <v>2474</v>
      </c>
      <c r="C2691">
        <v>-2.39905575069265</v>
      </c>
      <c r="D2691">
        <v>0</v>
      </c>
      <c r="E2691">
        <v>5.9803923784871997E-4</v>
      </c>
      <c r="F2691" t="str">
        <f>"26/27"</f>
        <v>26/27</v>
      </c>
      <c r="G2691" s="10">
        <v>0.5696</v>
      </c>
    </row>
    <row r="2692" spans="1:7" x14ac:dyDescent="0.2">
      <c r="A2692" s="1" t="s">
        <v>122</v>
      </c>
      <c r="B2692" t="s">
        <v>2475</v>
      </c>
      <c r="C2692">
        <v>-2.3956791707132399</v>
      </c>
      <c r="D2692">
        <v>0</v>
      </c>
      <c r="E2692">
        <v>5.9758237059291501E-4</v>
      </c>
      <c r="F2692" t="str">
        <f>"15/15"</f>
        <v>15/15</v>
      </c>
      <c r="G2692" s="10">
        <v>0.50739999999999996</v>
      </c>
    </row>
    <row r="2693" spans="1:7" x14ac:dyDescent="0.2">
      <c r="A2693" s="1" t="s">
        <v>122</v>
      </c>
      <c r="B2693" t="s">
        <v>2476</v>
      </c>
      <c r="C2693">
        <v>-2.3951530049979102</v>
      </c>
      <c r="D2693">
        <v>0</v>
      </c>
      <c r="E2693">
        <v>5.9712620084437099E-4</v>
      </c>
      <c r="F2693" t="str">
        <f>"37/58"</f>
        <v>37/58</v>
      </c>
      <c r="G2693" s="10">
        <v>0.3891</v>
      </c>
    </row>
    <row r="2694" spans="1:7" x14ac:dyDescent="0.2">
      <c r="A2694" s="1" t="s">
        <v>122</v>
      </c>
      <c r="B2694" t="s">
        <v>2477</v>
      </c>
      <c r="C2694">
        <v>-2.3946239462414698</v>
      </c>
      <c r="D2694">
        <v>0</v>
      </c>
      <c r="E2694">
        <v>5.9667072700696103E-4</v>
      </c>
      <c r="F2694" t="str">
        <f>"29/34"</f>
        <v>29/34</v>
      </c>
      <c r="G2694" s="10">
        <v>0.51090000000000002</v>
      </c>
    </row>
    <row r="2695" spans="1:7" x14ac:dyDescent="0.2">
      <c r="A2695" s="1" t="s">
        <v>122</v>
      </c>
      <c r="B2695" t="s">
        <v>2478</v>
      </c>
      <c r="C2695">
        <v>-2.3943032197673801</v>
      </c>
      <c r="D2695">
        <v>0</v>
      </c>
      <c r="E2695">
        <v>5.9621594748942501E-4</v>
      </c>
      <c r="F2695" t="str">
        <f>"26/28"</f>
        <v>26/28</v>
      </c>
      <c r="G2695" s="10">
        <v>0.50970000000000004</v>
      </c>
    </row>
    <row r="2696" spans="1:7" x14ac:dyDescent="0.2">
      <c r="A2696" s="1" t="s">
        <v>122</v>
      </c>
      <c r="B2696" t="s">
        <v>2479</v>
      </c>
      <c r="C2696">
        <v>-2.3931615219782199</v>
      </c>
      <c r="D2696">
        <v>0</v>
      </c>
      <c r="E2696">
        <v>5.9576186070535095E-4</v>
      </c>
      <c r="F2696" t="str">
        <f>"25/28"</f>
        <v>25/28</v>
      </c>
      <c r="G2696" s="10">
        <v>0.53280000000000005</v>
      </c>
    </row>
    <row r="2697" spans="1:7" x14ac:dyDescent="0.2">
      <c r="A2697" s="1" t="s">
        <v>122</v>
      </c>
      <c r="B2697" t="s">
        <v>1364</v>
      </c>
      <c r="C2697">
        <v>-2.3909258956845001</v>
      </c>
      <c r="D2697">
        <v>0</v>
      </c>
      <c r="E2697">
        <v>5.9530846507315502E-4</v>
      </c>
      <c r="F2697" t="str">
        <f>"52/66"</f>
        <v>52/66</v>
      </c>
      <c r="G2697" s="10">
        <v>0.55089999999999995</v>
      </c>
    </row>
    <row r="2698" spans="1:7" x14ac:dyDescent="0.2">
      <c r="A2698" s="1" t="s">
        <v>122</v>
      </c>
      <c r="B2698" t="s">
        <v>2480</v>
      </c>
      <c r="C2698">
        <v>-2.3888630183542601</v>
      </c>
      <c r="D2698">
        <v>0</v>
      </c>
      <c r="E2698">
        <v>5.9485575901606499E-4</v>
      </c>
      <c r="F2698" t="str">
        <f>"27/32"</f>
        <v>27/32</v>
      </c>
      <c r="G2698" s="10">
        <v>0.50209999999999999</v>
      </c>
    </row>
    <row r="2699" spans="1:7" x14ac:dyDescent="0.2">
      <c r="A2699" s="1" t="s">
        <v>122</v>
      </c>
      <c r="B2699" t="s">
        <v>603</v>
      </c>
      <c r="C2699">
        <v>-2.3882786165455001</v>
      </c>
      <c r="D2699">
        <v>0</v>
      </c>
      <c r="E2699">
        <v>5.9440374096210197E-4</v>
      </c>
      <c r="F2699" t="str">
        <f>"28/28"</f>
        <v>28/28</v>
      </c>
      <c r="G2699" s="10">
        <v>0.64490000000000003</v>
      </c>
    </row>
    <row r="2700" spans="1:7" x14ac:dyDescent="0.2">
      <c r="A2700" s="1" t="s">
        <v>122</v>
      </c>
      <c r="B2700" t="s">
        <v>2481</v>
      </c>
      <c r="C2700">
        <v>-2.3882542389544401</v>
      </c>
      <c r="D2700">
        <v>0</v>
      </c>
      <c r="E2700">
        <v>5.93952409344059E-4</v>
      </c>
      <c r="F2700" t="str">
        <f>"29/32"</f>
        <v>29/32</v>
      </c>
      <c r="G2700" s="10">
        <v>0.55700000000000005</v>
      </c>
    </row>
    <row r="2701" spans="1:7" x14ac:dyDescent="0.2">
      <c r="A2701" s="1" t="s">
        <v>122</v>
      </c>
      <c r="B2701" t="s">
        <v>2482</v>
      </c>
      <c r="C2701">
        <v>-2.3880063748958502</v>
      </c>
      <c r="D2701">
        <v>0</v>
      </c>
      <c r="E2701">
        <v>5.9350176259948797E-4</v>
      </c>
      <c r="F2701" t="str">
        <f>"21/21"</f>
        <v>21/21</v>
      </c>
      <c r="G2701" s="10">
        <v>0.54530000000000001</v>
      </c>
    </row>
    <row r="2702" spans="1:7" x14ac:dyDescent="0.2">
      <c r="A2702" s="1" t="s">
        <v>122</v>
      </c>
      <c r="B2702" t="s">
        <v>2483</v>
      </c>
      <c r="C2702">
        <v>-2.38796423302077</v>
      </c>
      <c r="D2702">
        <v>0</v>
      </c>
      <c r="E2702">
        <v>5.93051799170679E-4</v>
      </c>
      <c r="F2702" t="str">
        <f>"16/19"</f>
        <v>16/19</v>
      </c>
      <c r="G2702" s="10">
        <v>0.39989999999999998</v>
      </c>
    </row>
    <row r="2703" spans="1:7" x14ac:dyDescent="0.2">
      <c r="A2703" s="1" t="s">
        <v>122</v>
      </c>
      <c r="B2703" t="s">
        <v>1060</v>
      </c>
      <c r="C2703">
        <v>2.3864696475090201</v>
      </c>
      <c r="D2703">
        <v>0</v>
      </c>
      <c r="E2703">
        <v>8.4283617800060499E-3</v>
      </c>
      <c r="F2703" t="str">
        <f>"47/64"</f>
        <v>47/64</v>
      </c>
      <c r="G2703" s="10">
        <v>0.45950000000000002</v>
      </c>
    </row>
    <row r="2704" spans="1:7" x14ac:dyDescent="0.2">
      <c r="A2704" s="1" t="s">
        <v>122</v>
      </c>
      <c r="B2704" t="s">
        <v>2484</v>
      </c>
      <c r="C2704">
        <v>-2.3859371469530499</v>
      </c>
      <c r="D2704">
        <v>0</v>
      </c>
      <c r="E2704">
        <v>6.1171872774672597E-4</v>
      </c>
      <c r="F2704" t="str">
        <f>"21/24"</f>
        <v>21/24</v>
      </c>
      <c r="G2704" s="10">
        <v>0.45100000000000001</v>
      </c>
    </row>
    <row r="2705" spans="1:7" x14ac:dyDescent="0.2">
      <c r="A2705" s="1" t="s">
        <v>122</v>
      </c>
      <c r="B2705" t="s">
        <v>2485</v>
      </c>
      <c r="C2705">
        <v>-2.3855778043393698</v>
      </c>
      <c r="D2705">
        <v>0</v>
      </c>
      <c r="E2705">
        <v>6.1125565528060398E-4</v>
      </c>
      <c r="F2705" t="str">
        <f>"31/32"</f>
        <v>31/32</v>
      </c>
      <c r="G2705" s="10">
        <v>0.622</v>
      </c>
    </row>
    <row r="2706" spans="1:7" x14ac:dyDescent="0.2">
      <c r="A2706" s="1" t="s">
        <v>122</v>
      </c>
      <c r="B2706" t="s">
        <v>2486</v>
      </c>
      <c r="C2706">
        <v>-2.3824454431443298</v>
      </c>
      <c r="D2706">
        <v>0</v>
      </c>
      <c r="E2706">
        <v>6.4896786358909495E-4</v>
      </c>
      <c r="F2706" t="str">
        <f>"34/37"</f>
        <v>34/37</v>
      </c>
      <c r="G2706" s="10">
        <v>0.6018</v>
      </c>
    </row>
    <row r="2707" spans="1:7" x14ac:dyDescent="0.2">
      <c r="A2707" s="1" t="s">
        <v>122</v>
      </c>
      <c r="B2707" t="s">
        <v>2487</v>
      </c>
      <c r="C2707">
        <v>-2.3819606780445599</v>
      </c>
      <c r="D2707">
        <v>0</v>
      </c>
      <c r="E2707">
        <v>6.4847733610338899E-4</v>
      </c>
      <c r="F2707" t="str">
        <f>"14/15"</f>
        <v>14/15</v>
      </c>
      <c r="G2707" s="10">
        <v>0.4259</v>
      </c>
    </row>
    <row r="2708" spans="1:7" x14ac:dyDescent="0.2">
      <c r="A2708" s="1" t="s">
        <v>122</v>
      </c>
      <c r="B2708" t="s">
        <v>2488</v>
      </c>
      <c r="C2708">
        <v>-2.3791008401028502</v>
      </c>
      <c r="D2708">
        <v>0</v>
      </c>
      <c r="E2708">
        <v>6.4798754959575805E-4</v>
      </c>
      <c r="F2708" t="str">
        <f>"25/26"</f>
        <v>25/26</v>
      </c>
      <c r="G2708" s="10">
        <v>0.57010000000000005</v>
      </c>
    </row>
    <row r="2709" spans="1:7" x14ac:dyDescent="0.2">
      <c r="A2709" s="1" t="s">
        <v>122</v>
      </c>
      <c r="B2709" t="s">
        <v>2489</v>
      </c>
      <c r="C2709">
        <v>-2.3780588184638898</v>
      </c>
      <c r="D2709">
        <v>0</v>
      </c>
      <c r="E2709">
        <v>6.4749850238851505E-4</v>
      </c>
      <c r="F2709" t="str">
        <f>"29/35"</f>
        <v>29/35</v>
      </c>
      <c r="G2709" s="10">
        <v>0.52769999999999995</v>
      </c>
    </row>
    <row r="2710" spans="1:7" x14ac:dyDescent="0.2">
      <c r="A2710" s="1" t="s">
        <v>122</v>
      </c>
      <c r="B2710" t="s">
        <v>2490</v>
      </c>
      <c r="C2710">
        <v>-2.37757861784416</v>
      </c>
      <c r="D2710">
        <v>0</v>
      </c>
      <c r="E2710">
        <v>6.4701019280903702E-4</v>
      </c>
      <c r="F2710" t="str">
        <f>"52/59"</f>
        <v>52/59</v>
      </c>
      <c r="G2710" s="10">
        <v>0.63670000000000004</v>
      </c>
    </row>
    <row r="2711" spans="1:7" x14ac:dyDescent="0.2">
      <c r="A2711" s="1" t="s">
        <v>122</v>
      </c>
      <c r="B2711" t="s">
        <v>2491</v>
      </c>
      <c r="C2711">
        <v>-2.3772895606037099</v>
      </c>
      <c r="D2711">
        <v>0</v>
      </c>
      <c r="E2711">
        <v>6.4652261918973905E-4</v>
      </c>
      <c r="F2711" t="str">
        <f>"21/23"</f>
        <v>21/23</v>
      </c>
      <c r="G2711" s="10">
        <v>0.53620000000000001</v>
      </c>
    </row>
    <row r="2712" spans="1:7" x14ac:dyDescent="0.2">
      <c r="A2712" s="1" t="s">
        <v>122</v>
      </c>
      <c r="B2712" t="s">
        <v>2492</v>
      </c>
      <c r="C2712">
        <v>-2.3755987774184799</v>
      </c>
      <c r="D2712">
        <v>0</v>
      </c>
      <c r="E2712">
        <v>6.4603577986805999E-4</v>
      </c>
      <c r="F2712" t="str">
        <f>"77/85"</f>
        <v>77/85</v>
      </c>
      <c r="G2712" s="10">
        <v>0.68500000000000005</v>
      </c>
    </row>
    <row r="2713" spans="1:7" x14ac:dyDescent="0.2">
      <c r="A2713" s="1" t="s">
        <v>122</v>
      </c>
      <c r="B2713" t="s">
        <v>2493</v>
      </c>
      <c r="C2713">
        <v>-2.3753648509658198</v>
      </c>
      <c r="D2713">
        <v>0</v>
      </c>
      <c r="E2713">
        <v>6.4554967318644304E-4</v>
      </c>
      <c r="F2713" t="str">
        <f>"47/55"</f>
        <v>47/55</v>
      </c>
      <c r="G2713" s="10">
        <v>0.58899999999999997</v>
      </c>
    </row>
    <row r="2714" spans="1:7" x14ac:dyDescent="0.2">
      <c r="A2714" s="1" t="s">
        <v>122</v>
      </c>
      <c r="B2714" t="s">
        <v>2494</v>
      </c>
      <c r="C2714">
        <v>-2.3725345762687402</v>
      </c>
      <c r="D2714">
        <v>0</v>
      </c>
      <c r="E2714">
        <v>6.6403677683032696E-4</v>
      </c>
      <c r="F2714" t="str">
        <f>"17/18"</f>
        <v>17/18</v>
      </c>
      <c r="G2714" s="10">
        <v>0.48280000000000001</v>
      </c>
    </row>
    <row r="2715" spans="1:7" x14ac:dyDescent="0.2">
      <c r="A2715" s="1" t="s">
        <v>122</v>
      </c>
      <c r="B2715" t="s">
        <v>1222</v>
      </c>
      <c r="C2715">
        <v>-2.3710155407253799</v>
      </c>
      <c r="D2715">
        <v>0</v>
      </c>
      <c r="E2715">
        <v>6.6353787617155205E-4</v>
      </c>
      <c r="F2715" t="str">
        <f>"62/69"</f>
        <v>62/69</v>
      </c>
      <c r="G2715" s="10">
        <v>0.65149999999999997</v>
      </c>
    </row>
    <row r="2716" spans="1:7" x14ac:dyDescent="0.2">
      <c r="A2716" s="1" t="s">
        <v>122</v>
      </c>
      <c r="B2716" t="s">
        <v>951</v>
      </c>
      <c r="C2716">
        <v>-2.3704409414984902</v>
      </c>
      <c r="D2716">
        <v>0</v>
      </c>
      <c r="E2716">
        <v>6.6303972461286497E-4</v>
      </c>
      <c r="F2716" t="str">
        <f>"37/41"</f>
        <v>37/41</v>
      </c>
      <c r="G2716" s="10">
        <v>0.5877</v>
      </c>
    </row>
    <row r="2717" spans="1:7" x14ac:dyDescent="0.2">
      <c r="A2717" s="1" t="s">
        <v>122</v>
      </c>
      <c r="B2717" t="s">
        <v>2495</v>
      </c>
      <c r="C2717">
        <v>-2.3698107092077398</v>
      </c>
      <c r="D2717">
        <v>0</v>
      </c>
      <c r="E2717">
        <v>6.8147210105317898E-4</v>
      </c>
      <c r="F2717" t="str">
        <f>"15/15"</f>
        <v>15/15</v>
      </c>
      <c r="G2717" s="10">
        <v>0.49759999999999999</v>
      </c>
    </row>
    <row r="2718" spans="1:7" x14ac:dyDescent="0.2">
      <c r="A2718" s="1" t="s">
        <v>122</v>
      </c>
      <c r="B2718" t="s">
        <v>1636</v>
      </c>
      <c r="C2718">
        <v>-2.3681431895658398</v>
      </c>
      <c r="D2718">
        <v>0</v>
      </c>
      <c r="E2718">
        <v>6.8096125240171498E-4</v>
      </c>
      <c r="F2718" t="str">
        <f>"27/29"</f>
        <v>27/29</v>
      </c>
      <c r="G2718" s="10">
        <v>0.57289999999999996</v>
      </c>
    </row>
    <row r="2719" spans="1:7" x14ac:dyDescent="0.2">
      <c r="A2719" s="1" t="s">
        <v>122</v>
      </c>
      <c r="B2719" t="s">
        <v>2496</v>
      </c>
      <c r="C2719">
        <v>-2.3674721305537898</v>
      </c>
      <c r="D2719">
        <v>0</v>
      </c>
      <c r="E2719">
        <v>6.8045116906658299E-4</v>
      </c>
      <c r="F2719" t="str">
        <f>"27/30"</f>
        <v>27/30</v>
      </c>
      <c r="G2719" s="10">
        <v>0.53990000000000005</v>
      </c>
    </row>
    <row r="2720" spans="1:7" x14ac:dyDescent="0.2">
      <c r="A2720" s="1" t="s">
        <v>122</v>
      </c>
      <c r="B2720" t="s">
        <v>2497</v>
      </c>
      <c r="C2720">
        <v>-2.36700837904282</v>
      </c>
      <c r="D2720">
        <v>0</v>
      </c>
      <c r="E2720">
        <v>6.9882912292173701E-4</v>
      </c>
      <c r="F2720" t="str">
        <f>"28/30"</f>
        <v>28/30</v>
      </c>
      <c r="G2720" s="10">
        <v>0.60370000000000001</v>
      </c>
    </row>
    <row r="2721" spans="1:7" x14ac:dyDescent="0.2">
      <c r="A2721" s="1" t="s">
        <v>122</v>
      </c>
      <c r="B2721" t="s">
        <v>904</v>
      </c>
      <c r="C2721">
        <v>-2.3664466897668701</v>
      </c>
      <c r="D2721">
        <v>0</v>
      </c>
      <c r="E2721">
        <v>6.9830643846181004E-4</v>
      </c>
      <c r="F2721" t="str">
        <f>"32/35"</f>
        <v>32/35</v>
      </c>
      <c r="G2721" s="10">
        <v>0.57069999999999999</v>
      </c>
    </row>
    <row r="2722" spans="1:7" x14ac:dyDescent="0.2">
      <c r="A2722" s="1" t="s">
        <v>122</v>
      </c>
      <c r="B2722" t="s">
        <v>277</v>
      </c>
      <c r="C2722">
        <v>-2.3658632250349401</v>
      </c>
      <c r="D2722">
        <v>0</v>
      </c>
      <c r="E2722">
        <v>7.1664357678848502E-4</v>
      </c>
      <c r="F2722" t="str">
        <f>"23/23"</f>
        <v>23/23</v>
      </c>
      <c r="G2722" s="10">
        <v>0.5635</v>
      </c>
    </row>
    <row r="2723" spans="1:7" x14ac:dyDescent="0.2">
      <c r="A2723" s="1" t="s">
        <v>122</v>
      </c>
      <c r="B2723" t="s">
        <v>2498</v>
      </c>
      <c r="C2723">
        <v>-2.36548069487423</v>
      </c>
      <c r="D2723">
        <v>0</v>
      </c>
      <c r="E2723">
        <v>7.3495332581220696E-4</v>
      </c>
      <c r="F2723" t="str">
        <f>"23/23"</f>
        <v>23/23</v>
      </c>
      <c r="G2723" s="10">
        <v>0.62139999999999995</v>
      </c>
    </row>
    <row r="2724" spans="1:7" x14ac:dyDescent="0.2">
      <c r="A2724" s="1" t="s">
        <v>122</v>
      </c>
      <c r="B2724" t="s">
        <v>2499</v>
      </c>
      <c r="C2724">
        <v>-2.3651907191170198</v>
      </c>
      <c r="D2724">
        <v>0</v>
      </c>
      <c r="E2724">
        <v>7.3440485318100395E-4</v>
      </c>
      <c r="F2724" t="str">
        <f>"26/27"</f>
        <v>26/27</v>
      </c>
      <c r="G2724" s="10">
        <v>0.57469999999999999</v>
      </c>
    </row>
    <row r="2725" spans="1:7" x14ac:dyDescent="0.2">
      <c r="A2725" s="1" t="s">
        <v>122</v>
      </c>
      <c r="B2725" t="s">
        <v>2500</v>
      </c>
      <c r="C2725">
        <v>-2.36458857471156</v>
      </c>
      <c r="D2725">
        <v>0</v>
      </c>
      <c r="E2725">
        <v>7.3385719855521695E-4</v>
      </c>
      <c r="F2725" t="str">
        <f>"43/53"</f>
        <v>43/53</v>
      </c>
      <c r="G2725" s="10">
        <v>0.53839999999999999</v>
      </c>
    </row>
    <row r="2726" spans="1:7" x14ac:dyDescent="0.2">
      <c r="A2726" s="1" t="s">
        <v>122</v>
      </c>
      <c r="B2726" t="s">
        <v>2501</v>
      </c>
      <c r="C2726">
        <v>-2.3640028073244799</v>
      </c>
      <c r="D2726">
        <v>0</v>
      </c>
      <c r="E2726">
        <v>7.3331036010621897E-4</v>
      </c>
      <c r="F2726" t="str">
        <f>"21/21"</f>
        <v>21/21</v>
      </c>
      <c r="G2726" s="10">
        <v>0.58699999999999997</v>
      </c>
    </row>
    <row r="2727" spans="1:7" x14ac:dyDescent="0.2">
      <c r="A2727" s="1" t="s">
        <v>122</v>
      </c>
      <c r="B2727" t="s">
        <v>2502</v>
      </c>
      <c r="C2727">
        <v>-2.3636110492426998</v>
      </c>
      <c r="D2727">
        <v>0</v>
      </c>
      <c r="E2727">
        <v>7.3276433601083104E-4</v>
      </c>
      <c r="F2727" t="str">
        <f>"28/30"</f>
        <v>28/30</v>
      </c>
      <c r="G2727" s="10">
        <v>0.5877</v>
      </c>
    </row>
    <row r="2728" spans="1:7" x14ac:dyDescent="0.2">
      <c r="A2728" s="1" t="s">
        <v>122</v>
      </c>
      <c r="B2728" t="s">
        <v>2503</v>
      </c>
      <c r="C2728">
        <v>-2.3631491793342199</v>
      </c>
      <c r="D2728">
        <v>0</v>
      </c>
      <c r="E2728">
        <v>7.3221912445129897E-4</v>
      </c>
      <c r="F2728" t="str">
        <f>"23/25"</f>
        <v>23/25</v>
      </c>
      <c r="G2728" s="10">
        <v>0.54690000000000005</v>
      </c>
    </row>
    <row r="2729" spans="1:7" x14ac:dyDescent="0.2">
      <c r="A2729" s="1" t="s">
        <v>122</v>
      </c>
      <c r="B2729" t="s">
        <v>2504</v>
      </c>
      <c r="C2729">
        <v>-2.3624452196935102</v>
      </c>
      <c r="D2729">
        <v>0</v>
      </c>
      <c r="E2729">
        <v>7.3167472361527499E-4</v>
      </c>
      <c r="F2729" t="str">
        <f>"28/32"</f>
        <v>28/32</v>
      </c>
      <c r="G2729" s="10">
        <v>0.5242</v>
      </c>
    </row>
    <row r="2730" spans="1:7" x14ac:dyDescent="0.2">
      <c r="A2730" s="1" t="s">
        <v>122</v>
      </c>
      <c r="B2730" t="s">
        <v>2505</v>
      </c>
      <c r="C2730">
        <v>-2.3614478212472401</v>
      </c>
      <c r="D2730">
        <v>0</v>
      </c>
      <c r="E2730">
        <v>7.31131131695799E-4</v>
      </c>
      <c r="F2730" t="str">
        <f>"75/86"</f>
        <v>75/86</v>
      </c>
      <c r="G2730" s="10">
        <v>0.64710000000000001</v>
      </c>
    </row>
    <row r="2731" spans="1:7" x14ac:dyDescent="0.2">
      <c r="A2731" s="1" t="s">
        <v>122</v>
      </c>
      <c r="B2731" t="s">
        <v>2506</v>
      </c>
      <c r="C2731">
        <v>-2.3612328008060701</v>
      </c>
      <c r="D2731">
        <v>0</v>
      </c>
      <c r="E2731">
        <v>7.3058834689127396E-4</v>
      </c>
      <c r="F2731" t="str">
        <f>"24/27"</f>
        <v>24/27</v>
      </c>
      <c r="G2731" s="10">
        <v>0.50519999999999998</v>
      </c>
    </row>
    <row r="2732" spans="1:7" x14ac:dyDescent="0.2">
      <c r="A2732" s="1" t="s">
        <v>122</v>
      </c>
      <c r="B2732" t="s">
        <v>1316</v>
      </c>
      <c r="C2732">
        <v>-2.3611271975981598</v>
      </c>
      <c r="D2732">
        <v>0</v>
      </c>
      <c r="E2732">
        <v>7.3004636740544898E-4</v>
      </c>
      <c r="F2732" t="str">
        <f>"30/31"</f>
        <v>30/31</v>
      </c>
      <c r="G2732" s="10">
        <v>0.60460000000000003</v>
      </c>
    </row>
    <row r="2733" spans="1:7" x14ac:dyDescent="0.2">
      <c r="A2733" s="1" t="s">
        <v>122</v>
      </c>
      <c r="B2733" t="s">
        <v>2507</v>
      </c>
      <c r="C2733">
        <v>-2.3602698165864702</v>
      </c>
      <c r="D2733">
        <v>0</v>
      </c>
      <c r="E2733">
        <v>7.2950519144740196E-4</v>
      </c>
      <c r="F2733" t="str">
        <f>"25/27"</f>
        <v>25/27</v>
      </c>
      <c r="G2733" s="10">
        <v>0.53639999999999999</v>
      </c>
    </row>
    <row r="2734" spans="1:7" x14ac:dyDescent="0.2">
      <c r="A2734" s="1" t="s">
        <v>122</v>
      </c>
      <c r="B2734" t="s">
        <v>2508</v>
      </c>
      <c r="C2734">
        <v>-2.35997754945357</v>
      </c>
      <c r="D2734">
        <v>0</v>
      </c>
      <c r="E2734">
        <v>7.2896481723151501E-4</v>
      </c>
      <c r="F2734" t="str">
        <f>"19/20"</f>
        <v>19/20</v>
      </c>
      <c r="G2734" s="10">
        <v>0.5504</v>
      </c>
    </row>
    <row r="2735" spans="1:7" x14ac:dyDescent="0.2">
      <c r="A2735" s="1" t="s">
        <v>122</v>
      </c>
      <c r="B2735" t="s">
        <v>1356</v>
      </c>
      <c r="C2735">
        <v>-2.3598304828370802</v>
      </c>
      <c r="D2735">
        <v>0</v>
      </c>
      <c r="E2735">
        <v>7.2842524297745802E-4</v>
      </c>
      <c r="F2735" t="str">
        <f>"36/39"</f>
        <v>36/39</v>
      </c>
      <c r="G2735" s="10">
        <v>0.60460000000000003</v>
      </c>
    </row>
    <row r="2736" spans="1:7" x14ac:dyDescent="0.2">
      <c r="A2736" s="1" t="s">
        <v>122</v>
      </c>
      <c r="B2736" t="s">
        <v>681</v>
      </c>
      <c r="C2736">
        <v>-2.3587356422010299</v>
      </c>
      <c r="D2736">
        <v>0</v>
      </c>
      <c r="E2736">
        <v>7.2788646691016696E-4</v>
      </c>
      <c r="F2736" t="str">
        <f>"72/77"</f>
        <v>72/77</v>
      </c>
      <c r="G2736" s="10">
        <v>0.70930000000000004</v>
      </c>
    </row>
    <row r="2737" spans="1:7" x14ac:dyDescent="0.2">
      <c r="A2737" s="1" t="s">
        <v>122</v>
      </c>
      <c r="B2737" t="s">
        <v>2509</v>
      </c>
      <c r="C2737">
        <v>-2.3573305183104001</v>
      </c>
      <c r="D2737">
        <v>0</v>
      </c>
      <c r="E2737">
        <v>7.2734848725982705E-4</v>
      </c>
      <c r="F2737" t="str">
        <f>"20/27"</f>
        <v>20/27</v>
      </c>
      <c r="G2737" s="10">
        <v>0.378</v>
      </c>
    </row>
    <row r="2738" spans="1:7" x14ac:dyDescent="0.2">
      <c r="A2738" s="1" t="s">
        <v>122</v>
      </c>
      <c r="B2738" t="s">
        <v>2510</v>
      </c>
      <c r="C2738">
        <v>-2.35705969310367</v>
      </c>
      <c r="D2738">
        <v>0</v>
      </c>
      <c r="E2738">
        <v>7.2681130226185005E-4</v>
      </c>
      <c r="F2738" t="str">
        <f>"17/17"</f>
        <v>17/17</v>
      </c>
      <c r="G2738" s="10">
        <v>0.53480000000000005</v>
      </c>
    </row>
    <row r="2739" spans="1:7" x14ac:dyDescent="0.2">
      <c r="A2739" s="1" t="s">
        <v>122</v>
      </c>
      <c r="B2739" t="s">
        <v>2511</v>
      </c>
      <c r="C2739">
        <v>-2.35660579483373</v>
      </c>
      <c r="D2739">
        <v>0</v>
      </c>
      <c r="E2739">
        <v>7.2627491015685999E-4</v>
      </c>
      <c r="F2739" t="str">
        <f>"17/17"</f>
        <v>17/17</v>
      </c>
      <c r="G2739" s="10">
        <v>0.53810000000000002</v>
      </c>
    </row>
    <row r="2740" spans="1:7" x14ac:dyDescent="0.2">
      <c r="A2740" s="1" t="s">
        <v>122</v>
      </c>
      <c r="B2740" t="s">
        <v>2512</v>
      </c>
      <c r="C2740">
        <v>-2.3549827267067598</v>
      </c>
      <c r="D2740">
        <v>0</v>
      </c>
      <c r="E2740">
        <v>7.4434800942632597E-4</v>
      </c>
      <c r="F2740" t="str">
        <f>"57/61"</f>
        <v>57/61</v>
      </c>
      <c r="G2740" s="10">
        <v>0.68889999999999996</v>
      </c>
    </row>
    <row r="2741" spans="1:7" x14ac:dyDescent="0.2">
      <c r="A2741" s="1" t="s">
        <v>122</v>
      </c>
      <c r="B2741" t="s">
        <v>2513</v>
      </c>
      <c r="C2741">
        <v>-2.3549298324410501</v>
      </c>
      <c r="D2741">
        <v>0</v>
      </c>
      <c r="E2741">
        <v>7.4379948473257001E-4</v>
      </c>
      <c r="F2741" t="str">
        <f>"25/29"</f>
        <v>25/29</v>
      </c>
      <c r="G2741" s="10">
        <v>0.51200000000000001</v>
      </c>
    </row>
    <row r="2742" spans="1:7" x14ac:dyDescent="0.2">
      <c r="A2742" s="1" t="s">
        <v>122</v>
      </c>
      <c r="B2742" t="s">
        <v>2514</v>
      </c>
      <c r="C2742">
        <v>-2.3531364531974099</v>
      </c>
      <c r="D2742">
        <v>0</v>
      </c>
      <c r="E2742">
        <v>7.4325176788077904E-4</v>
      </c>
      <c r="F2742" t="str">
        <f>"22/24"</f>
        <v>22/24</v>
      </c>
      <c r="G2742" s="10">
        <v>0.51300000000000001</v>
      </c>
    </row>
    <row r="2743" spans="1:7" x14ac:dyDescent="0.2">
      <c r="A2743" s="1" t="s">
        <v>122</v>
      </c>
      <c r="B2743" t="s">
        <v>2515</v>
      </c>
      <c r="C2743">
        <v>-2.3529830106606302</v>
      </c>
      <c r="D2743">
        <v>0</v>
      </c>
      <c r="E2743">
        <v>7.4270485708763595E-4</v>
      </c>
      <c r="F2743" t="str">
        <f>"36/42"</f>
        <v>36/42</v>
      </c>
      <c r="G2743" s="10">
        <v>0.56399999999999995</v>
      </c>
    </row>
    <row r="2744" spans="1:7" x14ac:dyDescent="0.2">
      <c r="A2744" s="1" t="s">
        <v>122</v>
      </c>
      <c r="B2744" t="s">
        <v>2516</v>
      </c>
      <c r="C2744">
        <v>-2.3516111528896202</v>
      </c>
      <c r="D2744">
        <v>0</v>
      </c>
      <c r="E2744">
        <v>7.4215875057507196E-4</v>
      </c>
      <c r="F2744" t="str">
        <f>"15/15"</f>
        <v>15/15</v>
      </c>
      <c r="G2744" s="10">
        <v>0.50739999999999996</v>
      </c>
    </row>
    <row r="2745" spans="1:7" x14ac:dyDescent="0.2">
      <c r="A2745" s="1" t="s">
        <v>122</v>
      </c>
      <c r="B2745" t="s">
        <v>2517</v>
      </c>
      <c r="C2745">
        <v>-2.35054007507568</v>
      </c>
      <c r="D2745">
        <v>0</v>
      </c>
      <c r="E2745">
        <v>7.4161344657024098E-4</v>
      </c>
      <c r="F2745" t="str">
        <f>"54/59"</f>
        <v>54/59</v>
      </c>
      <c r="G2745" s="10">
        <v>0.6784</v>
      </c>
    </row>
    <row r="2746" spans="1:7" x14ac:dyDescent="0.2">
      <c r="A2746" s="1" t="s">
        <v>122</v>
      </c>
      <c r="B2746" t="s">
        <v>2518</v>
      </c>
      <c r="C2746">
        <v>-2.34940386337651</v>
      </c>
      <c r="D2746">
        <v>0</v>
      </c>
      <c r="E2746">
        <v>7.41068943305505E-4</v>
      </c>
      <c r="F2746" t="str">
        <f>"22/24"</f>
        <v>22/24</v>
      </c>
      <c r="G2746" s="10">
        <v>0.53439999999999999</v>
      </c>
    </row>
    <row r="2747" spans="1:7" x14ac:dyDescent="0.2">
      <c r="A2747" s="1" t="s">
        <v>122</v>
      </c>
      <c r="B2747" t="s">
        <v>2519</v>
      </c>
      <c r="C2747">
        <v>-2.3487515546568898</v>
      </c>
      <c r="D2747">
        <v>0</v>
      </c>
      <c r="E2747">
        <v>7.4052523901841402E-4</v>
      </c>
      <c r="F2747" t="str">
        <f>"20/21"</f>
        <v>20/21</v>
      </c>
      <c r="G2747" s="10">
        <v>0.55100000000000005</v>
      </c>
    </row>
    <row r="2748" spans="1:7" x14ac:dyDescent="0.2">
      <c r="A2748" s="1" t="s">
        <v>122</v>
      </c>
      <c r="B2748" t="s">
        <v>2520</v>
      </c>
      <c r="C2748">
        <v>-2.34830155214327</v>
      </c>
      <c r="D2748">
        <v>0</v>
      </c>
      <c r="E2748">
        <v>7.3998233195168503E-4</v>
      </c>
      <c r="F2748" t="str">
        <f>"15/16"</f>
        <v>15/16</v>
      </c>
      <c r="G2748" s="10">
        <v>0.46239999999999998</v>
      </c>
    </row>
    <row r="2749" spans="1:7" x14ac:dyDescent="0.2">
      <c r="A2749" s="1" t="s">
        <v>122</v>
      </c>
      <c r="B2749" t="s">
        <v>2521</v>
      </c>
      <c r="C2749">
        <v>-2.3475407528380399</v>
      </c>
      <c r="D2749">
        <v>0</v>
      </c>
      <c r="E2749">
        <v>7.3944022035318498E-4</v>
      </c>
      <c r="F2749" t="str">
        <f>"24/24"</f>
        <v>24/24</v>
      </c>
      <c r="G2749" s="10">
        <v>0.59119999999999995</v>
      </c>
    </row>
    <row r="2750" spans="1:7" x14ac:dyDescent="0.2">
      <c r="A2750" s="1" t="s">
        <v>122</v>
      </c>
      <c r="B2750" t="s">
        <v>2522</v>
      </c>
      <c r="C2750">
        <v>-2.3461871888680998</v>
      </c>
      <c r="D2750">
        <v>0</v>
      </c>
      <c r="E2750">
        <v>7.7584384759970897E-4</v>
      </c>
      <c r="F2750" t="str">
        <f>"40/41"</f>
        <v>40/41</v>
      </c>
      <c r="G2750" s="10">
        <v>0.68400000000000005</v>
      </c>
    </row>
    <row r="2751" spans="1:7" x14ac:dyDescent="0.2">
      <c r="A2751" s="1" t="s">
        <v>122</v>
      </c>
      <c r="B2751" t="s">
        <v>783</v>
      </c>
      <c r="C2751">
        <v>-2.3457867030045199</v>
      </c>
      <c r="D2751">
        <v>0</v>
      </c>
      <c r="E2751">
        <v>7.7527629540687798E-4</v>
      </c>
      <c r="F2751" t="str">
        <f>"16/20"</f>
        <v>16/20</v>
      </c>
      <c r="G2751" s="10">
        <v>0.37609999999999999</v>
      </c>
    </row>
    <row r="2752" spans="1:7" x14ac:dyDescent="0.2">
      <c r="A2752" s="1" t="s">
        <v>122</v>
      </c>
      <c r="B2752" t="s">
        <v>710</v>
      </c>
      <c r="C2752">
        <v>-2.3436420948529801</v>
      </c>
      <c r="D2752">
        <v>0</v>
      </c>
      <c r="E2752">
        <v>7.9315503899178E-4</v>
      </c>
      <c r="F2752" t="str">
        <f>"32/33"</f>
        <v>32/33</v>
      </c>
      <c r="G2752" s="10">
        <v>0.63180000000000003</v>
      </c>
    </row>
    <row r="2753" spans="1:7" x14ac:dyDescent="0.2">
      <c r="A2753" s="1" t="s">
        <v>122</v>
      </c>
      <c r="B2753" t="s">
        <v>2523</v>
      </c>
      <c r="C2753">
        <v>-2.3422993445154199</v>
      </c>
      <c r="D2753">
        <v>0</v>
      </c>
      <c r="E2753">
        <v>8.1100766315581301E-4</v>
      </c>
      <c r="F2753" t="str">
        <f>"15/15"</f>
        <v>15/15</v>
      </c>
      <c r="G2753" s="10">
        <v>0.51080000000000003</v>
      </c>
    </row>
    <row r="2754" spans="1:7" x14ac:dyDescent="0.2">
      <c r="A2754" s="1" t="s">
        <v>122</v>
      </c>
      <c r="B2754" t="s">
        <v>2524</v>
      </c>
      <c r="C2754">
        <v>-2.3416714402216501</v>
      </c>
      <c r="D2754">
        <v>0</v>
      </c>
      <c r="E2754">
        <v>8.1041568675934903E-4</v>
      </c>
      <c r="F2754" t="str">
        <f>"30/32"</f>
        <v>30/32</v>
      </c>
      <c r="G2754" s="10">
        <v>0.61140000000000005</v>
      </c>
    </row>
    <row r="2755" spans="1:7" x14ac:dyDescent="0.2">
      <c r="A2755" s="1" t="s">
        <v>122</v>
      </c>
      <c r="B2755" t="s">
        <v>2525</v>
      </c>
      <c r="C2755">
        <v>-2.34090231994649</v>
      </c>
      <c r="D2755">
        <v>0</v>
      </c>
      <c r="E2755">
        <v>8.0982457393166099E-4</v>
      </c>
      <c r="F2755" t="str">
        <f>"29/32"</f>
        <v>29/32</v>
      </c>
      <c r="G2755" s="10">
        <v>0.57609999999999995</v>
      </c>
    </row>
    <row r="2756" spans="1:7" x14ac:dyDescent="0.2">
      <c r="A2756" s="1" t="s">
        <v>122</v>
      </c>
      <c r="B2756" t="s">
        <v>257</v>
      </c>
      <c r="C2756">
        <v>-2.3399615506788098</v>
      </c>
      <c r="D2756">
        <v>0</v>
      </c>
      <c r="E2756">
        <v>8.0923432278448104E-4</v>
      </c>
      <c r="F2756" t="str">
        <f>"31/33"</f>
        <v>31/33</v>
      </c>
      <c r="G2756" s="10">
        <v>0.64500000000000002</v>
      </c>
    </row>
    <row r="2757" spans="1:7" x14ac:dyDescent="0.2">
      <c r="A2757" s="1" t="s">
        <v>122</v>
      </c>
      <c r="B2757" t="s">
        <v>2526</v>
      </c>
      <c r="C2757">
        <v>-2.3397866337702</v>
      </c>
      <c r="D2757">
        <v>0</v>
      </c>
      <c r="E2757">
        <v>8.2702322533128897E-4</v>
      </c>
      <c r="F2757" t="str">
        <f>"15/16"</f>
        <v>15/16</v>
      </c>
      <c r="G2757" s="10">
        <v>0.4622</v>
      </c>
    </row>
    <row r="2758" spans="1:7" x14ac:dyDescent="0.2">
      <c r="A2758" s="1" t="s">
        <v>122</v>
      </c>
      <c r="B2758" t="s">
        <v>2527</v>
      </c>
      <c r="C2758">
        <v>-2.3379978471581202</v>
      </c>
      <c r="D2758">
        <v>0</v>
      </c>
      <c r="E2758">
        <v>8.2642131614254696E-4</v>
      </c>
      <c r="F2758" t="str">
        <f>"16/17"</f>
        <v>16/17</v>
      </c>
      <c r="G2758" s="10">
        <v>0.46800000000000003</v>
      </c>
    </row>
    <row r="2759" spans="1:7" x14ac:dyDescent="0.2">
      <c r="A2759" s="1" t="s">
        <v>122</v>
      </c>
      <c r="B2759" t="s">
        <v>2528</v>
      </c>
      <c r="C2759">
        <v>-2.3379966951990299</v>
      </c>
      <c r="D2759">
        <v>0</v>
      </c>
      <c r="E2759">
        <v>8.2582028245808004E-4</v>
      </c>
      <c r="F2759" t="str">
        <f>"34/38"</f>
        <v>34/38</v>
      </c>
      <c r="G2759" s="10">
        <v>0.5665</v>
      </c>
    </row>
    <row r="2760" spans="1:7" x14ac:dyDescent="0.2">
      <c r="A2760" s="1" t="s">
        <v>122</v>
      </c>
      <c r="B2760" t="s">
        <v>1192</v>
      </c>
      <c r="C2760">
        <v>-2.3379851220154002</v>
      </c>
      <c r="D2760">
        <v>0</v>
      </c>
      <c r="E2760">
        <v>8.2522012236908404E-4</v>
      </c>
      <c r="F2760" t="str">
        <f>"26/28"</f>
        <v>26/28</v>
      </c>
      <c r="G2760" s="10">
        <v>0.53600000000000003</v>
      </c>
    </row>
    <row r="2761" spans="1:7" x14ac:dyDescent="0.2">
      <c r="A2761" s="1" t="s">
        <v>122</v>
      </c>
      <c r="B2761" t="s">
        <v>2529</v>
      </c>
      <c r="C2761">
        <v>-2.3378462325399898</v>
      </c>
      <c r="D2761">
        <v>0</v>
      </c>
      <c r="E2761">
        <v>8.24620833972302E-4</v>
      </c>
      <c r="F2761" t="str">
        <f>"13/16"</f>
        <v>13/16</v>
      </c>
      <c r="G2761" s="10">
        <v>0.32479999999999998</v>
      </c>
    </row>
    <row r="2762" spans="1:7" x14ac:dyDescent="0.2">
      <c r="A2762" s="1" t="s">
        <v>122</v>
      </c>
      <c r="B2762" t="s">
        <v>808</v>
      </c>
      <c r="C2762">
        <v>-2.3378192716362798</v>
      </c>
      <c r="D2762">
        <v>0</v>
      </c>
      <c r="E2762">
        <v>8.2402241537E-4</v>
      </c>
      <c r="F2762" t="str">
        <f>"14/15"</f>
        <v>14/15</v>
      </c>
      <c r="G2762" s="10">
        <v>0.45679999999999998</v>
      </c>
    </row>
    <row r="2763" spans="1:7" x14ac:dyDescent="0.2">
      <c r="A2763" s="1" t="s">
        <v>122</v>
      </c>
      <c r="B2763" t="s">
        <v>2530</v>
      </c>
      <c r="C2763">
        <v>-2.33765224781687</v>
      </c>
      <c r="D2763">
        <v>0</v>
      </c>
      <c r="E2763">
        <v>8.2342486466994904E-4</v>
      </c>
      <c r="F2763" t="str">
        <f>"23/24"</f>
        <v>23/24</v>
      </c>
      <c r="G2763" s="10">
        <v>0.54679999999999995</v>
      </c>
    </row>
    <row r="2764" spans="1:7" x14ac:dyDescent="0.2">
      <c r="A2764" s="1" t="s">
        <v>122</v>
      </c>
      <c r="B2764" t="s">
        <v>2531</v>
      </c>
      <c r="C2764">
        <v>-2.3346223685668201</v>
      </c>
      <c r="D2764">
        <v>0</v>
      </c>
      <c r="E2764">
        <v>8.5939832131809099E-4</v>
      </c>
      <c r="F2764" t="str">
        <f>"14/15"</f>
        <v>14/15</v>
      </c>
      <c r="G2764" s="10">
        <v>0.433</v>
      </c>
    </row>
    <row r="2765" spans="1:7" x14ac:dyDescent="0.2">
      <c r="A2765" s="1" t="s">
        <v>122</v>
      </c>
      <c r="B2765" t="s">
        <v>2532</v>
      </c>
      <c r="C2765">
        <v>-2.3342228055094298</v>
      </c>
      <c r="D2765">
        <v>0</v>
      </c>
      <c r="E2765">
        <v>8.58776019854428E-4</v>
      </c>
      <c r="F2765" t="str">
        <f>"24/28"</f>
        <v>24/28</v>
      </c>
      <c r="G2765" s="10">
        <v>0.51759999999999995</v>
      </c>
    </row>
    <row r="2766" spans="1:7" x14ac:dyDescent="0.2">
      <c r="A2766" s="1" t="s">
        <v>122</v>
      </c>
      <c r="B2766" t="s">
        <v>2533</v>
      </c>
      <c r="C2766">
        <v>-2.3341659635493399</v>
      </c>
      <c r="D2766">
        <v>0</v>
      </c>
      <c r="E2766">
        <v>8.5815461897175501E-4</v>
      </c>
      <c r="F2766" t="str">
        <f>"45/55"</f>
        <v>45/55</v>
      </c>
      <c r="G2766" s="10">
        <v>0.54520000000000002</v>
      </c>
    </row>
    <row r="2767" spans="1:7" x14ac:dyDescent="0.2">
      <c r="A2767" s="1" t="s">
        <v>122</v>
      </c>
      <c r="B2767" t="s">
        <v>2534</v>
      </c>
      <c r="C2767">
        <v>-2.3341413139834302</v>
      </c>
      <c r="D2767">
        <v>0</v>
      </c>
      <c r="E2767">
        <v>8.57534116716533E-4</v>
      </c>
      <c r="F2767" t="str">
        <f>"24/25"</f>
        <v>24/25</v>
      </c>
      <c r="G2767" s="10">
        <v>0.57599999999999996</v>
      </c>
    </row>
    <row r="2768" spans="1:7" x14ac:dyDescent="0.2">
      <c r="A2768" s="1" t="s">
        <v>122</v>
      </c>
      <c r="B2768" t="s">
        <v>366</v>
      </c>
      <c r="C2768">
        <v>-2.3335649795423499</v>
      </c>
      <c r="D2768">
        <v>0</v>
      </c>
      <c r="E2768">
        <v>8.5691451114087102E-4</v>
      </c>
      <c r="F2768" t="str">
        <f>"31/54"</f>
        <v>31/54</v>
      </c>
      <c r="G2768" s="10">
        <v>0.314</v>
      </c>
    </row>
    <row r="2769" spans="1:7" x14ac:dyDescent="0.2">
      <c r="A2769" s="1" t="s">
        <v>122</v>
      </c>
      <c r="B2769" t="s">
        <v>2535</v>
      </c>
      <c r="C2769">
        <v>-2.3325009827377001</v>
      </c>
      <c r="D2769">
        <v>0</v>
      </c>
      <c r="E2769">
        <v>8.5629580030250198E-4</v>
      </c>
      <c r="F2769" t="str">
        <f>"38/51"</f>
        <v>38/51</v>
      </c>
      <c r="G2769" s="10">
        <v>0.45369999999999999</v>
      </c>
    </row>
    <row r="2770" spans="1:7" x14ac:dyDescent="0.2">
      <c r="A2770" s="1" t="s">
        <v>122</v>
      </c>
      <c r="B2770" t="s">
        <v>589</v>
      </c>
      <c r="C2770">
        <v>-2.3317759017528501</v>
      </c>
      <c r="D2770">
        <v>0</v>
      </c>
      <c r="E2770">
        <v>8.5567798226476605E-4</v>
      </c>
      <c r="F2770" t="str">
        <f>"45/51"</f>
        <v>45/51</v>
      </c>
      <c r="G2770" s="10">
        <v>0.60929999999999995</v>
      </c>
    </row>
    <row r="2771" spans="1:7" x14ac:dyDescent="0.2">
      <c r="A2771" s="1" t="s">
        <v>122</v>
      </c>
      <c r="B2771" t="s">
        <v>2536</v>
      </c>
      <c r="C2771">
        <v>-2.32893413701643</v>
      </c>
      <c r="D2771">
        <v>0</v>
      </c>
      <c r="E2771">
        <v>8.7325384350289703E-4</v>
      </c>
      <c r="F2771" t="str">
        <f>"25/33"</f>
        <v>25/33</v>
      </c>
      <c r="G2771" s="10">
        <v>0.40949999999999998</v>
      </c>
    </row>
    <row r="2772" spans="1:7" x14ac:dyDescent="0.2">
      <c r="A2772" s="1" t="s">
        <v>122</v>
      </c>
      <c r="B2772" t="s">
        <v>2537</v>
      </c>
      <c r="C2772">
        <v>-2.3286496521070901</v>
      </c>
      <c r="D2772">
        <v>0</v>
      </c>
      <c r="E2772">
        <v>8.7262469808250501E-4</v>
      </c>
      <c r="F2772" t="str">
        <f>"36/43"</f>
        <v>36/43</v>
      </c>
      <c r="G2772" s="10">
        <v>0.54269999999999996</v>
      </c>
    </row>
    <row r="2773" spans="1:7" x14ac:dyDescent="0.2">
      <c r="A2773" s="1" t="s">
        <v>122</v>
      </c>
      <c r="B2773" t="s">
        <v>2538</v>
      </c>
      <c r="C2773">
        <v>-2.3283344472696501</v>
      </c>
      <c r="D2773">
        <v>0</v>
      </c>
      <c r="E2773">
        <v>8.7199645855904804E-4</v>
      </c>
      <c r="F2773" t="str">
        <f>"36/46"</f>
        <v>36/46</v>
      </c>
      <c r="G2773" s="10">
        <v>0.50780000000000003</v>
      </c>
    </row>
    <row r="2774" spans="1:7" x14ac:dyDescent="0.2">
      <c r="A2774" s="1" t="s">
        <v>122</v>
      </c>
      <c r="B2774" t="s">
        <v>2539</v>
      </c>
      <c r="C2774">
        <v>-2.3280963180477499</v>
      </c>
      <c r="D2774">
        <v>0</v>
      </c>
      <c r="E2774">
        <v>8.7136912297735105E-4</v>
      </c>
      <c r="F2774" t="str">
        <f>"15/17"</f>
        <v>15/17</v>
      </c>
      <c r="G2774" s="10">
        <v>0.40079999999999999</v>
      </c>
    </row>
    <row r="2775" spans="1:7" x14ac:dyDescent="0.2">
      <c r="A2775" s="1" t="s">
        <v>122</v>
      </c>
      <c r="B2775" t="s">
        <v>2540</v>
      </c>
      <c r="C2775">
        <v>-2.3280163801847999</v>
      </c>
      <c r="D2775">
        <v>0</v>
      </c>
      <c r="E2775">
        <v>8.7074268938786296E-4</v>
      </c>
      <c r="F2775" t="str">
        <f>"21/24"</f>
        <v>21/24</v>
      </c>
      <c r="G2775" s="10">
        <v>0.48220000000000002</v>
      </c>
    </row>
    <row r="2776" spans="1:7" x14ac:dyDescent="0.2">
      <c r="A2776" s="1" t="s">
        <v>122</v>
      </c>
      <c r="B2776" t="s">
        <v>2541</v>
      </c>
      <c r="C2776">
        <v>-2.32664630606219</v>
      </c>
      <c r="D2776">
        <v>0</v>
      </c>
      <c r="E2776">
        <v>8.8824459659344105E-4</v>
      </c>
      <c r="F2776" t="str">
        <f>"40/46"</f>
        <v>40/46</v>
      </c>
      <c r="G2776" s="10">
        <v>0.58950000000000002</v>
      </c>
    </row>
    <row r="2777" spans="1:7" x14ac:dyDescent="0.2">
      <c r="A2777" s="1" t="s">
        <v>122</v>
      </c>
      <c r="B2777" t="s">
        <v>2542</v>
      </c>
      <c r="C2777">
        <v>-2.3263862010713598</v>
      </c>
      <c r="D2777">
        <v>0</v>
      </c>
      <c r="E2777">
        <v>8.8760694792395503E-4</v>
      </c>
      <c r="F2777" t="str">
        <f>"20/21"</f>
        <v>20/21</v>
      </c>
      <c r="G2777" s="10">
        <v>0.56479999999999997</v>
      </c>
    </row>
    <row r="2778" spans="1:7" x14ac:dyDescent="0.2">
      <c r="A2778" s="1" t="s">
        <v>122</v>
      </c>
      <c r="B2778" t="s">
        <v>940</v>
      </c>
      <c r="C2778">
        <v>-2.32524164621725</v>
      </c>
      <c r="D2778">
        <v>0</v>
      </c>
      <c r="E2778">
        <v>9.0507164704277095E-4</v>
      </c>
      <c r="F2778" t="str">
        <f>"63/70"</f>
        <v>63/70</v>
      </c>
      <c r="G2778" s="10">
        <v>0.67310000000000003</v>
      </c>
    </row>
    <row r="2779" spans="1:7" x14ac:dyDescent="0.2">
      <c r="A2779" s="1" t="s">
        <v>122</v>
      </c>
      <c r="B2779" t="s">
        <v>1712</v>
      </c>
      <c r="C2779">
        <v>-2.3233688107753498</v>
      </c>
      <c r="D2779">
        <v>0</v>
      </c>
      <c r="E2779">
        <v>9.0442285016317E-4</v>
      </c>
      <c r="F2779" t="str">
        <f>"41/46"</f>
        <v>41/46</v>
      </c>
      <c r="G2779" s="10">
        <v>0.60229999999999995</v>
      </c>
    </row>
    <row r="2780" spans="1:7" x14ac:dyDescent="0.2">
      <c r="A2780" s="1" t="s">
        <v>122</v>
      </c>
      <c r="B2780" t="s">
        <v>2543</v>
      </c>
      <c r="C2780">
        <v>-2.3232357720143701</v>
      </c>
      <c r="D2780">
        <v>0</v>
      </c>
      <c r="E2780">
        <v>9.0377498279199295E-4</v>
      </c>
      <c r="F2780" t="str">
        <f>"21/26"</f>
        <v>21/26</v>
      </c>
      <c r="G2780" s="10">
        <v>0.44590000000000002</v>
      </c>
    </row>
    <row r="2781" spans="1:7" x14ac:dyDescent="0.2">
      <c r="A2781" s="1" t="s">
        <v>122</v>
      </c>
      <c r="B2781" t="s">
        <v>2544</v>
      </c>
      <c r="C2781">
        <v>-2.3228311008142901</v>
      </c>
      <c r="D2781">
        <v>0</v>
      </c>
      <c r="E2781">
        <v>9.0312804293315898E-4</v>
      </c>
      <c r="F2781" t="str">
        <f>"28/36"</f>
        <v>28/36</v>
      </c>
      <c r="G2781" s="10">
        <v>0.4355</v>
      </c>
    </row>
    <row r="2782" spans="1:7" x14ac:dyDescent="0.2">
      <c r="A2782" s="1" t="s">
        <v>122</v>
      </c>
      <c r="B2782" t="s">
        <v>2545</v>
      </c>
      <c r="C2782">
        <v>-2.3216697883108202</v>
      </c>
      <c r="D2782">
        <v>0</v>
      </c>
      <c r="E2782">
        <v>9.0248202859629604E-4</v>
      </c>
      <c r="F2782" t="str">
        <f>"17/17"</f>
        <v>17/17</v>
      </c>
      <c r="G2782" s="10">
        <v>0.52439999999999998</v>
      </c>
    </row>
    <row r="2783" spans="1:7" x14ac:dyDescent="0.2">
      <c r="A2783" s="1" t="s">
        <v>122</v>
      </c>
      <c r="B2783" t="s">
        <v>2546</v>
      </c>
      <c r="C2783">
        <v>-2.31900018247666</v>
      </c>
      <c r="D2783">
        <v>0</v>
      </c>
      <c r="E2783">
        <v>9.0183693779672801E-4</v>
      </c>
      <c r="F2783" t="str">
        <f>"20/24"</f>
        <v>20/24</v>
      </c>
      <c r="G2783" s="10">
        <v>0.44400000000000001</v>
      </c>
    </row>
    <row r="2784" spans="1:7" x14ac:dyDescent="0.2">
      <c r="A2784" s="1" t="s">
        <v>122</v>
      </c>
      <c r="B2784" t="s">
        <v>793</v>
      </c>
      <c r="C2784">
        <v>-2.31685373521925</v>
      </c>
      <c r="D2784">
        <v>0</v>
      </c>
      <c r="E2784">
        <v>9.0119276855544497E-4</v>
      </c>
      <c r="F2784" t="str">
        <f>"18/23"</f>
        <v>18/23</v>
      </c>
      <c r="G2784" s="10">
        <v>0.37609999999999999</v>
      </c>
    </row>
    <row r="2785" spans="1:7" x14ac:dyDescent="0.2">
      <c r="A2785" s="1" t="s">
        <v>122</v>
      </c>
      <c r="B2785" t="s">
        <v>2547</v>
      </c>
      <c r="C2785">
        <v>-2.31639062630915</v>
      </c>
      <c r="D2785">
        <v>0</v>
      </c>
      <c r="E2785">
        <v>9.0054951889908803E-4</v>
      </c>
      <c r="F2785" t="str">
        <f>"46/54"</f>
        <v>46/54</v>
      </c>
      <c r="G2785" s="10">
        <v>0.58679999999999999</v>
      </c>
    </row>
    <row r="2786" spans="1:7" x14ac:dyDescent="0.2">
      <c r="A2786" s="1" t="s">
        <v>122</v>
      </c>
      <c r="B2786" t="s">
        <v>703</v>
      </c>
      <c r="C2786">
        <v>-2.31585545242576</v>
      </c>
      <c r="D2786">
        <v>0</v>
      </c>
      <c r="E2786">
        <v>8.9990718685993001E-4</v>
      </c>
      <c r="F2786" t="str">
        <f>"59/67"</f>
        <v>59/67</v>
      </c>
      <c r="G2786" s="10">
        <v>0.63949999999999996</v>
      </c>
    </row>
    <row r="2787" spans="1:7" x14ac:dyDescent="0.2">
      <c r="A2787" s="1" t="s">
        <v>122</v>
      </c>
      <c r="B2787" t="s">
        <v>195</v>
      </c>
      <c r="C2787">
        <v>-2.3156096946837401</v>
      </c>
      <c r="D2787">
        <v>2.77777777777777E-2</v>
      </c>
      <c r="E2787">
        <v>8.9926577047585304E-4</v>
      </c>
      <c r="F2787" t="str">
        <f>"13/16"</f>
        <v>13/16</v>
      </c>
      <c r="G2787" s="10">
        <v>0.35289999999999999</v>
      </c>
    </row>
    <row r="2788" spans="1:7" x14ac:dyDescent="0.2">
      <c r="A2788" s="1" t="s">
        <v>122</v>
      </c>
      <c r="B2788" t="s">
        <v>2548</v>
      </c>
      <c r="C2788">
        <v>-2.3149749089962599</v>
      </c>
      <c r="D2788">
        <v>0</v>
      </c>
      <c r="E2788">
        <v>8.9862526779032898E-4</v>
      </c>
      <c r="F2788" t="str">
        <f>"32/37"</f>
        <v>32/37</v>
      </c>
      <c r="G2788" s="10">
        <v>0.53979999999999995</v>
      </c>
    </row>
    <row r="2789" spans="1:7" x14ac:dyDescent="0.2">
      <c r="A2789" s="1" t="s">
        <v>122</v>
      </c>
      <c r="B2789" t="s">
        <v>692</v>
      </c>
      <c r="C2789">
        <v>-2.3132604932212102</v>
      </c>
      <c r="D2789">
        <v>0</v>
      </c>
      <c r="E2789">
        <v>8.9798567685239999E-4</v>
      </c>
      <c r="F2789" t="str">
        <f>"29/34"</f>
        <v>29/34</v>
      </c>
      <c r="G2789" s="10">
        <v>0.52249999999999996</v>
      </c>
    </row>
    <row r="2790" spans="1:7" x14ac:dyDescent="0.2">
      <c r="A2790" s="1" t="s">
        <v>122</v>
      </c>
      <c r="B2790" t="s">
        <v>1246</v>
      </c>
      <c r="C2790">
        <v>-2.3128681446016301</v>
      </c>
      <c r="D2790">
        <v>0</v>
      </c>
      <c r="E2790">
        <v>8.9734699571665901E-4</v>
      </c>
      <c r="F2790" t="str">
        <f>"33/35"</f>
        <v>33/35</v>
      </c>
      <c r="G2790" s="10">
        <v>0.64690000000000003</v>
      </c>
    </row>
    <row r="2791" spans="1:7" x14ac:dyDescent="0.2">
      <c r="A2791" s="1" t="s">
        <v>122</v>
      </c>
      <c r="B2791" t="s">
        <v>2549</v>
      </c>
      <c r="C2791">
        <v>-2.31281157738329</v>
      </c>
      <c r="D2791">
        <v>0</v>
      </c>
      <c r="E2791">
        <v>8.9670922244322799E-4</v>
      </c>
      <c r="F2791" t="str">
        <f>"19/21"</f>
        <v>19/21</v>
      </c>
      <c r="G2791" s="10">
        <v>0.52270000000000005</v>
      </c>
    </row>
    <row r="2792" spans="1:7" x14ac:dyDescent="0.2">
      <c r="A2792" s="1" t="s">
        <v>122</v>
      </c>
      <c r="B2792" t="s">
        <v>2550</v>
      </c>
      <c r="C2792">
        <v>-2.3108813628289102</v>
      </c>
      <c r="D2792">
        <v>0</v>
      </c>
      <c r="E2792">
        <v>9.3191524930165295E-4</v>
      </c>
      <c r="F2792" t="str">
        <f>"28/36"</f>
        <v>28/36</v>
      </c>
      <c r="G2792" s="10">
        <v>0.44119999999999998</v>
      </c>
    </row>
    <row r="2793" spans="1:7" x14ac:dyDescent="0.2">
      <c r="A2793" s="1" t="s">
        <v>122</v>
      </c>
      <c r="B2793" t="s">
        <v>2551</v>
      </c>
      <c r="C2793">
        <v>-2.3106979768896201</v>
      </c>
      <c r="D2793">
        <v>0</v>
      </c>
      <c r="E2793">
        <v>9.3125384742138203E-4</v>
      </c>
      <c r="F2793" t="str">
        <f>"21/27"</f>
        <v>21/27</v>
      </c>
      <c r="G2793" s="10">
        <v>0.41170000000000001</v>
      </c>
    </row>
    <row r="2794" spans="1:7" x14ac:dyDescent="0.2">
      <c r="A2794" s="1" t="s">
        <v>122</v>
      </c>
      <c r="B2794" t="s">
        <v>2552</v>
      </c>
      <c r="C2794">
        <v>-2.3092493366270599</v>
      </c>
      <c r="D2794">
        <v>0</v>
      </c>
      <c r="E2794">
        <v>9.4848941030941801E-4</v>
      </c>
      <c r="F2794" t="str">
        <f>"18/19"</f>
        <v>18/19</v>
      </c>
      <c r="G2794" s="10">
        <v>0.52869999999999995</v>
      </c>
    </row>
    <row r="2795" spans="1:7" x14ac:dyDescent="0.2">
      <c r="A2795" s="1" t="s">
        <v>122</v>
      </c>
      <c r="B2795" t="s">
        <v>865</v>
      </c>
      <c r="C2795">
        <v>-2.3089168149845198</v>
      </c>
      <c r="D2795">
        <v>0</v>
      </c>
      <c r="E2795">
        <v>9.4781719952960995E-4</v>
      </c>
      <c r="F2795" t="str">
        <f>"35/36"</f>
        <v>35/36</v>
      </c>
      <c r="G2795" s="10">
        <v>0.64939999999999998</v>
      </c>
    </row>
    <row r="2796" spans="1:7" x14ac:dyDescent="0.2">
      <c r="A2796" s="1" t="s">
        <v>122</v>
      </c>
      <c r="B2796" t="s">
        <v>2553</v>
      </c>
      <c r="C2796">
        <v>-2.3084188352876902</v>
      </c>
      <c r="D2796">
        <v>0</v>
      </c>
      <c r="E2796">
        <v>9.4714594088971698E-4</v>
      </c>
      <c r="F2796" t="str">
        <f>"36/41"</f>
        <v>36/41</v>
      </c>
      <c r="G2796" s="10">
        <v>0.56069999999999998</v>
      </c>
    </row>
    <row r="2797" spans="1:7" x14ac:dyDescent="0.2">
      <c r="A2797" s="1" t="s">
        <v>122</v>
      </c>
      <c r="B2797" t="s">
        <v>1168</v>
      </c>
      <c r="C2797">
        <v>-2.30785939944457</v>
      </c>
      <c r="D2797">
        <v>0</v>
      </c>
      <c r="E2797">
        <v>9.6433366316760996E-4</v>
      </c>
      <c r="F2797" t="str">
        <f>"32/33"</f>
        <v>32/33</v>
      </c>
      <c r="G2797" s="10">
        <v>0.63180000000000003</v>
      </c>
    </row>
    <row r="2798" spans="1:7" x14ac:dyDescent="0.2">
      <c r="A2798" s="1" t="s">
        <v>122</v>
      </c>
      <c r="B2798" t="s">
        <v>2554</v>
      </c>
      <c r="C2798">
        <v>-2.30740362307936</v>
      </c>
      <c r="D2798">
        <v>0</v>
      </c>
      <c r="E2798">
        <v>9.6365167330681204E-4</v>
      </c>
      <c r="F2798" t="str">
        <f>"25/28"</f>
        <v>25/28</v>
      </c>
      <c r="G2798" s="10">
        <v>0.53500000000000003</v>
      </c>
    </row>
    <row r="2799" spans="1:7" x14ac:dyDescent="0.2">
      <c r="A2799" s="1" t="s">
        <v>122</v>
      </c>
      <c r="B2799" t="s">
        <v>1656</v>
      </c>
      <c r="C2799">
        <v>-2.30714212294306</v>
      </c>
      <c r="D2799">
        <v>0</v>
      </c>
      <c r="E2799">
        <v>9.6297064738928102E-4</v>
      </c>
      <c r="F2799" t="str">
        <f>"31/33"</f>
        <v>31/33</v>
      </c>
      <c r="G2799" s="10">
        <v>0.6069</v>
      </c>
    </row>
    <row r="2800" spans="1:7" x14ac:dyDescent="0.2">
      <c r="A2800" s="1" t="s">
        <v>122</v>
      </c>
      <c r="B2800" t="s">
        <v>30</v>
      </c>
      <c r="C2800">
        <v>-2.30680775474266</v>
      </c>
      <c r="D2800">
        <v>0</v>
      </c>
      <c r="E2800">
        <v>9.6229058337276305E-4</v>
      </c>
      <c r="F2800" t="str">
        <f>"65/73"</f>
        <v>65/73</v>
      </c>
      <c r="G2800" s="10">
        <v>0.65039999999999998</v>
      </c>
    </row>
    <row r="2801" spans="1:7" x14ac:dyDescent="0.2">
      <c r="A2801" s="1" t="s">
        <v>122</v>
      </c>
      <c r="B2801" t="s">
        <v>2555</v>
      </c>
      <c r="C2801">
        <v>-2.3066944187945402</v>
      </c>
      <c r="D2801">
        <v>0</v>
      </c>
      <c r="E2801">
        <v>9.6161147922077105E-4</v>
      </c>
      <c r="F2801" t="str">
        <f>"18/18"</f>
        <v>18/18</v>
      </c>
      <c r="G2801" s="10">
        <v>0.53259999999999996</v>
      </c>
    </row>
    <row r="2802" spans="1:7" x14ac:dyDescent="0.2">
      <c r="A2802" s="1" t="s">
        <v>122</v>
      </c>
      <c r="B2802" t="s">
        <v>2556</v>
      </c>
      <c r="C2802">
        <v>-2.3063459732035301</v>
      </c>
      <c r="D2802">
        <v>0</v>
      </c>
      <c r="E2802">
        <v>9.7872839462297893E-4</v>
      </c>
      <c r="F2802" t="str">
        <f>"25/33"</f>
        <v>25/33</v>
      </c>
      <c r="G2802" s="10">
        <v>0.42609999999999998</v>
      </c>
    </row>
    <row r="2803" spans="1:7" x14ac:dyDescent="0.2">
      <c r="A2803" s="1" t="s">
        <v>122</v>
      </c>
      <c r="B2803" t="s">
        <v>2557</v>
      </c>
      <c r="C2803">
        <v>-2.30254327467236</v>
      </c>
      <c r="D2803">
        <v>0</v>
      </c>
      <c r="E2803">
        <v>1.0313862270148199E-3</v>
      </c>
      <c r="F2803" t="str">
        <f>"18/21"</f>
        <v>18/21</v>
      </c>
      <c r="G2803" s="10">
        <v>0.42409999999999998</v>
      </c>
    </row>
    <row r="2804" spans="1:7" x14ac:dyDescent="0.2">
      <c r="A2804" s="1" t="s">
        <v>122</v>
      </c>
      <c r="B2804" t="s">
        <v>2558</v>
      </c>
      <c r="C2804">
        <v>-2.3020943041098301</v>
      </c>
      <c r="D2804">
        <v>0</v>
      </c>
      <c r="E2804">
        <v>1.0299345926347899E-3</v>
      </c>
      <c r="F2804" t="str">
        <f>"17/19"</f>
        <v>17/19</v>
      </c>
      <c r="G2804" s="10">
        <v>0.44919999999999999</v>
      </c>
    </row>
    <row r="2805" spans="1:7" x14ac:dyDescent="0.2">
      <c r="A2805" s="1" t="s">
        <v>122</v>
      </c>
      <c r="B2805" t="s">
        <v>2559</v>
      </c>
      <c r="C2805">
        <v>-2.3020943041098301</v>
      </c>
      <c r="D2805">
        <v>0</v>
      </c>
      <c r="E2805">
        <v>1.0299345926347899E-3</v>
      </c>
      <c r="F2805" t="str">
        <f>"17/19"</f>
        <v>17/19</v>
      </c>
      <c r="G2805" s="10">
        <v>0.44919999999999999</v>
      </c>
    </row>
    <row r="2806" spans="1:7" x14ac:dyDescent="0.2">
      <c r="A2806" s="1" t="s">
        <v>122</v>
      </c>
      <c r="B2806" t="s">
        <v>2560</v>
      </c>
      <c r="C2806">
        <v>-2.3012063460260501</v>
      </c>
      <c r="D2806">
        <v>0</v>
      </c>
      <c r="E2806">
        <v>1.04695531199268E-3</v>
      </c>
      <c r="F2806" t="str">
        <f>"16/16"</f>
        <v>16/16</v>
      </c>
      <c r="G2806" s="10">
        <v>0.52439999999999998</v>
      </c>
    </row>
    <row r="2807" spans="1:7" x14ac:dyDescent="0.2">
      <c r="A2807" s="1" t="s">
        <v>122</v>
      </c>
      <c r="B2807" t="s">
        <v>2561</v>
      </c>
      <c r="C2807">
        <v>-2.30042420084076</v>
      </c>
      <c r="D2807">
        <v>0</v>
      </c>
      <c r="E2807">
        <v>1.0462195738957E-3</v>
      </c>
      <c r="F2807" t="str">
        <f>"33/36"</f>
        <v>33/36</v>
      </c>
      <c r="G2807" s="10">
        <v>0.58030000000000004</v>
      </c>
    </row>
    <row r="2808" spans="1:7" x14ac:dyDescent="0.2">
      <c r="A2808" s="1" t="s">
        <v>122</v>
      </c>
      <c r="B2808" t="s">
        <v>2562</v>
      </c>
      <c r="C2808">
        <v>-2.2988441731460201</v>
      </c>
      <c r="D2808">
        <v>0</v>
      </c>
      <c r="E2808">
        <v>1.04548486913876E-3</v>
      </c>
      <c r="F2808" t="str">
        <f>"40/46"</f>
        <v>40/46</v>
      </c>
      <c r="G2808" s="10">
        <v>0.55889999999999995</v>
      </c>
    </row>
    <row r="2809" spans="1:7" x14ac:dyDescent="0.2">
      <c r="A2809" s="1" t="s">
        <v>122</v>
      </c>
      <c r="B2809" t="s">
        <v>2563</v>
      </c>
      <c r="C2809">
        <v>-2.2967621353240202</v>
      </c>
      <c r="D2809">
        <v>0</v>
      </c>
      <c r="E2809">
        <v>1.0978741376928001E-3</v>
      </c>
      <c r="F2809" t="str">
        <f>"27/30"</f>
        <v>27/30</v>
      </c>
      <c r="G2809" s="10">
        <v>0.53359999999999996</v>
      </c>
    </row>
    <row r="2810" spans="1:7" x14ac:dyDescent="0.2">
      <c r="A2810" s="1" t="s">
        <v>122</v>
      </c>
      <c r="B2810" t="s">
        <v>2564</v>
      </c>
      <c r="C2810">
        <v>-2.2950366031621399</v>
      </c>
      <c r="D2810">
        <v>0</v>
      </c>
      <c r="E2810">
        <v>1.1147994696576399E-3</v>
      </c>
      <c r="F2810" t="str">
        <f>"20/21"</f>
        <v>20/21</v>
      </c>
      <c r="G2810" s="10">
        <v>0.55840000000000001</v>
      </c>
    </row>
    <row r="2811" spans="1:7" x14ac:dyDescent="0.2">
      <c r="A2811" s="1" t="s">
        <v>122</v>
      </c>
      <c r="B2811" t="s">
        <v>543</v>
      </c>
      <c r="C2811">
        <v>-2.2935235101588001</v>
      </c>
      <c r="D2811">
        <v>0</v>
      </c>
      <c r="E2811">
        <v>1.1140182506880201E-3</v>
      </c>
      <c r="F2811" t="str">
        <f>"59/67"</f>
        <v>59/67</v>
      </c>
      <c r="G2811" s="10">
        <v>0.61809999999999998</v>
      </c>
    </row>
    <row r="2812" spans="1:7" x14ac:dyDescent="0.2">
      <c r="A2812" s="1" t="s">
        <v>122</v>
      </c>
      <c r="B2812" t="s">
        <v>2565</v>
      </c>
      <c r="C2812">
        <v>-2.2920771251134902</v>
      </c>
      <c r="D2812">
        <v>0</v>
      </c>
      <c r="E2812">
        <v>1.1132381258626E-3</v>
      </c>
      <c r="F2812" t="str">
        <f>"12/18"</f>
        <v>12/18</v>
      </c>
      <c r="G2812" s="10">
        <v>0.22209999999999999</v>
      </c>
    </row>
    <row r="2813" spans="1:7" x14ac:dyDescent="0.2">
      <c r="A2813" s="1" t="s">
        <v>122</v>
      </c>
      <c r="B2813" t="s">
        <v>2566</v>
      </c>
      <c r="C2813">
        <v>-2.2906280808372701</v>
      </c>
      <c r="D2813">
        <v>0</v>
      </c>
      <c r="E2813">
        <v>1.13011717372383E-3</v>
      </c>
      <c r="F2813" t="str">
        <f>"21/27"</f>
        <v>21/27</v>
      </c>
      <c r="G2813" s="10">
        <v>0.42020000000000002</v>
      </c>
    </row>
    <row r="2814" spans="1:7" x14ac:dyDescent="0.2">
      <c r="A2814" s="1" t="s">
        <v>122</v>
      </c>
      <c r="B2814" t="s">
        <v>2567</v>
      </c>
      <c r="C2814">
        <v>-2.2873411056562301</v>
      </c>
      <c r="D2814">
        <v>2.77777777777777E-2</v>
      </c>
      <c r="E2814">
        <v>1.1822640795874199E-3</v>
      </c>
      <c r="F2814" t="str">
        <f>"27/30"</f>
        <v>27/30</v>
      </c>
      <c r="G2814" s="10">
        <v>0.58130000000000004</v>
      </c>
    </row>
    <row r="2815" spans="1:7" x14ac:dyDescent="0.2">
      <c r="A2815" s="1" t="s">
        <v>122</v>
      </c>
      <c r="B2815" t="s">
        <v>2568</v>
      </c>
      <c r="C2815">
        <v>-2.2868774865814698</v>
      </c>
      <c r="D2815">
        <v>0</v>
      </c>
      <c r="E2815">
        <v>1.1814378992383E-3</v>
      </c>
      <c r="F2815" t="str">
        <f>"24/31"</f>
        <v>24/31</v>
      </c>
      <c r="G2815" s="10">
        <v>0.42580000000000001</v>
      </c>
    </row>
    <row r="2816" spans="1:7" x14ac:dyDescent="0.2">
      <c r="A2816" s="1" t="s">
        <v>122</v>
      </c>
      <c r="B2816" t="s">
        <v>1125</v>
      </c>
      <c r="C2816">
        <v>-2.2847635101738399</v>
      </c>
      <c r="D2816">
        <v>0</v>
      </c>
      <c r="E2816">
        <v>1.2158550480789901E-3</v>
      </c>
      <c r="F2816" t="str">
        <f>"33/34"</f>
        <v>33/34</v>
      </c>
      <c r="G2816" s="10">
        <v>0.62480000000000002</v>
      </c>
    </row>
    <row r="2817" spans="1:7" x14ac:dyDescent="0.2">
      <c r="A2817" s="1" t="s">
        <v>122</v>
      </c>
      <c r="B2817" t="s">
        <v>1234</v>
      </c>
      <c r="C2817">
        <v>-2.2843845799971199</v>
      </c>
      <c r="D2817">
        <v>0</v>
      </c>
      <c r="E2817">
        <v>1.2502241618201099E-3</v>
      </c>
      <c r="F2817" t="str">
        <f>"24/24"</f>
        <v>24/24</v>
      </c>
      <c r="G2817" s="10">
        <v>0.6381</v>
      </c>
    </row>
    <row r="2818" spans="1:7" x14ac:dyDescent="0.2">
      <c r="A2818" s="1" t="s">
        <v>122</v>
      </c>
      <c r="B2818" t="s">
        <v>2569</v>
      </c>
      <c r="C2818">
        <v>-2.2842414719648101</v>
      </c>
      <c r="D2818">
        <v>0</v>
      </c>
      <c r="E2818">
        <v>1.24935231791368E-3</v>
      </c>
      <c r="F2818" t="str">
        <f>"23/25"</f>
        <v>23/25</v>
      </c>
      <c r="G2818" s="10">
        <v>0.55310000000000004</v>
      </c>
    </row>
    <row r="2819" spans="1:7" x14ac:dyDescent="0.2">
      <c r="A2819" s="1" t="s">
        <v>122</v>
      </c>
      <c r="B2819" t="s">
        <v>2570</v>
      </c>
      <c r="C2819">
        <v>-2.2828995799591301</v>
      </c>
      <c r="D2819">
        <v>0</v>
      </c>
      <c r="E2819">
        <v>1.24848168912071E-3</v>
      </c>
      <c r="F2819" t="str">
        <f>"42/49"</f>
        <v>42/49</v>
      </c>
      <c r="G2819" s="10">
        <v>0.57010000000000005</v>
      </c>
    </row>
    <row r="2820" spans="1:7" x14ac:dyDescent="0.2">
      <c r="A2820" s="1" t="s">
        <v>122</v>
      </c>
      <c r="B2820" t="s">
        <v>2571</v>
      </c>
      <c r="C2820">
        <v>-2.2819639740131201</v>
      </c>
      <c r="D2820">
        <v>0</v>
      </c>
      <c r="E2820">
        <v>1.28275628059006E-3</v>
      </c>
      <c r="F2820" t="str">
        <f>"34/39"</f>
        <v>34/39</v>
      </c>
      <c r="G2820" s="10">
        <v>0.53480000000000005</v>
      </c>
    </row>
    <row r="2821" spans="1:7" x14ac:dyDescent="0.2">
      <c r="A2821" s="1" t="s">
        <v>122</v>
      </c>
      <c r="B2821" t="s">
        <v>2572</v>
      </c>
      <c r="C2821">
        <v>-2.2818555327073198</v>
      </c>
      <c r="D2821">
        <v>0</v>
      </c>
      <c r="E2821">
        <v>1.2818636179034999E-3</v>
      </c>
      <c r="F2821" t="str">
        <f>"15/21"</f>
        <v>15/21</v>
      </c>
      <c r="G2821" s="10">
        <v>0.28199999999999997</v>
      </c>
    </row>
    <row r="2822" spans="1:7" x14ac:dyDescent="0.2">
      <c r="A2822" s="1" t="s">
        <v>122</v>
      </c>
      <c r="B2822" t="s">
        <v>2573</v>
      </c>
      <c r="C2822">
        <v>-2.2814281675443602</v>
      </c>
      <c r="D2822">
        <v>0</v>
      </c>
      <c r="E2822">
        <v>1.2809721967505701E-3</v>
      </c>
      <c r="F2822" t="str">
        <f>"16/18"</f>
        <v>16/18</v>
      </c>
      <c r="G2822" s="10">
        <v>0.47570000000000001</v>
      </c>
    </row>
    <row r="2823" spans="1:7" x14ac:dyDescent="0.2">
      <c r="A2823" s="1" t="s">
        <v>122</v>
      </c>
      <c r="B2823" t="s">
        <v>2574</v>
      </c>
      <c r="C2823">
        <v>-2.2803382094838902</v>
      </c>
      <c r="D2823">
        <v>0</v>
      </c>
      <c r="E2823">
        <v>1.28008201454296E-3</v>
      </c>
      <c r="F2823" t="str">
        <f>"22/27"</f>
        <v>22/27</v>
      </c>
      <c r="G2823" s="10">
        <v>0.43569999999999998</v>
      </c>
    </row>
    <row r="2824" spans="1:7" x14ac:dyDescent="0.2">
      <c r="A2824" s="1" t="s">
        <v>122</v>
      </c>
      <c r="B2824" t="s">
        <v>2575</v>
      </c>
      <c r="C2824">
        <v>-2.2802354776205198</v>
      </c>
      <c r="D2824">
        <v>0</v>
      </c>
      <c r="E2824">
        <v>1.2791930686995301E-3</v>
      </c>
      <c r="F2824" t="str">
        <f>"15/17"</f>
        <v>15/17</v>
      </c>
      <c r="G2824" s="10">
        <v>0.46879999999999999</v>
      </c>
    </row>
    <row r="2825" spans="1:7" x14ac:dyDescent="0.2">
      <c r="A2825" s="1" t="s">
        <v>122</v>
      </c>
      <c r="B2825" t="s">
        <v>2576</v>
      </c>
      <c r="C2825">
        <v>-2.2798181729870399</v>
      </c>
      <c r="D2825">
        <v>0</v>
      </c>
      <c r="E2825">
        <v>1.2783053566462999E-3</v>
      </c>
      <c r="F2825" t="str">
        <f>"19/23"</f>
        <v>19/23</v>
      </c>
      <c r="G2825" s="10">
        <v>0.46629999999999999</v>
      </c>
    </row>
    <row r="2826" spans="1:7" x14ac:dyDescent="0.2">
      <c r="A2826" s="1" t="s">
        <v>122</v>
      </c>
      <c r="B2826" t="s">
        <v>2577</v>
      </c>
      <c r="C2826">
        <v>-2.2758777652092599</v>
      </c>
      <c r="D2826">
        <v>0</v>
      </c>
      <c r="E2826">
        <v>1.27741887581645E-3</v>
      </c>
      <c r="F2826" t="str">
        <f>"33/36"</f>
        <v>33/36</v>
      </c>
      <c r="G2826" s="10">
        <v>0.61770000000000003</v>
      </c>
    </row>
    <row r="2827" spans="1:7" x14ac:dyDescent="0.2">
      <c r="A2827" s="1" t="s">
        <v>122</v>
      </c>
      <c r="B2827" t="s">
        <v>948</v>
      </c>
      <c r="C2827">
        <v>-2.2757287766303702</v>
      </c>
      <c r="D2827">
        <v>0</v>
      </c>
      <c r="E2827">
        <v>1.27653362365026E-3</v>
      </c>
      <c r="F2827" t="str">
        <f>"15/15"</f>
        <v>15/15</v>
      </c>
      <c r="G2827" s="10">
        <v>0.55179999999999996</v>
      </c>
    </row>
    <row r="2828" spans="1:7" x14ac:dyDescent="0.2">
      <c r="A2828" s="1" t="s">
        <v>122</v>
      </c>
      <c r="B2828" t="s">
        <v>2578</v>
      </c>
      <c r="C2828">
        <v>-2.2757261784431999</v>
      </c>
      <c r="D2828">
        <v>0</v>
      </c>
      <c r="E2828">
        <v>1.2756495975950999E-3</v>
      </c>
      <c r="F2828" t="str">
        <f>"35/36"</f>
        <v>35/36</v>
      </c>
      <c r="G2828" s="10">
        <v>0.67500000000000004</v>
      </c>
    </row>
    <row r="2829" spans="1:7" x14ac:dyDescent="0.2">
      <c r="A2829" s="1" t="s">
        <v>122</v>
      </c>
      <c r="B2829" t="s">
        <v>2579</v>
      </c>
      <c r="C2829">
        <v>-2.2750928493685101</v>
      </c>
      <c r="D2829">
        <v>0</v>
      </c>
      <c r="E2829">
        <v>1.2922293539424699E-3</v>
      </c>
      <c r="F2829" t="str">
        <f>"32/53"</f>
        <v>32/53</v>
      </c>
      <c r="G2829" s="10">
        <v>0.36509999999999998</v>
      </c>
    </row>
    <row r="2830" spans="1:7" x14ac:dyDescent="0.2">
      <c r="A2830" s="1" t="s">
        <v>122</v>
      </c>
      <c r="B2830" t="s">
        <v>2580</v>
      </c>
      <c r="C2830">
        <v>-2.2743554020626102</v>
      </c>
      <c r="D2830">
        <v>0</v>
      </c>
      <c r="E2830">
        <v>1.2913356960213499E-3</v>
      </c>
      <c r="F2830" t="str">
        <f>"25/26"</f>
        <v>25/26</v>
      </c>
      <c r="G2830" s="10">
        <v>0.61480000000000001</v>
      </c>
    </row>
    <row r="2831" spans="1:7" x14ac:dyDescent="0.2">
      <c r="A2831" s="1" t="s">
        <v>122</v>
      </c>
      <c r="B2831" t="s">
        <v>831</v>
      </c>
      <c r="C2831">
        <v>-2.2742617403869501</v>
      </c>
      <c r="D2831">
        <v>0</v>
      </c>
      <c r="E2831">
        <v>1.2904432732873999E-3</v>
      </c>
      <c r="F2831" t="str">
        <f>"45/51"</f>
        <v>45/51</v>
      </c>
      <c r="G2831" s="10">
        <v>0.61360000000000003</v>
      </c>
    </row>
    <row r="2832" spans="1:7" x14ac:dyDescent="0.2">
      <c r="A2832" s="1" t="s">
        <v>122</v>
      </c>
      <c r="B2832" t="s">
        <v>1047</v>
      </c>
      <c r="C2832">
        <v>-2.2727003902185898</v>
      </c>
      <c r="D2832">
        <v>0</v>
      </c>
      <c r="E2832">
        <v>1.28955208318154E-3</v>
      </c>
      <c r="F2832" t="str">
        <f>"23/24"</f>
        <v>23/24</v>
      </c>
      <c r="G2832" s="10">
        <v>0.56630000000000003</v>
      </c>
    </row>
    <row r="2833" spans="1:7" x14ac:dyDescent="0.2">
      <c r="A2833" s="1" t="s">
        <v>122</v>
      </c>
      <c r="B2833" t="s">
        <v>761</v>
      </c>
      <c r="C2833">
        <v>-2.2721715487683101</v>
      </c>
      <c r="D2833">
        <v>0</v>
      </c>
      <c r="E2833">
        <v>1.30607647616731E-3</v>
      </c>
      <c r="F2833" t="str">
        <f>"34/39"</f>
        <v>34/39</v>
      </c>
      <c r="G2833" s="10">
        <v>0.58499999999999996</v>
      </c>
    </row>
    <row r="2834" spans="1:7" x14ac:dyDescent="0.2">
      <c r="A2834" s="1" t="s">
        <v>122</v>
      </c>
      <c r="B2834" t="s">
        <v>2581</v>
      </c>
      <c r="C2834">
        <v>-2.2720111179973901</v>
      </c>
      <c r="D2834">
        <v>0</v>
      </c>
      <c r="E2834">
        <v>1.30517573376995E-3</v>
      </c>
      <c r="F2834" t="str">
        <f>"33/34"</f>
        <v>33/34</v>
      </c>
      <c r="G2834" s="10">
        <v>0.63670000000000004</v>
      </c>
    </row>
    <row r="2835" spans="1:7" x14ac:dyDescent="0.2">
      <c r="A2835" s="1" t="s">
        <v>122</v>
      </c>
      <c r="B2835" t="s">
        <v>2582</v>
      </c>
      <c r="C2835">
        <v>-2.2707721342220801</v>
      </c>
      <c r="D2835">
        <v>0</v>
      </c>
      <c r="E2835">
        <v>1.3216665826919201E-3</v>
      </c>
      <c r="F2835" t="str">
        <f>"36/38"</f>
        <v>36/38</v>
      </c>
      <c r="G2835" s="10">
        <v>0.65939999999999999</v>
      </c>
    </row>
    <row r="2836" spans="1:7" x14ac:dyDescent="0.2">
      <c r="A2836" s="1" t="s">
        <v>122</v>
      </c>
      <c r="B2836" t="s">
        <v>2583</v>
      </c>
      <c r="C2836">
        <v>-2.2692642112766399</v>
      </c>
      <c r="D2836">
        <v>0</v>
      </c>
      <c r="E2836">
        <v>1.33813471694596E-3</v>
      </c>
      <c r="F2836" t="str">
        <f>"14/17"</f>
        <v>14/17</v>
      </c>
      <c r="G2836" s="10">
        <v>0.36430000000000001</v>
      </c>
    </row>
    <row r="2837" spans="1:7" x14ac:dyDescent="0.2">
      <c r="A2837" s="1" t="s">
        <v>122</v>
      </c>
      <c r="B2837" t="s">
        <v>2584</v>
      </c>
      <c r="C2837">
        <v>-2.26864523977987</v>
      </c>
      <c r="D2837">
        <v>0</v>
      </c>
      <c r="E2837">
        <v>1.3372137708228E-3</v>
      </c>
      <c r="F2837" t="str">
        <f>"50/53"</f>
        <v>50/53</v>
      </c>
      <c r="G2837" s="10">
        <v>0.67510000000000003</v>
      </c>
    </row>
    <row r="2838" spans="1:7" x14ac:dyDescent="0.2">
      <c r="A2838" s="1" t="s">
        <v>122</v>
      </c>
      <c r="B2838" t="s">
        <v>2585</v>
      </c>
      <c r="C2838">
        <v>-2.2670661108569199</v>
      </c>
      <c r="D2838">
        <v>0</v>
      </c>
      <c r="E2838">
        <v>1.37100302891653E-3</v>
      </c>
      <c r="F2838" t="str">
        <f>"15/16"</f>
        <v>15/16</v>
      </c>
      <c r="G2838" s="10">
        <v>0.51400000000000001</v>
      </c>
    </row>
    <row r="2839" spans="1:7" x14ac:dyDescent="0.2">
      <c r="A2839" s="1" t="s">
        <v>122</v>
      </c>
      <c r="B2839" t="s">
        <v>2586</v>
      </c>
      <c r="C2839">
        <v>-2.2666377257855599</v>
      </c>
      <c r="D2839">
        <v>0</v>
      </c>
      <c r="E2839">
        <v>1.3700607587935701E-3</v>
      </c>
      <c r="F2839" t="str">
        <f>"13/16"</f>
        <v>13/16</v>
      </c>
      <c r="G2839" s="10">
        <v>0.35520000000000002</v>
      </c>
    </row>
    <row r="2840" spans="1:7" x14ac:dyDescent="0.2">
      <c r="A2840" s="1" t="s">
        <v>122</v>
      </c>
      <c r="B2840" t="s">
        <v>2587</v>
      </c>
      <c r="C2840">
        <v>-2.26656962757145</v>
      </c>
      <c r="D2840">
        <v>0</v>
      </c>
      <c r="E2840">
        <v>1.3691197829976899E-3</v>
      </c>
      <c r="F2840" t="str">
        <f>"14/16"</f>
        <v>14/16</v>
      </c>
      <c r="G2840" s="10">
        <v>0.40810000000000002</v>
      </c>
    </row>
    <row r="2841" spans="1:7" x14ac:dyDescent="0.2">
      <c r="A2841" s="1" t="s">
        <v>122</v>
      </c>
      <c r="B2841" t="s">
        <v>2588</v>
      </c>
      <c r="C2841">
        <v>-2.2664407526068899</v>
      </c>
      <c r="D2841">
        <v>0</v>
      </c>
      <c r="E2841">
        <v>1.3681800988638599E-3</v>
      </c>
      <c r="F2841" t="str">
        <f>"27/33"</f>
        <v>27/33</v>
      </c>
      <c r="G2841" s="10">
        <v>0.49959999999999999</v>
      </c>
    </row>
    <row r="2842" spans="1:7" x14ac:dyDescent="0.2">
      <c r="A2842" s="1" t="s">
        <v>122</v>
      </c>
      <c r="B2842" t="s">
        <v>2589</v>
      </c>
      <c r="C2842">
        <v>-2.2660050157698199</v>
      </c>
      <c r="D2842">
        <v>0</v>
      </c>
      <c r="E2842">
        <v>1.3672417037343199E-3</v>
      </c>
      <c r="F2842" t="str">
        <f>"20/20"</f>
        <v>20/20</v>
      </c>
      <c r="G2842" s="10">
        <v>0.6018</v>
      </c>
    </row>
    <row r="2843" spans="1:7" x14ac:dyDescent="0.2">
      <c r="A2843" s="1" t="s">
        <v>122</v>
      </c>
      <c r="B2843" t="s">
        <v>2590</v>
      </c>
      <c r="C2843">
        <v>-2.2647656253900799</v>
      </c>
      <c r="D2843">
        <v>0</v>
      </c>
      <c r="E2843">
        <v>1.3663045949586299E-3</v>
      </c>
      <c r="F2843" t="str">
        <f>"14/15"</f>
        <v>14/15</v>
      </c>
      <c r="G2843" s="10">
        <v>0.43290000000000001</v>
      </c>
    </row>
    <row r="2844" spans="1:7" x14ac:dyDescent="0.2">
      <c r="A2844" s="1" t="s">
        <v>122</v>
      </c>
      <c r="B2844" t="s">
        <v>2591</v>
      </c>
      <c r="C2844">
        <v>-2.26316376235477</v>
      </c>
      <c r="D2844">
        <v>0</v>
      </c>
      <c r="E2844">
        <v>1.38265191887958E-3</v>
      </c>
      <c r="F2844" t="str">
        <f>"23/33"</f>
        <v>23/33</v>
      </c>
      <c r="G2844" s="10">
        <v>0.36059999999999998</v>
      </c>
    </row>
    <row r="2845" spans="1:7" x14ac:dyDescent="0.2">
      <c r="A2845" s="1" t="s">
        <v>122</v>
      </c>
      <c r="B2845" t="s">
        <v>2592</v>
      </c>
      <c r="C2845">
        <v>-2.26069278645938</v>
      </c>
      <c r="D2845">
        <v>0</v>
      </c>
      <c r="E2845">
        <v>1.38170554521847E-3</v>
      </c>
      <c r="F2845" t="str">
        <f>"24/39"</f>
        <v>24/39</v>
      </c>
      <c r="G2845" s="10">
        <v>0.31109999999999999</v>
      </c>
    </row>
    <row r="2846" spans="1:7" x14ac:dyDescent="0.2">
      <c r="A2846" s="1" t="s">
        <v>122</v>
      </c>
      <c r="B2846" t="s">
        <v>2593</v>
      </c>
      <c r="C2846">
        <v>-2.25975108834561</v>
      </c>
      <c r="D2846">
        <v>0</v>
      </c>
      <c r="E2846">
        <v>1.3980199720135E-3</v>
      </c>
      <c r="F2846" t="str">
        <f>"16/24"</f>
        <v>16/24</v>
      </c>
      <c r="G2846" s="10">
        <v>0.30159999999999998</v>
      </c>
    </row>
    <row r="2847" spans="1:7" x14ac:dyDescent="0.2">
      <c r="A2847" s="1" t="s">
        <v>122</v>
      </c>
      <c r="B2847" t="s">
        <v>615</v>
      </c>
      <c r="C2847">
        <v>-2.2594176786405198</v>
      </c>
      <c r="D2847">
        <v>0</v>
      </c>
      <c r="E2847">
        <v>1.3970643876170499E-3</v>
      </c>
      <c r="F2847" t="str">
        <f>"18/31"</f>
        <v>18/31</v>
      </c>
      <c r="G2847" s="10">
        <v>0.25969999999999999</v>
      </c>
    </row>
    <row r="2848" spans="1:7" x14ac:dyDescent="0.2">
      <c r="A2848" s="1" t="s">
        <v>122</v>
      </c>
      <c r="B2848" t="s">
        <v>2594</v>
      </c>
      <c r="C2848">
        <v>-2.2592218532194699</v>
      </c>
      <c r="D2848">
        <v>0</v>
      </c>
      <c r="E2848">
        <v>1.4133460359312101E-3</v>
      </c>
      <c r="F2848" t="str">
        <f>"15/19"</f>
        <v>15/19</v>
      </c>
      <c r="G2848" s="10">
        <v>0.39450000000000002</v>
      </c>
    </row>
    <row r="2849" spans="1:7" x14ac:dyDescent="0.2">
      <c r="A2849" s="1" t="s">
        <v>122</v>
      </c>
      <c r="B2849" t="s">
        <v>2595</v>
      </c>
      <c r="C2849">
        <v>-2.2576722130992599</v>
      </c>
      <c r="D2849">
        <v>0</v>
      </c>
      <c r="E2849">
        <v>1.4123812946097601E-3</v>
      </c>
      <c r="F2849" t="str">
        <f>"19/22"</f>
        <v>19/22</v>
      </c>
      <c r="G2849" s="10">
        <v>0.47399999999999998</v>
      </c>
    </row>
    <row r="2850" spans="1:7" x14ac:dyDescent="0.2">
      <c r="A2850" s="1" t="s">
        <v>122</v>
      </c>
      <c r="B2850" t="s">
        <v>2596</v>
      </c>
      <c r="C2850">
        <v>-2.2569910699349198</v>
      </c>
      <c r="D2850">
        <v>0</v>
      </c>
      <c r="E2850">
        <v>1.4114178694428999E-3</v>
      </c>
      <c r="F2850" t="str">
        <f>"25/27"</f>
        <v>25/27</v>
      </c>
      <c r="G2850" s="10">
        <v>0.59460000000000002</v>
      </c>
    </row>
    <row r="2851" spans="1:7" x14ac:dyDescent="0.2">
      <c r="A2851" s="1" t="s">
        <v>122</v>
      </c>
      <c r="B2851" t="s">
        <v>1124</v>
      </c>
      <c r="C2851">
        <v>-2.2566587593648202</v>
      </c>
      <c r="D2851">
        <v>0</v>
      </c>
      <c r="E2851">
        <v>1.4104557577391201E-3</v>
      </c>
      <c r="F2851" t="str">
        <f>"21/40"</f>
        <v>21/40</v>
      </c>
      <c r="G2851" s="10">
        <v>0.2399</v>
      </c>
    </row>
    <row r="2852" spans="1:7" x14ac:dyDescent="0.2">
      <c r="A2852" s="1" t="s">
        <v>122</v>
      </c>
      <c r="B2852" t="s">
        <v>2597</v>
      </c>
      <c r="C2852">
        <v>-2.2556274505533702</v>
      </c>
      <c r="D2852">
        <v>0</v>
      </c>
      <c r="E2852">
        <v>1.4094949568142299E-3</v>
      </c>
      <c r="F2852" t="str">
        <f>"22/29"</f>
        <v>22/29</v>
      </c>
      <c r="G2852" s="10">
        <v>0.38240000000000002</v>
      </c>
    </row>
    <row r="2853" spans="1:7" x14ac:dyDescent="0.2">
      <c r="A2853" s="1" t="s">
        <v>122</v>
      </c>
      <c r="B2853" t="s">
        <v>693</v>
      </c>
      <c r="C2853">
        <v>-2.2553133780471901</v>
      </c>
      <c r="D2853">
        <v>0</v>
      </c>
      <c r="E2853">
        <v>1.42571272574734E-3</v>
      </c>
      <c r="F2853" t="str">
        <f>"32/34"</f>
        <v>32/34</v>
      </c>
      <c r="G2853" s="10">
        <v>0.60460000000000003</v>
      </c>
    </row>
    <row r="2854" spans="1:7" x14ac:dyDescent="0.2">
      <c r="A2854" s="1" t="s">
        <v>122</v>
      </c>
      <c r="B2854" t="s">
        <v>2598</v>
      </c>
      <c r="C2854">
        <v>-2.2537848638154601</v>
      </c>
      <c r="D2854">
        <v>0</v>
      </c>
      <c r="E2854">
        <v>1.44190842968871E-3</v>
      </c>
      <c r="F2854" t="str">
        <f>"16/16"</f>
        <v>16/16</v>
      </c>
      <c r="G2854" s="10">
        <v>0.54790000000000005</v>
      </c>
    </row>
    <row r="2855" spans="1:7" x14ac:dyDescent="0.2">
      <c r="A2855" s="1" t="s">
        <v>122</v>
      </c>
      <c r="B2855" t="s">
        <v>2599</v>
      </c>
      <c r="C2855">
        <v>-2.2513521297384398</v>
      </c>
      <c r="D2855">
        <v>0</v>
      </c>
      <c r="E2855">
        <v>1.45808211363831E-3</v>
      </c>
      <c r="F2855" t="str">
        <f>"26/28"</f>
        <v>26/28</v>
      </c>
      <c r="G2855" s="10">
        <v>0.6109</v>
      </c>
    </row>
    <row r="2856" spans="1:7" x14ac:dyDescent="0.2">
      <c r="A2856" s="1" t="s">
        <v>122</v>
      </c>
      <c r="B2856" t="s">
        <v>2600</v>
      </c>
      <c r="C2856">
        <v>-2.2510882517184698</v>
      </c>
      <c r="D2856">
        <v>0</v>
      </c>
      <c r="E2856">
        <v>1.45709156872415E-3</v>
      </c>
      <c r="F2856" t="str">
        <f>"32/37"</f>
        <v>32/37</v>
      </c>
      <c r="G2856" s="10">
        <v>0.56069999999999998</v>
      </c>
    </row>
    <row r="2857" spans="1:7" x14ac:dyDescent="0.2">
      <c r="A2857" s="1" t="s">
        <v>122</v>
      </c>
      <c r="B2857" t="s">
        <v>2601</v>
      </c>
      <c r="C2857">
        <v>-2.2478864679320698</v>
      </c>
      <c r="D2857">
        <v>0</v>
      </c>
      <c r="E2857">
        <v>1.5074942170540499E-3</v>
      </c>
      <c r="F2857" t="str">
        <f>"34/39"</f>
        <v>34/39</v>
      </c>
      <c r="G2857" s="10">
        <v>0.56069999999999998</v>
      </c>
    </row>
    <row r="2858" spans="1:7" x14ac:dyDescent="0.2">
      <c r="A2858" s="1" t="s">
        <v>122</v>
      </c>
      <c r="B2858" t="s">
        <v>2602</v>
      </c>
      <c r="C2858">
        <v>-2.2478423765094702</v>
      </c>
      <c r="D2858">
        <v>0</v>
      </c>
      <c r="E2858">
        <v>1.5054501570987201E-3</v>
      </c>
      <c r="F2858" t="str">
        <f>"19/38"</f>
        <v>19/38</v>
      </c>
      <c r="G2858" s="10">
        <v>0.1855</v>
      </c>
    </row>
    <row r="2859" spans="1:7" x14ac:dyDescent="0.2">
      <c r="A2859" s="1" t="s">
        <v>122</v>
      </c>
      <c r="B2859" t="s">
        <v>2603</v>
      </c>
      <c r="C2859">
        <v>-2.2478423765094702</v>
      </c>
      <c r="D2859">
        <v>0</v>
      </c>
      <c r="E2859">
        <v>1.5054501570987201E-3</v>
      </c>
      <c r="F2859" t="str">
        <f>"19/38"</f>
        <v>19/38</v>
      </c>
      <c r="G2859" s="10">
        <v>0.1855</v>
      </c>
    </row>
    <row r="2860" spans="1:7" x14ac:dyDescent="0.2">
      <c r="A2860" s="1" t="s">
        <v>122</v>
      </c>
      <c r="B2860" t="s">
        <v>2604</v>
      </c>
      <c r="C2860">
        <v>-2.2470027173612501</v>
      </c>
      <c r="D2860">
        <v>0</v>
      </c>
      <c r="E2860">
        <v>1.50443020441776E-3</v>
      </c>
      <c r="F2860" t="str">
        <f>"19/22"</f>
        <v>19/22</v>
      </c>
      <c r="G2860" s="10">
        <v>0.48330000000000001</v>
      </c>
    </row>
    <row r="2861" spans="1:7" x14ac:dyDescent="0.2">
      <c r="A2861" s="1" t="s">
        <v>122</v>
      </c>
      <c r="B2861" t="s">
        <v>2605</v>
      </c>
      <c r="C2861">
        <v>-2.24627125526803</v>
      </c>
      <c r="D2861">
        <v>0</v>
      </c>
      <c r="E2861">
        <v>1.5204958559513601E-3</v>
      </c>
      <c r="F2861" t="str">
        <f>"25/26"</f>
        <v>25/26</v>
      </c>
      <c r="G2861" s="10">
        <v>0.58079999999999998</v>
      </c>
    </row>
    <row r="2862" spans="1:7" x14ac:dyDescent="0.2">
      <c r="A2862" s="1" t="s">
        <v>122</v>
      </c>
      <c r="B2862" t="s">
        <v>2606</v>
      </c>
      <c r="C2862">
        <v>-2.2460832701839299</v>
      </c>
      <c r="D2862">
        <v>0</v>
      </c>
      <c r="E2862">
        <v>1.51946710368076E-3</v>
      </c>
      <c r="F2862" t="str">
        <f>"35/44"</f>
        <v>35/44</v>
      </c>
      <c r="G2862" s="10">
        <v>0.52739999999999998</v>
      </c>
    </row>
    <row r="2863" spans="1:7" x14ac:dyDescent="0.2">
      <c r="A2863" s="1" t="s">
        <v>122</v>
      </c>
      <c r="B2863" t="s">
        <v>2607</v>
      </c>
      <c r="C2863">
        <v>-2.24567315676037</v>
      </c>
      <c r="D2863">
        <v>2.4390243902439001E-2</v>
      </c>
      <c r="E2863">
        <v>1.5184397425558899E-3</v>
      </c>
      <c r="F2863" t="str">
        <f>"28/47"</f>
        <v>28/47</v>
      </c>
      <c r="G2863" s="10">
        <v>0.29649999999999999</v>
      </c>
    </row>
    <row r="2864" spans="1:7" x14ac:dyDescent="0.2">
      <c r="A2864" s="1" t="s">
        <v>122</v>
      </c>
      <c r="B2864" t="s">
        <v>1197</v>
      </c>
      <c r="C2864">
        <v>-2.2450154081751301</v>
      </c>
      <c r="D2864">
        <v>0</v>
      </c>
      <c r="E2864">
        <v>1.51741376975687E-3</v>
      </c>
      <c r="F2864" t="str">
        <f>"68/84"</f>
        <v>68/84</v>
      </c>
      <c r="G2864" s="10">
        <v>0.59419999999999995</v>
      </c>
    </row>
    <row r="2865" spans="1:7" x14ac:dyDescent="0.2">
      <c r="A2865" s="1" t="s">
        <v>122</v>
      </c>
      <c r="B2865" t="s">
        <v>519</v>
      </c>
      <c r="C2865">
        <v>-2.24474804626941</v>
      </c>
      <c r="D2865">
        <v>0</v>
      </c>
      <c r="E2865">
        <v>1.5163891824714101E-3</v>
      </c>
      <c r="F2865" t="str">
        <f>"88/101"</f>
        <v>88/101</v>
      </c>
      <c r="G2865" s="10">
        <v>0.67390000000000005</v>
      </c>
    </row>
    <row r="2866" spans="1:7" x14ac:dyDescent="0.2">
      <c r="A2866" s="1" t="s">
        <v>122</v>
      </c>
      <c r="B2866" t="s">
        <v>2608</v>
      </c>
      <c r="C2866">
        <v>-2.2413626393012702</v>
      </c>
      <c r="D2866">
        <v>0</v>
      </c>
      <c r="E2866">
        <v>1.58347231398001E-3</v>
      </c>
      <c r="F2866" t="str">
        <f>"16/17"</f>
        <v>16/17</v>
      </c>
      <c r="G2866" s="10">
        <v>0.48559999999999998</v>
      </c>
    </row>
    <row r="2867" spans="1:7" x14ac:dyDescent="0.2">
      <c r="A2867" s="1" t="s">
        <v>122</v>
      </c>
      <c r="B2867" t="s">
        <v>2609</v>
      </c>
      <c r="C2867">
        <v>-2.24074892872272</v>
      </c>
      <c r="D2867">
        <v>0</v>
      </c>
      <c r="E2867">
        <v>1.58240456461117E-3</v>
      </c>
      <c r="F2867" t="str">
        <f>"12/15"</f>
        <v>12/15</v>
      </c>
      <c r="G2867" s="10">
        <v>0.27450000000000002</v>
      </c>
    </row>
    <row r="2868" spans="1:7" x14ac:dyDescent="0.2">
      <c r="A2868" s="1" t="s">
        <v>122</v>
      </c>
      <c r="B2868" t="s">
        <v>2610</v>
      </c>
      <c r="C2868">
        <v>-2.2404860688446799</v>
      </c>
      <c r="D2868">
        <v>0</v>
      </c>
      <c r="E2868">
        <v>1.5813382542576599E-3</v>
      </c>
      <c r="F2868" t="str">
        <f>"17/18"</f>
        <v>17/18</v>
      </c>
      <c r="G2868" s="10">
        <v>0.49759999999999999</v>
      </c>
    </row>
    <row r="2869" spans="1:7" x14ac:dyDescent="0.2">
      <c r="A2869" s="1" t="s">
        <v>122</v>
      </c>
      <c r="B2869" t="s">
        <v>1369</v>
      </c>
      <c r="C2869">
        <v>-2.2399842291796301</v>
      </c>
      <c r="D2869">
        <v>0</v>
      </c>
      <c r="E2869">
        <v>1.59726556689423E-3</v>
      </c>
      <c r="F2869" t="str">
        <f>"73/74"</f>
        <v>73/74</v>
      </c>
      <c r="G2869" s="10">
        <v>0.76670000000000005</v>
      </c>
    </row>
    <row r="2870" spans="1:7" x14ac:dyDescent="0.2">
      <c r="A2870" s="1" t="s">
        <v>122</v>
      </c>
      <c r="B2870" t="s">
        <v>2611</v>
      </c>
      <c r="C2870">
        <v>-2.2398732703012301</v>
      </c>
      <c r="D2870">
        <v>0</v>
      </c>
      <c r="E2870">
        <v>1.5961906910080201E-3</v>
      </c>
      <c r="F2870" t="str">
        <f>"26/32"</f>
        <v>26/32</v>
      </c>
      <c r="G2870" s="10">
        <v>0.48</v>
      </c>
    </row>
    <row r="2871" spans="1:7" x14ac:dyDescent="0.2">
      <c r="A2871" s="1" t="s">
        <v>122</v>
      </c>
      <c r="B2871" t="s">
        <v>2612</v>
      </c>
      <c r="C2871">
        <v>-2.2389374668984301</v>
      </c>
      <c r="D2871">
        <v>0</v>
      </c>
      <c r="E2871">
        <v>1.61208659338095E-3</v>
      </c>
      <c r="F2871" t="str">
        <f>"26/29"</f>
        <v>26/29</v>
      </c>
      <c r="G2871" s="10">
        <v>0.5403</v>
      </c>
    </row>
    <row r="2872" spans="1:7" x14ac:dyDescent="0.2">
      <c r="A2872" s="1" t="s">
        <v>122</v>
      </c>
      <c r="B2872" t="s">
        <v>2613</v>
      </c>
      <c r="C2872">
        <v>-2.2382611810969002</v>
      </c>
      <c r="D2872">
        <v>0</v>
      </c>
      <c r="E2872">
        <v>1.6110032018531401E-3</v>
      </c>
      <c r="F2872" t="str">
        <f>"13/18"</f>
        <v>13/18</v>
      </c>
      <c r="G2872" s="10">
        <v>0.30549999999999999</v>
      </c>
    </row>
    <row r="2873" spans="1:7" x14ac:dyDescent="0.2">
      <c r="A2873" s="1" t="s">
        <v>122</v>
      </c>
      <c r="B2873" t="s">
        <v>2614</v>
      </c>
      <c r="C2873">
        <v>-2.23731481024058</v>
      </c>
      <c r="D2873">
        <v>0</v>
      </c>
      <c r="E2873">
        <v>1.66076088442991E-3</v>
      </c>
      <c r="F2873" t="str">
        <f>"39/42"</f>
        <v>39/42</v>
      </c>
      <c r="G2873" s="10">
        <v>0.64319999999999999</v>
      </c>
    </row>
    <row r="2874" spans="1:7" x14ac:dyDescent="0.2">
      <c r="A2874" s="1" t="s">
        <v>122</v>
      </c>
      <c r="B2874" t="s">
        <v>2615</v>
      </c>
      <c r="C2874">
        <v>-2.2352449604256401</v>
      </c>
      <c r="D2874">
        <v>0</v>
      </c>
      <c r="E2874">
        <v>1.7104517781710001E-3</v>
      </c>
      <c r="F2874" t="str">
        <f>"59/64"</f>
        <v>59/64</v>
      </c>
      <c r="G2874" s="10">
        <v>0.67730000000000001</v>
      </c>
    </row>
    <row r="2875" spans="1:7" x14ac:dyDescent="0.2">
      <c r="A2875" s="1" t="s">
        <v>122</v>
      </c>
      <c r="B2875" t="s">
        <v>2616</v>
      </c>
      <c r="C2875">
        <v>-2.2343234022569201</v>
      </c>
      <c r="D2875">
        <v>0</v>
      </c>
      <c r="E2875">
        <v>1.7093045938798099E-3</v>
      </c>
      <c r="F2875" t="str">
        <f>"43/54"</f>
        <v>43/54</v>
      </c>
      <c r="G2875" s="10">
        <v>0.55430000000000001</v>
      </c>
    </row>
    <row r="2876" spans="1:7" x14ac:dyDescent="0.2">
      <c r="A2876" s="1" t="s">
        <v>122</v>
      </c>
      <c r="B2876" t="s">
        <v>2617</v>
      </c>
      <c r="C2876">
        <v>-2.2339654922010901</v>
      </c>
      <c r="D2876">
        <v>0</v>
      </c>
      <c r="E2876">
        <v>1.7081589473691601E-3</v>
      </c>
      <c r="F2876" t="str">
        <f>"28/30"</f>
        <v>28/30</v>
      </c>
      <c r="G2876" s="10">
        <v>0.5605</v>
      </c>
    </row>
    <row r="2877" spans="1:7" x14ac:dyDescent="0.2">
      <c r="A2877" s="1" t="s">
        <v>122</v>
      </c>
      <c r="B2877" t="s">
        <v>974</v>
      </c>
      <c r="C2877">
        <v>-2.2337800161690899</v>
      </c>
      <c r="D2877">
        <v>0</v>
      </c>
      <c r="E2877">
        <v>1.70701483554909E-3</v>
      </c>
      <c r="F2877" t="str">
        <f>"21/22"</f>
        <v>21/22</v>
      </c>
      <c r="G2877" s="10">
        <v>0.58499999999999996</v>
      </c>
    </row>
    <row r="2878" spans="1:7" x14ac:dyDescent="0.2">
      <c r="A2878" s="1" t="s">
        <v>122</v>
      </c>
      <c r="B2878" t="s">
        <v>635</v>
      </c>
      <c r="C2878">
        <v>-2.2262394223469899</v>
      </c>
      <c r="D2878">
        <v>0</v>
      </c>
      <c r="E2878">
        <v>1.75654172826871E-3</v>
      </c>
      <c r="F2878" t="str">
        <f>"75/91"</f>
        <v>75/91</v>
      </c>
      <c r="G2878" s="10">
        <v>0.626</v>
      </c>
    </row>
    <row r="2879" spans="1:7" x14ac:dyDescent="0.2">
      <c r="A2879" s="1" t="s">
        <v>122</v>
      </c>
      <c r="B2879" t="s">
        <v>1559</v>
      </c>
      <c r="C2879">
        <v>-2.2253083440664501</v>
      </c>
      <c r="D2879">
        <v>0</v>
      </c>
      <c r="E2879">
        <v>1.7891238375067199E-3</v>
      </c>
      <c r="F2879" t="str">
        <f>"18/22"</f>
        <v>18/22</v>
      </c>
      <c r="G2879" s="10">
        <v>0.45279999999999998</v>
      </c>
    </row>
    <row r="2880" spans="1:7" x14ac:dyDescent="0.2">
      <c r="A2880" s="1" t="s">
        <v>122</v>
      </c>
      <c r="B2880" t="s">
        <v>2618</v>
      </c>
      <c r="C2880">
        <v>-2.2248386460516101</v>
      </c>
      <c r="D2880">
        <v>0</v>
      </c>
      <c r="E2880">
        <v>1.7879278991126701E-3</v>
      </c>
      <c r="F2880" t="str">
        <f>"17/17"</f>
        <v>17/17</v>
      </c>
      <c r="G2880" s="10">
        <v>0.5353</v>
      </c>
    </row>
    <row r="2881" spans="1:7" x14ac:dyDescent="0.2">
      <c r="A2881" s="1" t="s">
        <v>122</v>
      </c>
      <c r="B2881" t="s">
        <v>2619</v>
      </c>
      <c r="C2881">
        <v>-2.22393836894206</v>
      </c>
      <c r="D2881">
        <v>2.0833333333333301E-2</v>
      </c>
      <c r="E2881">
        <v>1.7867335584987E-3</v>
      </c>
      <c r="F2881" t="str">
        <f>"17/18"</f>
        <v>17/18</v>
      </c>
      <c r="G2881" s="10">
        <v>0.54590000000000005</v>
      </c>
    </row>
    <row r="2882" spans="1:7" x14ac:dyDescent="0.2">
      <c r="A2882" s="1" t="s">
        <v>122</v>
      </c>
      <c r="B2882" t="s">
        <v>2620</v>
      </c>
      <c r="C2882">
        <v>-2.2238535517073301</v>
      </c>
      <c r="D2882">
        <v>0</v>
      </c>
      <c r="E2882">
        <v>1.78554081246499E-3</v>
      </c>
      <c r="F2882" t="str">
        <f>"31/35"</f>
        <v>31/35</v>
      </c>
      <c r="G2882" s="10">
        <v>0.57850000000000001</v>
      </c>
    </row>
    <row r="2883" spans="1:7" x14ac:dyDescent="0.2">
      <c r="A2883" s="1" t="s">
        <v>122</v>
      </c>
      <c r="B2883" t="s">
        <v>739</v>
      </c>
      <c r="C2883">
        <v>-2.2220987532446199</v>
      </c>
      <c r="D2883">
        <v>0</v>
      </c>
      <c r="E2883">
        <v>1.7843496578202501E-3</v>
      </c>
      <c r="F2883" t="str">
        <f>"127/145"</f>
        <v>127/145</v>
      </c>
      <c r="G2883" s="10">
        <v>0.71030000000000004</v>
      </c>
    </row>
    <row r="2884" spans="1:7" x14ac:dyDescent="0.2">
      <c r="A2884" s="1" t="s">
        <v>122</v>
      </c>
      <c r="B2884" t="s">
        <v>2621</v>
      </c>
      <c r="C2884">
        <v>-2.2214138231659701</v>
      </c>
      <c r="D2884">
        <v>0</v>
      </c>
      <c r="E2884">
        <v>1.7831600913816999E-3</v>
      </c>
      <c r="F2884" t="str">
        <f>"23/23"</f>
        <v>23/23</v>
      </c>
      <c r="G2884" s="10">
        <v>0.5988</v>
      </c>
    </row>
    <row r="2885" spans="1:7" x14ac:dyDescent="0.2">
      <c r="A2885" s="1" t="s">
        <v>122</v>
      </c>
      <c r="B2885" t="s">
        <v>2622</v>
      </c>
      <c r="C2885">
        <v>-2.22057668165708</v>
      </c>
      <c r="D2885">
        <v>0</v>
      </c>
      <c r="E2885">
        <v>1.7987831676163301E-3</v>
      </c>
      <c r="F2885" t="str">
        <f>"80/99"</f>
        <v>80/99</v>
      </c>
      <c r="G2885" s="10">
        <v>0.62129999999999996</v>
      </c>
    </row>
    <row r="2886" spans="1:7" x14ac:dyDescent="0.2">
      <c r="A2886" s="1" t="s">
        <v>122</v>
      </c>
      <c r="B2886" t="s">
        <v>2623</v>
      </c>
      <c r="C2886">
        <v>-2.2192552664818201</v>
      </c>
      <c r="D2886">
        <v>3.125E-2</v>
      </c>
      <c r="E2886">
        <v>1.81438544082001E-3</v>
      </c>
      <c r="F2886" t="str">
        <f>"96/112"</f>
        <v>96/112</v>
      </c>
      <c r="G2886" s="10">
        <v>0.67589999999999995</v>
      </c>
    </row>
    <row r="2887" spans="1:7" x14ac:dyDescent="0.2">
      <c r="A2887" s="1" t="s">
        <v>122</v>
      </c>
      <c r="B2887" t="s">
        <v>882</v>
      </c>
      <c r="C2887">
        <v>-2.2188881234679401</v>
      </c>
      <c r="D2887">
        <v>0</v>
      </c>
      <c r="E2887">
        <v>1.8131782648780201E-3</v>
      </c>
      <c r="F2887" t="str">
        <f>"36/39"</f>
        <v>36/39</v>
      </c>
      <c r="G2887" s="10">
        <v>0.61519999999999997</v>
      </c>
    </row>
    <row r="2888" spans="1:7" x14ac:dyDescent="0.2">
      <c r="A2888" s="1" t="s">
        <v>122</v>
      </c>
      <c r="B2888" t="s">
        <v>1359</v>
      </c>
      <c r="C2888">
        <v>-2.2184709119866199</v>
      </c>
      <c r="D2888">
        <v>0</v>
      </c>
      <c r="E2888">
        <v>1.81197269422318E-3</v>
      </c>
      <c r="F2888" t="str">
        <f>"42/44"</f>
        <v>42/44</v>
      </c>
      <c r="G2888" s="10">
        <v>0.66049999999999998</v>
      </c>
    </row>
    <row r="2889" spans="1:7" x14ac:dyDescent="0.2">
      <c r="A2889" s="1" t="s">
        <v>122</v>
      </c>
      <c r="B2889" t="s">
        <v>2624</v>
      </c>
      <c r="C2889">
        <v>-2.2184332957245898</v>
      </c>
      <c r="D2889">
        <v>0</v>
      </c>
      <c r="E2889">
        <v>1.81076872565559E-3</v>
      </c>
      <c r="F2889" t="str">
        <f>"23/27"</f>
        <v>23/27</v>
      </c>
      <c r="G2889" s="10">
        <v>0.5121</v>
      </c>
    </row>
    <row r="2890" spans="1:7" x14ac:dyDescent="0.2">
      <c r="A2890" s="1" t="s">
        <v>122</v>
      </c>
      <c r="B2890" t="s">
        <v>2625</v>
      </c>
      <c r="C2890">
        <v>-2.2178227186903099</v>
      </c>
      <c r="D2890">
        <v>0</v>
      </c>
      <c r="E2890">
        <v>1.8095663559838399E-3</v>
      </c>
      <c r="F2890" t="str">
        <f>"18/21"</f>
        <v>18/21</v>
      </c>
      <c r="G2890" s="10">
        <v>0.46179999999999999</v>
      </c>
    </row>
    <row r="2891" spans="1:7" x14ac:dyDescent="0.2">
      <c r="A2891" s="1" t="s">
        <v>122</v>
      </c>
      <c r="B2891" t="s">
        <v>686</v>
      </c>
      <c r="C2891">
        <v>-2.2146350253742102</v>
      </c>
      <c r="D2891">
        <v>0</v>
      </c>
      <c r="E2891">
        <v>1.9088303365819299E-3</v>
      </c>
      <c r="F2891" t="str">
        <f>"15/19"</f>
        <v>15/19</v>
      </c>
      <c r="G2891" s="10">
        <v>0.36859999999999998</v>
      </c>
    </row>
    <row r="2892" spans="1:7" x14ac:dyDescent="0.2">
      <c r="A2892" s="1" t="s">
        <v>122</v>
      </c>
      <c r="B2892" t="s">
        <v>2626</v>
      </c>
      <c r="C2892">
        <v>-2.2130416856780499</v>
      </c>
      <c r="D2892">
        <v>0</v>
      </c>
      <c r="E2892">
        <v>1.90756453397147E-3</v>
      </c>
      <c r="F2892" t="str">
        <f>"21/25"</f>
        <v>21/25</v>
      </c>
      <c r="G2892" s="10">
        <v>0.47770000000000001</v>
      </c>
    </row>
    <row r="2893" spans="1:7" x14ac:dyDescent="0.2">
      <c r="A2893" s="1" t="s">
        <v>122</v>
      </c>
      <c r="B2893" t="s">
        <v>2627</v>
      </c>
      <c r="C2893">
        <v>-2.2101624807626199</v>
      </c>
      <c r="D2893">
        <v>0</v>
      </c>
      <c r="E2893">
        <v>1.9230223424443499E-3</v>
      </c>
      <c r="F2893" t="str">
        <f>"16/19"</f>
        <v>16/19</v>
      </c>
      <c r="G2893" s="10">
        <v>0.42380000000000001</v>
      </c>
    </row>
    <row r="2894" spans="1:7" x14ac:dyDescent="0.2">
      <c r="A2894" s="1" t="s">
        <v>122</v>
      </c>
      <c r="B2894" t="s">
        <v>1213</v>
      </c>
      <c r="C2894">
        <v>-2.2101592518198498</v>
      </c>
      <c r="D2894">
        <v>0</v>
      </c>
      <c r="E2894">
        <v>1.9217488177142601E-3</v>
      </c>
      <c r="F2894" t="str">
        <f>"27/33"</f>
        <v>27/33</v>
      </c>
      <c r="G2894" s="10">
        <v>0.504</v>
      </c>
    </row>
    <row r="2895" spans="1:7" x14ac:dyDescent="0.2">
      <c r="A2895" s="1" t="s">
        <v>122</v>
      </c>
      <c r="B2895" t="s">
        <v>890</v>
      </c>
      <c r="C2895">
        <v>-2.2093528248075498</v>
      </c>
      <c r="D2895">
        <v>0</v>
      </c>
      <c r="E2895">
        <v>1.9371767784699401E-3</v>
      </c>
      <c r="F2895" t="str">
        <f>"65/73"</f>
        <v>65/73</v>
      </c>
      <c r="G2895" s="10">
        <v>0.66080000000000005</v>
      </c>
    </row>
    <row r="2896" spans="1:7" x14ac:dyDescent="0.2">
      <c r="A2896" s="1" t="s">
        <v>122</v>
      </c>
      <c r="B2896" t="s">
        <v>2628</v>
      </c>
      <c r="C2896">
        <v>-2.2091671261934098</v>
      </c>
      <c r="D2896">
        <v>0</v>
      </c>
      <c r="E2896">
        <v>1.9358955768968801E-3</v>
      </c>
      <c r="F2896" t="str">
        <f>"45/49"</f>
        <v>45/49</v>
      </c>
      <c r="G2896" s="10">
        <v>0.64710000000000001</v>
      </c>
    </row>
    <row r="2897" spans="1:7" x14ac:dyDescent="0.2">
      <c r="A2897" s="1" t="s">
        <v>122</v>
      </c>
      <c r="B2897" t="s">
        <v>314</v>
      </c>
      <c r="C2897">
        <v>-2.2085831507090101</v>
      </c>
      <c r="D2897">
        <v>0</v>
      </c>
      <c r="E2897">
        <v>1.93461606891479E-3</v>
      </c>
      <c r="F2897" t="str">
        <f>"40/45"</f>
        <v>40/45</v>
      </c>
      <c r="G2897" s="10">
        <v>0.60870000000000002</v>
      </c>
    </row>
    <row r="2898" spans="1:7" x14ac:dyDescent="0.2">
      <c r="A2898" s="1" t="s">
        <v>122</v>
      </c>
      <c r="B2898" t="s">
        <v>712</v>
      </c>
      <c r="C2898">
        <v>-2.2082102813355799</v>
      </c>
      <c r="D2898">
        <v>0</v>
      </c>
      <c r="E2898">
        <v>1.9666716692914002E-3</v>
      </c>
      <c r="F2898" t="str">
        <f>"21/22"</f>
        <v>21/22</v>
      </c>
      <c r="G2898" s="10">
        <v>0.58779999999999999</v>
      </c>
    </row>
    <row r="2899" spans="1:7" x14ac:dyDescent="0.2">
      <c r="A2899" s="1" t="s">
        <v>122</v>
      </c>
      <c r="B2899" t="s">
        <v>2629</v>
      </c>
      <c r="C2899">
        <v>-2.2081919251484101</v>
      </c>
      <c r="D2899">
        <v>2.2222222222222199E-2</v>
      </c>
      <c r="E2899">
        <v>1.9653735361763601E-3</v>
      </c>
      <c r="F2899" t="str">
        <f>"20/20"</f>
        <v>20/20</v>
      </c>
      <c r="G2899" s="10">
        <v>0.59319999999999995</v>
      </c>
    </row>
    <row r="2900" spans="1:7" x14ac:dyDescent="0.2">
      <c r="A2900" s="1" t="s">
        <v>122</v>
      </c>
      <c r="B2900" t="s">
        <v>2630</v>
      </c>
      <c r="C2900">
        <v>-2.2062746603929702</v>
      </c>
      <c r="D2900">
        <v>0</v>
      </c>
      <c r="E2900">
        <v>1.9807218369569499E-3</v>
      </c>
      <c r="F2900" t="str">
        <f>"17/17"</f>
        <v>17/17</v>
      </c>
      <c r="G2900" s="10">
        <v>0.59419999999999995</v>
      </c>
    </row>
    <row r="2901" spans="1:7" x14ac:dyDescent="0.2">
      <c r="A2901" s="1" t="s">
        <v>122</v>
      </c>
      <c r="B2901" t="s">
        <v>169</v>
      </c>
      <c r="C2901">
        <v>-2.2045437098349101</v>
      </c>
      <c r="D2901">
        <v>0</v>
      </c>
      <c r="E2901">
        <v>1.9960499026673E-3</v>
      </c>
      <c r="F2901" t="str">
        <f>"28/30"</f>
        <v>28/30</v>
      </c>
      <c r="G2901" s="10">
        <v>0.60240000000000005</v>
      </c>
    </row>
    <row r="2902" spans="1:7" x14ac:dyDescent="0.2">
      <c r="A2902" s="1" t="s">
        <v>122</v>
      </c>
      <c r="B2902" t="s">
        <v>2631</v>
      </c>
      <c r="C2902">
        <v>-2.2039492858026399</v>
      </c>
      <c r="D2902">
        <v>0</v>
      </c>
      <c r="E2902">
        <v>1.9947349817828002E-3</v>
      </c>
      <c r="F2902" t="str">
        <f>"23/24"</f>
        <v>23/24</v>
      </c>
      <c r="G2902" s="10">
        <v>0.55989999999999995</v>
      </c>
    </row>
    <row r="2903" spans="1:7" x14ac:dyDescent="0.2">
      <c r="A2903" s="1" t="s">
        <v>122</v>
      </c>
      <c r="B2903" t="s">
        <v>2632</v>
      </c>
      <c r="C2903">
        <v>-2.2027012310848599</v>
      </c>
      <c r="D2903">
        <v>0</v>
      </c>
      <c r="E2903">
        <v>2.0100336404646701E-3</v>
      </c>
      <c r="F2903" t="str">
        <f>"25/28"</f>
        <v>25/28</v>
      </c>
      <c r="G2903" s="10">
        <v>0.52249999999999996</v>
      </c>
    </row>
    <row r="2904" spans="1:7" x14ac:dyDescent="0.2">
      <c r="A2904" s="1" t="s">
        <v>122</v>
      </c>
      <c r="B2904" t="s">
        <v>573</v>
      </c>
      <c r="C2904">
        <v>-2.2021548573457999</v>
      </c>
      <c r="D2904">
        <v>0</v>
      </c>
      <c r="E2904">
        <v>2.0253121693324999E-3</v>
      </c>
      <c r="F2904" t="str">
        <f>"71/82"</f>
        <v>71/82</v>
      </c>
      <c r="G2904" s="10">
        <v>0.67269999999999996</v>
      </c>
    </row>
    <row r="2905" spans="1:7" x14ac:dyDescent="0.2">
      <c r="A2905" s="1" t="s">
        <v>122</v>
      </c>
      <c r="B2905" t="s">
        <v>2633</v>
      </c>
      <c r="C2905">
        <v>-2.2011754863103099</v>
      </c>
      <c r="D2905">
        <v>0</v>
      </c>
      <c r="E2905">
        <v>2.0239806031462099E-3</v>
      </c>
      <c r="F2905" t="str">
        <f>"22/32"</f>
        <v>22/32</v>
      </c>
      <c r="G2905" s="10">
        <v>0.37519999999999998</v>
      </c>
    </row>
    <row r="2906" spans="1:7" x14ac:dyDescent="0.2">
      <c r="A2906" s="1" t="s">
        <v>122</v>
      </c>
      <c r="B2906" t="s">
        <v>2634</v>
      </c>
      <c r="C2906">
        <v>-2.2002579854352402</v>
      </c>
      <c r="D2906">
        <v>0</v>
      </c>
      <c r="E2906">
        <v>2.0226507867183901E-3</v>
      </c>
      <c r="F2906" t="str">
        <f>"20/20"</f>
        <v>20/20</v>
      </c>
      <c r="G2906" s="10">
        <v>0.59209999999999996</v>
      </c>
    </row>
    <row r="2907" spans="1:7" x14ac:dyDescent="0.2">
      <c r="A2907" s="1" t="s">
        <v>122</v>
      </c>
      <c r="B2907" t="s">
        <v>2635</v>
      </c>
      <c r="C2907">
        <v>-2.1996751410196498</v>
      </c>
      <c r="D2907">
        <v>0</v>
      </c>
      <c r="E2907">
        <v>2.0544591545794502E-3</v>
      </c>
      <c r="F2907" t="str">
        <f>"31/32"</f>
        <v>31/32</v>
      </c>
      <c r="G2907" s="10">
        <v>0.64080000000000004</v>
      </c>
    </row>
    <row r="2908" spans="1:7" x14ac:dyDescent="0.2">
      <c r="A2908" s="1" t="s">
        <v>122</v>
      </c>
      <c r="B2908" t="s">
        <v>2636</v>
      </c>
      <c r="C2908">
        <v>-2.1991905315117601</v>
      </c>
      <c r="D2908">
        <v>0</v>
      </c>
      <c r="E2908">
        <v>2.06966843172182E-3</v>
      </c>
      <c r="F2908" t="str">
        <f>"30/37"</f>
        <v>30/37</v>
      </c>
      <c r="G2908" s="10">
        <v>0.51619999999999999</v>
      </c>
    </row>
    <row r="2909" spans="1:7" x14ac:dyDescent="0.2">
      <c r="A2909" s="1" t="s">
        <v>122</v>
      </c>
      <c r="B2909" t="s">
        <v>2637</v>
      </c>
      <c r="C2909">
        <v>-2.1982179444595999</v>
      </c>
      <c r="D2909">
        <v>0</v>
      </c>
      <c r="E2909">
        <v>2.1014042524479699E-3</v>
      </c>
      <c r="F2909" t="str">
        <f>"16/17"</f>
        <v>16/17</v>
      </c>
      <c r="G2909" s="10">
        <v>0.53310000000000002</v>
      </c>
    </row>
    <row r="2910" spans="1:7" x14ac:dyDescent="0.2">
      <c r="A2910" s="1" t="s">
        <v>122</v>
      </c>
      <c r="B2910" t="s">
        <v>2638</v>
      </c>
      <c r="C2910">
        <v>-2.1976689471566302</v>
      </c>
      <c r="D2910">
        <v>0</v>
      </c>
      <c r="E2910">
        <v>2.1000271854411199E-3</v>
      </c>
      <c r="F2910" t="str">
        <f>"38/44"</f>
        <v>38/44</v>
      </c>
      <c r="G2910" s="10">
        <v>0.58379999999999999</v>
      </c>
    </row>
    <row r="2911" spans="1:7" x14ac:dyDescent="0.2">
      <c r="A2911" s="1" t="s">
        <v>122</v>
      </c>
      <c r="B2911" t="s">
        <v>767</v>
      </c>
      <c r="C2911">
        <v>-2.1972613690488498</v>
      </c>
      <c r="D2911">
        <v>0</v>
      </c>
      <c r="E2911">
        <v>2.1151767403423099E-3</v>
      </c>
      <c r="F2911" t="str">
        <f>"38/43"</f>
        <v>38/43</v>
      </c>
      <c r="G2911" s="10">
        <v>0.62009999999999998</v>
      </c>
    </row>
    <row r="2912" spans="1:7" x14ac:dyDescent="0.2">
      <c r="A2912" s="1" t="s">
        <v>122</v>
      </c>
      <c r="B2912" t="s">
        <v>2639</v>
      </c>
      <c r="C2912">
        <v>-2.1962000855744899</v>
      </c>
      <c r="D2912">
        <v>0</v>
      </c>
      <c r="E2912">
        <v>2.1137924623708801E-3</v>
      </c>
      <c r="F2912" t="str">
        <f>"41/42"</f>
        <v>41/42</v>
      </c>
      <c r="G2912" s="10">
        <v>0.67390000000000005</v>
      </c>
    </row>
    <row r="2913" spans="1:7" x14ac:dyDescent="0.2">
      <c r="A2913" s="1" t="s">
        <v>122</v>
      </c>
      <c r="B2913" t="s">
        <v>2640</v>
      </c>
      <c r="C2913">
        <v>-2.1951660490080598</v>
      </c>
      <c r="D2913">
        <v>2.5000000000000001E-2</v>
      </c>
      <c r="E2913">
        <v>2.1124099950966002E-3</v>
      </c>
      <c r="F2913" t="str">
        <f>"24/26"</f>
        <v>24/26</v>
      </c>
      <c r="G2913" s="10">
        <v>0.57620000000000005</v>
      </c>
    </row>
    <row r="2914" spans="1:7" x14ac:dyDescent="0.2">
      <c r="A2914" s="1" t="s">
        <v>122</v>
      </c>
      <c r="B2914" t="s">
        <v>1216</v>
      </c>
      <c r="C2914">
        <v>-2.1947382437252601</v>
      </c>
      <c r="D2914">
        <v>0</v>
      </c>
      <c r="E2914">
        <v>2.1110293349690902E-3</v>
      </c>
      <c r="F2914" t="str">
        <f>"27/28"</f>
        <v>27/28</v>
      </c>
      <c r="G2914" s="10">
        <v>0.63180000000000003</v>
      </c>
    </row>
    <row r="2915" spans="1:7" x14ac:dyDescent="0.2">
      <c r="A2915" s="1" t="s">
        <v>122</v>
      </c>
      <c r="B2915" t="s">
        <v>2641</v>
      </c>
      <c r="C2915">
        <v>-2.19452686861354</v>
      </c>
      <c r="D2915">
        <v>0</v>
      </c>
      <c r="E2915">
        <v>2.10965047844723E-3</v>
      </c>
      <c r="F2915" t="str">
        <f>"39/39"</f>
        <v>39/39</v>
      </c>
      <c r="G2915" s="10">
        <v>0.71740000000000004</v>
      </c>
    </row>
    <row r="2916" spans="1:7" x14ac:dyDescent="0.2">
      <c r="A2916" s="1" t="s">
        <v>122</v>
      </c>
      <c r="B2916" t="s">
        <v>2642</v>
      </c>
      <c r="C2916">
        <v>-2.1925643471846401</v>
      </c>
      <c r="D2916">
        <v>2.2222222222222199E-2</v>
      </c>
      <c r="E2916">
        <v>2.1082734219991599E-3</v>
      </c>
      <c r="F2916" t="str">
        <f>"14/15"</f>
        <v>14/15</v>
      </c>
      <c r="G2916" s="10">
        <v>0.43109999999999998</v>
      </c>
    </row>
    <row r="2917" spans="1:7" x14ac:dyDescent="0.2">
      <c r="A2917" s="1" t="s">
        <v>122</v>
      </c>
      <c r="B2917" t="s">
        <v>2643</v>
      </c>
      <c r="C2917">
        <v>-2.19182783005198</v>
      </c>
      <c r="D2917">
        <v>2.7027027027027001E-2</v>
      </c>
      <c r="E2917">
        <v>2.1068981621022199E-3</v>
      </c>
      <c r="F2917" t="str">
        <f>"20/25"</f>
        <v>20/25</v>
      </c>
      <c r="G2917" s="10">
        <v>0.43369999999999997</v>
      </c>
    </row>
    <row r="2918" spans="1:7" x14ac:dyDescent="0.2">
      <c r="A2918" s="1" t="s">
        <v>122</v>
      </c>
      <c r="B2918" t="s">
        <v>1199</v>
      </c>
      <c r="C2918">
        <v>-2.1915653583749899</v>
      </c>
      <c r="D2918">
        <v>0</v>
      </c>
      <c r="E2918">
        <v>2.1219741069245499E-3</v>
      </c>
      <c r="F2918" t="str">
        <f>"76/91"</f>
        <v>76/91</v>
      </c>
      <c r="G2918" s="10">
        <v>0.63800000000000001</v>
      </c>
    </row>
    <row r="2919" spans="1:7" x14ac:dyDescent="0.2">
      <c r="A2919" s="1" t="s">
        <v>122</v>
      </c>
      <c r="B2919" t="s">
        <v>864</v>
      </c>
      <c r="C2919">
        <v>-2.19147410062926</v>
      </c>
      <c r="D2919">
        <v>0</v>
      </c>
      <c r="E2919">
        <v>2.1205917133695499E-3</v>
      </c>
      <c r="F2919" t="str">
        <f>"95/109"</f>
        <v>95/109</v>
      </c>
      <c r="G2919" s="10">
        <v>0.69010000000000005</v>
      </c>
    </row>
    <row r="2920" spans="1:7" x14ac:dyDescent="0.2">
      <c r="A2920" s="1" t="s">
        <v>122</v>
      </c>
      <c r="B2920" t="s">
        <v>654</v>
      </c>
      <c r="C2920">
        <v>-2.1912348274799198</v>
      </c>
      <c r="D2920">
        <v>0</v>
      </c>
      <c r="E2920">
        <v>2.11921111980616E-3</v>
      </c>
      <c r="F2920" t="str">
        <f>"33/35"</f>
        <v>33/35</v>
      </c>
      <c r="G2920" s="10">
        <v>0.63070000000000004</v>
      </c>
    </row>
    <row r="2921" spans="1:7" x14ac:dyDescent="0.2">
      <c r="A2921" s="1" t="s">
        <v>122</v>
      </c>
      <c r="B2921" t="s">
        <v>2644</v>
      </c>
      <c r="C2921">
        <v>-2.18890260089703</v>
      </c>
      <c r="D2921">
        <v>0</v>
      </c>
      <c r="E2921">
        <v>2.13424962754835E-3</v>
      </c>
      <c r="F2921" t="str">
        <f>"16/17"</f>
        <v>16/17</v>
      </c>
      <c r="G2921" s="10">
        <v>0.51200000000000001</v>
      </c>
    </row>
    <row r="2922" spans="1:7" x14ac:dyDescent="0.2">
      <c r="A2922" s="1" t="s">
        <v>122</v>
      </c>
      <c r="B2922" t="s">
        <v>2645</v>
      </c>
      <c r="C2922">
        <v>-2.1862470009806301</v>
      </c>
      <c r="D2922">
        <v>0</v>
      </c>
      <c r="E2922">
        <v>2.1984884704941599E-3</v>
      </c>
      <c r="F2922" t="str">
        <f>"26/28"</f>
        <v>26/28</v>
      </c>
      <c r="G2922" s="10">
        <v>0.61450000000000005</v>
      </c>
    </row>
    <row r="2923" spans="1:7" x14ac:dyDescent="0.2">
      <c r="A2923" s="1" t="s">
        <v>122</v>
      </c>
      <c r="B2923" t="s">
        <v>2646</v>
      </c>
      <c r="C2923">
        <v>-2.1820540022533801</v>
      </c>
      <c r="D2923">
        <v>0</v>
      </c>
      <c r="E2923">
        <v>2.2626438321625901E-3</v>
      </c>
      <c r="F2923" t="str">
        <f>"13/15"</f>
        <v>13/15</v>
      </c>
      <c r="G2923" s="10">
        <v>0.36520000000000002</v>
      </c>
    </row>
    <row r="2924" spans="1:7" x14ac:dyDescent="0.2">
      <c r="A2924" s="1" t="s">
        <v>122</v>
      </c>
      <c r="B2924" t="s">
        <v>2647</v>
      </c>
      <c r="C2924">
        <v>-2.1810873581659802</v>
      </c>
      <c r="D2924">
        <v>0</v>
      </c>
      <c r="E2924">
        <v>2.2611745829209302E-3</v>
      </c>
      <c r="F2924" t="str">
        <f>"17/22"</f>
        <v>17/22</v>
      </c>
      <c r="G2924" s="10">
        <v>0.37319999999999998</v>
      </c>
    </row>
    <row r="2925" spans="1:7" x14ac:dyDescent="0.2">
      <c r="A2925" s="1" t="s">
        <v>122</v>
      </c>
      <c r="B2925" t="s">
        <v>2648</v>
      </c>
      <c r="C2925">
        <v>-2.1796549996711998</v>
      </c>
      <c r="D2925">
        <v>0</v>
      </c>
      <c r="E2925">
        <v>2.2924566208548602E-3</v>
      </c>
      <c r="F2925" t="str">
        <f>"25/36"</f>
        <v>25/36</v>
      </c>
      <c r="G2925" s="10">
        <v>0.38179999999999997</v>
      </c>
    </row>
    <row r="2926" spans="1:7" x14ac:dyDescent="0.2">
      <c r="A2926" s="1" t="s">
        <v>122</v>
      </c>
      <c r="B2926" t="s">
        <v>2649</v>
      </c>
      <c r="C2926">
        <v>-2.1795647572785302</v>
      </c>
      <c r="D2926">
        <v>0</v>
      </c>
      <c r="E2926">
        <v>2.2909699434094299E-3</v>
      </c>
      <c r="F2926" t="str">
        <f>"36/51"</f>
        <v>36/51</v>
      </c>
      <c r="G2926" s="10">
        <v>0.4219</v>
      </c>
    </row>
    <row r="2927" spans="1:7" x14ac:dyDescent="0.2">
      <c r="A2927" s="1" t="s">
        <v>122</v>
      </c>
      <c r="B2927" t="s">
        <v>2650</v>
      </c>
      <c r="C2927">
        <v>-2.1793447926829499</v>
      </c>
      <c r="D2927">
        <v>0</v>
      </c>
      <c r="E2927">
        <v>2.2894851929600398E-3</v>
      </c>
      <c r="F2927" t="str">
        <f>"15/15"</f>
        <v>15/15</v>
      </c>
      <c r="G2927" s="10">
        <v>0.54720000000000002</v>
      </c>
    </row>
    <row r="2928" spans="1:7" x14ac:dyDescent="0.2">
      <c r="A2928" s="1" t="s">
        <v>122</v>
      </c>
      <c r="B2928" t="s">
        <v>2651</v>
      </c>
      <c r="C2928">
        <v>-2.1764423949045701</v>
      </c>
      <c r="D2928">
        <v>0</v>
      </c>
      <c r="E2928">
        <v>2.3043452398036801E-3</v>
      </c>
      <c r="F2928" t="str">
        <f>"22/26"</f>
        <v>22/26</v>
      </c>
      <c r="G2928" s="10">
        <v>0.48649999999999999</v>
      </c>
    </row>
    <row r="2929" spans="1:7" x14ac:dyDescent="0.2">
      <c r="A2929" s="1" t="s">
        <v>122</v>
      </c>
      <c r="B2929" t="s">
        <v>2652</v>
      </c>
      <c r="C2929">
        <v>-2.1762654587623498</v>
      </c>
      <c r="D2929">
        <v>0</v>
      </c>
      <c r="E2929">
        <v>2.30285375421158E-3</v>
      </c>
      <c r="F2929" t="str">
        <f>"32/40"</f>
        <v>32/40</v>
      </c>
      <c r="G2929" s="10">
        <v>0.49959999999999999</v>
      </c>
    </row>
    <row r="2930" spans="1:7" x14ac:dyDescent="0.2">
      <c r="A2930" s="1" t="s">
        <v>122</v>
      </c>
      <c r="B2930" t="s">
        <v>2653</v>
      </c>
      <c r="C2930">
        <v>-2.1761738468465399</v>
      </c>
      <c r="D2930">
        <v>0</v>
      </c>
      <c r="E2930">
        <v>2.3013641980963099E-3</v>
      </c>
      <c r="F2930" t="str">
        <f>"23/23"</f>
        <v>23/23</v>
      </c>
      <c r="G2930" s="10">
        <v>0.64939999999999998</v>
      </c>
    </row>
    <row r="2931" spans="1:7" x14ac:dyDescent="0.2">
      <c r="A2931" s="1" t="s">
        <v>122</v>
      </c>
      <c r="B2931" t="s">
        <v>2654</v>
      </c>
      <c r="C2931">
        <v>-2.1761079108239199</v>
      </c>
      <c r="D2931">
        <v>0</v>
      </c>
      <c r="E2931">
        <v>2.2998765677161499E-3</v>
      </c>
      <c r="F2931" t="str">
        <f>"35/38"</f>
        <v>35/38</v>
      </c>
      <c r="G2931" s="10">
        <v>0.63039999999999996</v>
      </c>
    </row>
    <row r="2932" spans="1:7" x14ac:dyDescent="0.2">
      <c r="A2932" s="1" t="s">
        <v>122</v>
      </c>
      <c r="B2932" t="s">
        <v>2655</v>
      </c>
      <c r="C2932">
        <v>-2.1758214160820701</v>
      </c>
      <c r="D2932">
        <v>0</v>
      </c>
      <c r="E2932">
        <v>2.2983908593390799E-3</v>
      </c>
      <c r="F2932" t="str">
        <f>"29/36"</f>
        <v>29/36</v>
      </c>
      <c r="G2932" s="10">
        <v>0.49230000000000002</v>
      </c>
    </row>
    <row r="2933" spans="1:7" x14ac:dyDescent="0.2">
      <c r="A2933" s="1" t="s">
        <v>122</v>
      </c>
      <c r="B2933" t="s">
        <v>2656</v>
      </c>
      <c r="C2933">
        <v>-2.1753396598950401</v>
      </c>
      <c r="D2933">
        <v>0</v>
      </c>
      <c r="E2933">
        <v>2.2969070692426701E-3</v>
      </c>
      <c r="F2933" t="str">
        <f>"51/75"</f>
        <v>51/75</v>
      </c>
      <c r="G2933" s="10">
        <v>0.47</v>
      </c>
    </row>
    <row r="2934" spans="1:7" x14ac:dyDescent="0.2">
      <c r="A2934" s="1" t="s">
        <v>122</v>
      </c>
      <c r="B2934" t="s">
        <v>2657</v>
      </c>
      <c r="C2934">
        <v>-2.1742308733156199</v>
      </c>
      <c r="D2934">
        <v>0</v>
      </c>
      <c r="E2934">
        <v>2.3117048050170599E-3</v>
      </c>
      <c r="F2934" t="str">
        <f>"41/54"</f>
        <v>41/54</v>
      </c>
      <c r="G2934" s="10">
        <v>0.5212</v>
      </c>
    </row>
    <row r="2935" spans="1:7" x14ac:dyDescent="0.2">
      <c r="A2935" s="1" t="s">
        <v>122</v>
      </c>
      <c r="B2935" t="s">
        <v>344</v>
      </c>
      <c r="C2935">
        <v>-2.17346829833359</v>
      </c>
      <c r="D2935">
        <v>0</v>
      </c>
      <c r="E2935">
        <v>2.3102143441498702E-3</v>
      </c>
      <c r="F2935" t="str">
        <f>"15/15"</f>
        <v>15/15</v>
      </c>
      <c r="G2935" s="10">
        <v>0.51060000000000005</v>
      </c>
    </row>
    <row r="2936" spans="1:7" x14ac:dyDescent="0.2">
      <c r="A2936" s="1" t="s">
        <v>122</v>
      </c>
      <c r="B2936" t="s">
        <v>2658</v>
      </c>
      <c r="C2936">
        <v>-2.17312497788207</v>
      </c>
      <c r="D2936">
        <v>0</v>
      </c>
      <c r="E2936">
        <v>2.3087258039796699E-3</v>
      </c>
      <c r="F2936" t="str">
        <f>"22/24"</f>
        <v>22/24</v>
      </c>
      <c r="G2936" s="10">
        <v>0.5675</v>
      </c>
    </row>
    <row r="2937" spans="1:7" x14ac:dyDescent="0.2">
      <c r="A2937" s="1" t="s">
        <v>122</v>
      </c>
      <c r="B2937" t="s">
        <v>2659</v>
      </c>
      <c r="C2937">
        <v>-2.1728358956836602</v>
      </c>
      <c r="D2937">
        <v>0</v>
      </c>
      <c r="E2937">
        <v>2.3072391807961602E-3</v>
      </c>
      <c r="F2937" t="str">
        <f>"17/21"</f>
        <v>17/21</v>
      </c>
      <c r="G2937" s="10">
        <v>0.43709999999999999</v>
      </c>
    </row>
    <row r="2938" spans="1:7" x14ac:dyDescent="0.2">
      <c r="A2938" s="1" t="s">
        <v>122</v>
      </c>
      <c r="B2938" t="s">
        <v>2660</v>
      </c>
      <c r="C2938">
        <v>-2.1727317068034901</v>
      </c>
      <c r="D2938">
        <v>0</v>
      </c>
      <c r="E2938">
        <v>2.3057544708986102E-3</v>
      </c>
      <c r="F2938" t="str">
        <f>"17/18"</f>
        <v>17/18</v>
      </c>
      <c r="G2938" s="10">
        <v>0.55620000000000003</v>
      </c>
    </row>
    <row r="2939" spans="1:7" x14ac:dyDescent="0.2">
      <c r="A2939" s="1" t="s">
        <v>122</v>
      </c>
      <c r="B2939" t="s">
        <v>1307</v>
      </c>
      <c r="C2939">
        <v>-2.1726717415110799</v>
      </c>
      <c r="D2939">
        <v>0</v>
      </c>
      <c r="E2939">
        <v>2.30427167059578E-3</v>
      </c>
      <c r="F2939" t="str">
        <f>"43/46"</f>
        <v>43/46</v>
      </c>
      <c r="G2939" s="10">
        <v>0.66059999999999997</v>
      </c>
    </row>
    <row r="2940" spans="1:7" x14ac:dyDescent="0.2">
      <c r="A2940" s="1" t="s">
        <v>122</v>
      </c>
      <c r="B2940" t="s">
        <v>2661</v>
      </c>
      <c r="C2940">
        <v>-2.1726014469268899</v>
      </c>
      <c r="D2940">
        <v>0</v>
      </c>
      <c r="E2940">
        <v>2.3027907762059401E-3</v>
      </c>
      <c r="F2940" t="str">
        <f>"17/18"</f>
        <v>17/18</v>
      </c>
      <c r="G2940" s="10">
        <v>0.52210000000000001</v>
      </c>
    </row>
    <row r="2941" spans="1:7" x14ac:dyDescent="0.2">
      <c r="A2941" s="1" t="s">
        <v>122</v>
      </c>
      <c r="B2941" t="s">
        <v>1130</v>
      </c>
      <c r="C2941">
        <v>-2.1716438139475698</v>
      </c>
      <c r="D2941">
        <v>0</v>
      </c>
      <c r="E2941">
        <v>2.3013117840567998E-3</v>
      </c>
      <c r="F2941" t="str">
        <f>"112/122"</f>
        <v>112/122</v>
      </c>
      <c r="G2941" s="10">
        <v>0.73819999999999997</v>
      </c>
    </row>
    <row r="2942" spans="1:7" x14ac:dyDescent="0.2">
      <c r="A2942" s="1" t="s">
        <v>122</v>
      </c>
      <c r="B2942" t="s">
        <v>2662</v>
      </c>
      <c r="C2942">
        <v>-2.1715953629531999</v>
      </c>
      <c r="D2942">
        <v>0</v>
      </c>
      <c r="E2942">
        <v>2.2998346904855201E-3</v>
      </c>
      <c r="F2942" t="str">
        <f>"41/51"</f>
        <v>41/51</v>
      </c>
      <c r="G2942" s="10">
        <v>0.54679999999999995</v>
      </c>
    </row>
    <row r="2943" spans="1:7" x14ac:dyDescent="0.2">
      <c r="A2943" s="1" t="s">
        <v>122</v>
      </c>
      <c r="B2943" t="s">
        <v>2663</v>
      </c>
      <c r="C2943">
        <v>-2.1714986532096501</v>
      </c>
      <c r="D2943">
        <v>0</v>
      </c>
      <c r="E2943">
        <v>2.2983594918386399E-3</v>
      </c>
      <c r="F2943" t="str">
        <f>"15/16"</f>
        <v>15/16</v>
      </c>
      <c r="G2943" s="10">
        <v>0.49030000000000001</v>
      </c>
    </row>
    <row r="2944" spans="1:7" x14ac:dyDescent="0.2">
      <c r="A2944" s="1" t="s">
        <v>122</v>
      </c>
      <c r="B2944" t="s">
        <v>1069</v>
      </c>
      <c r="C2944">
        <v>-2.17149282110831</v>
      </c>
      <c r="D2944">
        <v>0</v>
      </c>
      <c r="E2944">
        <v>2.2954147647510801E-3</v>
      </c>
      <c r="F2944" t="str">
        <f>"24/31"</f>
        <v>24/31</v>
      </c>
      <c r="G2944" s="10">
        <v>0.4355</v>
      </c>
    </row>
    <row r="2945" spans="1:7" x14ac:dyDescent="0.2">
      <c r="A2945" s="1" t="s">
        <v>122</v>
      </c>
      <c r="B2945" t="s">
        <v>1068</v>
      </c>
      <c r="C2945">
        <v>-2.17149282110831</v>
      </c>
      <c r="D2945">
        <v>0</v>
      </c>
      <c r="E2945">
        <v>2.2954147647510801E-3</v>
      </c>
      <c r="F2945" t="str">
        <f>"24/31"</f>
        <v>24/31</v>
      </c>
      <c r="G2945" s="10">
        <v>0.4355</v>
      </c>
    </row>
    <row r="2946" spans="1:7" x14ac:dyDescent="0.2">
      <c r="A2946" s="1" t="s">
        <v>122</v>
      </c>
      <c r="B2946" t="s">
        <v>2664</v>
      </c>
      <c r="C2946">
        <v>-2.1712416217725301</v>
      </c>
      <c r="D2946">
        <v>0</v>
      </c>
      <c r="E2946">
        <v>2.2939452290502201E-3</v>
      </c>
      <c r="F2946" t="str">
        <f>"18/18"</f>
        <v>18/18</v>
      </c>
      <c r="G2946" s="10">
        <v>0.55259999999999998</v>
      </c>
    </row>
    <row r="2947" spans="1:7" x14ac:dyDescent="0.2">
      <c r="A2947" s="1" t="s">
        <v>122</v>
      </c>
      <c r="B2947" t="s">
        <v>2665</v>
      </c>
      <c r="C2947">
        <v>-2.1696401974591901</v>
      </c>
      <c r="D2947">
        <v>0</v>
      </c>
      <c r="E2947">
        <v>2.3232795670176101E-3</v>
      </c>
      <c r="F2947" t="str">
        <f>"15/15"</f>
        <v>15/15</v>
      </c>
      <c r="G2947" s="10">
        <v>0.54100000000000004</v>
      </c>
    </row>
    <row r="2948" spans="1:7" x14ac:dyDescent="0.2">
      <c r="A2948" s="1" t="s">
        <v>122</v>
      </c>
      <c r="B2948" t="s">
        <v>2666</v>
      </c>
      <c r="C2948">
        <v>-2.1696401974591901</v>
      </c>
      <c r="D2948">
        <v>0</v>
      </c>
      <c r="E2948">
        <v>2.3232795670176101E-3</v>
      </c>
      <c r="F2948" t="str">
        <f>"15/15"</f>
        <v>15/15</v>
      </c>
      <c r="G2948" s="10">
        <v>0.54100000000000004</v>
      </c>
    </row>
    <row r="2949" spans="1:7" x14ac:dyDescent="0.2">
      <c r="A2949" s="1" t="s">
        <v>122</v>
      </c>
      <c r="B2949" t="s">
        <v>2667</v>
      </c>
      <c r="C2949">
        <v>-2.16957078428671</v>
      </c>
      <c r="D2949">
        <v>0</v>
      </c>
      <c r="E2949">
        <v>2.3217950433326198E-3</v>
      </c>
      <c r="F2949" t="str">
        <f>"16/16"</f>
        <v>16/16</v>
      </c>
      <c r="G2949" s="10">
        <v>0.54479999999999995</v>
      </c>
    </row>
    <row r="2950" spans="1:7" x14ac:dyDescent="0.2">
      <c r="A2950" s="1" t="s">
        <v>122</v>
      </c>
      <c r="B2950" t="s">
        <v>2668</v>
      </c>
      <c r="C2950">
        <v>-2.1681970720745301</v>
      </c>
      <c r="D2950">
        <v>0</v>
      </c>
      <c r="E2950">
        <v>2.3847655382463299E-3</v>
      </c>
      <c r="F2950" t="str">
        <f>"28/33"</f>
        <v>28/33</v>
      </c>
      <c r="G2950" s="10">
        <v>0.54400000000000004</v>
      </c>
    </row>
    <row r="2951" spans="1:7" x14ac:dyDescent="0.2">
      <c r="A2951" s="1" t="s">
        <v>122</v>
      </c>
      <c r="B2951" t="s">
        <v>2669</v>
      </c>
      <c r="C2951">
        <v>-2.16809255658803</v>
      </c>
      <c r="D2951">
        <v>0</v>
      </c>
      <c r="E2951">
        <v>2.3832436712787198E-3</v>
      </c>
      <c r="F2951" t="str">
        <f>"23/27"</f>
        <v>23/27</v>
      </c>
      <c r="G2951" s="10">
        <v>0.51559999999999995</v>
      </c>
    </row>
    <row r="2952" spans="1:7" x14ac:dyDescent="0.2">
      <c r="A2952" s="1" t="s">
        <v>122</v>
      </c>
      <c r="B2952" t="s">
        <v>1128</v>
      </c>
      <c r="C2952">
        <v>-2.1671733390412502</v>
      </c>
      <c r="D2952">
        <v>0</v>
      </c>
      <c r="E2952">
        <v>2.4139092014877901E-3</v>
      </c>
      <c r="F2952" t="str">
        <f>"124/137"</f>
        <v>124/137</v>
      </c>
      <c r="G2952" s="10">
        <v>0.73819999999999997</v>
      </c>
    </row>
    <row r="2953" spans="1:7" x14ac:dyDescent="0.2">
      <c r="A2953" s="1" t="s">
        <v>122</v>
      </c>
      <c r="B2953" t="s">
        <v>361</v>
      </c>
      <c r="C2953">
        <v>-2.1663311566660202</v>
      </c>
      <c r="D2953">
        <v>2.5641025641025599E-2</v>
      </c>
      <c r="E2953">
        <v>2.4284531710977802E-3</v>
      </c>
      <c r="F2953" t="str">
        <f>"32/36"</f>
        <v>32/36</v>
      </c>
      <c r="G2953" s="10">
        <v>0.58809999999999996</v>
      </c>
    </row>
    <row r="2954" spans="1:7" x14ac:dyDescent="0.2">
      <c r="A2954" s="1" t="s">
        <v>122</v>
      </c>
      <c r="B2954" t="s">
        <v>311</v>
      </c>
      <c r="C2954">
        <v>-2.1660416262282198</v>
      </c>
      <c r="D2954">
        <v>0</v>
      </c>
      <c r="E2954">
        <v>2.4269063856384799E-3</v>
      </c>
      <c r="F2954" t="str">
        <f>"31/34"</f>
        <v>31/34</v>
      </c>
      <c r="G2954" s="10">
        <v>0.6069</v>
      </c>
    </row>
    <row r="2955" spans="1:7" x14ac:dyDescent="0.2">
      <c r="A2955" s="1" t="s">
        <v>122</v>
      </c>
      <c r="B2955" t="s">
        <v>2670</v>
      </c>
      <c r="C2955">
        <v>-2.1652809839086302</v>
      </c>
      <c r="D2955">
        <v>0</v>
      </c>
      <c r="E2955">
        <v>2.4414235665003001E-3</v>
      </c>
      <c r="F2955" t="str">
        <f>"44/60"</f>
        <v>44/60</v>
      </c>
      <c r="G2955" s="10">
        <v>0.50360000000000005</v>
      </c>
    </row>
    <row r="2956" spans="1:7" x14ac:dyDescent="0.2">
      <c r="A2956" s="1" t="s">
        <v>122</v>
      </c>
      <c r="B2956" t="s">
        <v>832</v>
      </c>
      <c r="C2956">
        <v>-2.16430244771264</v>
      </c>
      <c r="D2956">
        <v>0</v>
      </c>
      <c r="E2956">
        <v>2.4383194043051302E-3</v>
      </c>
      <c r="F2956" t="str">
        <f>"22/27"</f>
        <v>22/27</v>
      </c>
      <c r="G2956" s="10">
        <v>0.45610000000000001</v>
      </c>
    </row>
    <row r="2957" spans="1:7" x14ac:dyDescent="0.2">
      <c r="A2957" s="1" t="s">
        <v>122</v>
      </c>
      <c r="B2957" t="s">
        <v>833</v>
      </c>
      <c r="C2957">
        <v>-2.16430244771264</v>
      </c>
      <c r="D2957">
        <v>0</v>
      </c>
      <c r="E2957">
        <v>2.4383194043051302E-3</v>
      </c>
      <c r="F2957" t="str">
        <f>"22/27"</f>
        <v>22/27</v>
      </c>
      <c r="G2957" s="10">
        <v>0.45610000000000001</v>
      </c>
    </row>
    <row r="2958" spans="1:7" x14ac:dyDescent="0.2">
      <c r="A2958" s="1" t="s">
        <v>122</v>
      </c>
      <c r="B2958" t="s">
        <v>2671</v>
      </c>
      <c r="C2958">
        <v>-2.16406408208905</v>
      </c>
      <c r="D2958">
        <v>0</v>
      </c>
      <c r="E2958">
        <v>2.4367702814307298E-3</v>
      </c>
      <c r="F2958" t="str">
        <f>"16/16"</f>
        <v>16/16</v>
      </c>
      <c r="G2958" s="10">
        <v>0.56699999999999995</v>
      </c>
    </row>
    <row r="2959" spans="1:7" x14ac:dyDescent="0.2">
      <c r="A2959" s="1" t="s">
        <v>122</v>
      </c>
      <c r="B2959" t="s">
        <v>2672</v>
      </c>
      <c r="C2959">
        <v>-2.1635327226443501</v>
      </c>
      <c r="D2959">
        <v>0</v>
      </c>
      <c r="E2959">
        <v>2.4352231256964899E-3</v>
      </c>
      <c r="F2959" t="str">
        <f>"16/16"</f>
        <v>16/16</v>
      </c>
      <c r="G2959" s="10">
        <v>0.57379999999999998</v>
      </c>
    </row>
    <row r="2960" spans="1:7" x14ac:dyDescent="0.2">
      <c r="A2960" s="1" t="s">
        <v>122</v>
      </c>
      <c r="B2960" t="s">
        <v>2673</v>
      </c>
      <c r="C2960">
        <v>-2.1627676521298902</v>
      </c>
      <c r="D2960">
        <v>0</v>
      </c>
      <c r="E2960">
        <v>2.4496889723930998E-3</v>
      </c>
      <c r="F2960" t="str">
        <f>"13/17"</f>
        <v>13/17</v>
      </c>
      <c r="G2960" s="10">
        <v>0.3296</v>
      </c>
    </row>
    <row r="2961" spans="1:7" x14ac:dyDescent="0.2">
      <c r="A2961" s="1" t="s">
        <v>122</v>
      </c>
      <c r="B2961" t="s">
        <v>2674</v>
      </c>
      <c r="C2961">
        <v>-2.1627607233284101</v>
      </c>
      <c r="D2961">
        <v>0</v>
      </c>
      <c r="E2961">
        <v>2.4481355868684299E-3</v>
      </c>
      <c r="F2961" t="str">
        <f>"25/31"</f>
        <v>25/31</v>
      </c>
      <c r="G2961" s="10">
        <v>0.47589999999999999</v>
      </c>
    </row>
    <row r="2962" spans="1:7" x14ac:dyDescent="0.2">
      <c r="A2962" s="1" t="s">
        <v>122</v>
      </c>
      <c r="B2962" t="s">
        <v>2675</v>
      </c>
      <c r="C2962">
        <v>-2.1616022586201402</v>
      </c>
      <c r="D2962">
        <v>0</v>
      </c>
      <c r="E2962">
        <v>2.47856566256694E-3</v>
      </c>
      <c r="F2962" t="str">
        <f>"13/16"</f>
        <v>13/16</v>
      </c>
      <c r="G2962" s="10">
        <v>0.40820000000000001</v>
      </c>
    </row>
    <row r="2963" spans="1:7" x14ac:dyDescent="0.2">
      <c r="A2963" s="1" t="s">
        <v>122</v>
      </c>
      <c r="B2963" t="s">
        <v>2676</v>
      </c>
      <c r="C2963">
        <v>-2.1597392090373799</v>
      </c>
      <c r="D2963">
        <v>0</v>
      </c>
      <c r="E2963">
        <v>2.4769959566375102E-3</v>
      </c>
      <c r="F2963" t="str">
        <f>"27/27"</f>
        <v>27/27</v>
      </c>
      <c r="G2963" s="10">
        <v>0.65039999999999998</v>
      </c>
    </row>
    <row r="2964" spans="1:7" x14ac:dyDescent="0.2">
      <c r="A2964" s="1" t="s">
        <v>122</v>
      </c>
      <c r="B2964" t="s">
        <v>2677</v>
      </c>
      <c r="C2964">
        <v>-2.15924896398535</v>
      </c>
      <c r="D2964">
        <v>0</v>
      </c>
      <c r="E2964">
        <v>2.4754282376776098E-3</v>
      </c>
      <c r="F2964" t="str">
        <f>"27/32"</f>
        <v>27/32</v>
      </c>
      <c r="G2964" s="10">
        <v>0.52349999999999997</v>
      </c>
    </row>
    <row r="2965" spans="1:7" x14ac:dyDescent="0.2">
      <c r="A2965" s="1" t="s">
        <v>122</v>
      </c>
      <c r="B2965" t="s">
        <v>2678</v>
      </c>
      <c r="C2965">
        <v>-2.1578507235552702</v>
      </c>
      <c r="D2965">
        <v>0</v>
      </c>
      <c r="E2965">
        <v>2.5057833083932499E-3</v>
      </c>
      <c r="F2965" t="str">
        <f>"34/37"</f>
        <v>34/37</v>
      </c>
      <c r="G2965" s="10">
        <v>0.61709999999999998</v>
      </c>
    </row>
    <row r="2966" spans="1:7" x14ac:dyDescent="0.2">
      <c r="A2966" s="1" t="s">
        <v>122</v>
      </c>
      <c r="B2966" t="s">
        <v>1026</v>
      </c>
      <c r="C2966">
        <v>-2.1573029435579301</v>
      </c>
      <c r="D2966">
        <v>0</v>
      </c>
      <c r="E2966">
        <v>2.5201496890577E-3</v>
      </c>
      <c r="F2966" t="str">
        <f>"11/16"</f>
        <v>11/16</v>
      </c>
      <c r="G2966" s="10">
        <v>0.25969999999999999</v>
      </c>
    </row>
    <row r="2967" spans="1:7" x14ac:dyDescent="0.2">
      <c r="A2967" s="1" t="s">
        <v>122</v>
      </c>
      <c r="B2967" t="s">
        <v>2679</v>
      </c>
      <c r="C2967">
        <v>-2.1560314270872198</v>
      </c>
      <c r="D2967">
        <v>2.6315789473684199E-2</v>
      </c>
      <c r="E2967">
        <v>2.5504381573773801E-3</v>
      </c>
      <c r="F2967" t="str">
        <f>"20/21"</f>
        <v>20/21</v>
      </c>
      <c r="G2967" s="10">
        <v>0.5544</v>
      </c>
    </row>
    <row r="2968" spans="1:7" x14ac:dyDescent="0.2">
      <c r="A2968" s="1" t="s">
        <v>122</v>
      </c>
      <c r="B2968" t="s">
        <v>2680</v>
      </c>
      <c r="C2968">
        <v>-2.1559278743142398</v>
      </c>
      <c r="D2968">
        <v>0</v>
      </c>
      <c r="E2968">
        <v>2.54882803227802E-3</v>
      </c>
      <c r="F2968" t="str">
        <f>"37/46"</f>
        <v>37/46</v>
      </c>
      <c r="G2968" s="10">
        <v>0.52400000000000002</v>
      </c>
    </row>
    <row r="2969" spans="1:7" x14ac:dyDescent="0.2">
      <c r="A2969" s="1" t="s">
        <v>122</v>
      </c>
      <c r="B2969" t="s">
        <v>2681</v>
      </c>
      <c r="C2969">
        <v>-2.1557504802901</v>
      </c>
      <c r="D2969">
        <v>0</v>
      </c>
      <c r="E2969">
        <v>2.54721993888226E-3</v>
      </c>
      <c r="F2969" t="str">
        <f>"15/16"</f>
        <v>15/16</v>
      </c>
      <c r="G2969" s="10">
        <v>0.497</v>
      </c>
    </row>
    <row r="2970" spans="1:7" x14ac:dyDescent="0.2">
      <c r="A2970" s="1" t="s">
        <v>122</v>
      </c>
      <c r="B2970" t="s">
        <v>608</v>
      </c>
      <c r="C2970">
        <v>-2.1530196750981401</v>
      </c>
      <c r="D2970">
        <v>0</v>
      </c>
      <c r="E2970">
        <v>2.5615239600554501E-3</v>
      </c>
      <c r="F2970" t="str">
        <f>"54/65"</f>
        <v>54/65</v>
      </c>
      <c r="G2970" s="10">
        <v>0.58689999999999998</v>
      </c>
    </row>
    <row r="2971" spans="1:7" x14ac:dyDescent="0.2">
      <c r="A2971" s="1" t="s">
        <v>122</v>
      </c>
      <c r="B2971" t="s">
        <v>259</v>
      </c>
      <c r="C2971">
        <v>-2.1528675960018102</v>
      </c>
      <c r="D2971">
        <v>0</v>
      </c>
      <c r="E2971">
        <v>2.5599098932879301E-3</v>
      </c>
      <c r="F2971" t="str">
        <f>"32/34"</f>
        <v>32/34</v>
      </c>
      <c r="G2971" s="10">
        <v>0.62290000000000001</v>
      </c>
    </row>
    <row r="2972" spans="1:7" x14ac:dyDescent="0.2">
      <c r="A2972" s="1" t="s">
        <v>122</v>
      </c>
      <c r="B2972" t="s">
        <v>1450</v>
      </c>
      <c r="C2972">
        <v>-2.1515455553265501</v>
      </c>
      <c r="D2972">
        <v>0</v>
      </c>
      <c r="E2972">
        <v>2.57418790816593E-3</v>
      </c>
      <c r="F2972" t="str">
        <f>"46/53"</f>
        <v>46/53</v>
      </c>
      <c r="G2972" s="10">
        <v>0.60529999999999995</v>
      </c>
    </row>
    <row r="2973" spans="1:7" x14ac:dyDescent="0.2">
      <c r="A2973" s="1" t="s">
        <v>122</v>
      </c>
      <c r="B2973" t="s">
        <v>2682</v>
      </c>
      <c r="C2973">
        <v>-2.15099671100492</v>
      </c>
      <c r="D2973">
        <v>0</v>
      </c>
      <c r="E2973">
        <v>2.60432800075934E-3</v>
      </c>
      <c r="F2973" t="str">
        <f>"28/33"</f>
        <v>28/33</v>
      </c>
      <c r="G2973" s="10">
        <v>0.56269999999999998</v>
      </c>
    </row>
    <row r="2974" spans="1:7" x14ac:dyDescent="0.2">
      <c r="A2974" s="1" t="s">
        <v>122</v>
      </c>
      <c r="B2974" t="s">
        <v>22</v>
      </c>
      <c r="C2974">
        <v>-2.1504362066977398</v>
      </c>
      <c r="D2974">
        <v>0</v>
      </c>
      <c r="E2974">
        <v>2.6026900586204999E-3</v>
      </c>
      <c r="F2974" t="str">
        <f>"31/34"</f>
        <v>31/34</v>
      </c>
      <c r="G2974" s="10">
        <v>0.60199999999999998</v>
      </c>
    </row>
    <row r="2975" spans="1:7" x14ac:dyDescent="0.2">
      <c r="A2975" s="1" t="s">
        <v>122</v>
      </c>
      <c r="B2975" t="s">
        <v>2683</v>
      </c>
      <c r="C2975">
        <v>-2.1502595596538301</v>
      </c>
      <c r="D2975">
        <v>0</v>
      </c>
      <c r="E2975">
        <v>2.6010541754912602E-3</v>
      </c>
      <c r="F2975" t="str">
        <f>"37/40"</f>
        <v>37/40</v>
      </c>
      <c r="G2975" s="10">
        <v>0.65149999999999997</v>
      </c>
    </row>
    <row r="2976" spans="1:7" x14ac:dyDescent="0.2">
      <c r="A2976" s="1" t="s">
        <v>122</v>
      </c>
      <c r="B2976" t="s">
        <v>1100</v>
      </c>
      <c r="C2976">
        <v>-2.1501367873852102</v>
      </c>
      <c r="D2976">
        <v>0</v>
      </c>
      <c r="E2976">
        <v>2.5994203474915801E-3</v>
      </c>
      <c r="F2976" t="str">
        <f>"15/15"</f>
        <v>15/15</v>
      </c>
      <c r="G2976" s="10">
        <v>0.54590000000000005</v>
      </c>
    </row>
    <row r="2977" spans="1:7" x14ac:dyDescent="0.2">
      <c r="A2977" s="1" t="s">
        <v>122</v>
      </c>
      <c r="B2977" t="s">
        <v>917</v>
      </c>
      <c r="C2977">
        <v>-2.1499415001473601</v>
      </c>
      <c r="D2977">
        <v>0</v>
      </c>
      <c r="E2977">
        <v>2.5977885707511601E-3</v>
      </c>
      <c r="F2977" t="str">
        <f>"55/74"</f>
        <v>55/74</v>
      </c>
      <c r="G2977" s="10">
        <v>0.53400000000000003</v>
      </c>
    </row>
    <row r="2978" spans="1:7" x14ac:dyDescent="0.2">
      <c r="A2978" s="1" t="s">
        <v>122</v>
      </c>
      <c r="B2978" t="s">
        <v>1171</v>
      </c>
      <c r="C2978">
        <v>-2.1493967801066902</v>
      </c>
      <c r="D2978">
        <v>0</v>
      </c>
      <c r="E2978">
        <v>2.5961588414094099E-3</v>
      </c>
      <c r="F2978" t="str">
        <f>"25/27"</f>
        <v>25/27</v>
      </c>
      <c r="G2978" s="10">
        <v>0.61450000000000005</v>
      </c>
    </row>
    <row r="2979" spans="1:7" x14ac:dyDescent="0.2">
      <c r="A2979" s="1" t="s">
        <v>122</v>
      </c>
      <c r="B2979" t="s">
        <v>867</v>
      </c>
      <c r="C2979">
        <v>-2.14903926284883</v>
      </c>
      <c r="D2979">
        <v>0</v>
      </c>
      <c r="E2979">
        <v>2.6261717794643898E-3</v>
      </c>
      <c r="F2979" t="str">
        <f>"29/33"</f>
        <v>29/33</v>
      </c>
      <c r="G2979" s="10">
        <v>0.57850000000000001</v>
      </c>
    </row>
    <row r="2980" spans="1:7" x14ac:dyDescent="0.2">
      <c r="A2980" s="1" t="s">
        <v>122</v>
      </c>
      <c r="B2980" t="s">
        <v>2684</v>
      </c>
      <c r="C2980">
        <v>-2.1486372155988098</v>
      </c>
      <c r="D2980">
        <v>0</v>
      </c>
      <c r="E2980">
        <v>2.65614710732131E-3</v>
      </c>
      <c r="F2980" t="str">
        <f>"19/20"</f>
        <v>19/20</v>
      </c>
      <c r="G2980" s="10">
        <v>0.55530000000000002</v>
      </c>
    </row>
    <row r="2981" spans="1:7" x14ac:dyDescent="0.2">
      <c r="A2981" s="1" t="s">
        <v>122</v>
      </c>
      <c r="B2981" t="s">
        <v>2685</v>
      </c>
      <c r="C2981">
        <v>-2.14825537935091</v>
      </c>
      <c r="D2981">
        <v>0</v>
      </c>
      <c r="E2981">
        <v>2.6702843962456801E-3</v>
      </c>
      <c r="F2981" t="str">
        <f>"47/57"</f>
        <v>47/57</v>
      </c>
      <c r="G2981" s="10">
        <v>0.57830000000000004</v>
      </c>
    </row>
    <row r="2982" spans="1:7" x14ac:dyDescent="0.2">
      <c r="A2982" s="1" t="s">
        <v>122</v>
      </c>
      <c r="B2982" t="s">
        <v>2686</v>
      </c>
      <c r="C2982">
        <v>-2.1479587958452799</v>
      </c>
      <c r="D2982">
        <v>0</v>
      </c>
      <c r="E2982">
        <v>2.68440399144175E-3</v>
      </c>
      <c r="F2982" t="str">
        <f>"17/18"</f>
        <v>17/18</v>
      </c>
      <c r="G2982" s="10">
        <v>0.51929999999999998</v>
      </c>
    </row>
    <row r="2983" spans="1:7" x14ac:dyDescent="0.2">
      <c r="A2983" s="1" t="s">
        <v>122</v>
      </c>
      <c r="B2983" t="s">
        <v>2687</v>
      </c>
      <c r="C2983">
        <v>-2.14784605702159</v>
      </c>
      <c r="D2983">
        <v>0</v>
      </c>
      <c r="E2983">
        <v>2.6827251896960002E-3</v>
      </c>
      <c r="F2983" t="str">
        <f>"27/30"</f>
        <v>27/30</v>
      </c>
      <c r="G2983" s="10">
        <v>0.55649999999999999</v>
      </c>
    </row>
    <row r="2984" spans="1:7" x14ac:dyDescent="0.2">
      <c r="A2984" s="1" t="s">
        <v>122</v>
      </c>
      <c r="B2984" t="s">
        <v>2688</v>
      </c>
      <c r="C2984">
        <v>-2.1470553891570701</v>
      </c>
      <c r="D2984">
        <v>0</v>
      </c>
      <c r="E2984">
        <v>2.6968193599021602E-3</v>
      </c>
      <c r="F2984" t="str">
        <f>"16/16"</f>
        <v>16/16</v>
      </c>
      <c r="G2984" s="10">
        <v>0.55640000000000001</v>
      </c>
    </row>
    <row r="2985" spans="1:7" x14ac:dyDescent="0.2">
      <c r="A2985" s="1" t="s">
        <v>122</v>
      </c>
      <c r="B2985" t="s">
        <v>2689</v>
      </c>
      <c r="C2985">
        <v>-2.14680005313578</v>
      </c>
      <c r="D2985">
        <v>0</v>
      </c>
      <c r="E2985">
        <v>2.6951349005892998E-3</v>
      </c>
      <c r="F2985" t="str">
        <f>"42/44"</f>
        <v>42/44</v>
      </c>
      <c r="G2985" s="10">
        <v>0.67889999999999995</v>
      </c>
    </row>
    <row r="2986" spans="1:7" x14ac:dyDescent="0.2">
      <c r="A2986" s="1" t="s">
        <v>122</v>
      </c>
      <c r="B2986" t="s">
        <v>2690</v>
      </c>
      <c r="C2986">
        <v>-2.1460965820021798</v>
      </c>
      <c r="D2986">
        <v>0</v>
      </c>
      <c r="E2986">
        <v>2.7249549131601498E-3</v>
      </c>
      <c r="F2986" t="str">
        <f>"16/17"</f>
        <v>16/17</v>
      </c>
      <c r="G2986" s="10">
        <v>0.5081</v>
      </c>
    </row>
    <row r="2987" spans="1:7" x14ac:dyDescent="0.2">
      <c r="A2987" s="1" t="s">
        <v>122</v>
      </c>
      <c r="B2987" t="s">
        <v>1440</v>
      </c>
      <c r="C2987">
        <v>-2.1455012611068498</v>
      </c>
      <c r="D2987">
        <v>0</v>
      </c>
      <c r="E2987">
        <v>2.7389963620724398E-3</v>
      </c>
      <c r="F2987" t="str">
        <f>"28/31"</f>
        <v>28/31</v>
      </c>
      <c r="G2987" s="10">
        <v>0.62480000000000002</v>
      </c>
    </row>
    <row r="2988" spans="1:7" x14ac:dyDescent="0.2">
      <c r="A2988" s="1" t="s">
        <v>122</v>
      </c>
      <c r="B2988" t="s">
        <v>2691</v>
      </c>
      <c r="C2988">
        <v>-2.1451443735429598</v>
      </c>
      <c r="D2988">
        <v>0</v>
      </c>
      <c r="E2988">
        <v>2.7372887583554401E-3</v>
      </c>
      <c r="F2988" t="str">
        <f>"37/49"</f>
        <v>37/49</v>
      </c>
      <c r="G2988" s="10">
        <v>0.50490000000000002</v>
      </c>
    </row>
    <row r="2989" spans="1:7" x14ac:dyDescent="0.2">
      <c r="A2989" s="1" t="s">
        <v>122</v>
      </c>
      <c r="B2989" t="s">
        <v>2692</v>
      </c>
      <c r="C2989">
        <v>-2.1414752844064502</v>
      </c>
      <c r="D2989">
        <v>0</v>
      </c>
      <c r="E2989">
        <v>2.8299137405105499E-3</v>
      </c>
      <c r="F2989" t="str">
        <f>"20/27"</f>
        <v>20/27</v>
      </c>
      <c r="G2989" s="10">
        <v>0.4163</v>
      </c>
    </row>
    <row r="2990" spans="1:7" x14ac:dyDescent="0.2">
      <c r="A2990" s="1" t="s">
        <v>122</v>
      </c>
      <c r="B2990" t="s">
        <v>2693</v>
      </c>
      <c r="C2990">
        <v>-2.1395131349113599</v>
      </c>
      <c r="D2990">
        <v>0</v>
      </c>
      <c r="E2990">
        <v>2.8752875131245899E-3</v>
      </c>
      <c r="F2990" t="str">
        <f>"25/36"</f>
        <v>25/36</v>
      </c>
      <c r="G2990" s="10">
        <v>0.39860000000000001</v>
      </c>
    </row>
    <row r="2991" spans="1:7" x14ac:dyDescent="0.2">
      <c r="A2991" s="1" t="s">
        <v>122</v>
      </c>
      <c r="B2991" t="s">
        <v>2694</v>
      </c>
      <c r="C2991">
        <v>-2.1375229623599998</v>
      </c>
      <c r="D2991">
        <v>0</v>
      </c>
      <c r="E2991">
        <v>2.9520091684355002E-3</v>
      </c>
      <c r="F2991" t="str">
        <f>"19/20"</f>
        <v>19/20</v>
      </c>
      <c r="G2991" s="10">
        <v>0.55740000000000001</v>
      </c>
    </row>
    <row r="2992" spans="1:7" x14ac:dyDescent="0.2">
      <c r="A2992" s="1" t="s">
        <v>122</v>
      </c>
      <c r="B2992" t="s">
        <v>2695</v>
      </c>
      <c r="C2992">
        <v>-2.1369663652270501</v>
      </c>
      <c r="D2992">
        <v>0</v>
      </c>
      <c r="E2992">
        <v>2.95017334183822E-3</v>
      </c>
      <c r="F2992" t="str">
        <f>"15/15"</f>
        <v>15/15</v>
      </c>
      <c r="G2992" s="10">
        <v>0.5625</v>
      </c>
    </row>
    <row r="2993" spans="1:7" x14ac:dyDescent="0.2">
      <c r="A2993" s="1" t="s">
        <v>122</v>
      </c>
      <c r="B2993" t="s">
        <v>2696</v>
      </c>
      <c r="C2993">
        <v>-2.1355522755614098</v>
      </c>
      <c r="D2993">
        <v>0</v>
      </c>
      <c r="E2993">
        <v>2.9640224556839101E-3</v>
      </c>
      <c r="F2993" t="str">
        <f>"18/18"</f>
        <v>18/18</v>
      </c>
      <c r="G2993" s="10">
        <v>0.59209999999999996</v>
      </c>
    </row>
    <row r="2994" spans="1:7" x14ac:dyDescent="0.2">
      <c r="A2994" s="1" t="s">
        <v>122</v>
      </c>
      <c r="B2994" t="s">
        <v>2697</v>
      </c>
      <c r="C2994">
        <v>-2.1341068460560799</v>
      </c>
      <c r="D2994">
        <v>0</v>
      </c>
      <c r="E2994">
        <v>2.99352728337547E-3</v>
      </c>
      <c r="F2994" t="str">
        <f>"29/37"</f>
        <v>29/37</v>
      </c>
      <c r="G2994" s="10">
        <v>0.51139999999999997</v>
      </c>
    </row>
    <row r="2995" spans="1:7" x14ac:dyDescent="0.2">
      <c r="A2995" s="1" t="s">
        <v>122</v>
      </c>
      <c r="B2995" t="s">
        <v>2698</v>
      </c>
      <c r="C2995">
        <v>-2.1340158507615401</v>
      </c>
      <c r="D2995">
        <v>0</v>
      </c>
      <c r="E2995">
        <v>2.99166910380789E-3</v>
      </c>
      <c r="F2995" t="str">
        <f>"16/17"</f>
        <v>16/17</v>
      </c>
      <c r="G2995" s="10">
        <v>0.54330000000000001</v>
      </c>
    </row>
    <row r="2996" spans="1:7" x14ac:dyDescent="0.2">
      <c r="A2996" s="1" t="s">
        <v>122</v>
      </c>
      <c r="B2996" t="s">
        <v>2699</v>
      </c>
      <c r="C2996">
        <v>-2.1337015519261602</v>
      </c>
      <c r="D2996">
        <v>0</v>
      </c>
      <c r="E2996">
        <v>3.0054667020806901E-3</v>
      </c>
      <c r="F2996" t="str">
        <f>"33/36"</f>
        <v>33/36</v>
      </c>
      <c r="G2996" s="10">
        <v>0.61140000000000005</v>
      </c>
    </row>
    <row r="2997" spans="1:7" x14ac:dyDescent="0.2">
      <c r="A2997" s="1" t="s">
        <v>122</v>
      </c>
      <c r="B2997" t="s">
        <v>2700</v>
      </c>
      <c r="C2997">
        <v>-2.1333532208695498</v>
      </c>
      <c r="D2997">
        <v>0</v>
      </c>
      <c r="E2997">
        <v>3.00360342452205E-3</v>
      </c>
      <c r="F2997" t="str">
        <f>"20/22"</f>
        <v>20/22</v>
      </c>
      <c r="G2997" s="10">
        <v>0.52869999999999995</v>
      </c>
    </row>
    <row r="2998" spans="1:7" x14ac:dyDescent="0.2">
      <c r="A2998" s="1" t="s">
        <v>122</v>
      </c>
      <c r="B2998" t="s">
        <v>275</v>
      </c>
      <c r="C2998">
        <v>-2.1300470081739298</v>
      </c>
      <c r="D2998">
        <v>0</v>
      </c>
      <c r="E2998">
        <v>3.11118098289401E-3</v>
      </c>
      <c r="F2998" t="str">
        <f>"18/18"</f>
        <v>18/18</v>
      </c>
      <c r="G2998" s="10">
        <v>0.5635</v>
      </c>
    </row>
    <row r="2999" spans="1:7" x14ac:dyDescent="0.2">
      <c r="A2999" s="1" t="s">
        <v>122</v>
      </c>
      <c r="B2999" t="s">
        <v>2701</v>
      </c>
      <c r="C2999">
        <v>-2.1296258291923502</v>
      </c>
      <c r="D2999">
        <v>0</v>
      </c>
      <c r="E2999">
        <v>3.1092545550408198E-3</v>
      </c>
      <c r="F2999" t="str">
        <f>"19/22"</f>
        <v>19/22</v>
      </c>
      <c r="G2999" s="10">
        <v>0.47310000000000002</v>
      </c>
    </row>
    <row r="3000" spans="1:7" x14ac:dyDescent="0.2">
      <c r="A3000" s="1" t="s">
        <v>122</v>
      </c>
      <c r="B3000" t="s">
        <v>1702</v>
      </c>
      <c r="C3000">
        <v>-2.1285466770019101</v>
      </c>
      <c r="D3000">
        <v>0</v>
      </c>
      <c r="E3000">
        <v>3.1229452375683702E-3</v>
      </c>
      <c r="F3000" t="str">
        <f>"32/36"</f>
        <v>32/36</v>
      </c>
      <c r="G3000" s="10">
        <v>0.5887</v>
      </c>
    </row>
    <row r="3001" spans="1:7" x14ac:dyDescent="0.2">
      <c r="A3001" s="1" t="s">
        <v>122</v>
      </c>
      <c r="B3001" t="s">
        <v>297</v>
      </c>
      <c r="C3001">
        <v>-2.1284240957590401</v>
      </c>
      <c r="D3001">
        <v>0</v>
      </c>
      <c r="E3001">
        <v>3.12101391707513E-3</v>
      </c>
      <c r="F3001" t="str">
        <f>"67/72"</f>
        <v>67/72</v>
      </c>
      <c r="G3001" s="10">
        <v>0.70620000000000005</v>
      </c>
    </row>
    <row r="3002" spans="1:7" x14ac:dyDescent="0.2">
      <c r="A3002" s="1" t="s">
        <v>122</v>
      </c>
      <c r="B3002" t="s">
        <v>873</v>
      </c>
      <c r="C3002">
        <v>-2.12828386743112</v>
      </c>
      <c r="D3002">
        <v>0</v>
      </c>
      <c r="E3002">
        <v>3.1190849838754501E-3</v>
      </c>
      <c r="F3002" t="str">
        <f>"40/53"</f>
        <v>40/53</v>
      </c>
      <c r="G3002" s="10">
        <v>0.48630000000000001</v>
      </c>
    </row>
    <row r="3003" spans="1:7" x14ac:dyDescent="0.2">
      <c r="A3003" s="1" t="s">
        <v>122</v>
      </c>
      <c r="B3003" t="s">
        <v>2702</v>
      </c>
      <c r="C3003">
        <v>-2.1279059887158498</v>
      </c>
      <c r="D3003">
        <v>3.125E-2</v>
      </c>
      <c r="E3003">
        <v>3.1171584335456999E-3</v>
      </c>
      <c r="F3003" t="str">
        <f>"74/97"</f>
        <v>74/97</v>
      </c>
      <c r="G3003" s="10">
        <v>0.57679999999999998</v>
      </c>
    </row>
    <row r="3004" spans="1:7" x14ac:dyDescent="0.2">
      <c r="A3004" s="1" t="s">
        <v>122</v>
      </c>
      <c r="B3004" t="s">
        <v>765</v>
      </c>
      <c r="C3004">
        <v>-2.1277987054272698</v>
      </c>
      <c r="D3004">
        <v>0</v>
      </c>
      <c r="E3004">
        <v>3.1152342616731399E-3</v>
      </c>
      <c r="F3004" t="str">
        <f>"38/40"</f>
        <v>38/40</v>
      </c>
      <c r="G3004" s="10">
        <v>0.66149999999999998</v>
      </c>
    </row>
    <row r="3005" spans="1:7" x14ac:dyDescent="0.2">
      <c r="A3005" s="1" t="s">
        <v>122</v>
      </c>
      <c r="B3005" t="s">
        <v>2703</v>
      </c>
      <c r="C3005">
        <v>-2.1259279640353701</v>
      </c>
      <c r="D3005">
        <v>0</v>
      </c>
      <c r="E3005">
        <v>3.1600121508137801E-3</v>
      </c>
      <c r="F3005" t="str">
        <f>"20/21"</f>
        <v>20/21</v>
      </c>
      <c r="G3005" s="10">
        <v>0.57289999999999996</v>
      </c>
    </row>
    <row r="3006" spans="1:7" x14ac:dyDescent="0.2">
      <c r="A3006" s="1" t="s">
        <v>122</v>
      </c>
      <c r="B3006" t="s">
        <v>2704</v>
      </c>
      <c r="C3006">
        <v>-2.12511855560837</v>
      </c>
      <c r="D3006">
        <v>0</v>
      </c>
      <c r="E3006">
        <v>3.1580639312386799E-3</v>
      </c>
      <c r="F3006" t="str">
        <f>"14/15"</f>
        <v>14/15</v>
      </c>
      <c r="G3006" s="10">
        <v>0.47299999999999998</v>
      </c>
    </row>
    <row r="3007" spans="1:7" x14ac:dyDescent="0.2">
      <c r="A3007" s="1" t="s">
        <v>122</v>
      </c>
      <c r="B3007" t="s">
        <v>1248</v>
      </c>
      <c r="C3007">
        <v>-2.1250109381077098</v>
      </c>
      <c r="D3007">
        <v>0</v>
      </c>
      <c r="E3007">
        <v>3.1561181124270701E-3</v>
      </c>
      <c r="F3007" t="str">
        <f>"42/56"</f>
        <v>42/56</v>
      </c>
      <c r="G3007" s="10">
        <v>0.49569999999999997</v>
      </c>
    </row>
    <row r="3008" spans="1:7" x14ac:dyDescent="0.2">
      <c r="A3008" s="1" t="s">
        <v>122</v>
      </c>
      <c r="B3008" t="s">
        <v>2705</v>
      </c>
      <c r="C3008">
        <v>-2.1244701282449401</v>
      </c>
      <c r="D3008">
        <v>4.6511627906976702E-2</v>
      </c>
      <c r="E3008">
        <v>3.1541746899440498E-3</v>
      </c>
      <c r="F3008" t="str">
        <f>"13/15"</f>
        <v>13/15</v>
      </c>
      <c r="G3008" s="10">
        <v>0.43209999999999998</v>
      </c>
    </row>
    <row r="3009" spans="1:7" x14ac:dyDescent="0.2">
      <c r="A3009" s="1" t="s">
        <v>122</v>
      </c>
      <c r="B3009" t="s">
        <v>2706</v>
      </c>
      <c r="C3009">
        <v>-2.1242516648894298</v>
      </c>
      <c r="D3009">
        <v>0</v>
      </c>
      <c r="E3009">
        <v>3.16776190399304E-3</v>
      </c>
      <c r="F3009" t="str">
        <f>"10/15"</f>
        <v>10/15</v>
      </c>
      <c r="G3009" s="10">
        <v>0.21</v>
      </c>
    </row>
    <row r="3010" spans="1:7" x14ac:dyDescent="0.2">
      <c r="A3010" s="1" t="s">
        <v>122</v>
      </c>
      <c r="B3010" t="s">
        <v>2707</v>
      </c>
      <c r="C3010">
        <v>-2.1233750276564098</v>
      </c>
      <c r="D3010">
        <v>0</v>
      </c>
      <c r="E3010">
        <v>3.1968511002631E-3</v>
      </c>
      <c r="F3010" t="str">
        <f>"62/71"</f>
        <v>62/71</v>
      </c>
      <c r="G3010" s="10">
        <v>0.66610000000000003</v>
      </c>
    </row>
    <row r="3011" spans="1:7" x14ac:dyDescent="0.2">
      <c r="A3011" s="1" t="s">
        <v>122</v>
      </c>
      <c r="B3011" t="s">
        <v>2708</v>
      </c>
      <c r="C3011">
        <v>-2.1225707087723702</v>
      </c>
      <c r="D3011">
        <v>0</v>
      </c>
      <c r="E3011">
        <v>3.1948862255856201E-3</v>
      </c>
      <c r="F3011" t="str">
        <f>"19/25"</f>
        <v>19/25</v>
      </c>
      <c r="G3011" s="10">
        <v>0.36990000000000001</v>
      </c>
    </row>
    <row r="3012" spans="1:7" x14ac:dyDescent="0.2">
      <c r="A3012" s="1" t="s">
        <v>122</v>
      </c>
      <c r="B3012" t="s">
        <v>2709</v>
      </c>
      <c r="C3012">
        <v>-2.1224995864386602</v>
      </c>
      <c r="D3012">
        <v>0</v>
      </c>
      <c r="E3012">
        <v>3.1929237647590901E-3</v>
      </c>
      <c r="F3012" t="str">
        <f>"23/27"</f>
        <v>23/27</v>
      </c>
      <c r="G3012" s="10">
        <v>0.53249999999999997</v>
      </c>
    </row>
    <row r="3013" spans="1:7" x14ac:dyDescent="0.2">
      <c r="A3013" s="1" t="s">
        <v>122</v>
      </c>
      <c r="B3013" t="s">
        <v>313</v>
      </c>
      <c r="C3013">
        <v>-2.1224380836107701</v>
      </c>
      <c r="D3013">
        <v>0</v>
      </c>
      <c r="E3013">
        <v>3.1909637133381201E-3</v>
      </c>
      <c r="F3013" t="str">
        <f>"33/41"</f>
        <v>33/41</v>
      </c>
      <c r="G3013" s="10">
        <v>0.53439999999999999</v>
      </c>
    </row>
    <row r="3014" spans="1:7" x14ac:dyDescent="0.2">
      <c r="A3014" s="1" t="s">
        <v>122</v>
      </c>
      <c r="B3014" t="s">
        <v>2710</v>
      </c>
      <c r="C3014">
        <v>-2.1215431255268702</v>
      </c>
      <c r="D3014">
        <v>0</v>
      </c>
      <c r="E3014">
        <v>3.1890060668882201E-3</v>
      </c>
      <c r="F3014" t="str">
        <f>"16/16"</f>
        <v>16/16</v>
      </c>
      <c r="G3014" s="10">
        <v>0.55910000000000004</v>
      </c>
    </row>
    <row r="3015" spans="1:7" x14ac:dyDescent="0.2">
      <c r="A3015" s="1" t="s">
        <v>122</v>
      </c>
      <c r="B3015" t="s">
        <v>2711</v>
      </c>
      <c r="C3015">
        <v>-2.12108117106377</v>
      </c>
      <c r="D3015">
        <v>0</v>
      </c>
      <c r="E3015">
        <v>3.1870508209857701E-3</v>
      </c>
      <c r="F3015" t="str">
        <f>"18/19"</f>
        <v>18/19</v>
      </c>
      <c r="G3015" s="10">
        <v>0.54400000000000004</v>
      </c>
    </row>
    <row r="3016" spans="1:7" x14ac:dyDescent="0.2">
      <c r="A3016" s="1" t="s">
        <v>122</v>
      </c>
      <c r="B3016" t="s">
        <v>2712</v>
      </c>
      <c r="C3016">
        <v>-2.1195135881073699</v>
      </c>
      <c r="D3016">
        <v>0</v>
      </c>
      <c r="E3016">
        <v>3.2005596118549898E-3</v>
      </c>
      <c r="F3016" t="str">
        <f>"14/16"</f>
        <v>14/16</v>
      </c>
      <c r="G3016" s="10">
        <v>0.44900000000000001</v>
      </c>
    </row>
    <row r="3017" spans="1:7" x14ac:dyDescent="0.2">
      <c r="A3017" s="1" t="s">
        <v>122</v>
      </c>
      <c r="B3017" t="s">
        <v>1078</v>
      </c>
      <c r="C3017">
        <v>-2.1191980110597601</v>
      </c>
      <c r="D3017">
        <v>0</v>
      </c>
      <c r="E3017">
        <v>3.2449562027593399E-3</v>
      </c>
      <c r="F3017" t="str">
        <f>"17/18"</f>
        <v>17/18</v>
      </c>
      <c r="G3017" s="10">
        <v>0.52980000000000005</v>
      </c>
    </row>
    <row r="3018" spans="1:7" x14ac:dyDescent="0.2">
      <c r="A3018" s="1" t="s">
        <v>122</v>
      </c>
      <c r="B3018" t="s">
        <v>2713</v>
      </c>
      <c r="C3018">
        <v>-2.1190503334718001</v>
      </c>
      <c r="D3018">
        <v>0</v>
      </c>
      <c r="E3018">
        <v>3.2584130211906698E-3</v>
      </c>
      <c r="F3018" t="str">
        <f>"21/23"</f>
        <v>21/23</v>
      </c>
      <c r="G3018" s="10">
        <v>0.56379999999999997</v>
      </c>
    </row>
    <row r="3019" spans="1:7" x14ac:dyDescent="0.2">
      <c r="A3019" s="1" t="s">
        <v>122</v>
      </c>
      <c r="B3019" t="s">
        <v>1221</v>
      </c>
      <c r="C3019">
        <v>-2.11873522934679</v>
      </c>
      <c r="D3019">
        <v>0</v>
      </c>
      <c r="E3019">
        <v>3.2718533786820301E-3</v>
      </c>
      <c r="F3019" t="str">
        <f>"22/24"</f>
        <v>22/24</v>
      </c>
      <c r="G3019" s="10">
        <v>0.53600000000000003</v>
      </c>
    </row>
    <row r="3020" spans="1:7" x14ac:dyDescent="0.2">
      <c r="A3020" s="1" t="s">
        <v>122</v>
      </c>
      <c r="B3020" t="s">
        <v>2714</v>
      </c>
      <c r="C3020">
        <v>-2.1185508060309801</v>
      </c>
      <c r="D3020">
        <v>0</v>
      </c>
      <c r="E3020">
        <v>3.2698534683038602E-3</v>
      </c>
      <c r="F3020" t="str">
        <f>"17/20"</f>
        <v>17/20</v>
      </c>
      <c r="G3020" s="10">
        <v>0.43930000000000002</v>
      </c>
    </row>
    <row r="3021" spans="1:7" x14ac:dyDescent="0.2">
      <c r="A3021" s="1" t="s">
        <v>122</v>
      </c>
      <c r="B3021" t="s">
        <v>1109</v>
      </c>
      <c r="C3021">
        <v>-2.1184180755952098</v>
      </c>
      <c r="D3021">
        <v>0</v>
      </c>
      <c r="E3021">
        <v>3.2678560013103901E-3</v>
      </c>
      <c r="F3021" t="str">
        <f>"76/114"</f>
        <v>76/114</v>
      </c>
      <c r="G3021" s="10">
        <v>0.48480000000000001</v>
      </c>
    </row>
    <row r="3022" spans="1:7" x14ac:dyDescent="0.2">
      <c r="A3022" s="1" t="s">
        <v>122</v>
      </c>
      <c r="B3022" t="s">
        <v>798</v>
      </c>
      <c r="C3022">
        <v>-2.1166976104408701</v>
      </c>
      <c r="D3022">
        <v>0</v>
      </c>
      <c r="E3022">
        <v>3.2966709824079499E-3</v>
      </c>
      <c r="F3022" t="str">
        <f>"118/146"</f>
        <v>118/146</v>
      </c>
      <c r="G3022" s="10">
        <v>0.64710000000000001</v>
      </c>
    </row>
    <row r="3023" spans="1:7" x14ac:dyDescent="0.2">
      <c r="A3023" s="1" t="s">
        <v>122</v>
      </c>
      <c r="B3023" t="s">
        <v>2715</v>
      </c>
      <c r="C3023">
        <v>-2.1161050269055299</v>
      </c>
      <c r="D3023">
        <v>0</v>
      </c>
      <c r="E3023">
        <v>3.2946595907164199E-3</v>
      </c>
      <c r="F3023" t="str">
        <f>"17/17"</f>
        <v>17/17</v>
      </c>
      <c r="G3023" s="10">
        <v>0.55989999999999995</v>
      </c>
    </row>
    <row r="3024" spans="1:7" x14ac:dyDescent="0.2">
      <c r="A3024" s="1" t="s">
        <v>122</v>
      </c>
      <c r="B3024" t="s">
        <v>242</v>
      </c>
      <c r="C3024">
        <v>-2.1159602320211301</v>
      </c>
      <c r="D3024">
        <v>0</v>
      </c>
      <c r="E3024">
        <v>3.3080368699413198E-3</v>
      </c>
      <c r="F3024" t="str">
        <f>"37/43"</f>
        <v>37/43</v>
      </c>
      <c r="G3024" s="10">
        <v>0.5988</v>
      </c>
    </row>
    <row r="3025" spans="1:7" x14ac:dyDescent="0.2">
      <c r="A3025" s="1" t="s">
        <v>122</v>
      </c>
      <c r="B3025" t="s">
        <v>2716</v>
      </c>
      <c r="C3025">
        <v>-2.1157821663554901</v>
      </c>
      <c r="D3025">
        <v>0</v>
      </c>
      <c r="E3025">
        <v>3.3060210034757901E-3</v>
      </c>
      <c r="F3025" t="str">
        <f>"26/32"</f>
        <v>26/32</v>
      </c>
      <c r="G3025" s="10">
        <v>0.50800000000000001</v>
      </c>
    </row>
    <row r="3026" spans="1:7" x14ac:dyDescent="0.2">
      <c r="A3026" s="1" t="s">
        <v>122</v>
      </c>
      <c r="B3026" t="s">
        <v>2717</v>
      </c>
      <c r="C3026">
        <v>-2.1155779627654101</v>
      </c>
      <c r="D3026">
        <v>0</v>
      </c>
      <c r="E3026">
        <v>3.3040075923896298E-3</v>
      </c>
      <c r="F3026" t="str">
        <f>"23/26"</f>
        <v>23/26</v>
      </c>
      <c r="G3026" s="10">
        <v>0.53639999999999999</v>
      </c>
    </row>
    <row r="3027" spans="1:7" x14ac:dyDescent="0.2">
      <c r="A3027" s="1" t="s">
        <v>122</v>
      </c>
      <c r="B3027" t="s">
        <v>2718</v>
      </c>
      <c r="C3027">
        <v>-2.11532172886549</v>
      </c>
      <c r="D3027">
        <v>0</v>
      </c>
      <c r="E3027">
        <v>3.3327128799408899E-3</v>
      </c>
      <c r="F3027" t="str">
        <f>"19/21"</f>
        <v>19/21</v>
      </c>
      <c r="G3027" s="10">
        <v>0.52500000000000002</v>
      </c>
    </row>
    <row r="3028" spans="1:7" x14ac:dyDescent="0.2">
      <c r="A3028" s="1" t="s">
        <v>122</v>
      </c>
      <c r="B3028" t="s">
        <v>2719</v>
      </c>
      <c r="C3028">
        <v>-2.11487171622653</v>
      </c>
      <c r="D3028">
        <v>0</v>
      </c>
      <c r="E3028">
        <v>3.3460344642715499E-3</v>
      </c>
      <c r="F3028" t="str">
        <f>"24/25"</f>
        <v>24/25</v>
      </c>
      <c r="G3028" s="10">
        <v>0.62450000000000006</v>
      </c>
    </row>
    <row r="3029" spans="1:7" x14ac:dyDescent="0.2">
      <c r="A3029" s="1" t="s">
        <v>122</v>
      </c>
      <c r="B3029" t="s">
        <v>1188</v>
      </c>
      <c r="C3029">
        <v>-2.11482322589015</v>
      </c>
      <c r="D3029">
        <v>0</v>
      </c>
      <c r="E3029">
        <v>3.3440004007674298E-3</v>
      </c>
      <c r="F3029" t="str">
        <f>"26/31"</f>
        <v>26/31</v>
      </c>
      <c r="G3029" s="10">
        <v>0.53100000000000003</v>
      </c>
    </row>
    <row r="3030" spans="1:7" x14ac:dyDescent="0.2">
      <c r="A3030" s="1" t="s">
        <v>122</v>
      </c>
      <c r="B3030" t="s">
        <v>1179</v>
      </c>
      <c r="C3030">
        <v>-2.1147270511151</v>
      </c>
      <c r="D3030">
        <v>0</v>
      </c>
      <c r="E3030">
        <v>3.3419688087864101E-3</v>
      </c>
      <c r="F3030" t="str">
        <f>"40/45"</f>
        <v>40/45</v>
      </c>
      <c r="G3030" s="10">
        <v>0.62929999999999997</v>
      </c>
    </row>
    <row r="3031" spans="1:7" x14ac:dyDescent="0.2">
      <c r="A3031" s="1" t="s">
        <v>122</v>
      </c>
      <c r="B3031" t="s">
        <v>1225</v>
      </c>
      <c r="C3031">
        <v>-2.11421291612035</v>
      </c>
      <c r="D3031">
        <v>2.1276595744680799E-2</v>
      </c>
      <c r="E3031">
        <v>3.37058133230208E-3</v>
      </c>
      <c r="F3031" t="str">
        <f>"21/23"</f>
        <v>21/23</v>
      </c>
      <c r="G3031" s="10">
        <v>0.54369999999999996</v>
      </c>
    </row>
    <row r="3032" spans="1:7" x14ac:dyDescent="0.2">
      <c r="A3032" s="1" t="s">
        <v>122</v>
      </c>
      <c r="B3032" t="s">
        <v>1143</v>
      </c>
      <c r="C3032">
        <v>-2.1129474527521301</v>
      </c>
      <c r="D3032">
        <v>0</v>
      </c>
      <c r="E3032">
        <v>3.4297821871236301E-3</v>
      </c>
      <c r="F3032" t="str">
        <f>"27/28"</f>
        <v>27/28</v>
      </c>
      <c r="G3032" s="10">
        <v>0.62480000000000002</v>
      </c>
    </row>
    <row r="3033" spans="1:7" x14ac:dyDescent="0.2">
      <c r="A3033" s="1" t="s">
        <v>122</v>
      </c>
      <c r="B3033" t="s">
        <v>2720</v>
      </c>
      <c r="C3033">
        <v>-2.1098843932352498</v>
      </c>
      <c r="D3033">
        <v>0</v>
      </c>
      <c r="E3033">
        <v>3.4889112398168299E-3</v>
      </c>
      <c r="F3033" t="str">
        <f>"25/26"</f>
        <v>25/26</v>
      </c>
      <c r="G3033" s="10">
        <v>0.63670000000000004</v>
      </c>
    </row>
    <row r="3034" spans="1:7" x14ac:dyDescent="0.2">
      <c r="A3034" s="1" t="s">
        <v>122</v>
      </c>
      <c r="B3034" t="s">
        <v>2721</v>
      </c>
      <c r="C3034">
        <v>-2.1097358212500099</v>
      </c>
      <c r="D3034">
        <v>0</v>
      </c>
      <c r="E3034">
        <v>3.4867967481563402E-3</v>
      </c>
      <c r="F3034" t="str">
        <f>"26/27"</f>
        <v>26/27</v>
      </c>
      <c r="G3034" s="10">
        <v>0.62139999999999995</v>
      </c>
    </row>
    <row r="3035" spans="1:7" x14ac:dyDescent="0.2">
      <c r="A3035" s="1" t="s">
        <v>122</v>
      </c>
      <c r="B3035" t="s">
        <v>2722</v>
      </c>
      <c r="C3035">
        <v>-2.1094776221389102</v>
      </c>
      <c r="D3035">
        <v>0</v>
      </c>
      <c r="E3035">
        <v>3.4999685233055799E-3</v>
      </c>
      <c r="F3035" t="str">
        <f>"26/27"</f>
        <v>26/27</v>
      </c>
      <c r="G3035" s="10">
        <v>0.64690000000000003</v>
      </c>
    </row>
    <row r="3036" spans="1:7" x14ac:dyDescent="0.2">
      <c r="A3036" s="1" t="s">
        <v>122</v>
      </c>
      <c r="B3036" t="s">
        <v>816</v>
      </c>
      <c r="C3036">
        <v>-2.1089990361120399</v>
      </c>
      <c r="D3036">
        <v>0</v>
      </c>
      <c r="E3036">
        <v>3.5131243519958E-3</v>
      </c>
      <c r="F3036" t="str">
        <f>"53/63"</f>
        <v>53/63</v>
      </c>
      <c r="G3036" s="10">
        <v>0.63290000000000002</v>
      </c>
    </row>
    <row r="3037" spans="1:7" x14ac:dyDescent="0.2">
      <c r="A3037" s="1" t="s">
        <v>122</v>
      </c>
      <c r="B3037" t="s">
        <v>2723</v>
      </c>
      <c r="C3037">
        <v>-2.1074518139642899</v>
      </c>
      <c r="D3037">
        <v>0</v>
      </c>
      <c r="E3037">
        <v>3.52626426316794E-3</v>
      </c>
      <c r="F3037" t="str">
        <f>"28/33"</f>
        <v>28/33</v>
      </c>
      <c r="G3037" s="10">
        <v>0.55910000000000004</v>
      </c>
    </row>
    <row r="3038" spans="1:7" x14ac:dyDescent="0.2">
      <c r="A3038" s="1" t="s">
        <v>122</v>
      </c>
      <c r="B3038" t="s">
        <v>595</v>
      </c>
      <c r="C3038">
        <v>-2.1052224696345299</v>
      </c>
      <c r="D3038">
        <v>0</v>
      </c>
      <c r="E3038">
        <v>3.60041222165319E-3</v>
      </c>
      <c r="F3038" t="str">
        <f>"45/55"</f>
        <v>45/55</v>
      </c>
      <c r="G3038" s="10">
        <v>0.57599999999999996</v>
      </c>
    </row>
    <row r="3039" spans="1:7" x14ac:dyDescent="0.2">
      <c r="A3039" s="1" t="s">
        <v>122</v>
      </c>
      <c r="B3039" t="s">
        <v>2724</v>
      </c>
      <c r="C3039">
        <v>-2.1033699707943398</v>
      </c>
      <c r="D3039">
        <v>0</v>
      </c>
      <c r="E3039">
        <v>3.6134835118634E-3</v>
      </c>
      <c r="F3039" t="str">
        <f>"23/29"</f>
        <v>23/29</v>
      </c>
      <c r="G3039" s="10">
        <v>0.4723</v>
      </c>
    </row>
    <row r="3040" spans="1:7" x14ac:dyDescent="0.2">
      <c r="A3040" s="1" t="s">
        <v>122</v>
      </c>
      <c r="B3040" t="s">
        <v>2725</v>
      </c>
      <c r="C3040">
        <v>-2.1032711339088301</v>
      </c>
      <c r="D3040">
        <v>0</v>
      </c>
      <c r="E3040">
        <v>3.6113014566026098E-3</v>
      </c>
      <c r="F3040" t="str">
        <f>"21/26"</f>
        <v>21/26</v>
      </c>
      <c r="G3040" s="10">
        <v>0.43709999999999999</v>
      </c>
    </row>
    <row r="3041" spans="1:7" x14ac:dyDescent="0.2">
      <c r="A3041" s="1" t="s">
        <v>122</v>
      </c>
      <c r="B3041" t="s">
        <v>2726</v>
      </c>
      <c r="C3041">
        <v>-2.1030652004854198</v>
      </c>
      <c r="D3041">
        <v>0</v>
      </c>
      <c r="E3041">
        <v>3.62435039810107E-3</v>
      </c>
      <c r="F3041" t="str">
        <f>"18/18"</f>
        <v>18/18</v>
      </c>
      <c r="G3041" s="10">
        <v>0.58830000000000005</v>
      </c>
    </row>
    <row r="3042" spans="1:7" x14ac:dyDescent="0.2">
      <c r="A3042" s="1" t="s">
        <v>122</v>
      </c>
      <c r="B3042" t="s">
        <v>2727</v>
      </c>
      <c r="C3042">
        <v>-2.1014496961342601</v>
      </c>
      <c r="D3042">
        <v>0</v>
      </c>
      <c r="E3042">
        <v>3.68304113373443E-3</v>
      </c>
      <c r="F3042" t="str">
        <f>"20/27"</f>
        <v>20/27</v>
      </c>
      <c r="G3042" s="10">
        <v>0.38240000000000002</v>
      </c>
    </row>
    <row r="3043" spans="1:7" x14ac:dyDescent="0.2">
      <c r="A3043" s="1" t="s">
        <v>122</v>
      </c>
      <c r="B3043" t="s">
        <v>307</v>
      </c>
      <c r="C3043">
        <v>-2.1011198169387999</v>
      </c>
      <c r="D3043">
        <v>0</v>
      </c>
      <c r="E3043">
        <v>3.6808210968846799E-3</v>
      </c>
      <c r="F3043" t="str">
        <f>"28/28"</f>
        <v>28/28</v>
      </c>
      <c r="G3043" s="10">
        <v>0.6734</v>
      </c>
    </row>
    <row r="3044" spans="1:7" x14ac:dyDescent="0.2">
      <c r="A3044" s="1" t="s">
        <v>122</v>
      </c>
      <c r="B3044" t="s">
        <v>1578</v>
      </c>
      <c r="C3044">
        <v>-2.1007770553234399</v>
      </c>
      <c r="D3044">
        <v>0</v>
      </c>
      <c r="E3044">
        <v>3.7090054185366199E-3</v>
      </c>
      <c r="F3044" t="str">
        <f>"23/30"</f>
        <v>23/30</v>
      </c>
      <c r="G3044" s="10">
        <v>0.44419999999999998</v>
      </c>
    </row>
    <row r="3045" spans="1:7" x14ac:dyDescent="0.2">
      <c r="A3045" s="1" t="s">
        <v>122</v>
      </c>
      <c r="B3045" t="s">
        <v>2728</v>
      </c>
      <c r="C3045">
        <v>-2.09919339006156</v>
      </c>
      <c r="D3045">
        <v>0</v>
      </c>
      <c r="E3045">
        <v>3.7523474938768501E-3</v>
      </c>
      <c r="F3045" t="str">
        <f>"14/19"</f>
        <v>14/19</v>
      </c>
      <c r="G3045" s="10">
        <v>0.32850000000000001</v>
      </c>
    </row>
    <row r="3046" spans="1:7" x14ac:dyDescent="0.2">
      <c r="A3046" s="1" t="s">
        <v>122</v>
      </c>
      <c r="B3046" t="s">
        <v>1693</v>
      </c>
      <c r="C3046">
        <v>-2.09898188477512</v>
      </c>
      <c r="D3046">
        <v>0</v>
      </c>
      <c r="E3046">
        <v>3.7500897637361302E-3</v>
      </c>
      <c r="F3046" t="str">
        <f>"26/29"</f>
        <v>26/29</v>
      </c>
      <c r="G3046" s="10">
        <v>0.54090000000000005</v>
      </c>
    </row>
    <row r="3047" spans="1:7" x14ac:dyDescent="0.2">
      <c r="A3047" s="1" t="s">
        <v>122</v>
      </c>
      <c r="B3047" t="s">
        <v>2729</v>
      </c>
      <c r="C3047">
        <v>-2.09791052937077</v>
      </c>
      <c r="D3047">
        <v>0</v>
      </c>
      <c r="E3047">
        <v>3.7781815889167498E-3</v>
      </c>
      <c r="F3047" t="str">
        <f>"58/68"</f>
        <v>58/68</v>
      </c>
      <c r="G3047" s="10">
        <v>0.64259999999999995</v>
      </c>
    </row>
    <row r="3048" spans="1:7" x14ac:dyDescent="0.2">
      <c r="A3048" s="1" t="s">
        <v>122</v>
      </c>
      <c r="B3048" t="s">
        <v>2730</v>
      </c>
      <c r="C3048">
        <v>-2.0965178898118699</v>
      </c>
      <c r="D3048">
        <v>0</v>
      </c>
      <c r="E3048">
        <v>3.8062396498844101E-3</v>
      </c>
      <c r="F3048" t="str">
        <f>"16/20"</f>
        <v>16/20</v>
      </c>
      <c r="G3048" s="10">
        <v>0.43440000000000001</v>
      </c>
    </row>
    <row r="3049" spans="1:7" x14ac:dyDescent="0.2">
      <c r="A3049" s="1" t="s">
        <v>122</v>
      </c>
      <c r="B3049" t="s">
        <v>2731</v>
      </c>
      <c r="C3049">
        <v>-2.0947999762316001</v>
      </c>
      <c r="D3049">
        <v>0</v>
      </c>
      <c r="E3049">
        <v>3.86457439488641E-3</v>
      </c>
      <c r="F3049" t="str">
        <f>"25/26"</f>
        <v>25/26</v>
      </c>
      <c r="G3049" s="10">
        <v>0.60699999999999998</v>
      </c>
    </row>
    <row r="3050" spans="1:7" x14ac:dyDescent="0.2">
      <c r="A3050" s="1" t="s">
        <v>122</v>
      </c>
      <c r="B3050" t="s">
        <v>896</v>
      </c>
      <c r="C3050">
        <v>-2.0931645894263702</v>
      </c>
      <c r="D3050">
        <v>0</v>
      </c>
      <c r="E3050">
        <v>3.9076930132320104E-3</v>
      </c>
      <c r="F3050" t="str">
        <f>"43/55"</f>
        <v>43/55</v>
      </c>
      <c r="G3050" s="10">
        <v>0.53439999999999999</v>
      </c>
    </row>
    <row r="3051" spans="1:7" x14ac:dyDescent="0.2">
      <c r="A3051" s="1" t="s">
        <v>122</v>
      </c>
      <c r="B3051" t="s">
        <v>2732</v>
      </c>
      <c r="C3051">
        <v>-2.0909362427767699</v>
      </c>
      <c r="D3051">
        <v>0</v>
      </c>
      <c r="E3051">
        <v>3.9961709329105199E-3</v>
      </c>
      <c r="F3051" t="str">
        <f>"12/16"</f>
        <v>12/16</v>
      </c>
      <c r="G3051" s="10">
        <v>0.32719999999999999</v>
      </c>
    </row>
    <row r="3052" spans="1:7" x14ac:dyDescent="0.2">
      <c r="A3052" s="1" t="s">
        <v>122</v>
      </c>
      <c r="B3052" t="s">
        <v>1245</v>
      </c>
      <c r="C3052">
        <v>-2.09060484891832</v>
      </c>
      <c r="D3052">
        <v>0</v>
      </c>
      <c r="E3052">
        <v>3.9937751469795203E-3</v>
      </c>
      <c r="F3052" t="str">
        <f>"51/58"</f>
        <v>51/58</v>
      </c>
      <c r="G3052" s="10">
        <v>0.65639999999999998</v>
      </c>
    </row>
    <row r="3053" spans="1:7" x14ac:dyDescent="0.2">
      <c r="A3053" s="1" t="s">
        <v>122</v>
      </c>
      <c r="B3053" t="s">
        <v>2733</v>
      </c>
      <c r="C3053">
        <v>-2.0903200226768601</v>
      </c>
      <c r="D3053">
        <v>0</v>
      </c>
      <c r="E3053">
        <v>4.0216199761539499E-3</v>
      </c>
      <c r="F3053" t="str">
        <f>"16/25"</f>
        <v>16/25</v>
      </c>
      <c r="G3053" s="10">
        <v>0.26829999999999998</v>
      </c>
    </row>
    <row r="3054" spans="1:7" x14ac:dyDescent="0.2">
      <c r="A3054" s="1" t="s">
        <v>122</v>
      </c>
      <c r="B3054" t="s">
        <v>2734</v>
      </c>
      <c r="C3054">
        <v>-2.0900997908744201</v>
      </c>
      <c r="D3054">
        <v>0</v>
      </c>
      <c r="E3054">
        <v>4.0192118204796104E-3</v>
      </c>
      <c r="F3054" t="str">
        <f>"24/27"</f>
        <v>24/27</v>
      </c>
      <c r="G3054" s="10">
        <v>0.54090000000000005</v>
      </c>
    </row>
    <row r="3055" spans="1:7" x14ac:dyDescent="0.2">
      <c r="A3055" s="1" t="s">
        <v>122</v>
      </c>
      <c r="B3055" t="s">
        <v>2735</v>
      </c>
      <c r="C3055">
        <v>-2.0897141883069499</v>
      </c>
      <c r="D3055">
        <v>0</v>
      </c>
      <c r="E3055">
        <v>4.0168065470981102E-3</v>
      </c>
      <c r="F3055" t="str">
        <f>"22/33"</f>
        <v>22/33</v>
      </c>
      <c r="G3055" s="10">
        <v>0.3695</v>
      </c>
    </row>
    <row r="3056" spans="1:7" x14ac:dyDescent="0.2">
      <c r="A3056" s="1" t="s">
        <v>122</v>
      </c>
      <c r="B3056" t="s">
        <v>2736</v>
      </c>
      <c r="C3056">
        <v>-2.0879401857316799</v>
      </c>
      <c r="D3056">
        <v>0</v>
      </c>
      <c r="E3056">
        <v>4.0596793856217698E-3</v>
      </c>
      <c r="F3056" t="str">
        <f>"39/42"</f>
        <v>39/42</v>
      </c>
      <c r="G3056" s="10">
        <v>0.65510000000000002</v>
      </c>
    </row>
    <row r="3057" spans="1:7" x14ac:dyDescent="0.2">
      <c r="A3057" s="1" t="s">
        <v>122</v>
      </c>
      <c r="B3057" t="s">
        <v>2737</v>
      </c>
      <c r="C3057">
        <v>-2.0871445097171</v>
      </c>
      <c r="D3057">
        <v>0</v>
      </c>
      <c r="E3057">
        <v>4.0723355231794102E-3</v>
      </c>
      <c r="F3057" t="str">
        <f>"82/99"</f>
        <v>82/99</v>
      </c>
      <c r="G3057" s="10">
        <v>0.63670000000000004</v>
      </c>
    </row>
    <row r="3058" spans="1:7" x14ac:dyDescent="0.2">
      <c r="A3058" s="1" t="s">
        <v>122</v>
      </c>
      <c r="B3058" t="s">
        <v>2738</v>
      </c>
      <c r="C3058">
        <v>-2.0858865002942601</v>
      </c>
      <c r="D3058">
        <v>0</v>
      </c>
      <c r="E3058">
        <v>4.1000502540730404E-3</v>
      </c>
      <c r="F3058" t="str">
        <f>"50/55"</f>
        <v>50/55</v>
      </c>
      <c r="G3058" s="10">
        <v>0.6784</v>
      </c>
    </row>
    <row r="3059" spans="1:7" x14ac:dyDescent="0.2">
      <c r="A3059" s="1" t="s">
        <v>122</v>
      </c>
      <c r="B3059" t="s">
        <v>188</v>
      </c>
      <c r="C3059">
        <v>-2.0856622648531902</v>
      </c>
      <c r="D3059">
        <v>0</v>
      </c>
      <c r="E3059">
        <v>4.0951575926719899E-3</v>
      </c>
      <c r="F3059" t="str">
        <f>"46/65"</f>
        <v>46/65</v>
      </c>
      <c r="G3059" s="10">
        <v>0.47860000000000003</v>
      </c>
    </row>
    <row r="3060" spans="1:7" x14ac:dyDescent="0.2">
      <c r="A3060" s="1" t="s">
        <v>122</v>
      </c>
      <c r="B3060" t="s">
        <v>187</v>
      </c>
      <c r="C3060">
        <v>-2.0856622648531902</v>
      </c>
      <c r="D3060">
        <v>0</v>
      </c>
      <c r="E3060">
        <v>4.0951575926719899E-3</v>
      </c>
      <c r="F3060" t="str">
        <f>"46/65"</f>
        <v>46/65</v>
      </c>
      <c r="G3060" s="10">
        <v>0.47860000000000003</v>
      </c>
    </row>
    <row r="3061" spans="1:7" x14ac:dyDescent="0.2">
      <c r="A3061" s="1" t="s">
        <v>122</v>
      </c>
      <c r="B3061" t="s">
        <v>2739</v>
      </c>
      <c r="C3061">
        <v>-2.0850350681763299</v>
      </c>
      <c r="D3061">
        <v>0</v>
      </c>
      <c r="E3061">
        <v>4.1378558842438398E-3</v>
      </c>
      <c r="F3061" t="str">
        <f>"67/94"</f>
        <v>67/94</v>
      </c>
      <c r="G3061" s="10">
        <v>0.51919999999999999</v>
      </c>
    </row>
    <row r="3062" spans="1:7" x14ac:dyDescent="0.2">
      <c r="A3062" s="1" t="s">
        <v>122</v>
      </c>
      <c r="B3062" t="s">
        <v>2740</v>
      </c>
      <c r="C3062">
        <v>-2.0848130653329302</v>
      </c>
      <c r="D3062">
        <v>0</v>
      </c>
      <c r="E3062">
        <v>4.1504277207368703E-3</v>
      </c>
      <c r="F3062" t="str">
        <f>"14/15"</f>
        <v>14/15</v>
      </c>
      <c r="G3062" s="10">
        <v>0.50519999999999998</v>
      </c>
    </row>
    <row r="3063" spans="1:7" x14ac:dyDescent="0.2">
      <c r="A3063" s="1" t="s">
        <v>122</v>
      </c>
      <c r="B3063" t="s">
        <v>2741</v>
      </c>
      <c r="C3063">
        <v>-2.0845976376172302</v>
      </c>
      <c r="D3063">
        <v>0</v>
      </c>
      <c r="E3063">
        <v>4.1479557566387604E-3</v>
      </c>
      <c r="F3063" t="str">
        <f>"12/22"</f>
        <v>12/22</v>
      </c>
      <c r="G3063" s="10">
        <v>0.1726</v>
      </c>
    </row>
    <row r="3064" spans="1:7" x14ac:dyDescent="0.2">
      <c r="A3064" s="1" t="s">
        <v>122</v>
      </c>
      <c r="B3064" t="s">
        <v>1011</v>
      </c>
      <c r="C3064">
        <v>-2.0829926681788198</v>
      </c>
      <c r="D3064">
        <v>0</v>
      </c>
      <c r="E3064">
        <v>4.1605066148309696E-3</v>
      </c>
      <c r="F3064" t="str">
        <f>"160/177"</f>
        <v>160/177</v>
      </c>
      <c r="G3064" s="10">
        <v>0.77610000000000001</v>
      </c>
    </row>
    <row r="3065" spans="1:7" x14ac:dyDescent="0.2">
      <c r="A3065" s="1" t="s">
        <v>122</v>
      </c>
      <c r="B3065" t="s">
        <v>2742</v>
      </c>
      <c r="C3065">
        <v>-2.0810292123518401</v>
      </c>
      <c r="D3065">
        <v>2.6315789473684199E-2</v>
      </c>
      <c r="E3065">
        <v>4.2180753735837203E-3</v>
      </c>
      <c r="F3065" t="str">
        <f>"18/18"</f>
        <v>18/18</v>
      </c>
      <c r="G3065" s="10">
        <v>0.5625</v>
      </c>
    </row>
    <row r="3066" spans="1:7" x14ac:dyDescent="0.2">
      <c r="A3066" s="1" t="s">
        <v>122</v>
      </c>
      <c r="B3066" t="s">
        <v>2743</v>
      </c>
      <c r="C3066">
        <v>-2.08089341936964</v>
      </c>
      <c r="D3066">
        <v>0</v>
      </c>
      <c r="E3066">
        <v>4.21556759987767E-3</v>
      </c>
      <c r="F3066" t="str">
        <f>"26/30"</f>
        <v>26/30</v>
      </c>
      <c r="G3066" s="10">
        <v>0.59719999999999995</v>
      </c>
    </row>
    <row r="3067" spans="1:7" x14ac:dyDescent="0.2">
      <c r="A3067" s="1" t="s">
        <v>122</v>
      </c>
      <c r="B3067" t="s">
        <v>732</v>
      </c>
      <c r="C3067">
        <v>-2.0806484510437202</v>
      </c>
      <c r="D3067">
        <v>0</v>
      </c>
      <c r="E3067">
        <v>4.2130628062948504E-3</v>
      </c>
      <c r="F3067" t="str">
        <f>"30/32"</f>
        <v>30/32</v>
      </c>
      <c r="G3067" s="10">
        <v>0.64570000000000005</v>
      </c>
    </row>
    <row r="3068" spans="1:7" x14ac:dyDescent="0.2">
      <c r="A3068" s="1" t="s">
        <v>122</v>
      </c>
      <c r="B3068" t="s">
        <v>2744</v>
      </c>
      <c r="C3068">
        <v>-2.07986981564637</v>
      </c>
      <c r="D3068">
        <v>0</v>
      </c>
      <c r="E3068">
        <v>4.2105609875262703E-3</v>
      </c>
      <c r="F3068" t="str">
        <f>"14/22"</f>
        <v>14/22</v>
      </c>
      <c r="G3068" s="10">
        <v>0.2722</v>
      </c>
    </row>
    <row r="3069" spans="1:7" x14ac:dyDescent="0.2">
      <c r="A3069" s="1" t="s">
        <v>122</v>
      </c>
      <c r="B3069" t="s">
        <v>1032</v>
      </c>
      <c r="C3069">
        <v>-2.0796714867761601</v>
      </c>
      <c r="D3069">
        <v>0</v>
      </c>
      <c r="E3069">
        <v>4.2080621382755102E-3</v>
      </c>
      <c r="F3069" t="str">
        <f>"31/34"</f>
        <v>31/34</v>
      </c>
      <c r="G3069" s="10">
        <v>0.60229999999999995</v>
      </c>
    </row>
    <row r="3070" spans="1:7" x14ac:dyDescent="0.2">
      <c r="A3070" s="1" t="s">
        <v>122</v>
      </c>
      <c r="B3070" t="s">
        <v>2745</v>
      </c>
      <c r="C3070">
        <v>-2.0796175815267999</v>
      </c>
      <c r="D3070">
        <v>0</v>
      </c>
      <c r="E3070">
        <v>4.2055662532587404E-3</v>
      </c>
      <c r="F3070" t="str">
        <f>"15/17"</f>
        <v>15/17</v>
      </c>
      <c r="G3070" s="10">
        <v>0.4703</v>
      </c>
    </row>
    <row r="3071" spans="1:7" x14ac:dyDescent="0.2">
      <c r="A3071" s="1" t="s">
        <v>122</v>
      </c>
      <c r="B3071" t="s">
        <v>1050</v>
      </c>
      <c r="C3071">
        <v>-2.0790532695570398</v>
      </c>
      <c r="D3071">
        <v>0</v>
      </c>
      <c r="E3071">
        <v>4.2329884398537897E-3</v>
      </c>
      <c r="F3071" t="str">
        <f>"24/26"</f>
        <v>24/26</v>
      </c>
      <c r="G3071" s="10">
        <v>0.60160000000000002</v>
      </c>
    </row>
    <row r="3072" spans="1:7" x14ac:dyDescent="0.2">
      <c r="A3072" s="1" t="s">
        <v>122</v>
      </c>
      <c r="B3072" t="s">
        <v>2746</v>
      </c>
      <c r="C3072">
        <v>-2.0787653153463399</v>
      </c>
      <c r="D3072">
        <v>0</v>
      </c>
      <c r="E3072">
        <v>4.2304807452804103E-3</v>
      </c>
      <c r="F3072" t="str">
        <f>"27/27"</f>
        <v>27/27</v>
      </c>
      <c r="G3072" s="10">
        <v>0.63959999999999995</v>
      </c>
    </row>
    <row r="3073" spans="1:7" x14ac:dyDescent="0.2">
      <c r="A3073" s="1" t="s">
        <v>122</v>
      </c>
      <c r="B3073" t="s">
        <v>2747</v>
      </c>
      <c r="C3073">
        <v>-2.07845968532579</v>
      </c>
      <c r="D3073">
        <v>2.6315789473684199E-2</v>
      </c>
      <c r="E3073">
        <v>4.2429158647441598E-3</v>
      </c>
      <c r="F3073" t="str">
        <f>"14/24"</f>
        <v>14/24</v>
      </c>
      <c r="G3073" s="10">
        <v>0.253</v>
      </c>
    </row>
    <row r="3074" spans="1:7" x14ac:dyDescent="0.2">
      <c r="A3074" s="1" t="s">
        <v>122</v>
      </c>
      <c r="B3074" t="s">
        <v>2748</v>
      </c>
      <c r="C3074">
        <v>-2.0770777743714399</v>
      </c>
      <c r="D3074">
        <v>0</v>
      </c>
      <c r="E3074">
        <v>4.3299912903374E-3</v>
      </c>
      <c r="F3074" t="str">
        <f>"22/22"</f>
        <v>22/22</v>
      </c>
      <c r="G3074" s="10">
        <v>0.64810000000000001</v>
      </c>
    </row>
    <row r="3075" spans="1:7" x14ac:dyDescent="0.2">
      <c r="A3075" s="1" t="s">
        <v>122</v>
      </c>
      <c r="B3075" t="s">
        <v>2749</v>
      </c>
      <c r="C3075">
        <v>-2.0760849225201299</v>
      </c>
      <c r="D3075">
        <v>0</v>
      </c>
      <c r="E3075">
        <v>4.4169637290286902E-3</v>
      </c>
      <c r="F3075" t="str">
        <f>"34/37"</f>
        <v>34/37</v>
      </c>
      <c r="G3075" s="10">
        <v>0.62480000000000002</v>
      </c>
    </row>
    <row r="3076" spans="1:7" x14ac:dyDescent="0.2">
      <c r="A3076" s="1" t="s">
        <v>122</v>
      </c>
      <c r="B3076" t="s">
        <v>2750</v>
      </c>
      <c r="C3076">
        <v>-2.0747942350203701</v>
      </c>
      <c r="D3076">
        <v>6.25E-2</v>
      </c>
      <c r="E3076">
        <v>4.4590932968949001E-3</v>
      </c>
      <c r="F3076" t="str">
        <f>"23/25"</f>
        <v>23/25</v>
      </c>
      <c r="G3076" s="10">
        <v>0.56759999999999999</v>
      </c>
    </row>
    <row r="3077" spans="1:7" x14ac:dyDescent="0.2">
      <c r="A3077" s="1" t="s">
        <v>122</v>
      </c>
      <c r="B3077" t="s">
        <v>2751</v>
      </c>
      <c r="C3077">
        <v>-2.0740150023851398</v>
      </c>
      <c r="D3077">
        <v>0</v>
      </c>
      <c r="E3077">
        <v>4.4713640022833604E-3</v>
      </c>
      <c r="F3077" t="str">
        <f>"13/15"</f>
        <v>13/15</v>
      </c>
      <c r="G3077" s="10">
        <v>0.44900000000000001</v>
      </c>
    </row>
    <row r="3078" spans="1:7" x14ac:dyDescent="0.2">
      <c r="A3078" s="1" t="s">
        <v>122</v>
      </c>
      <c r="B3078" t="s">
        <v>657</v>
      </c>
      <c r="C3078">
        <v>-2.0736534811905001</v>
      </c>
      <c r="D3078">
        <v>0</v>
      </c>
      <c r="E3078">
        <v>4.4687244721757597E-3</v>
      </c>
      <c r="F3078" t="str">
        <f>"44/54"</f>
        <v>44/54</v>
      </c>
      <c r="G3078" s="10">
        <v>0.57230000000000003</v>
      </c>
    </row>
    <row r="3079" spans="1:7" x14ac:dyDescent="0.2">
      <c r="A3079" s="1" t="s">
        <v>122</v>
      </c>
      <c r="B3079" t="s">
        <v>2752</v>
      </c>
      <c r="C3079">
        <v>-2.07295928494753</v>
      </c>
      <c r="D3079">
        <v>0</v>
      </c>
      <c r="E3079">
        <v>4.48097501674648E-3</v>
      </c>
      <c r="F3079" t="str">
        <f>"23/26"</f>
        <v>23/26</v>
      </c>
      <c r="G3079" s="10">
        <v>0.53500000000000003</v>
      </c>
    </row>
    <row r="3080" spans="1:7" x14ac:dyDescent="0.2">
      <c r="A3080" s="1" t="s">
        <v>122</v>
      </c>
      <c r="B3080" t="s">
        <v>2753</v>
      </c>
      <c r="C3080">
        <v>-2.0727958797230501</v>
      </c>
      <c r="D3080">
        <v>2.4390243902439001E-2</v>
      </c>
      <c r="E3080">
        <v>4.4783329324205702E-3</v>
      </c>
      <c r="F3080" t="str">
        <f>"21/24"</f>
        <v>21/24</v>
      </c>
      <c r="G3080" s="10">
        <v>0.52329999999999999</v>
      </c>
    </row>
    <row r="3081" spans="1:7" x14ac:dyDescent="0.2">
      <c r="A3081" s="1" t="s">
        <v>122</v>
      </c>
      <c r="B3081" t="s">
        <v>2754</v>
      </c>
      <c r="C3081">
        <v>-2.0704772147042299</v>
      </c>
      <c r="D3081">
        <v>0</v>
      </c>
      <c r="E3081">
        <v>4.5500410377036201E-3</v>
      </c>
      <c r="F3081" t="str">
        <f>"10/19"</f>
        <v>10/19</v>
      </c>
      <c r="G3081" s="10">
        <v>0.11899999999999999</v>
      </c>
    </row>
    <row r="3082" spans="1:7" x14ac:dyDescent="0.2">
      <c r="A3082" s="1" t="s">
        <v>122</v>
      </c>
      <c r="B3082" t="s">
        <v>2755</v>
      </c>
      <c r="C3082">
        <v>-2.0700370349612802</v>
      </c>
      <c r="D3082">
        <v>0</v>
      </c>
      <c r="E3082">
        <v>4.5622220485881E-3</v>
      </c>
      <c r="F3082" t="str">
        <f>"25/34"</f>
        <v>25/34</v>
      </c>
      <c r="G3082" s="10">
        <v>0.43909999999999999</v>
      </c>
    </row>
    <row r="3083" spans="1:7" x14ac:dyDescent="0.2">
      <c r="A3083" s="1" t="s">
        <v>122</v>
      </c>
      <c r="B3083" t="s">
        <v>2756</v>
      </c>
      <c r="C3083">
        <v>-2.0696182478689602</v>
      </c>
      <c r="D3083">
        <v>0</v>
      </c>
      <c r="E3083">
        <v>4.6189444547267899E-3</v>
      </c>
      <c r="F3083" t="str">
        <f>"32/35"</f>
        <v>32/35</v>
      </c>
      <c r="G3083" s="10">
        <v>0.63670000000000004</v>
      </c>
    </row>
    <row r="3084" spans="1:7" x14ac:dyDescent="0.2">
      <c r="A3084" s="1" t="s">
        <v>122</v>
      </c>
      <c r="B3084" t="s">
        <v>2757</v>
      </c>
      <c r="C3084">
        <v>-2.0688476431909901</v>
      </c>
      <c r="D3084">
        <v>0</v>
      </c>
      <c r="E3084">
        <v>4.6459137785999499E-3</v>
      </c>
      <c r="F3084" t="str">
        <f>"16/17"</f>
        <v>16/17</v>
      </c>
      <c r="G3084" s="10">
        <v>0.53339999999999999</v>
      </c>
    </row>
    <row r="3085" spans="1:7" x14ac:dyDescent="0.2">
      <c r="A3085" s="1" t="s">
        <v>122</v>
      </c>
      <c r="B3085" t="s">
        <v>2758</v>
      </c>
      <c r="C3085">
        <v>-2.0672628230745</v>
      </c>
      <c r="D3085">
        <v>0</v>
      </c>
      <c r="E3085">
        <v>4.6728513925097101E-3</v>
      </c>
      <c r="F3085" t="str">
        <f>"22/25"</f>
        <v>22/25</v>
      </c>
      <c r="G3085" s="10">
        <v>0.54090000000000005</v>
      </c>
    </row>
    <row r="3086" spans="1:7" x14ac:dyDescent="0.2">
      <c r="A3086" s="1" t="s">
        <v>122</v>
      </c>
      <c r="B3086" t="s">
        <v>2759</v>
      </c>
      <c r="C3086">
        <v>-2.0646463196344902</v>
      </c>
      <c r="D3086">
        <v>0</v>
      </c>
      <c r="E3086">
        <v>4.7294088182944904E-3</v>
      </c>
      <c r="F3086" t="str">
        <f>"16/18"</f>
        <v>16/18</v>
      </c>
      <c r="G3086" s="10">
        <v>0.48010000000000003</v>
      </c>
    </row>
    <row r="3087" spans="1:7" x14ac:dyDescent="0.2">
      <c r="A3087" s="1" t="s">
        <v>122</v>
      </c>
      <c r="B3087" t="s">
        <v>1257</v>
      </c>
      <c r="C3087">
        <v>-2.06463639670178</v>
      </c>
      <c r="D3087">
        <v>0</v>
      </c>
      <c r="E3087">
        <v>4.7266317138797602E-3</v>
      </c>
      <c r="F3087" t="str">
        <f>"30/32"</f>
        <v>30/32</v>
      </c>
      <c r="G3087" s="10">
        <v>0.64319999999999999</v>
      </c>
    </row>
    <row r="3088" spans="1:7" x14ac:dyDescent="0.2">
      <c r="A3088" s="1" t="s">
        <v>122</v>
      </c>
      <c r="B3088" t="s">
        <v>2760</v>
      </c>
      <c r="C3088">
        <v>-2.0632306235067701</v>
      </c>
      <c r="D3088">
        <v>0</v>
      </c>
      <c r="E3088">
        <v>4.7534745327325904E-3</v>
      </c>
      <c r="F3088" t="str">
        <f>"14/17"</f>
        <v>14/17</v>
      </c>
      <c r="G3088" s="10">
        <v>0.38080000000000003</v>
      </c>
    </row>
    <row r="3089" spans="1:7" x14ac:dyDescent="0.2">
      <c r="A3089" s="1" t="s">
        <v>122</v>
      </c>
      <c r="B3089" t="s">
        <v>823</v>
      </c>
      <c r="C3089">
        <v>-2.0631123130034101</v>
      </c>
      <c r="D3089">
        <v>0</v>
      </c>
      <c r="E3089">
        <v>4.7506865711298097E-3</v>
      </c>
      <c r="F3089" t="str">
        <f>"59/84"</f>
        <v>59/84</v>
      </c>
      <c r="G3089" s="10">
        <v>0.50890000000000002</v>
      </c>
    </row>
    <row r="3090" spans="1:7" x14ac:dyDescent="0.2">
      <c r="A3090" s="1" t="s">
        <v>122</v>
      </c>
      <c r="B3090" t="s">
        <v>2761</v>
      </c>
      <c r="C3090">
        <v>-2.0619783873621498</v>
      </c>
      <c r="D3090">
        <v>0</v>
      </c>
      <c r="E3090">
        <v>4.7626928495286503E-3</v>
      </c>
      <c r="F3090" t="str">
        <f>"28/31"</f>
        <v>28/31</v>
      </c>
      <c r="G3090" s="10">
        <v>0.60329999999999995</v>
      </c>
    </row>
    <row r="3091" spans="1:7" x14ac:dyDescent="0.2">
      <c r="A3091" s="1" t="s">
        <v>122</v>
      </c>
      <c r="B3091" t="s">
        <v>2762</v>
      </c>
      <c r="C3091">
        <v>-2.0612123814755998</v>
      </c>
      <c r="D3091">
        <v>0</v>
      </c>
      <c r="E3091">
        <v>4.7599027541276404E-3</v>
      </c>
      <c r="F3091" t="str">
        <f>"20/23"</f>
        <v>20/23</v>
      </c>
      <c r="G3091" s="10">
        <v>0.51590000000000003</v>
      </c>
    </row>
    <row r="3092" spans="1:7" x14ac:dyDescent="0.2">
      <c r="A3092" s="1" t="s">
        <v>122</v>
      </c>
      <c r="B3092" t="s">
        <v>2763</v>
      </c>
      <c r="C3092">
        <v>-2.0609524284580401</v>
      </c>
      <c r="D3092">
        <v>0</v>
      </c>
      <c r="E3092">
        <v>4.7718895777607902E-3</v>
      </c>
      <c r="F3092" t="str">
        <f>"24/27"</f>
        <v>24/27</v>
      </c>
      <c r="G3092" s="10">
        <v>0.56540000000000001</v>
      </c>
    </row>
    <row r="3093" spans="1:7" x14ac:dyDescent="0.2">
      <c r="A3093" s="1" t="s">
        <v>122</v>
      </c>
      <c r="B3093" t="s">
        <v>2764</v>
      </c>
      <c r="C3093">
        <v>-2.06086112184384</v>
      </c>
      <c r="D3093">
        <v>0</v>
      </c>
      <c r="E3093">
        <v>4.7690973661880798E-3</v>
      </c>
      <c r="F3093" t="str">
        <f>"44/46"</f>
        <v>44/46</v>
      </c>
      <c r="G3093" s="10">
        <v>0.71660000000000001</v>
      </c>
    </row>
    <row r="3094" spans="1:7" x14ac:dyDescent="0.2">
      <c r="A3094" s="1" t="s">
        <v>122</v>
      </c>
      <c r="B3094" t="s">
        <v>2765</v>
      </c>
      <c r="C3094">
        <v>-2.0606166811772799</v>
      </c>
      <c r="D3094">
        <v>0</v>
      </c>
      <c r="E3094">
        <v>4.7958211659968096E-3</v>
      </c>
      <c r="F3094" t="str">
        <f>"17/17"</f>
        <v>17/17</v>
      </c>
      <c r="G3094" s="10">
        <v>0.58979999999999999</v>
      </c>
    </row>
    <row r="3095" spans="1:7" x14ac:dyDescent="0.2">
      <c r="A3095" s="1" t="s">
        <v>122</v>
      </c>
      <c r="B3095" t="s">
        <v>2766</v>
      </c>
      <c r="C3095">
        <v>-2.06055591278905</v>
      </c>
      <c r="D3095">
        <v>0</v>
      </c>
      <c r="E3095">
        <v>4.7930182313585899E-3</v>
      </c>
      <c r="F3095" t="str">
        <f>"14/15"</f>
        <v>14/15</v>
      </c>
      <c r="G3095" s="10">
        <v>0.49569999999999997</v>
      </c>
    </row>
    <row r="3096" spans="1:7" x14ac:dyDescent="0.2">
      <c r="A3096" s="1" t="s">
        <v>122</v>
      </c>
      <c r="B3096" t="s">
        <v>2767</v>
      </c>
      <c r="C3096">
        <v>-2.0601515244801898</v>
      </c>
      <c r="D3096">
        <v>0</v>
      </c>
      <c r="E3096">
        <v>4.7902185711767202E-3</v>
      </c>
      <c r="F3096" t="str">
        <f>"24/25"</f>
        <v>24/25</v>
      </c>
      <c r="G3096" s="10">
        <v>0.61209999999999998</v>
      </c>
    </row>
    <row r="3097" spans="1:7" x14ac:dyDescent="0.2">
      <c r="A3097" s="1" t="s">
        <v>122</v>
      </c>
      <c r="B3097" t="s">
        <v>2768</v>
      </c>
      <c r="C3097">
        <v>-2.0595032023970998</v>
      </c>
      <c r="D3097">
        <v>0</v>
      </c>
      <c r="E3097">
        <v>4.8463442988515796E-3</v>
      </c>
      <c r="F3097" t="str">
        <f>"49/57"</f>
        <v>49/57</v>
      </c>
      <c r="G3097" s="10">
        <v>0.62880000000000003</v>
      </c>
    </row>
    <row r="3098" spans="1:7" x14ac:dyDescent="0.2">
      <c r="A3098" s="1" t="s">
        <v>122</v>
      </c>
      <c r="B3098" t="s">
        <v>2769</v>
      </c>
      <c r="C3098">
        <v>-2.05806412741866</v>
      </c>
      <c r="D3098">
        <v>1.9607843137254902E-2</v>
      </c>
      <c r="E3098">
        <v>4.8582387289686701E-3</v>
      </c>
      <c r="F3098" t="str">
        <f>"17/17"</f>
        <v>17/17</v>
      </c>
      <c r="G3098" s="10">
        <v>0.59319999999999995</v>
      </c>
    </row>
    <row r="3099" spans="1:7" x14ac:dyDescent="0.2">
      <c r="A3099" s="1" t="s">
        <v>122</v>
      </c>
      <c r="B3099" t="s">
        <v>2770</v>
      </c>
      <c r="C3099">
        <v>-2.0578988810727501</v>
      </c>
      <c r="D3099">
        <v>0</v>
      </c>
      <c r="E3099">
        <v>4.8701192880302403E-3</v>
      </c>
      <c r="F3099" t="str">
        <f>"23/23"</f>
        <v>23/23</v>
      </c>
      <c r="G3099" s="10">
        <v>0.66659999999999997</v>
      </c>
    </row>
    <row r="3100" spans="1:7" x14ac:dyDescent="0.2">
      <c r="A3100" s="1" t="s">
        <v>122</v>
      </c>
      <c r="B3100" t="s">
        <v>2771</v>
      </c>
      <c r="C3100">
        <v>-2.0549574040587002</v>
      </c>
      <c r="D3100">
        <v>0</v>
      </c>
      <c r="E3100">
        <v>4.9261003316142596E-3</v>
      </c>
      <c r="F3100" t="str">
        <f>"16/18"</f>
        <v>16/18</v>
      </c>
      <c r="G3100" s="10">
        <v>0.50780000000000003</v>
      </c>
    </row>
    <row r="3101" spans="1:7" x14ac:dyDescent="0.2">
      <c r="A3101" s="1" t="s">
        <v>122</v>
      </c>
      <c r="B3101" t="s">
        <v>1029</v>
      </c>
      <c r="C3101">
        <v>-2.0522353065363101</v>
      </c>
      <c r="D3101">
        <v>0</v>
      </c>
      <c r="E3101">
        <v>5.0701934445227699E-3</v>
      </c>
      <c r="F3101" t="str">
        <f>"21/29"</f>
        <v>21/29</v>
      </c>
      <c r="G3101" s="10">
        <v>0.4163</v>
      </c>
    </row>
    <row r="3102" spans="1:7" x14ac:dyDescent="0.2">
      <c r="A3102" s="1" t="s">
        <v>122</v>
      </c>
      <c r="B3102" t="s">
        <v>2772</v>
      </c>
      <c r="C3102">
        <v>-2.0510843527193798</v>
      </c>
      <c r="D3102">
        <v>0</v>
      </c>
      <c r="E3102">
        <v>5.1406805191171996E-3</v>
      </c>
      <c r="F3102" t="str">
        <f>"13/15"</f>
        <v>13/15</v>
      </c>
      <c r="G3102" s="10">
        <v>0.44900000000000001</v>
      </c>
    </row>
    <row r="3103" spans="1:7" x14ac:dyDescent="0.2">
      <c r="A3103" s="1" t="s">
        <v>122</v>
      </c>
      <c r="B3103" t="s">
        <v>2773</v>
      </c>
      <c r="C3103">
        <v>-2.05085013671984</v>
      </c>
      <c r="D3103">
        <v>0</v>
      </c>
      <c r="E3103">
        <v>5.1376900127070102E-3</v>
      </c>
      <c r="F3103" t="str">
        <f>"15/16"</f>
        <v>15/16</v>
      </c>
      <c r="G3103" s="10">
        <v>0.52859999999999996</v>
      </c>
    </row>
    <row r="3104" spans="1:7" x14ac:dyDescent="0.2">
      <c r="A3104" s="1" t="s">
        <v>122</v>
      </c>
      <c r="B3104" t="s">
        <v>2774</v>
      </c>
      <c r="C3104">
        <v>-2.0505415087916998</v>
      </c>
      <c r="D3104">
        <v>2.1739130434782601E-2</v>
      </c>
      <c r="E3104">
        <v>5.14937356358308E-3</v>
      </c>
      <c r="F3104" t="str">
        <f>"15/17"</f>
        <v>15/17</v>
      </c>
      <c r="G3104" s="10">
        <v>0.49380000000000002</v>
      </c>
    </row>
    <row r="3105" spans="1:7" x14ac:dyDescent="0.2">
      <c r="A3105" s="1" t="s">
        <v>122</v>
      </c>
      <c r="B3105" t="s">
        <v>819</v>
      </c>
      <c r="C3105">
        <v>-2.0494746482783599</v>
      </c>
      <c r="D3105">
        <v>3.5714285714285698E-2</v>
      </c>
      <c r="E3105">
        <v>5.1757055923312102E-3</v>
      </c>
      <c r="F3105" t="str">
        <f>"52/57"</f>
        <v>52/57</v>
      </c>
      <c r="G3105" s="10">
        <v>0.69130000000000003</v>
      </c>
    </row>
    <row r="3106" spans="1:7" x14ac:dyDescent="0.2">
      <c r="A3106" s="1" t="s">
        <v>122</v>
      </c>
      <c r="B3106" t="s">
        <v>2775</v>
      </c>
      <c r="C3106">
        <v>-2.0494002537851999</v>
      </c>
      <c r="D3106">
        <v>0</v>
      </c>
      <c r="E3106">
        <v>5.1726999560987299E-3</v>
      </c>
      <c r="F3106" t="str">
        <f>"16/19"</f>
        <v>16/19</v>
      </c>
      <c r="G3106" s="10">
        <v>0.45100000000000001</v>
      </c>
    </row>
    <row r="3107" spans="1:7" x14ac:dyDescent="0.2">
      <c r="A3107" s="1" t="s">
        <v>122</v>
      </c>
      <c r="B3107" t="s">
        <v>1320</v>
      </c>
      <c r="C3107">
        <v>-2.04922329198796</v>
      </c>
      <c r="D3107">
        <v>0</v>
      </c>
      <c r="E3107">
        <v>5.1843428449922001E-3</v>
      </c>
      <c r="F3107" t="str">
        <f>"37/42"</f>
        <v>37/42</v>
      </c>
      <c r="G3107" s="10">
        <v>0.62129999999999996</v>
      </c>
    </row>
    <row r="3108" spans="1:7" x14ac:dyDescent="0.2">
      <c r="A3108" s="1" t="s">
        <v>122</v>
      </c>
      <c r="B3108" t="s">
        <v>1111</v>
      </c>
      <c r="C3108">
        <v>-2.0490289597621798</v>
      </c>
      <c r="D3108">
        <v>0</v>
      </c>
      <c r="E3108">
        <v>5.18133568556935E-3</v>
      </c>
      <c r="F3108" t="str">
        <f>"14/18"</f>
        <v>14/18</v>
      </c>
      <c r="G3108" s="10">
        <v>0.37569999999999998</v>
      </c>
    </row>
    <row r="3109" spans="1:7" x14ac:dyDescent="0.2">
      <c r="A3109" s="1" t="s">
        <v>122</v>
      </c>
      <c r="B3109" t="s">
        <v>2776</v>
      </c>
      <c r="C3109">
        <v>-2.0486636515468102</v>
      </c>
      <c r="D3109">
        <v>0</v>
      </c>
      <c r="E3109">
        <v>5.2075881257742998E-3</v>
      </c>
      <c r="F3109" t="str">
        <f>"13/15"</f>
        <v>13/15</v>
      </c>
      <c r="G3109" s="10">
        <v>0.433</v>
      </c>
    </row>
    <row r="3110" spans="1:7" x14ac:dyDescent="0.2">
      <c r="A3110" s="1" t="s">
        <v>122</v>
      </c>
      <c r="B3110" t="s">
        <v>2777</v>
      </c>
      <c r="C3110">
        <v>-2.04811855877775</v>
      </c>
      <c r="D3110">
        <v>0</v>
      </c>
      <c r="E3110">
        <v>5.2338101460021897E-3</v>
      </c>
      <c r="F3110" t="str">
        <f>"16/26"</f>
        <v>16/26</v>
      </c>
      <c r="G3110" s="10">
        <v>0.28199999999999997</v>
      </c>
    </row>
    <row r="3111" spans="1:7" x14ac:dyDescent="0.2">
      <c r="A3111" s="1" t="s">
        <v>122</v>
      </c>
      <c r="B3111" t="s">
        <v>2778</v>
      </c>
      <c r="C3111">
        <v>-2.0470846245219798</v>
      </c>
      <c r="D3111">
        <v>0</v>
      </c>
      <c r="E3111">
        <v>5.2746129152046496E-3</v>
      </c>
      <c r="F3111" t="str">
        <f>"14/16"</f>
        <v>14/16</v>
      </c>
      <c r="G3111" s="10">
        <v>0.4536</v>
      </c>
    </row>
    <row r="3112" spans="1:7" x14ac:dyDescent="0.2">
      <c r="A3112" s="1" t="s">
        <v>122</v>
      </c>
      <c r="B3112" t="s">
        <v>2779</v>
      </c>
      <c r="C3112">
        <v>-2.0465925580826698</v>
      </c>
      <c r="D3112">
        <v>2.2222222222222199E-2</v>
      </c>
      <c r="E3112">
        <v>5.2861631377766104E-3</v>
      </c>
      <c r="F3112" t="str">
        <f>"21/24"</f>
        <v>21/24</v>
      </c>
      <c r="G3112" s="10">
        <v>0.52270000000000005</v>
      </c>
    </row>
    <row r="3113" spans="1:7" x14ac:dyDescent="0.2">
      <c r="A3113" s="1" t="s">
        <v>122</v>
      </c>
      <c r="B3113" t="s">
        <v>2780</v>
      </c>
      <c r="C3113">
        <v>-2.0465117064657901</v>
      </c>
      <c r="D3113">
        <v>0</v>
      </c>
      <c r="E3113">
        <v>5.2831057848918396E-3</v>
      </c>
      <c r="F3113" t="str">
        <f>"16/16"</f>
        <v>16/16</v>
      </c>
      <c r="G3113" s="10">
        <v>0.59379999999999999</v>
      </c>
    </row>
    <row r="3114" spans="1:7" x14ac:dyDescent="0.2">
      <c r="A3114" s="1" t="s">
        <v>122</v>
      </c>
      <c r="B3114" t="s">
        <v>2781</v>
      </c>
      <c r="C3114">
        <v>-2.0463441332397698</v>
      </c>
      <c r="D3114">
        <v>0</v>
      </c>
      <c r="E3114">
        <v>5.2800519665190697E-3</v>
      </c>
      <c r="F3114" t="str">
        <f>"17/17"</f>
        <v>17/17</v>
      </c>
      <c r="G3114" s="10">
        <v>0.58560000000000001</v>
      </c>
    </row>
    <row r="3115" spans="1:7" x14ac:dyDescent="0.2">
      <c r="A3115" s="1" t="s">
        <v>122</v>
      </c>
      <c r="B3115" t="s">
        <v>2782</v>
      </c>
      <c r="C3115">
        <v>-2.0463421312507601</v>
      </c>
      <c r="D3115">
        <v>0</v>
      </c>
      <c r="E3115">
        <v>5.2770016765326302E-3</v>
      </c>
      <c r="F3115" t="str">
        <f>"30/32"</f>
        <v>30/32</v>
      </c>
      <c r="G3115" s="10">
        <v>0.63460000000000005</v>
      </c>
    </row>
    <row r="3116" spans="1:7" x14ac:dyDescent="0.2">
      <c r="A3116" s="1" t="s">
        <v>122</v>
      </c>
      <c r="B3116" t="s">
        <v>2783</v>
      </c>
      <c r="C3116">
        <v>-2.0456973272962</v>
      </c>
      <c r="D3116">
        <v>0</v>
      </c>
      <c r="E3116">
        <v>5.30309278124543E-3</v>
      </c>
      <c r="F3116" t="str">
        <f>"42/46"</f>
        <v>42/46</v>
      </c>
      <c r="G3116" s="10">
        <v>0.6734</v>
      </c>
    </row>
    <row r="3117" spans="1:7" x14ac:dyDescent="0.2">
      <c r="A3117" s="1" t="s">
        <v>122</v>
      </c>
      <c r="B3117" t="s">
        <v>2784</v>
      </c>
      <c r="C3117">
        <v>-2.0444549098027398</v>
      </c>
      <c r="D3117">
        <v>0</v>
      </c>
      <c r="E3117">
        <v>5.3291537750468502E-3</v>
      </c>
      <c r="F3117" t="str">
        <f>"20/20"</f>
        <v>20/20</v>
      </c>
      <c r="G3117" s="10">
        <v>0.61450000000000005</v>
      </c>
    </row>
    <row r="3118" spans="1:7" x14ac:dyDescent="0.2">
      <c r="A3118" s="1" t="s">
        <v>122</v>
      </c>
      <c r="B3118" t="s">
        <v>2785</v>
      </c>
      <c r="C3118">
        <v>-2.0426655464208499</v>
      </c>
      <c r="D3118">
        <v>0</v>
      </c>
      <c r="E3118">
        <v>5.3697368423961103E-3</v>
      </c>
      <c r="F3118" t="str">
        <f>"17/17"</f>
        <v>17/17</v>
      </c>
      <c r="G3118" s="10">
        <v>0.58040000000000003</v>
      </c>
    </row>
    <row r="3119" spans="1:7" x14ac:dyDescent="0.2">
      <c r="A3119" s="1" t="s">
        <v>122</v>
      </c>
      <c r="B3119" t="s">
        <v>771</v>
      </c>
      <c r="C3119">
        <v>-2.0425018813135498</v>
      </c>
      <c r="D3119">
        <v>0</v>
      </c>
      <c r="E3119">
        <v>5.3811856381754501E-3</v>
      </c>
      <c r="F3119" t="str">
        <f>"53/63"</f>
        <v>53/63</v>
      </c>
      <c r="G3119" s="10">
        <v>0.63290000000000002</v>
      </c>
    </row>
    <row r="3120" spans="1:7" x14ac:dyDescent="0.2">
      <c r="A3120" s="1" t="s">
        <v>122</v>
      </c>
      <c r="B3120" t="s">
        <v>2786</v>
      </c>
      <c r="C3120">
        <v>-2.0420638407617999</v>
      </c>
      <c r="D3120">
        <v>0</v>
      </c>
      <c r="E3120">
        <v>5.3780858768631397E-3</v>
      </c>
      <c r="F3120" t="str">
        <f>"25/26"</f>
        <v>25/26</v>
      </c>
      <c r="G3120" s="10">
        <v>0.62929999999999997</v>
      </c>
    </row>
    <row r="3121" spans="1:7" x14ac:dyDescent="0.2">
      <c r="A3121" s="1" t="s">
        <v>122</v>
      </c>
      <c r="B3121" t="s">
        <v>2787</v>
      </c>
      <c r="C3121">
        <v>-2.04173217849138</v>
      </c>
      <c r="D3121">
        <v>0</v>
      </c>
      <c r="E3121">
        <v>5.41857068209157E-3</v>
      </c>
      <c r="F3121" t="str">
        <f>"20/22"</f>
        <v>20/22</v>
      </c>
      <c r="G3121" s="10">
        <v>0.5544</v>
      </c>
    </row>
    <row r="3122" spans="1:7" x14ac:dyDescent="0.2">
      <c r="A3122" s="1" t="s">
        <v>122</v>
      </c>
      <c r="B3122" t="s">
        <v>928</v>
      </c>
      <c r="C3122">
        <v>-2.0416419313834102</v>
      </c>
      <c r="D3122">
        <v>0</v>
      </c>
      <c r="E3122">
        <v>5.4299716181315403E-3</v>
      </c>
      <c r="F3122" t="str">
        <f>"40/43"</f>
        <v>40/43</v>
      </c>
      <c r="G3122" s="10">
        <v>0.67720000000000002</v>
      </c>
    </row>
    <row r="3123" spans="1:7" x14ac:dyDescent="0.2">
      <c r="A3123" s="1" t="s">
        <v>122</v>
      </c>
      <c r="B3123" t="s">
        <v>743</v>
      </c>
      <c r="C3123">
        <v>-2.0393541789928</v>
      </c>
      <c r="D3123">
        <v>0</v>
      </c>
      <c r="E3123">
        <v>5.4994006094941797E-3</v>
      </c>
      <c r="F3123" t="str">
        <f>"34/38"</f>
        <v>34/38</v>
      </c>
      <c r="G3123" s="10">
        <v>0.61919999999999997</v>
      </c>
    </row>
    <row r="3124" spans="1:7" x14ac:dyDescent="0.2">
      <c r="A3124" s="1" t="s">
        <v>122</v>
      </c>
      <c r="B3124" t="s">
        <v>2788</v>
      </c>
      <c r="C3124">
        <v>-2.03861170479151</v>
      </c>
      <c r="D3124">
        <v>0</v>
      </c>
      <c r="E3124">
        <v>5.4962400344312498E-3</v>
      </c>
      <c r="F3124" t="str">
        <f>"16/19"</f>
        <v>16/19</v>
      </c>
      <c r="G3124" s="10">
        <v>0.43919999999999998</v>
      </c>
    </row>
    <row r="3125" spans="1:7" x14ac:dyDescent="0.2">
      <c r="A3125" s="1" t="s">
        <v>122</v>
      </c>
      <c r="B3125" t="s">
        <v>1076</v>
      </c>
      <c r="C3125">
        <v>-2.0353136899500899</v>
      </c>
      <c r="D3125">
        <v>0</v>
      </c>
      <c r="E3125">
        <v>5.6235256964884198E-3</v>
      </c>
      <c r="F3125" t="str">
        <f>"23/24"</f>
        <v>23/24</v>
      </c>
      <c r="G3125" s="10">
        <v>0.62070000000000003</v>
      </c>
    </row>
    <row r="3126" spans="1:7" x14ac:dyDescent="0.2">
      <c r="A3126" s="1" t="s">
        <v>122</v>
      </c>
      <c r="B3126" t="s">
        <v>2789</v>
      </c>
      <c r="C3126">
        <v>-2.03444010321763</v>
      </c>
      <c r="D3126">
        <v>0</v>
      </c>
      <c r="E3126">
        <v>5.6347827985682502E-3</v>
      </c>
      <c r="F3126" t="str">
        <f>"30/32"</f>
        <v>30/32</v>
      </c>
      <c r="G3126" s="10">
        <v>0.63039999999999996</v>
      </c>
    </row>
    <row r="3127" spans="1:7" x14ac:dyDescent="0.2">
      <c r="A3127" s="1" t="s">
        <v>122</v>
      </c>
      <c r="B3127" t="s">
        <v>2790</v>
      </c>
      <c r="C3127">
        <v>-2.03380412492508</v>
      </c>
      <c r="D3127">
        <v>0</v>
      </c>
      <c r="E3127">
        <v>5.6605039759868104E-3</v>
      </c>
      <c r="F3127" t="str">
        <f>"70/93"</f>
        <v>70/93</v>
      </c>
      <c r="G3127" s="10">
        <v>0.57079999999999997</v>
      </c>
    </row>
    <row r="3128" spans="1:7" x14ac:dyDescent="0.2">
      <c r="A3128" s="1" t="s">
        <v>122</v>
      </c>
      <c r="B3128" t="s">
        <v>1133</v>
      </c>
      <c r="C3128">
        <v>-2.0336051434779598</v>
      </c>
      <c r="D3128">
        <v>0</v>
      </c>
      <c r="E3128">
        <v>5.6572582741657102E-3</v>
      </c>
      <c r="F3128" t="str">
        <f>"50/57"</f>
        <v>50/57</v>
      </c>
      <c r="G3128" s="10">
        <v>0.66600000000000004</v>
      </c>
    </row>
    <row r="3129" spans="1:7" x14ac:dyDescent="0.2">
      <c r="A3129" s="1" t="s">
        <v>122</v>
      </c>
      <c r="B3129" t="s">
        <v>2791</v>
      </c>
      <c r="C3129">
        <v>-2.03273894208936</v>
      </c>
      <c r="D3129">
        <v>0</v>
      </c>
      <c r="E3129">
        <v>5.6829370917960498E-3</v>
      </c>
      <c r="F3129" t="str">
        <f>"29/31"</f>
        <v>29/31</v>
      </c>
      <c r="G3129" s="10">
        <v>0.64319999999999999</v>
      </c>
    </row>
    <row r="3130" spans="1:7" x14ac:dyDescent="0.2">
      <c r="A3130" s="1" t="s">
        <v>122</v>
      </c>
      <c r="B3130" t="s">
        <v>196</v>
      </c>
      <c r="C3130">
        <v>-2.0325957732207098</v>
      </c>
      <c r="D3130">
        <v>2.5000000000000001E-2</v>
      </c>
      <c r="E3130">
        <v>5.6796822595556202E-3</v>
      </c>
      <c r="F3130" t="str">
        <f>"18/19"</f>
        <v>18/19</v>
      </c>
      <c r="G3130" s="10">
        <v>0.56840000000000002</v>
      </c>
    </row>
    <row r="3131" spans="1:7" x14ac:dyDescent="0.2">
      <c r="A3131" s="1" t="s">
        <v>122</v>
      </c>
      <c r="B3131" t="s">
        <v>2792</v>
      </c>
      <c r="C3131">
        <v>-2.0319025550663001</v>
      </c>
      <c r="D3131">
        <v>0</v>
      </c>
      <c r="E3131">
        <v>5.6764311535112202E-3</v>
      </c>
      <c r="F3131" t="str">
        <f>"16/16"</f>
        <v>16/16</v>
      </c>
      <c r="G3131" s="10">
        <v>0.53849999999999998</v>
      </c>
    </row>
    <row r="3132" spans="1:7" x14ac:dyDescent="0.2">
      <c r="A3132" s="1" t="s">
        <v>122</v>
      </c>
      <c r="B3132" t="s">
        <v>2793</v>
      </c>
      <c r="C3132">
        <v>-2.0303948388361999</v>
      </c>
      <c r="D3132">
        <v>0</v>
      </c>
      <c r="E3132">
        <v>5.7164905135828198E-3</v>
      </c>
      <c r="F3132" t="str">
        <f>"31/36"</f>
        <v>31/36</v>
      </c>
      <c r="G3132" s="10">
        <v>0.58640000000000003</v>
      </c>
    </row>
    <row r="3133" spans="1:7" x14ac:dyDescent="0.2">
      <c r="A3133" s="1" t="s">
        <v>122</v>
      </c>
      <c r="B3133" t="s">
        <v>2794</v>
      </c>
      <c r="C3133">
        <v>-2.0298197887530698</v>
      </c>
      <c r="D3133">
        <v>0</v>
      </c>
      <c r="E3133">
        <v>5.7565040653524396E-3</v>
      </c>
      <c r="F3133" t="str">
        <f>"29/36"</f>
        <v>29/36</v>
      </c>
      <c r="G3133" s="10">
        <v>0.52339999999999998</v>
      </c>
    </row>
    <row r="3134" spans="1:7" x14ac:dyDescent="0.2">
      <c r="A3134" s="1" t="s">
        <v>122</v>
      </c>
      <c r="B3134" t="s">
        <v>197</v>
      </c>
      <c r="C3134">
        <v>-2.0287648968093301</v>
      </c>
      <c r="D3134">
        <v>0</v>
      </c>
      <c r="E3134">
        <v>5.79647188734862E-3</v>
      </c>
      <c r="F3134" t="str">
        <f>"20/21"</f>
        <v>20/21</v>
      </c>
      <c r="G3134" s="10">
        <v>0.60160000000000002</v>
      </c>
    </row>
    <row r="3135" spans="1:7" x14ac:dyDescent="0.2">
      <c r="A3135" s="1" t="s">
        <v>122</v>
      </c>
      <c r="B3135" t="s">
        <v>2795</v>
      </c>
      <c r="C3135">
        <v>-2.0276406898064301</v>
      </c>
      <c r="D3135">
        <v>0</v>
      </c>
      <c r="E3135">
        <v>5.8075723588690096E-3</v>
      </c>
      <c r="F3135" t="str">
        <f>"27/32"</f>
        <v>27/32</v>
      </c>
      <c r="G3135" s="10">
        <v>0.53900000000000003</v>
      </c>
    </row>
    <row r="3136" spans="1:7" x14ac:dyDescent="0.2">
      <c r="A3136" s="1" t="s">
        <v>122</v>
      </c>
      <c r="B3136" t="s">
        <v>2796</v>
      </c>
      <c r="C3136">
        <v>-2.0273009994525499</v>
      </c>
      <c r="D3136">
        <v>0</v>
      </c>
      <c r="E3136">
        <v>5.8042575344632603E-3</v>
      </c>
      <c r="F3136" t="str">
        <f>"13/16"</f>
        <v>13/16</v>
      </c>
      <c r="G3136" s="10">
        <v>0.39489999999999997</v>
      </c>
    </row>
    <row r="3137" spans="1:7" x14ac:dyDescent="0.2">
      <c r="A3137" s="1" t="s">
        <v>122</v>
      </c>
      <c r="B3137" t="s">
        <v>2797</v>
      </c>
      <c r="C3137">
        <v>-2.02729530384928</v>
      </c>
      <c r="D3137">
        <v>0</v>
      </c>
      <c r="E3137">
        <v>5.8009464919450303E-3</v>
      </c>
      <c r="F3137" t="str">
        <f>"23/29"</f>
        <v>23/29</v>
      </c>
      <c r="G3137" s="10">
        <v>0.48499999999999999</v>
      </c>
    </row>
    <row r="3138" spans="1:7" x14ac:dyDescent="0.2">
      <c r="A3138" s="1" t="s">
        <v>122</v>
      </c>
      <c r="B3138" t="s">
        <v>2798</v>
      </c>
      <c r="C3138">
        <v>-2.0261983616183299</v>
      </c>
      <c r="D3138">
        <v>0</v>
      </c>
      <c r="E3138">
        <v>5.8120254263963403E-3</v>
      </c>
      <c r="F3138" t="str">
        <f>"11/15"</f>
        <v>11/15</v>
      </c>
      <c r="G3138" s="10">
        <v>0.3165</v>
      </c>
    </row>
    <row r="3139" spans="1:7" x14ac:dyDescent="0.2">
      <c r="A3139" s="1" t="s">
        <v>122</v>
      </c>
      <c r="B3139" t="s">
        <v>2799</v>
      </c>
      <c r="C3139">
        <v>-2.0257649371779101</v>
      </c>
      <c r="D3139">
        <v>0</v>
      </c>
      <c r="E3139">
        <v>5.8087137309966903E-3</v>
      </c>
      <c r="F3139" t="str">
        <f>"19/20"</f>
        <v>19/20</v>
      </c>
      <c r="G3139" s="10">
        <v>0.57720000000000005</v>
      </c>
    </row>
    <row r="3140" spans="1:7" x14ac:dyDescent="0.2">
      <c r="A3140" s="1" t="s">
        <v>122</v>
      </c>
      <c r="B3140" t="s">
        <v>2800</v>
      </c>
      <c r="C3140">
        <v>-2.0249037820993201</v>
      </c>
      <c r="D3140">
        <v>0</v>
      </c>
      <c r="E3140">
        <v>5.83414544016987E-3</v>
      </c>
      <c r="F3140" t="str">
        <f>"14/15"</f>
        <v>14/15</v>
      </c>
      <c r="G3140" s="10">
        <v>0.48380000000000001</v>
      </c>
    </row>
    <row r="3141" spans="1:7" x14ac:dyDescent="0.2">
      <c r="A3141" s="1" t="s">
        <v>122</v>
      </c>
      <c r="B3141" t="s">
        <v>1312</v>
      </c>
      <c r="C3141">
        <v>-2.0239956583822698</v>
      </c>
      <c r="D3141">
        <v>0</v>
      </c>
      <c r="E3141">
        <v>5.87390983807453E-3</v>
      </c>
      <c r="F3141" t="str">
        <f>"25/27"</f>
        <v>25/27</v>
      </c>
      <c r="G3141" s="10">
        <v>0.62129999999999996</v>
      </c>
    </row>
    <row r="3142" spans="1:7" x14ac:dyDescent="0.2">
      <c r="A3142" s="1" t="s">
        <v>122</v>
      </c>
      <c r="B3142" t="s">
        <v>2801</v>
      </c>
      <c r="C3142">
        <v>-2.0228813933202399</v>
      </c>
      <c r="D3142">
        <v>0</v>
      </c>
      <c r="E3142">
        <v>5.8992755293151601E-3</v>
      </c>
      <c r="F3142" t="str">
        <f>"42/44"</f>
        <v>42/44</v>
      </c>
      <c r="G3142" s="10">
        <v>0.7107</v>
      </c>
    </row>
    <row r="3143" spans="1:7" x14ac:dyDescent="0.2">
      <c r="A3143" s="1" t="s">
        <v>122</v>
      </c>
      <c r="B3143" t="s">
        <v>2802</v>
      </c>
      <c r="C3143">
        <v>-2.0228578223307201</v>
      </c>
      <c r="D3143">
        <v>0</v>
      </c>
      <c r="E3143">
        <v>5.8959217626697296E-3</v>
      </c>
      <c r="F3143" t="str">
        <f>"47/58"</f>
        <v>47/58</v>
      </c>
      <c r="G3143" s="10">
        <v>0.57069999999999999</v>
      </c>
    </row>
    <row r="3144" spans="1:7" x14ac:dyDescent="0.2">
      <c r="A3144" s="1" t="s">
        <v>122</v>
      </c>
      <c r="B3144" t="s">
        <v>2803</v>
      </c>
      <c r="C3144">
        <v>-2.0200170841366099</v>
      </c>
      <c r="D3144">
        <v>0</v>
      </c>
      <c r="E3144">
        <v>5.9642575955305803E-3</v>
      </c>
      <c r="F3144" t="str">
        <f>"21/22"</f>
        <v>21/22</v>
      </c>
      <c r="G3144" s="10">
        <v>0.62880000000000003</v>
      </c>
    </row>
    <row r="3145" spans="1:7" x14ac:dyDescent="0.2">
      <c r="A3145" s="1" t="s">
        <v>122</v>
      </c>
      <c r="B3145" t="s">
        <v>2804</v>
      </c>
      <c r="C3145">
        <v>-2.0185126968965399</v>
      </c>
      <c r="D3145">
        <v>0</v>
      </c>
      <c r="E3145">
        <v>6.0038577857424603E-3</v>
      </c>
      <c r="F3145" t="str">
        <f>"26/27"</f>
        <v>26/27</v>
      </c>
      <c r="G3145" s="10">
        <v>0.65680000000000005</v>
      </c>
    </row>
    <row r="3146" spans="1:7" x14ac:dyDescent="0.2">
      <c r="A3146" s="1" t="s">
        <v>122</v>
      </c>
      <c r="B3146" t="s">
        <v>2805</v>
      </c>
      <c r="C3146">
        <v>-2.0182156916395999</v>
      </c>
      <c r="D3146">
        <v>0</v>
      </c>
      <c r="E3146">
        <v>6.0290921428669602E-3</v>
      </c>
      <c r="F3146" t="str">
        <f>"29/42"</f>
        <v>29/42</v>
      </c>
      <c r="G3146" s="10">
        <v>0.40529999999999999</v>
      </c>
    </row>
    <row r="3147" spans="1:7" x14ac:dyDescent="0.2">
      <c r="A3147" s="1" t="s">
        <v>122</v>
      </c>
      <c r="B3147" t="s">
        <v>2806</v>
      </c>
      <c r="C3147">
        <v>-2.0154784179625</v>
      </c>
      <c r="D3147">
        <v>0</v>
      </c>
      <c r="E3147">
        <v>6.0829233952409498E-3</v>
      </c>
      <c r="F3147" t="str">
        <f>"18/18"</f>
        <v>18/18</v>
      </c>
      <c r="G3147" s="10">
        <v>0.60870000000000002</v>
      </c>
    </row>
    <row r="3148" spans="1:7" x14ac:dyDescent="0.2">
      <c r="A3148" s="1" t="s">
        <v>122</v>
      </c>
      <c r="B3148" t="s">
        <v>86</v>
      </c>
      <c r="C3148">
        <v>-2.0152421350504501</v>
      </c>
      <c r="D3148">
        <v>0</v>
      </c>
      <c r="E3148">
        <v>6.0794750259692701E-3</v>
      </c>
      <c r="F3148" t="str">
        <f>"35/38"</f>
        <v>35/38</v>
      </c>
      <c r="G3148" s="10">
        <v>0.64710000000000001</v>
      </c>
    </row>
    <row r="3149" spans="1:7" x14ac:dyDescent="0.2">
      <c r="A3149" s="1" t="s">
        <v>122</v>
      </c>
      <c r="B3149" t="s">
        <v>2807</v>
      </c>
      <c r="C3149">
        <v>-2.01376987267248</v>
      </c>
      <c r="D3149">
        <v>0</v>
      </c>
      <c r="E3149">
        <v>6.16180981922215E-3</v>
      </c>
      <c r="F3149" t="str">
        <f>"18/23"</f>
        <v>18/23</v>
      </c>
      <c r="G3149" s="10">
        <v>0.41170000000000001</v>
      </c>
    </row>
    <row r="3150" spans="1:7" x14ac:dyDescent="0.2">
      <c r="A3150" s="1" t="s">
        <v>122</v>
      </c>
      <c r="B3150" t="s">
        <v>2808</v>
      </c>
      <c r="C3150">
        <v>-2.00798902949363</v>
      </c>
      <c r="D3150">
        <v>4.8780487804878002E-2</v>
      </c>
      <c r="E3150">
        <v>6.4012242858207799E-3</v>
      </c>
      <c r="F3150" t="str">
        <f>"27/29"</f>
        <v>27/29</v>
      </c>
      <c r="G3150" s="10">
        <v>0.63109999999999999</v>
      </c>
    </row>
    <row r="3151" spans="1:7" x14ac:dyDescent="0.2">
      <c r="A3151" s="1" t="s">
        <v>122</v>
      </c>
      <c r="B3151" t="s">
        <v>2809</v>
      </c>
      <c r="C3151">
        <v>-2.0074867895405002</v>
      </c>
      <c r="D3151">
        <v>0</v>
      </c>
      <c r="E3151">
        <v>6.4118819956304699E-3</v>
      </c>
      <c r="F3151" t="str">
        <f>"16/26"</f>
        <v>16/26</v>
      </c>
      <c r="G3151" s="10">
        <v>0.26829999999999998</v>
      </c>
    </row>
    <row r="3152" spans="1:7" x14ac:dyDescent="0.2">
      <c r="A3152" s="1" t="s">
        <v>122</v>
      </c>
      <c r="B3152" t="s">
        <v>1309</v>
      </c>
      <c r="C3152">
        <v>-2.0071156063244802</v>
      </c>
      <c r="D3152">
        <v>0</v>
      </c>
      <c r="E3152">
        <v>6.4082553655424503E-3</v>
      </c>
      <c r="F3152" t="str">
        <f>"46/53"</f>
        <v>46/53</v>
      </c>
      <c r="G3152" s="10">
        <v>0.61419999999999997</v>
      </c>
    </row>
    <row r="3153" spans="1:7" x14ac:dyDescent="0.2">
      <c r="A3153" s="1" t="s">
        <v>122</v>
      </c>
      <c r="B3153" t="s">
        <v>267</v>
      </c>
      <c r="C3153">
        <v>-2.0064895644180001</v>
      </c>
      <c r="D3153">
        <v>4.08163265306122E-2</v>
      </c>
      <c r="E3153">
        <v>6.4474254826668801E-3</v>
      </c>
      <c r="F3153" t="str">
        <f>"18/18"</f>
        <v>18/18</v>
      </c>
      <c r="G3153" s="10">
        <v>0.61519999999999997</v>
      </c>
    </row>
    <row r="3154" spans="1:7" x14ac:dyDescent="0.2">
      <c r="A3154" s="1" t="s">
        <v>122</v>
      </c>
      <c r="B3154" t="s">
        <v>2810</v>
      </c>
      <c r="C3154">
        <v>-2.00536114807363</v>
      </c>
      <c r="D3154">
        <v>0</v>
      </c>
      <c r="E3154">
        <v>6.4865513397719598E-3</v>
      </c>
      <c r="F3154" t="str">
        <f>"17/18"</f>
        <v>17/18</v>
      </c>
      <c r="G3154" s="10">
        <v>0.56489999999999996</v>
      </c>
    </row>
    <row r="3155" spans="1:7" x14ac:dyDescent="0.2">
      <c r="A3155" s="1" t="s">
        <v>122</v>
      </c>
      <c r="B3155" t="s">
        <v>2811</v>
      </c>
      <c r="C3155">
        <v>-2.0049059044607902</v>
      </c>
      <c r="D3155">
        <v>0</v>
      </c>
      <c r="E3155">
        <v>6.5113849048195702E-3</v>
      </c>
      <c r="F3155" t="str">
        <f>"17/21"</f>
        <v>17/21</v>
      </c>
      <c r="G3155" s="10">
        <v>0.45290000000000002</v>
      </c>
    </row>
    <row r="3156" spans="1:7" x14ac:dyDescent="0.2">
      <c r="A3156" s="1" t="s">
        <v>122</v>
      </c>
      <c r="B3156" t="s">
        <v>2812</v>
      </c>
      <c r="C3156">
        <v>-2.0024490689194701</v>
      </c>
      <c r="D3156">
        <v>0</v>
      </c>
      <c r="E3156">
        <v>6.56467057365332E-3</v>
      </c>
      <c r="F3156" t="str">
        <f>"70/90"</f>
        <v>70/90</v>
      </c>
      <c r="G3156" s="10">
        <v>0.6018</v>
      </c>
    </row>
    <row r="3157" spans="1:7" x14ac:dyDescent="0.2">
      <c r="A3157" s="1" t="s">
        <v>122</v>
      </c>
      <c r="B3157" t="s">
        <v>648</v>
      </c>
      <c r="C3157">
        <v>-2.0019329813225202</v>
      </c>
      <c r="D3157">
        <v>0</v>
      </c>
      <c r="E3157">
        <v>6.5752000304755897E-3</v>
      </c>
      <c r="F3157" t="str">
        <f>"17/19"</f>
        <v>17/19</v>
      </c>
      <c r="G3157" s="10">
        <v>0.5524</v>
      </c>
    </row>
    <row r="3158" spans="1:7" x14ac:dyDescent="0.2">
      <c r="A3158" s="1" t="s">
        <v>122</v>
      </c>
      <c r="B3158" t="s">
        <v>2813</v>
      </c>
      <c r="C3158">
        <v>-2.0019206873312099</v>
      </c>
      <c r="D3158">
        <v>0</v>
      </c>
      <c r="E3158">
        <v>6.5714936043028303E-3</v>
      </c>
      <c r="F3158" t="str">
        <f>"39/42"</f>
        <v>39/42</v>
      </c>
      <c r="G3158" s="10">
        <v>0.66610000000000003</v>
      </c>
    </row>
    <row r="3159" spans="1:7" x14ac:dyDescent="0.2">
      <c r="A3159" s="1" t="s">
        <v>122</v>
      </c>
      <c r="B3159" t="s">
        <v>2814</v>
      </c>
      <c r="C3159">
        <v>-2.0018291070404999</v>
      </c>
      <c r="D3159">
        <v>0</v>
      </c>
      <c r="E3159">
        <v>6.5677913543849198E-3</v>
      </c>
      <c r="F3159" t="str">
        <f>"16/18"</f>
        <v>16/18</v>
      </c>
      <c r="G3159" s="10">
        <v>0.4919</v>
      </c>
    </row>
    <row r="3160" spans="1:7" x14ac:dyDescent="0.2">
      <c r="A3160" s="1" t="s">
        <v>122</v>
      </c>
      <c r="B3160" t="s">
        <v>897</v>
      </c>
      <c r="C3160">
        <v>-2.0008384672496198</v>
      </c>
      <c r="D3160">
        <v>0</v>
      </c>
      <c r="E3160">
        <v>6.69196522055698E-3</v>
      </c>
      <c r="F3160" t="str">
        <f>"23/29"</f>
        <v>23/29</v>
      </c>
      <c r="G3160" s="10">
        <v>0.45610000000000001</v>
      </c>
    </row>
    <row r="3161" spans="1:7" x14ac:dyDescent="0.2">
      <c r="A3161" s="1" t="s">
        <v>122</v>
      </c>
      <c r="B3161" t="s">
        <v>2815</v>
      </c>
      <c r="C3161">
        <v>-1.99891760840247</v>
      </c>
      <c r="D3161">
        <v>0</v>
      </c>
      <c r="E3161">
        <v>6.74499933696534E-3</v>
      </c>
      <c r="F3161" t="str">
        <f>"20/23"</f>
        <v>20/23</v>
      </c>
      <c r="G3161" s="10">
        <v>0.53149999999999997</v>
      </c>
    </row>
    <row r="3162" spans="1:7" x14ac:dyDescent="0.2">
      <c r="A3162" s="1" t="s">
        <v>122</v>
      </c>
      <c r="B3162" t="s">
        <v>2816</v>
      </c>
      <c r="C3162">
        <v>-1.99781149989502</v>
      </c>
      <c r="D3162">
        <v>0</v>
      </c>
      <c r="E3162">
        <v>6.7553977611400197E-3</v>
      </c>
      <c r="F3162" t="str">
        <f>"30/31"</f>
        <v>30/31</v>
      </c>
      <c r="G3162" s="10">
        <v>0.67390000000000005</v>
      </c>
    </row>
    <row r="3163" spans="1:7" x14ac:dyDescent="0.2">
      <c r="A3163" s="1" t="s">
        <v>122</v>
      </c>
      <c r="B3163" t="s">
        <v>2817</v>
      </c>
      <c r="C3163">
        <v>-1.9956074984475001</v>
      </c>
      <c r="D3163">
        <v>0</v>
      </c>
      <c r="E3163">
        <v>6.8508887026103599E-3</v>
      </c>
      <c r="F3163" t="str">
        <f>"25/27"</f>
        <v>25/27</v>
      </c>
      <c r="G3163" s="10">
        <v>0.60680000000000001</v>
      </c>
    </row>
    <row r="3164" spans="1:7" x14ac:dyDescent="0.2">
      <c r="A3164" s="1" t="s">
        <v>122</v>
      </c>
      <c r="B3164" t="s">
        <v>2818</v>
      </c>
      <c r="C3164">
        <v>-1.9954605875217899</v>
      </c>
      <c r="D3164">
        <v>0</v>
      </c>
      <c r="E3164">
        <v>6.8753920207769298E-3</v>
      </c>
      <c r="F3164" t="str">
        <f>"35/41"</f>
        <v>35/41</v>
      </c>
      <c r="G3164" s="10">
        <v>0.58040000000000003</v>
      </c>
    </row>
    <row r="3165" spans="1:7" x14ac:dyDescent="0.2">
      <c r="A3165" s="1" t="s">
        <v>122</v>
      </c>
      <c r="B3165" t="s">
        <v>2819</v>
      </c>
      <c r="C3165">
        <v>-1.9940306839844999</v>
      </c>
      <c r="D3165">
        <v>0</v>
      </c>
      <c r="E3165">
        <v>6.9565402482314699E-3</v>
      </c>
      <c r="F3165" t="str">
        <f>"23/28"</f>
        <v>23/28</v>
      </c>
      <c r="G3165" s="10">
        <v>0.52310000000000001</v>
      </c>
    </row>
    <row r="3166" spans="1:7" x14ac:dyDescent="0.2">
      <c r="A3166" s="1" t="s">
        <v>122</v>
      </c>
      <c r="B3166" t="s">
        <v>2820</v>
      </c>
      <c r="C3166">
        <v>-1.99381399464132</v>
      </c>
      <c r="D3166">
        <v>0</v>
      </c>
      <c r="E3166">
        <v>6.9667966215599302E-3</v>
      </c>
      <c r="F3166" t="str">
        <f>"30/32"</f>
        <v>30/32</v>
      </c>
      <c r="G3166" s="10">
        <v>0.67110000000000003</v>
      </c>
    </row>
    <row r="3167" spans="1:7" x14ac:dyDescent="0.2">
      <c r="A3167" s="1" t="s">
        <v>122</v>
      </c>
      <c r="B3167" t="s">
        <v>2821</v>
      </c>
      <c r="C3167">
        <v>-1.9917197774847999</v>
      </c>
      <c r="D3167">
        <v>0</v>
      </c>
      <c r="E3167">
        <v>7.0053459182156299E-3</v>
      </c>
      <c r="F3167" t="str">
        <f>"14/16"</f>
        <v>14/16</v>
      </c>
      <c r="G3167" s="10">
        <v>0.44280000000000003</v>
      </c>
    </row>
    <row r="3168" spans="1:7" x14ac:dyDescent="0.2">
      <c r="A3168" s="1" t="s">
        <v>122</v>
      </c>
      <c r="B3168" t="s">
        <v>747</v>
      </c>
      <c r="C3168">
        <v>-1.99082122836882</v>
      </c>
      <c r="D3168">
        <v>0</v>
      </c>
      <c r="E3168">
        <v>7.0297077170502096E-3</v>
      </c>
      <c r="F3168" t="str">
        <f>"11/24"</f>
        <v>11/24</v>
      </c>
      <c r="G3168" s="10">
        <v>0.11269999999999999</v>
      </c>
    </row>
    <row r="3169" spans="1:7" x14ac:dyDescent="0.2">
      <c r="A3169" s="1" t="s">
        <v>122</v>
      </c>
      <c r="B3169" t="s">
        <v>2822</v>
      </c>
      <c r="C3169">
        <v>-1.9902940511615499</v>
      </c>
      <c r="D3169">
        <v>2.5641025641025599E-2</v>
      </c>
      <c r="E3169">
        <v>7.0257695054440098E-3</v>
      </c>
      <c r="F3169" t="str">
        <f>"18/19"</f>
        <v>18/19</v>
      </c>
      <c r="G3169" s="10">
        <v>0.56220000000000003</v>
      </c>
    </row>
    <row r="3170" spans="1:7" x14ac:dyDescent="0.2">
      <c r="A3170" s="1" t="s">
        <v>122</v>
      </c>
      <c r="B3170" t="s">
        <v>2823</v>
      </c>
      <c r="C3170">
        <v>-1.98777557002209</v>
      </c>
      <c r="D3170">
        <v>0</v>
      </c>
      <c r="E3170">
        <v>7.1489916824711798E-3</v>
      </c>
      <c r="F3170" t="str">
        <f>"33/35"</f>
        <v>33/35</v>
      </c>
      <c r="G3170" s="10">
        <v>0.67390000000000005</v>
      </c>
    </row>
    <row r="3171" spans="1:7" x14ac:dyDescent="0.2">
      <c r="A3171" s="1" t="s">
        <v>122</v>
      </c>
      <c r="B3171" t="s">
        <v>2824</v>
      </c>
      <c r="C3171">
        <v>-1.98764349479657</v>
      </c>
      <c r="D3171">
        <v>2.4390243902439001E-2</v>
      </c>
      <c r="E3171">
        <v>7.1591116633537202E-3</v>
      </c>
      <c r="F3171" t="str">
        <f>"22/22"</f>
        <v>22/22</v>
      </c>
      <c r="G3171" s="10">
        <v>0.66249999999999998</v>
      </c>
    </row>
    <row r="3172" spans="1:7" x14ac:dyDescent="0.2">
      <c r="A3172" s="1" t="s">
        <v>122</v>
      </c>
      <c r="B3172" t="s">
        <v>2825</v>
      </c>
      <c r="C3172">
        <v>-1.98761775785446</v>
      </c>
      <c r="D3172">
        <v>0</v>
      </c>
      <c r="E3172">
        <v>7.1692203243471199E-3</v>
      </c>
      <c r="F3172" t="str">
        <f>"37/42"</f>
        <v>37/42</v>
      </c>
      <c r="G3172" s="10">
        <v>0.63109999999999999</v>
      </c>
    </row>
    <row r="3173" spans="1:7" x14ac:dyDescent="0.2">
      <c r="A3173" s="1" t="s">
        <v>122</v>
      </c>
      <c r="B3173" t="s">
        <v>986</v>
      </c>
      <c r="C3173">
        <v>-1.98665663125259</v>
      </c>
      <c r="D3173">
        <v>0</v>
      </c>
      <c r="E3173">
        <v>7.2216319340474297E-3</v>
      </c>
      <c r="F3173" t="str">
        <f>"23/30"</f>
        <v>23/30</v>
      </c>
      <c r="G3173" s="10">
        <v>0.46879999999999999</v>
      </c>
    </row>
    <row r="3174" spans="1:7" x14ac:dyDescent="0.2">
      <c r="A3174" s="1" t="s">
        <v>122</v>
      </c>
      <c r="B3174" t="s">
        <v>2826</v>
      </c>
      <c r="C3174">
        <v>-1.98453167250489</v>
      </c>
      <c r="D3174">
        <v>0</v>
      </c>
      <c r="E3174">
        <v>7.24579124304467E-3</v>
      </c>
      <c r="F3174" t="str">
        <f>"42/64"</f>
        <v>42/64</v>
      </c>
      <c r="G3174" s="10">
        <v>0.43090000000000001</v>
      </c>
    </row>
    <row r="3175" spans="1:7" x14ac:dyDescent="0.2">
      <c r="A3175" s="1" t="s">
        <v>122</v>
      </c>
      <c r="B3175" t="s">
        <v>2827</v>
      </c>
      <c r="C3175">
        <v>-1.98431559613013</v>
      </c>
      <c r="D3175">
        <v>0</v>
      </c>
      <c r="E3175">
        <v>7.2417455751255999E-3</v>
      </c>
      <c r="F3175" t="str">
        <f>"14/17"</f>
        <v>14/17</v>
      </c>
      <c r="G3175" s="10">
        <v>0.42380000000000001</v>
      </c>
    </row>
    <row r="3176" spans="1:7" x14ac:dyDescent="0.2">
      <c r="A3176" s="1" t="s">
        <v>122</v>
      </c>
      <c r="B3176" t="s">
        <v>2828</v>
      </c>
      <c r="C3176">
        <v>-1.98409365930779</v>
      </c>
      <c r="D3176">
        <v>0</v>
      </c>
      <c r="E3176">
        <v>7.2517855594695898E-3</v>
      </c>
      <c r="F3176" t="str">
        <f>"18/23"</f>
        <v>18/23</v>
      </c>
      <c r="G3176" s="10">
        <v>0.45929999999999999</v>
      </c>
    </row>
    <row r="3177" spans="1:7" x14ac:dyDescent="0.2">
      <c r="A3177" s="1" t="s">
        <v>122</v>
      </c>
      <c r="B3177" t="s">
        <v>2829</v>
      </c>
      <c r="C3177">
        <v>-1.98245281407823</v>
      </c>
      <c r="D3177">
        <v>0</v>
      </c>
      <c r="E3177">
        <v>7.3603273300200398E-3</v>
      </c>
      <c r="F3177" t="str">
        <f>"22/24"</f>
        <v>22/24</v>
      </c>
      <c r="G3177" s="10">
        <v>0.60529999999999995</v>
      </c>
    </row>
    <row r="3178" spans="1:7" x14ac:dyDescent="0.2">
      <c r="A3178" s="1" t="s">
        <v>122</v>
      </c>
      <c r="B3178" t="s">
        <v>2830</v>
      </c>
      <c r="C3178">
        <v>-1.9807540121990199</v>
      </c>
      <c r="D3178">
        <v>3.03030303030303E-2</v>
      </c>
      <c r="E3178">
        <v>7.3984209003816002E-3</v>
      </c>
      <c r="F3178" t="str">
        <f>"21/24"</f>
        <v>21/24</v>
      </c>
      <c r="G3178" s="10">
        <v>0.51249999999999996</v>
      </c>
    </row>
    <row r="3179" spans="1:7" x14ac:dyDescent="0.2">
      <c r="A3179" s="1" t="s">
        <v>122</v>
      </c>
      <c r="B3179" t="s">
        <v>305</v>
      </c>
      <c r="C3179">
        <v>-1.97867976927417</v>
      </c>
      <c r="D3179">
        <v>2.3255813953488299E-2</v>
      </c>
      <c r="E3179">
        <v>7.4927024389534599E-3</v>
      </c>
      <c r="F3179" t="str">
        <f>"19/19"</f>
        <v>19/19</v>
      </c>
      <c r="G3179" s="10">
        <v>0.6069</v>
      </c>
    </row>
    <row r="3180" spans="1:7" x14ac:dyDescent="0.2">
      <c r="A3180" s="1" t="s">
        <v>122</v>
      </c>
      <c r="B3180" t="s">
        <v>2831</v>
      </c>
      <c r="C3180">
        <v>-1.97842679837289</v>
      </c>
      <c r="D3180">
        <v>0</v>
      </c>
      <c r="E3180">
        <v>7.4885305556355499E-3</v>
      </c>
      <c r="F3180" t="str">
        <f>"27/27"</f>
        <v>27/27</v>
      </c>
      <c r="G3180" s="10">
        <v>0.6956</v>
      </c>
    </row>
    <row r="3181" spans="1:7" x14ac:dyDescent="0.2">
      <c r="A3181" s="1" t="s">
        <v>122</v>
      </c>
      <c r="B3181" t="s">
        <v>708</v>
      </c>
      <c r="C3181">
        <v>-1.9779629501476099</v>
      </c>
      <c r="D3181">
        <v>0</v>
      </c>
      <c r="E3181">
        <v>7.5264891878019501E-3</v>
      </c>
      <c r="F3181" t="str">
        <f>"29/61"</f>
        <v>29/61</v>
      </c>
      <c r="G3181" s="10">
        <v>0.26950000000000002</v>
      </c>
    </row>
    <row r="3182" spans="1:7" x14ac:dyDescent="0.2">
      <c r="A3182" s="1" t="s">
        <v>122</v>
      </c>
      <c r="B3182" t="s">
        <v>2832</v>
      </c>
      <c r="C3182">
        <v>-1.97734355847286</v>
      </c>
      <c r="D3182">
        <v>0</v>
      </c>
      <c r="E3182">
        <v>7.5924738921456496E-3</v>
      </c>
      <c r="F3182" t="str">
        <f>"13/17"</f>
        <v>13/17</v>
      </c>
      <c r="G3182" s="10">
        <v>0.38250000000000001</v>
      </c>
    </row>
    <row r="3183" spans="1:7" x14ac:dyDescent="0.2">
      <c r="A3183" s="1" t="s">
        <v>122</v>
      </c>
      <c r="B3183" t="s">
        <v>2833</v>
      </c>
      <c r="C3183">
        <v>-1.9759685453684399</v>
      </c>
      <c r="D3183">
        <v>0</v>
      </c>
      <c r="E3183">
        <v>7.7004642791741497E-3</v>
      </c>
      <c r="F3183" t="str">
        <f>"20/23"</f>
        <v>20/23</v>
      </c>
      <c r="G3183" s="10">
        <v>0.49869999999999998</v>
      </c>
    </row>
    <row r="3184" spans="1:7" x14ac:dyDescent="0.2">
      <c r="A3184" s="1" t="s">
        <v>122</v>
      </c>
      <c r="B3184" t="s">
        <v>2834</v>
      </c>
      <c r="C3184">
        <v>-1.97558272502393</v>
      </c>
      <c r="D3184">
        <v>0</v>
      </c>
      <c r="E3184">
        <v>7.7102047976410296E-3</v>
      </c>
      <c r="F3184" t="str">
        <f>"19/20"</f>
        <v>19/20</v>
      </c>
      <c r="G3184" s="10">
        <v>0.56910000000000005</v>
      </c>
    </row>
    <row r="3185" spans="1:7" x14ac:dyDescent="0.2">
      <c r="A3185" s="1" t="s">
        <v>122</v>
      </c>
      <c r="B3185" t="s">
        <v>2835</v>
      </c>
      <c r="C3185">
        <v>-1.9750992093239199</v>
      </c>
      <c r="D3185">
        <v>0</v>
      </c>
      <c r="E3185">
        <v>7.7199344993189303E-3</v>
      </c>
      <c r="F3185" t="str">
        <f>"23/24"</f>
        <v>23/24</v>
      </c>
      <c r="G3185" s="10">
        <v>0.61519999999999997</v>
      </c>
    </row>
    <row r="3186" spans="1:7" x14ac:dyDescent="0.2">
      <c r="A3186" s="1" t="s">
        <v>122</v>
      </c>
      <c r="B3186" t="s">
        <v>1494</v>
      </c>
      <c r="C3186">
        <v>-1.9721279745569</v>
      </c>
      <c r="D3186">
        <v>0</v>
      </c>
      <c r="E3186">
        <v>7.79966837868519E-3</v>
      </c>
      <c r="F3186" t="str">
        <f>"22/30"</f>
        <v>22/30</v>
      </c>
      <c r="G3186" s="10">
        <v>0.4168</v>
      </c>
    </row>
    <row r="3187" spans="1:7" x14ac:dyDescent="0.2">
      <c r="A3187" s="1" t="s">
        <v>122</v>
      </c>
      <c r="B3187" t="s">
        <v>1096</v>
      </c>
      <c r="C3187">
        <v>-1.9718000390338599</v>
      </c>
      <c r="D3187">
        <v>0</v>
      </c>
      <c r="E3187">
        <v>7.8093376682807896E-3</v>
      </c>
      <c r="F3187" t="str">
        <f>"37/43"</f>
        <v>37/43</v>
      </c>
      <c r="G3187" s="10">
        <v>0.60150000000000003</v>
      </c>
    </row>
    <row r="3188" spans="1:7" x14ac:dyDescent="0.2">
      <c r="A3188" s="1" t="s">
        <v>122</v>
      </c>
      <c r="B3188" t="s">
        <v>2836</v>
      </c>
      <c r="C3188">
        <v>-1.9712092440398199</v>
      </c>
      <c r="D3188">
        <v>0</v>
      </c>
      <c r="E3188">
        <v>7.8189962380431407E-3</v>
      </c>
      <c r="F3188" t="str">
        <f>"13/15"</f>
        <v>13/15</v>
      </c>
      <c r="G3188" s="10">
        <v>0.4405</v>
      </c>
    </row>
    <row r="3189" spans="1:7" x14ac:dyDescent="0.2">
      <c r="A3189" s="1" t="s">
        <v>122</v>
      </c>
      <c r="B3189" t="s">
        <v>2837</v>
      </c>
      <c r="C3189">
        <v>-1.9708348308291801</v>
      </c>
      <c r="D3189">
        <v>2.1276595744680799E-2</v>
      </c>
      <c r="E3189">
        <v>7.8146643841716396E-3</v>
      </c>
      <c r="F3189" t="str">
        <f>"24/32"</f>
        <v>24/32</v>
      </c>
      <c r="G3189" s="10">
        <v>0.45240000000000002</v>
      </c>
    </row>
    <row r="3190" spans="1:7" x14ac:dyDescent="0.2">
      <c r="A3190" s="1" t="s">
        <v>122</v>
      </c>
      <c r="B3190" t="s">
        <v>2838</v>
      </c>
      <c r="C3190">
        <v>-1.96990339474105</v>
      </c>
      <c r="D3190">
        <v>0</v>
      </c>
      <c r="E3190">
        <v>7.8103373274805198E-3</v>
      </c>
      <c r="F3190" t="str">
        <f>"25/31"</f>
        <v>25/31</v>
      </c>
      <c r="G3190" s="10">
        <v>0.51639999999999997</v>
      </c>
    </row>
    <row r="3191" spans="1:7" x14ac:dyDescent="0.2">
      <c r="A3191" s="1" t="s">
        <v>122</v>
      </c>
      <c r="B3191" t="s">
        <v>2839</v>
      </c>
      <c r="C3191">
        <v>-1.96941090770348</v>
      </c>
      <c r="D3191">
        <v>0</v>
      </c>
      <c r="E3191">
        <v>7.8199793087710898E-3</v>
      </c>
      <c r="F3191" t="str">
        <f>"17/17"</f>
        <v>17/17</v>
      </c>
      <c r="G3191" s="10">
        <v>0.6069</v>
      </c>
    </row>
    <row r="3192" spans="1:7" x14ac:dyDescent="0.2">
      <c r="A3192" s="1" t="s">
        <v>122</v>
      </c>
      <c r="B3192" t="s">
        <v>2840</v>
      </c>
      <c r="C3192">
        <v>-1.9686349915302199</v>
      </c>
      <c r="D3192">
        <v>0</v>
      </c>
      <c r="E3192">
        <v>7.8296106241531604E-3</v>
      </c>
      <c r="F3192" t="str">
        <f>"25/25"</f>
        <v>25/25</v>
      </c>
      <c r="G3192" s="10">
        <v>0.66379999999999995</v>
      </c>
    </row>
    <row r="3193" spans="1:7" x14ac:dyDescent="0.2">
      <c r="A3193" s="1" t="s">
        <v>122</v>
      </c>
      <c r="B3193" t="s">
        <v>848</v>
      </c>
      <c r="C3193">
        <v>-1.96829302233929</v>
      </c>
      <c r="D3193">
        <v>0</v>
      </c>
      <c r="E3193">
        <v>7.8252824811879101E-3</v>
      </c>
      <c r="F3193" t="str">
        <f>"32/39"</f>
        <v>32/39</v>
      </c>
      <c r="G3193" s="10">
        <v>0.56910000000000005</v>
      </c>
    </row>
    <row r="3194" spans="1:7" x14ac:dyDescent="0.2">
      <c r="A3194" s="1" t="s">
        <v>122</v>
      </c>
      <c r="B3194" t="s">
        <v>2841</v>
      </c>
      <c r="C3194">
        <v>-1.9664276002961101</v>
      </c>
      <c r="D3194">
        <v>0</v>
      </c>
      <c r="E3194">
        <v>7.9324879495167606E-3</v>
      </c>
      <c r="F3194" t="str">
        <f>"21/25"</f>
        <v>21/25</v>
      </c>
      <c r="G3194" s="10">
        <v>0.5373</v>
      </c>
    </row>
    <row r="3195" spans="1:7" x14ac:dyDescent="0.2">
      <c r="A3195" s="1" t="s">
        <v>122</v>
      </c>
      <c r="B3195" t="s">
        <v>2842</v>
      </c>
      <c r="C3195">
        <v>-1.9653312506868099</v>
      </c>
      <c r="D3195">
        <v>0</v>
      </c>
      <c r="E3195">
        <v>8.0212124565464792E-3</v>
      </c>
      <c r="F3195" t="str">
        <f>"13/15"</f>
        <v>13/15</v>
      </c>
      <c r="G3195" s="10">
        <v>0.43930000000000002</v>
      </c>
    </row>
    <row r="3196" spans="1:7" x14ac:dyDescent="0.2">
      <c r="A3196" s="1" t="s">
        <v>122</v>
      </c>
      <c r="B3196" t="s">
        <v>2843</v>
      </c>
      <c r="C3196">
        <v>-1.9653312506868099</v>
      </c>
      <c r="D3196">
        <v>0</v>
      </c>
      <c r="E3196">
        <v>8.0212124565464792E-3</v>
      </c>
      <c r="F3196" t="str">
        <f>"13/15"</f>
        <v>13/15</v>
      </c>
      <c r="G3196" s="10">
        <v>0.43930000000000002</v>
      </c>
    </row>
    <row r="3197" spans="1:7" x14ac:dyDescent="0.2">
      <c r="A3197" s="1" t="s">
        <v>122</v>
      </c>
      <c r="B3197" t="s">
        <v>883</v>
      </c>
      <c r="C3197">
        <v>-1.96482227419342</v>
      </c>
      <c r="D3197">
        <v>0</v>
      </c>
      <c r="E3197">
        <v>8.04462425057988E-3</v>
      </c>
      <c r="F3197" t="str">
        <f>"15/15"</f>
        <v>15/15</v>
      </c>
      <c r="G3197" s="10">
        <v>0.6008</v>
      </c>
    </row>
    <row r="3198" spans="1:7" x14ac:dyDescent="0.2">
      <c r="A3198" s="1" t="s">
        <v>122</v>
      </c>
      <c r="B3198" t="s">
        <v>2844</v>
      </c>
      <c r="C3198">
        <v>-1.9643187031835501</v>
      </c>
      <c r="D3198">
        <v>0</v>
      </c>
      <c r="E3198">
        <v>8.1097413196797499E-3</v>
      </c>
      <c r="F3198" t="str">
        <f>"48/53"</f>
        <v>48/53</v>
      </c>
      <c r="G3198" s="10">
        <v>0.68220000000000003</v>
      </c>
    </row>
    <row r="3199" spans="1:7" x14ac:dyDescent="0.2">
      <c r="A3199" s="1" t="s">
        <v>122</v>
      </c>
      <c r="B3199" t="s">
        <v>2845</v>
      </c>
      <c r="C3199">
        <v>-1.96248610197354</v>
      </c>
      <c r="D3199">
        <v>0</v>
      </c>
      <c r="E3199">
        <v>8.1469812377177597E-3</v>
      </c>
      <c r="F3199" t="str">
        <f>"17/17"</f>
        <v>17/17</v>
      </c>
      <c r="G3199" s="10">
        <v>0.63800000000000001</v>
      </c>
    </row>
    <row r="3200" spans="1:7" x14ac:dyDescent="0.2">
      <c r="A3200" s="1" t="s">
        <v>122</v>
      </c>
      <c r="B3200" t="s">
        <v>2846</v>
      </c>
      <c r="C3200">
        <v>-1.9614029587039199</v>
      </c>
      <c r="D3200">
        <v>0</v>
      </c>
      <c r="E3200">
        <v>8.1702850999431902E-3</v>
      </c>
      <c r="F3200" t="str">
        <f>"19/22"</f>
        <v>19/22</v>
      </c>
      <c r="G3200" s="10">
        <v>0.48349999999999999</v>
      </c>
    </row>
    <row r="3201" spans="1:7" x14ac:dyDescent="0.2">
      <c r="A3201" s="1" t="s">
        <v>122</v>
      </c>
      <c r="B3201" t="s">
        <v>2847</v>
      </c>
      <c r="C3201">
        <v>-1.9604809075187399</v>
      </c>
      <c r="D3201">
        <v>0</v>
      </c>
      <c r="E3201">
        <v>8.2768876839038295E-3</v>
      </c>
      <c r="F3201" t="str">
        <f>"38/42"</f>
        <v>38/42</v>
      </c>
      <c r="G3201" s="10">
        <v>0.64539999999999997</v>
      </c>
    </row>
    <row r="3202" spans="1:7" x14ac:dyDescent="0.2">
      <c r="A3202" s="1" t="s">
        <v>122</v>
      </c>
      <c r="B3202" t="s">
        <v>734</v>
      </c>
      <c r="C3202">
        <v>-1.95953039530307</v>
      </c>
      <c r="D3202">
        <v>0</v>
      </c>
      <c r="E3202">
        <v>8.3000944536261601E-3</v>
      </c>
      <c r="F3202" t="str">
        <f>"41/48"</f>
        <v>41/48</v>
      </c>
      <c r="G3202" s="10">
        <v>0.61680000000000001</v>
      </c>
    </row>
    <row r="3203" spans="1:7" x14ac:dyDescent="0.2">
      <c r="A3203" s="1" t="s">
        <v>122</v>
      </c>
      <c r="B3203" t="s">
        <v>1354</v>
      </c>
      <c r="C3203">
        <v>-1.9587442748814099</v>
      </c>
      <c r="D3203">
        <v>2.27272727272727E-2</v>
      </c>
      <c r="E3203">
        <v>8.3510199597419295E-3</v>
      </c>
      <c r="F3203" t="str">
        <f>"24/25"</f>
        <v>24/25</v>
      </c>
      <c r="G3203" s="10">
        <v>0.61839999999999995</v>
      </c>
    </row>
    <row r="3204" spans="1:7" x14ac:dyDescent="0.2">
      <c r="A3204" s="1" t="s">
        <v>122</v>
      </c>
      <c r="B3204" t="s">
        <v>2848</v>
      </c>
      <c r="C3204">
        <v>-1.9547385139365101</v>
      </c>
      <c r="D3204">
        <v>2.27272727272727E-2</v>
      </c>
      <c r="E3204">
        <v>8.5682635533425398E-3</v>
      </c>
      <c r="F3204" t="str">
        <f>"14/15"</f>
        <v>14/15</v>
      </c>
      <c r="G3204" s="10">
        <v>0.49959999999999999</v>
      </c>
    </row>
    <row r="3205" spans="1:7" x14ac:dyDescent="0.2">
      <c r="A3205" s="1" t="s">
        <v>122</v>
      </c>
      <c r="B3205" t="s">
        <v>2849</v>
      </c>
      <c r="C3205">
        <v>-1.9542951328907501</v>
      </c>
      <c r="D3205">
        <v>2.4390243902439001E-2</v>
      </c>
      <c r="E3205">
        <v>8.5635583015285094E-3</v>
      </c>
      <c r="F3205" t="str">
        <f>"19/19"</f>
        <v>19/19</v>
      </c>
      <c r="G3205" s="10">
        <v>0.622</v>
      </c>
    </row>
    <row r="3206" spans="1:7" x14ac:dyDescent="0.2">
      <c r="A3206" s="1" t="s">
        <v>122</v>
      </c>
      <c r="B3206" t="s">
        <v>2850</v>
      </c>
      <c r="C3206">
        <v>-1.95313995457098</v>
      </c>
      <c r="D3206">
        <v>0</v>
      </c>
      <c r="E3206">
        <v>8.5727074997820896E-3</v>
      </c>
      <c r="F3206" t="str">
        <f>"15/17"</f>
        <v>15/17</v>
      </c>
      <c r="G3206" s="10">
        <v>0.50780000000000003</v>
      </c>
    </row>
    <row r="3207" spans="1:7" x14ac:dyDescent="0.2">
      <c r="A3207" s="1" t="s">
        <v>122</v>
      </c>
      <c r="B3207" t="s">
        <v>2851</v>
      </c>
      <c r="C3207">
        <v>-1.9520570109195401</v>
      </c>
      <c r="D3207">
        <v>4.7619047619047603E-2</v>
      </c>
      <c r="E3207">
        <v>8.59568834867914E-3</v>
      </c>
      <c r="F3207" t="str">
        <f>"16/19"</f>
        <v>16/19</v>
      </c>
      <c r="G3207" s="10">
        <v>0.4829</v>
      </c>
    </row>
    <row r="3208" spans="1:7" x14ac:dyDescent="0.2">
      <c r="A3208" s="1" t="s">
        <v>122</v>
      </c>
      <c r="B3208" t="s">
        <v>2852</v>
      </c>
      <c r="C3208">
        <v>-1.95089119929281</v>
      </c>
      <c r="D3208">
        <v>0</v>
      </c>
      <c r="E3208">
        <v>8.6048098997596606E-3</v>
      </c>
      <c r="F3208" t="str">
        <f>"24/26"</f>
        <v>24/26</v>
      </c>
      <c r="G3208" s="10">
        <v>0.60070000000000001</v>
      </c>
    </row>
    <row r="3209" spans="1:7" x14ac:dyDescent="0.2">
      <c r="A3209" s="1" t="s">
        <v>122</v>
      </c>
      <c r="B3209" t="s">
        <v>2853</v>
      </c>
      <c r="C3209">
        <v>-1.9494427683370199</v>
      </c>
      <c r="D3209">
        <v>2.3809523809523801E-2</v>
      </c>
      <c r="E3209">
        <v>8.6968805697525998E-3</v>
      </c>
      <c r="F3209" t="str">
        <f>"14/16"</f>
        <v>14/16</v>
      </c>
      <c r="G3209" s="10">
        <v>0.47089999999999999</v>
      </c>
    </row>
    <row r="3210" spans="1:7" x14ac:dyDescent="0.2">
      <c r="A3210" s="1" t="s">
        <v>122</v>
      </c>
      <c r="B3210" t="s">
        <v>2854</v>
      </c>
      <c r="C3210">
        <v>-1.94942808083773</v>
      </c>
      <c r="D3210">
        <v>0</v>
      </c>
      <c r="E3210">
        <v>8.68736017504022E-3</v>
      </c>
      <c r="F3210" t="str">
        <f>"15/21"</f>
        <v>15/21</v>
      </c>
      <c r="G3210" s="10">
        <v>0.34250000000000003</v>
      </c>
    </row>
    <row r="3211" spans="1:7" x14ac:dyDescent="0.2">
      <c r="A3211" s="1" t="s">
        <v>122</v>
      </c>
      <c r="B3211" t="s">
        <v>2855</v>
      </c>
      <c r="C3211">
        <v>-1.94942808083773</v>
      </c>
      <c r="D3211">
        <v>0</v>
      </c>
      <c r="E3211">
        <v>8.68736017504022E-3</v>
      </c>
      <c r="F3211" t="str">
        <f>"15/21"</f>
        <v>15/21</v>
      </c>
      <c r="G3211" s="10">
        <v>0.34250000000000003</v>
      </c>
    </row>
    <row r="3212" spans="1:7" x14ac:dyDescent="0.2">
      <c r="A3212" s="1" t="s">
        <v>122</v>
      </c>
      <c r="B3212" t="s">
        <v>2856</v>
      </c>
      <c r="C3212">
        <v>-1.9469886307161399</v>
      </c>
      <c r="D3212">
        <v>4.54545454545454E-2</v>
      </c>
      <c r="E3212">
        <v>8.7930384135420699E-3</v>
      </c>
      <c r="F3212" t="str">
        <f>"17/19"</f>
        <v>17/19</v>
      </c>
      <c r="G3212" s="10">
        <v>0.51749999999999996</v>
      </c>
    </row>
    <row r="3213" spans="1:7" x14ac:dyDescent="0.2">
      <c r="A3213" s="1" t="s">
        <v>122</v>
      </c>
      <c r="B3213" t="s">
        <v>2857</v>
      </c>
      <c r="C3213">
        <v>-1.9469379863563701</v>
      </c>
      <c r="D3213">
        <v>0</v>
      </c>
      <c r="E3213">
        <v>8.7882308474329703E-3</v>
      </c>
      <c r="F3213" t="str">
        <f>"44/46"</f>
        <v>44/46</v>
      </c>
      <c r="G3213" s="10">
        <v>0.71660000000000001</v>
      </c>
    </row>
    <row r="3214" spans="1:7" x14ac:dyDescent="0.2">
      <c r="A3214" s="1" t="s">
        <v>122</v>
      </c>
      <c r="B3214" t="s">
        <v>1482</v>
      </c>
      <c r="C3214">
        <v>-1.9466567041579701</v>
      </c>
      <c r="D3214">
        <v>0</v>
      </c>
      <c r="E3214">
        <v>8.81100601912241E-3</v>
      </c>
      <c r="F3214" t="str">
        <f>"15/15"</f>
        <v>15/15</v>
      </c>
      <c r="G3214" s="10">
        <v>0.5665</v>
      </c>
    </row>
    <row r="3215" spans="1:7" x14ac:dyDescent="0.2">
      <c r="A3215" s="1" t="s">
        <v>122</v>
      </c>
      <c r="B3215" t="s">
        <v>2858</v>
      </c>
      <c r="C3215">
        <v>-1.94652229374222</v>
      </c>
      <c r="D3215">
        <v>0</v>
      </c>
      <c r="E3215">
        <v>8.8061938913129491E-3</v>
      </c>
      <c r="F3215" t="str">
        <f>"14/19"</f>
        <v>14/19</v>
      </c>
      <c r="G3215" s="10">
        <v>0.35460000000000003</v>
      </c>
    </row>
    <row r="3216" spans="1:7" x14ac:dyDescent="0.2">
      <c r="A3216" s="1" t="s">
        <v>122</v>
      </c>
      <c r="B3216" t="s">
        <v>2859</v>
      </c>
      <c r="C3216">
        <v>-1.94612015881708</v>
      </c>
      <c r="D3216">
        <v>0</v>
      </c>
      <c r="E3216">
        <v>8.8289343941228803E-3</v>
      </c>
      <c r="F3216" t="str">
        <f>"47/52"</f>
        <v>47/52</v>
      </c>
      <c r="G3216" s="10">
        <v>0.6784</v>
      </c>
    </row>
    <row r="3217" spans="1:7" x14ac:dyDescent="0.2">
      <c r="A3217" s="1" t="s">
        <v>122</v>
      </c>
      <c r="B3217" t="s">
        <v>2860</v>
      </c>
      <c r="C3217">
        <v>-1.9449647621144499</v>
      </c>
      <c r="D3217">
        <v>2.6315789473684199E-2</v>
      </c>
      <c r="E3217">
        <v>8.9480133048058293E-3</v>
      </c>
      <c r="F3217" t="str">
        <f>"16/16"</f>
        <v>16/16</v>
      </c>
      <c r="G3217" s="10">
        <v>0.60109999999999997</v>
      </c>
    </row>
    <row r="3218" spans="1:7" x14ac:dyDescent="0.2">
      <c r="A3218" s="1" t="s">
        <v>122</v>
      </c>
      <c r="B3218" t="s">
        <v>2861</v>
      </c>
      <c r="C3218">
        <v>-1.9443044440097099</v>
      </c>
      <c r="D3218">
        <v>0</v>
      </c>
      <c r="E3218">
        <v>8.9706516808877798E-3</v>
      </c>
      <c r="F3218" t="str">
        <f>"16/18"</f>
        <v>16/18</v>
      </c>
      <c r="G3218" s="10">
        <v>0.47610000000000002</v>
      </c>
    </row>
    <row r="3219" spans="1:7" x14ac:dyDescent="0.2">
      <c r="A3219" s="1" t="s">
        <v>122</v>
      </c>
      <c r="B3219" t="s">
        <v>2862</v>
      </c>
      <c r="C3219">
        <v>-1.9438581576388401</v>
      </c>
      <c r="D3219">
        <v>2.1739130434782601E-2</v>
      </c>
      <c r="E3219">
        <v>8.9932653829903602E-3</v>
      </c>
      <c r="F3219" t="str">
        <f>"20/22"</f>
        <v>20/22</v>
      </c>
      <c r="G3219" s="10">
        <v>0.57389999999999997</v>
      </c>
    </row>
    <row r="3220" spans="1:7" x14ac:dyDescent="0.2">
      <c r="A3220" s="1" t="s">
        <v>122</v>
      </c>
      <c r="B3220" t="s">
        <v>2863</v>
      </c>
      <c r="C3220">
        <v>-1.9426172743457699</v>
      </c>
      <c r="D3220">
        <v>0</v>
      </c>
      <c r="E3220">
        <v>9.1670349376587607E-3</v>
      </c>
      <c r="F3220" t="str">
        <f>"21/22"</f>
        <v>21/22</v>
      </c>
      <c r="G3220" s="10">
        <v>0.62590000000000001</v>
      </c>
    </row>
    <row r="3221" spans="1:7" x14ac:dyDescent="0.2">
      <c r="A3221" s="1" t="s">
        <v>122</v>
      </c>
      <c r="B3221" t="s">
        <v>2864</v>
      </c>
      <c r="C3221">
        <v>-1.9407271560163999</v>
      </c>
      <c r="D3221">
        <v>2.5641025641025599E-2</v>
      </c>
      <c r="E3221">
        <v>9.3268791049407294E-3</v>
      </c>
      <c r="F3221" t="str">
        <f>"26/27"</f>
        <v>26/27</v>
      </c>
      <c r="G3221" s="10">
        <v>0.65469999999999995</v>
      </c>
    </row>
    <row r="3222" spans="1:7" x14ac:dyDescent="0.2">
      <c r="A3222" s="1" t="s">
        <v>122</v>
      </c>
      <c r="B3222" t="s">
        <v>2865</v>
      </c>
      <c r="C3222">
        <v>-1.9404336591254201</v>
      </c>
      <c r="D3222">
        <v>0</v>
      </c>
      <c r="E3222">
        <v>9.3492620842302605E-3</v>
      </c>
      <c r="F3222" t="str">
        <f>"45/50"</f>
        <v>45/50</v>
      </c>
      <c r="G3222" s="10">
        <v>0.67159999999999997</v>
      </c>
    </row>
    <row r="3223" spans="1:7" x14ac:dyDescent="0.2">
      <c r="A3223" s="1" t="s">
        <v>122</v>
      </c>
      <c r="B3223" t="s">
        <v>2866</v>
      </c>
      <c r="C3223">
        <v>-1.94018232463147</v>
      </c>
      <c r="D3223">
        <v>0</v>
      </c>
      <c r="E3223">
        <v>9.3441782005520505E-3</v>
      </c>
      <c r="F3223" t="str">
        <f>"31/35"</f>
        <v>31/35</v>
      </c>
      <c r="G3223" s="10">
        <v>0.59189999999999998</v>
      </c>
    </row>
    <row r="3224" spans="1:7" x14ac:dyDescent="0.2">
      <c r="A3224" s="1" t="s">
        <v>122</v>
      </c>
      <c r="B3224" t="s">
        <v>2867</v>
      </c>
      <c r="C3224">
        <v>-1.94014504412816</v>
      </c>
      <c r="D3224">
        <v>0</v>
      </c>
      <c r="E3224">
        <v>9.3390998428343596E-3</v>
      </c>
      <c r="F3224" t="str">
        <f>"16/17"</f>
        <v>16/17</v>
      </c>
      <c r="G3224" s="10">
        <v>0.53949999999999998</v>
      </c>
    </row>
    <row r="3225" spans="1:7" x14ac:dyDescent="0.2">
      <c r="A3225" s="1" t="s">
        <v>122</v>
      </c>
      <c r="B3225" t="s">
        <v>2868</v>
      </c>
      <c r="C3225">
        <v>-1.93995378317501</v>
      </c>
      <c r="D3225">
        <v>0</v>
      </c>
      <c r="E3225">
        <v>9.3340270020723596E-3</v>
      </c>
      <c r="F3225" t="str">
        <f>"27/28"</f>
        <v>27/28</v>
      </c>
      <c r="G3225" s="10">
        <v>0.68569999999999998</v>
      </c>
    </row>
    <row r="3226" spans="1:7" x14ac:dyDescent="0.2">
      <c r="A3226" s="1" t="s">
        <v>122</v>
      </c>
      <c r="B3226" t="s">
        <v>2869</v>
      </c>
      <c r="C3226">
        <v>-1.9398794324581099</v>
      </c>
      <c r="D3226">
        <v>0</v>
      </c>
      <c r="E3226">
        <v>9.3426585821578603E-3</v>
      </c>
      <c r="F3226" t="str">
        <f>"15/16"</f>
        <v>15/16</v>
      </c>
      <c r="G3226" s="10">
        <v>0.56269999999999998</v>
      </c>
    </row>
    <row r="3227" spans="1:7" x14ac:dyDescent="0.2">
      <c r="A3227" s="1" t="s">
        <v>122</v>
      </c>
      <c r="B3227" t="s">
        <v>2870</v>
      </c>
      <c r="C3227">
        <v>-1.9391104140772599</v>
      </c>
      <c r="D3227">
        <v>0</v>
      </c>
      <c r="E3227">
        <v>9.4334296749710497E-3</v>
      </c>
      <c r="F3227" t="str">
        <f>"17/19"</f>
        <v>17/19</v>
      </c>
      <c r="G3227" s="10">
        <v>0.5222</v>
      </c>
    </row>
    <row r="3228" spans="1:7" x14ac:dyDescent="0.2">
      <c r="A3228" s="1" t="s">
        <v>122</v>
      </c>
      <c r="B3228" t="s">
        <v>2871</v>
      </c>
      <c r="C3228">
        <v>-1.93809441825544</v>
      </c>
      <c r="D3228">
        <v>0</v>
      </c>
      <c r="E3228">
        <v>9.5241023175751099E-3</v>
      </c>
      <c r="F3228" t="str">
        <f>"29/34"</f>
        <v>29/34</v>
      </c>
      <c r="G3228" s="10">
        <v>0.57389999999999997</v>
      </c>
    </row>
    <row r="3229" spans="1:7" x14ac:dyDescent="0.2">
      <c r="A3229" s="1" t="s">
        <v>122</v>
      </c>
      <c r="B3229" t="s">
        <v>2872</v>
      </c>
      <c r="C3229">
        <v>-1.93668065069314</v>
      </c>
      <c r="D3229">
        <v>0</v>
      </c>
      <c r="E3229">
        <v>9.6010000318297092E-3</v>
      </c>
      <c r="F3229" t="str">
        <f>"33/36"</f>
        <v>33/36</v>
      </c>
      <c r="G3229" s="10">
        <v>0.66379999999999995</v>
      </c>
    </row>
    <row r="3230" spans="1:7" x14ac:dyDescent="0.2">
      <c r="A3230" s="1" t="s">
        <v>122</v>
      </c>
      <c r="B3230" t="s">
        <v>2873</v>
      </c>
      <c r="C3230">
        <v>-1.9362072689908201</v>
      </c>
      <c r="D3230">
        <v>2.4390243902439001E-2</v>
      </c>
      <c r="E3230">
        <v>9.6094682861567592E-3</v>
      </c>
      <c r="F3230" t="str">
        <f>"12/16"</f>
        <v>12/16</v>
      </c>
      <c r="G3230" s="10">
        <v>0.36820000000000003</v>
      </c>
    </row>
    <row r="3231" spans="1:7" x14ac:dyDescent="0.2">
      <c r="A3231" s="1" t="s">
        <v>122</v>
      </c>
      <c r="B3231" t="s">
        <v>2874</v>
      </c>
      <c r="C3231">
        <v>-1.9352707484371501</v>
      </c>
      <c r="D3231">
        <v>0</v>
      </c>
      <c r="E3231">
        <v>9.6179273707444092E-3</v>
      </c>
      <c r="F3231" t="str">
        <f>"53/56"</f>
        <v>53/56</v>
      </c>
      <c r="G3231" s="10">
        <v>0.72360000000000002</v>
      </c>
    </row>
    <row r="3232" spans="1:7" x14ac:dyDescent="0.2">
      <c r="A3232" s="1" t="s">
        <v>122</v>
      </c>
      <c r="B3232" t="s">
        <v>860</v>
      </c>
      <c r="C3232">
        <v>-1.9344388392710301</v>
      </c>
      <c r="D3232">
        <v>0</v>
      </c>
      <c r="E3232">
        <v>9.6400317363658193E-3</v>
      </c>
      <c r="F3232" t="str">
        <f>"20/21"</f>
        <v>20/21</v>
      </c>
      <c r="G3232" s="10">
        <v>0.62009999999999998</v>
      </c>
    </row>
    <row r="3233" spans="1:7" x14ac:dyDescent="0.2">
      <c r="A3233" s="1" t="s">
        <v>122</v>
      </c>
      <c r="B3233" t="s">
        <v>2875</v>
      </c>
      <c r="C3233">
        <v>-1.9326567366579299</v>
      </c>
      <c r="D3233">
        <v>2.3809523809523801E-2</v>
      </c>
      <c r="E3233">
        <v>9.6348180902131094E-3</v>
      </c>
      <c r="F3233" t="str">
        <f>"16/26"</f>
        <v>16/26</v>
      </c>
      <c r="G3233" s="10">
        <v>0.30330000000000001</v>
      </c>
    </row>
    <row r="3234" spans="1:7" x14ac:dyDescent="0.2">
      <c r="A3234" s="1" t="s">
        <v>122</v>
      </c>
      <c r="B3234" t="s">
        <v>2876</v>
      </c>
      <c r="C3234">
        <v>-1.9316374640215599</v>
      </c>
      <c r="D3234">
        <v>2.4390243902439001E-2</v>
      </c>
      <c r="E3234">
        <v>9.6705291034392907E-3</v>
      </c>
      <c r="F3234" t="str">
        <f>"22/22"</f>
        <v>22/22</v>
      </c>
      <c r="G3234" s="10">
        <v>0.66459999999999997</v>
      </c>
    </row>
    <row r="3235" spans="1:7" x14ac:dyDescent="0.2">
      <c r="A3235" s="1" t="s">
        <v>122</v>
      </c>
      <c r="B3235" t="s">
        <v>996</v>
      </c>
      <c r="C3235">
        <v>-1.93075088713762</v>
      </c>
      <c r="D3235">
        <v>2.1739130434782601E-2</v>
      </c>
      <c r="E3235">
        <v>9.7470984475850897E-3</v>
      </c>
      <c r="F3235" t="str">
        <f>"26/28"</f>
        <v>26/28</v>
      </c>
      <c r="G3235" s="10">
        <v>0.59860000000000002</v>
      </c>
    </row>
    <row r="3236" spans="1:7" x14ac:dyDescent="0.2">
      <c r="A3236" s="1" t="s">
        <v>122</v>
      </c>
      <c r="B3236" t="s">
        <v>2877</v>
      </c>
      <c r="C3236">
        <v>-1.9300305462846301</v>
      </c>
      <c r="D3236">
        <v>0</v>
      </c>
      <c r="E3236">
        <v>9.7418354354643598E-3</v>
      </c>
      <c r="F3236" t="str">
        <f>"14/16"</f>
        <v>14/16</v>
      </c>
      <c r="G3236" s="10">
        <v>0.47910000000000003</v>
      </c>
    </row>
    <row r="3237" spans="1:7" x14ac:dyDescent="0.2">
      <c r="A3237" s="1" t="s">
        <v>122</v>
      </c>
      <c r="B3237" t="s">
        <v>2878</v>
      </c>
      <c r="C3237">
        <v>-1.9293804655542599</v>
      </c>
      <c r="D3237">
        <v>0</v>
      </c>
      <c r="E3237">
        <v>9.8182836543968203E-3</v>
      </c>
      <c r="F3237" t="str">
        <f>"17/18"</f>
        <v>17/18</v>
      </c>
      <c r="G3237" s="10">
        <v>0.52339999999999998</v>
      </c>
    </row>
    <row r="3238" spans="1:7" x14ac:dyDescent="0.2">
      <c r="A3238" s="1" t="s">
        <v>122</v>
      </c>
      <c r="B3238" t="s">
        <v>2879</v>
      </c>
      <c r="C3238">
        <v>-1.92858510790559</v>
      </c>
      <c r="D3238">
        <v>2.4390243902439001E-2</v>
      </c>
      <c r="E3238">
        <v>9.8946494049161997E-3</v>
      </c>
      <c r="F3238" t="str">
        <f>"29/30"</f>
        <v>29/30</v>
      </c>
      <c r="G3238" s="10">
        <v>0.68820000000000003</v>
      </c>
    </row>
    <row r="3239" spans="1:7" x14ac:dyDescent="0.2">
      <c r="A3239" s="1" t="s">
        <v>122</v>
      </c>
      <c r="B3239" t="s">
        <v>333</v>
      </c>
      <c r="C3239">
        <v>-1.92821132702288</v>
      </c>
      <c r="D3239">
        <v>0</v>
      </c>
      <c r="E3239">
        <v>9.8893153621103097E-3</v>
      </c>
      <c r="F3239" t="str">
        <f>"67/78"</f>
        <v>67/78</v>
      </c>
      <c r="G3239" s="10">
        <v>0.66559999999999997</v>
      </c>
    </row>
    <row r="3240" spans="1:7" x14ac:dyDescent="0.2">
      <c r="A3240" s="1" t="s">
        <v>122</v>
      </c>
      <c r="B3240" t="s">
        <v>2880</v>
      </c>
      <c r="C3240">
        <v>-1.92747276582525</v>
      </c>
      <c r="D3240">
        <v>0</v>
      </c>
      <c r="E3240">
        <v>9.92477380887569E-3</v>
      </c>
      <c r="F3240" t="str">
        <f>"18/18"</f>
        <v>18/18</v>
      </c>
      <c r="G3240" s="10">
        <v>0.59419999999999995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Supplementary Data 1</vt:lpstr>
      <vt:lpstr>Supplementary Data 2</vt:lpstr>
      <vt:lpstr>Supplementary Data 3</vt:lpstr>
      <vt:lpstr>Supplementary Data 4</vt:lpstr>
      <vt:lpstr>Supplementary Data 5</vt:lpstr>
      <vt:lpstr>Supplementary Data 6</vt:lpstr>
      <vt:lpstr>Supplementary Data 7</vt:lpstr>
      <vt:lpstr>Supplementary Data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Qilu Zhou</dc:creator>
  <cp:lastModifiedBy>Qilu Zhou</cp:lastModifiedBy>
  <dcterms:created xsi:type="dcterms:W3CDTF">2025-06-05T21:06:22Z</dcterms:created>
  <dcterms:modified xsi:type="dcterms:W3CDTF">2025-06-14T23:31:30Z</dcterms:modified>
</cp:coreProperties>
</file>