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codeName="ThisWorkbook"/>
  <mc:AlternateContent xmlns:mc="http://schemas.openxmlformats.org/markup-compatibility/2006">
    <mc:Choice Requires="x15">
      <x15ac:absPath xmlns:x15ac="http://schemas.microsoft.com/office/spreadsheetml/2010/11/ac" url="C:\Users\30494\Documents\【跑团】\模板\悲灵\"/>
    </mc:Choice>
  </mc:AlternateContent>
  <xr:revisionPtr revIDLastSave="0" documentId="13_ncr:1_{E90456B7-6643-40AD-A426-1CDE06610C6E}" xr6:coauthVersionLast="47" xr6:coauthVersionMax="47" xr10:uidLastSave="{00000000-0000-0000-0000-000000000000}"/>
  <bookViews>
    <workbookView xWindow="-120" yWindow="-120" windowWidth="29040" windowHeight="16440" tabRatio="762" activeTab="1" xr2:uid="{00000000-000D-0000-FFFF-FFFF00000000}"/>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魔宠" sheetId="33" state="hidden" r:id="rId8"/>
    <sheet name="背景" sheetId="26" state="hidden" r:id="rId9"/>
    <sheet name="背包" sheetId="3" r:id="rId10"/>
    <sheet name="盟友与魔宠" sheetId="31" r:id="rId11"/>
    <sheet name="据点" sheetId="30" r:id="rId12"/>
    <sheet name="法术书" sheetId="8" r:id="rId13"/>
    <sheet name="法术大全" sheetId="24" r:id="rId14"/>
    <sheet name="圆形效应范围" sheetId="32" state="hidden" r:id="rId15"/>
    <sheet name="导入" sheetId="28" r:id="rId16"/>
    <sheet name="自定义调整栏" sheetId="4" r:id="rId17"/>
    <sheet name="更新" sheetId="25" r:id="rId18"/>
  </sheets>
  <definedNames>
    <definedName name="_xlnm._FilterDatabase" localSheetId="13" hidden="1">法术大全!$A$2:$Z$865</definedName>
    <definedName name="_xlnm.Print_Area" localSheetId="1">主要!$A$1:$AT$114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28" l="1" a="1"/>
  <c r="B17" i="28" s="1"/>
  <c r="CJ162" i="18" a="1"/>
  <c r="CJ162" i="18" s="1"/>
  <c r="AG47" i="18" l="1"/>
  <c r="AG48" i="18"/>
  <c r="AG49" i="18"/>
  <c r="AG50" i="18"/>
  <c r="AG51" i="18"/>
  <c r="AG69" i="18"/>
  <c r="AG70" i="18"/>
  <c r="AG71" i="18"/>
  <c r="AG72" i="18"/>
  <c r="AG73" i="18"/>
  <c r="AG84" i="18"/>
  <c r="AG85" i="18"/>
  <c r="AG86" i="18"/>
  <c r="AG87" i="18"/>
  <c r="AG90" i="18"/>
  <c r="AG91" i="18"/>
  <c r="AG92" i="18"/>
  <c r="AG93" i="18"/>
  <c r="AG94" i="18"/>
  <c r="AG99" i="18"/>
  <c r="AG102" i="18"/>
  <c r="AG104" i="18"/>
  <c r="R3" i="16"/>
  <c r="R4" i="16"/>
  <c r="R5" i="16"/>
  <c r="R6" i="16"/>
  <c r="R7" i="16"/>
  <c r="R8" i="16"/>
  <c r="R9" i="16"/>
  <c r="R10" i="16"/>
  <c r="R11" i="16"/>
  <c r="R14" i="16"/>
  <c r="R2" i="16"/>
  <c r="AB2" i="16"/>
  <c r="L44" i="16"/>
  <c r="L45" i="16"/>
  <c r="AO59" i="16" l="1"/>
  <c r="AO58" i="16"/>
  <c r="AO57" i="16"/>
  <c r="AO56" i="16"/>
  <c r="AO55" i="16"/>
  <c r="AO54" i="16"/>
  <c r="AO50" i="16"/>
  <c r="AO49" i="16"/>
  <c r="AO48" i="16"/>
  <c r="AO26" i="16"/>
  <c r="AO23" i="16"/>
  <c r="AW12" i="16"/>
  <c r="AO5" i="16"/>
  <c r="B164" i="29"/>
  <c r="S2" i="16"/>
  <c r="BS27" i="10"/>
  <c r="T2" i="16" l="1"/>
  <c r="BX22" i="10"/>
  <c r="W35" i="10"/>
  <c r="Z34" i="10"/>
  <c r="Y34" i="10"/>
  <c r="X34" i="10"/>
  <c r="W34" i="10"/>
  <c r="X35" i="10" l="1"/>
  <c r="Y35" i="10"/>
  <c r="Z35" i="10"/>
  <c r="W36" i="10"/>
  <c r="X36" i="10"/>
  <c r="Y36" i="10"/>
  <c r="Z36" i="10"/>
  <c r="W37" i="10"/>
  <c r="X37" i="10"/>
  <c r="Y37" i="10"/>
  <c r="Z37" i="10"/>
  <c r="AB21" i="4" l="1"/>
  <c r="W38" i="10"/>
  <c r="X38" i="10"/>
  <c r="Y38" i="10"/>
  <c r="Z38" i="10"/>
  <c r="W39" i="10"/>
  <c r="X39" i="10"/>
  <c r="Y39" i="10"/>
  <c r="Z39" i="10"/>
  <c r="W40" i="10"/>
  <c r="X40" i="10"/>
  <c r="Y40" i="10"/>
  <c r="Z40" i="10"/>
  <c r="W41" i="10"/>
  <c r="X41" i="10"/>
  <c r="Y41" i="10"/>
  <c r="Z41" i="10"/>
  <c r="W42" i="10"/>
  <c r="X42" i="10"/>
  <c r="Y42" i="10"/>
  <c r="Z42" i="10"/>
  <c r="W43" i="10"/>
  <c r="X43" i="10"/>
  <c r="Y43" i="10"/>
  <c r="Z43" i="10"/>
  <c r="W44" i="10"/>
  <c r="X44" i="10"/>
  <c r="Y44" i="10"/>
  <c r="Z44" i="10"/>
  <c r="W45" i="10"/>
  <c r="X45" i="10"/>
  <c r="Y45" i="10"/>
  <c r="Z45" i="10"/>
  <c r="W46" i="10"/>
  <c r="X46" i="10"/>
  <c r="Y46" i="10"/>
  <c r="Z46" i="10"/>
  <c r="W47" i="10"/>
  <c r="X47" i="10"/>
  <c r="Y47" i="10"/>
  <c r="Z47" i="10"/>
  <c r="W48" i="10"/>
  <c r="X48" i="10"/>
  <c r="Y48" i="10"/>
  <c r="Z48" i="10"/>
  <c r="W49" i="10"/>
  <c r="X49" i="10"/>
  <c r="Y49" i="10"/>
  <c r="Z49" i="10"/>
  <c r="W50" i="10"/>
  <c r="X50" i="10"/>
  <c r="Y50" i="10"/>
  <c r="Z50" i="10"/>
  <c r="W51" i="10"/>
  <c r="X51" i="10"/>
  <c r="Y51" i="10"/>
  <c r="Z51" i="10"/>
  <c r="W52" i="10"/>
  <c r="X52" i="10"/>
  <c r="Y52" i="10"/>
  <c r="Z52" i="10"/>
  <c r="W53" i="10"/>
  <c r="X53" i="10"/>
  <c r="Y53" i="10"/>
  <c r="Z53" i="10"/>
  <c r="W54" i="10"/>
  <c r="X54" i="10"/>
  <c r="Y54" i="10"/>
  <c r="Z54" i="10"/>
  <c r="AC21" i="33" l="1"/>
  <c r="AC20" i="33"/>
  <c r="AC17" i="33"/>
  <c r="BT62" i="2" s="1"/>
  <c r="AC13" i="33"/>
  <c r="AC6" i="33"/>
  <c r="AC3" i="33"/>
  <c r="BT68" i="2"/>
  <c r="BT56" i="2"/>
  <c r="BV52" i="2"/>
  <c r="CN54" i="2"/>
  <c r="CL54" i="2"/>
  <c r="CJ54" i="2"/>
  <c r="CF54" i="2"/>
  <c r="CD54" i="2"/>
  <c r="CB54" i="2"/>
  <c r="BX54" i="2"/>
  <c r="BV54" i="2"/>
  <c r="BT54" i="2"/>
  <c r="CN52" i="2"/>
  <c r="CL52" i="2"/>
  <c r="CJ52" i="2"/>
  <c r="CF52" i="2"/>
  <c r="CD52" i="2"/>
  <c r="CB52" i="2"/>
  <c r="BX52" i="2"/>
  <c r="BT52" i="2"/>
  <c r="CD50" i="2"/>
  <c r="CN48" i="2"/>
  <c r="BZ50" i="2"/>
  <c r="BW50" i="2"/>
  <c r="BT50" i="2"/>
  <c r="CK48" i="2"/>
  <c r="CI48" i="2"/>
  <c r="CD48" i="2"/>
  <c r="AA34" i="16"/>
  <c r="AP2" i="16"/>
  <c r="AA15" i="16"/>
  <c r="AA16" i="16"/>
  <c r="AA14" i="16"/>
  <c r="Z15" i="16"/>
  <c r="Z16" i="16"/>
  <c r="Z14" i="16"/>
  <c r="Z10" i="4"/>
  <c r="Z11" i="4"/>
  <c r="Z12" i="4"/>
  <c r="Z13" i="4"/>
  <c r="Z14" i="4"/>
  <c r="Z9" i="4"/>
  <c r="P62" i="2"/>
  <c r="AL66" i="16"/>
  <c r="AB34" i="16" l="1"/>
  <c r="AC34" i="16"/>
  <c r="Y17" i="4"/>
  <c r="AP3" i="16"/>
  <c r="AW3" i="16" s="1"/>
  <c r="AP4" i="16"/>
  <c r="AW4" i="16" s="1"/>
  <c r="AP5" i="16"/>
  <c r="AW5" i="16" s="1"/>
  <c r="AP6" i="16"/>
  <c r="AW6" i="16" s="1"/>
  <c r="AX5" i="16" l="1"/>
  <c r="AD35" i="2"/>
  <c r="AX3" i="16"/>
  <c r="AD33" i="2"/>
  <c r="AX6" i="16"/>
  <c r="AD36" i="2"/>
  <c r="AX4" i="16"/>
  <c r="AD34" i="2"/>
  <c r="AL82" i="16"/>
  <c r="AL62" i="16"/>
  <c r="AL64" i="16"/>
  <c r="AL65" i="16"/>
  <c r="AL63" i="16"/>
  <c r="AL61" i="16"/>
  <c r="AL59" i="16"/>
  <c r="AL60" i="16"/>
  <c r="AL58" i="16"/>
  <c r="AL57" i="16"/>
  <c r="AL56" i="16"/>
  <c r="AL55" i="16"/>
  <c r="AK46" i="16"/>
  <c r="AK38" i="16"/>
  <c r="AK24" i="16"/>
  <c r="AK19" i="16"/>
  <c r="AL21" i="16"/>
  <c r="AL20" i="16"/>
  <c r="AL19" i="16"/>
  <c r="AL16" i="16"/>
  <c r="AL18" i="16"/>
  <c r="AL17" i="16"/>
  <c r="AL15" i="16"/>
  <c r="AK10" i="16"/>
  <c r="AL14" i="16"/>
  <c r="AN2" i="16"/>
  <c r="AM2" i="16"/>
  <c r="AL2" i="16"/>
  <c r="AK2" i="16"/>
  <c r="AS40" i="16"/>
  <c r="AT40" i="16"/>
  <c r="AT39" i="16"/>
  <c r="AT37" i="16"/>
  <c r="AT35" i="16"/>
  <c r="AT34" i="16"/>
  <c r="AT33" i="16"/>
  <c r="AS33" i="16"/>
  <c r="AT31" i="16"/>
  <c r="AT30" i="16"/>
  <c r="AT13" i="16"/>
  <c r="AT12" i="16"/>
  <c r="AT28" i="16"/>
  <c r="AS13" i="16"/>
  <c r="AS14" i="16"/>
  <c r="AS15" i="16"/>
  <c r="AS16" i="16"/>
  <c r="AS17" i="16"/>
  <c r="AS18" i="16"/>
  <c r="AS19" i="16"/>
  <c r="AS20" i="16"/>
  <c r="AS21" i="16"/>
  <c r="AS22" i="16"/>
  <c r="AS23" i="16"/>
  <c r="AS24" i="16"/>
  <c r="AS25" i="16"/>
  <c r="AS26" i="16"/>
  <c r="AS28" i="16"/>
  <c r="AS12" i="16"/>
  <c r="AR43" i="16"/>
  <c r="AR44" i="16"/>
  <c r="AR45" i="16"/>
  <c r="AR42" i="16"/>
  <c r="AR33" i="16"/>
  <c r="AQ33" i="16"/>
  <c r="AR28" i="16"/>
  <c r="AQ28" i="16"/>
  <c r="AR40" i="16"/>
  <c r="AQ40" i="16"/>
  <c r="AR41" i="16"/>
  <c r="AR22" i="16"/>
  <c r="AR18" i="16"/>
  <c r="AP19" i="16"/>
  <c r="AP20" i="16"/>
  <c r="AP21" i="16"/>
  <c r="AP22" i="16"/>
  <c r="AP23" i="16"/>
  <c r="AP24" i="16"/>
  <c r="AP25" i="16"/>
  <c r="AP26" i="16"/>
  <c r="P26" i="10" l="1"/>
  <c r="O11" i="18"/>
  <c r="O8" i="18"/>
  <c r="O9" i="18"/>
  <c r="N13" i="18"/>
  <c r="O13" i="18"/>
  <c r="O12" i="18"/>
  <c r="O7" i="18"/>
  <c r="O6" i="18"/>
  <c r="B16" i="18"/>
  <c r="S3" i="2" l="1"/>
  <c r="P22" i="10"/>
  <c r="B21" i="18"/>
  <c r="B20" i="18"/>
  <c r="AH24" i="16"/>
  <c r="AH23" i="16"/>
  <c r="AH22" i="16"/>
  <c r="AH21" i="16"/>
  <c r="B213" i="29"/>
  <c r="B225" i="29"/>
  <c r="B71" i="29"/>
  <c r="B224" i="29"/>
  <c r="B70" i="29"/>
  <c r="B222" i="29"/>
  <c r="B68" i="29"/>
  <c r="B223" i="29"/>
  <c r="B221" i="29"/>
  <c r="B220" i="29"/>
  <c r="B219" i="29"/>
  <c r="B218" i="29"/>
  <c r="B217" i="29"/>
  <c r="B216" i="29"/>
  <c r="B215" i="29"/>
  <c r="B214" i="29"/>
  <c r="B69" i="29"/>
  <c r="B67" i="29"/>
  <c r="B66" i="29"/>
  <c r="B65" i="29"/>
  <c r="B64" i="29"/>
  <c r="B63" i="29"/>
  <c r="B62" i="29"/>
  <c r="B61" i="29"/>
  <c r="B60" i="29"/>
  <c r="B226" i="29"/>
  <c r="B59" i="29"/>
  <c r="J2" i="26"/>
  <c r="I2" i="26"/>
  <c r="B122" i="26"/>
  <c r="B123" i="26"/>
  <c r="B124" i="26"/>
  <c r="B125" i="26"/>
  <c r="B126" i="26"/>
  <c r="B127" i="26"/>
  <c r="B128" i="26"/>
  <c r="B129" i="26"/>
  <c r="B130" i="26"/>
  <c r="B131" i="26"/>
  <c r="B132" i="26"/>
  <c r="B133" i="26"/>
  <c r="B134" i="26"/>
  <c r="B135" i="26"/>
  <c r="B136" i="26"/>
  <c r="B137" i="26"/>
  <c r="B138" i="26"/>
  <c r="B140" i="26"/>
  <c r="B141" i="26"/>
  <c r="B15" i="18"/>
  <c r="AY105" i="27"/>
  <c r="AY107" i="27"/>
  <c r="AY103" i="27"/>
  <c r="AY104" i="27"/>
  <c r="AY106" i="27"/>
  <c r="BO103" i="27"/>
  <c r="BN103" i="27"/>
  <c r="BM103" i="27"/>
  <c r="BL103" i="27"/>
  <c r="BK103" i="27"/>
  <c r="BJ103" i="27"/>
  <c r="BI103" i="27"/>
  <c r="AY102" i="27"/>
  <c r="AY101" i="27"/>
  <c r="AY100" i="27"/>
  <c r="AY99" i="27"/>
  <c r="AY98" i="27"/>
  <c r="AY97" i="27"/>
  <c r="AY96" i="27"/>
  <c r="B121" i="26"/>
  <c r="AY51" i="27"/>
  <c r="AY50" i="27"/>
  <c r="AY49" i="27"/>
  <c r="BR15" i="27"/>
  <c r="BR14" i="27"/>
  <c r="BR13" i="27"/>
  <c r="AY22" i="27"/>
  <c r="CI23" i="10" l="1"/>
  <c r="CJ23" i="10"/>
  <c r="CI6" i="10"/>
  <c r="W23" i="2" l="1"/>
  <c r="BG5" i="27"/>
  <c r="BF5" i="27"/>
  <c r="AY94" i="27"/>
  <c r="AY95" i="27"/>
  <c r="AY93" i="27"/>
  <c r="B58" i="29"/>
  <c r="B57" i="29"/>
  <c r="B212" i="29"/>
  <c r="B120" i="26"/>
  <c r="B119" i="26"/>
  <c r="L38" i="16"/>
  <c r="L39" i="16"/>
  <c r="L40" i="16"/>
  <c r="B49" i="29"/>
  <c r="B50" i="29"/>
  <c r="B51" i="29"/>
  <c r="B52" i="29"/>
  <c r="B53" i="29"/>
  <c r="B54" i="29"/>
  <c r="B55" i="29"/>
  <c r="B56" i="29"/>
  <c r="B200" i="29"/>
  <c r="B201" i="29"/>
  <c r="B202" i="29"/>
  <c r="B203" i="29"/>
  <c r="B204" i="29"/>
  <c r="B205" i="29"/>
  <c r="B206" i="29"/>
  <c r="B207" i="29"/>
  <c r="B208" i="29"/>
  <c r="B209" i="29"/>
  <c r="B210" i="29"/>
  <c r="B211" i="29"/>
  <c r="B257" i="29"/>
  <c r="B258" i="29"/>
  <c r="B259" i="29"/>
  <c r="B112" i="26"/>
  <c r="B113" i="26"/>
  <c r="B114" i="26"/>
  <c r="B115" i="26"/>
  <c r="B116" i="26"/>
  <c r="B117" i="26"/>
  <c r="B118" i="26"/>
  <c r="B102" i="26"/>
  <c r="B103" i="26"/>
  <c r="B104" i="26"/>
  <c r="B105" i="26"/>
  <c r="B106" i="26"/>
  <c r="B107" i="26"/>
  <c r="B108" i="26"/>
  <c r="B109" i="26"/>
  <c r="B110" i="26"/>
  <c r="B111" i="26"/>
  <c r="K13" i="18"/>
  <c r="L11" i="18"/>
  <c r="K9" i="18"/>
  <c r="M8" i="18"/>
  <c r="L7" i="18"/>
  <c r="M3" i="18"/>
  <c r="M5" i="18"/>
  <c r="L3" i="18"/>
  <c r="L4" i="18"/>
  <c r="L5" i="18"/>
  <c r="K6" i="18"/>
  <c r="L8" i="18"/>
  <c r="J9" i="18"/>
  <c r="J12" i="18"/>
  <c r="K14" i="18"/>
  <c r="Q14" i="18"/>
  <c r="Q12" i="18"/>
  <c r="Q11" i="18"/>
  <c r="Q10" i="18"/>
  <c r="Q9" i="18"/>
  <c r="Q7" i="18"/>
  <c r="Q5" i="18"/>
  <c r="Q4" i="18"/>
  <c r="M2" i="26" l="1"/>
  <c r="N2" i="26"/>
  <c r="L2" i="26"/>
  <c r="O2" i="26"/>
  <c r="K2" i="26"/>
  <c r="P24" i="10"/>
  <c r="P23" i="10"/>
  <c r="Q23" i="10" s="1"/>
  <c r="I13" i="16" l="1"/>
  <c r="AU12" i="16"/>
  <c r="CW60" i="18" l="1"/>
  <c r="CW61" i="18"/>
  <c r="CW62" i="18"/>
  <c r="CW63" i="18"/>
  <c r="CW64" i="18"/>
  <c r="CW65" i="18"/>
  <c r="CW66" i="18"/>
  <c r="CW67" i="18"/>
  <c r="CW68" i="18"/>
  <c r="CW69" i="18"/>
  <c r="CW70" i="18"/>
  <c r="CW71" i="18"/>
  <c r="CW72" i="18"/>
  <c r="CW73" i="18"/>
  <c r="CW74" i="18"/>
  <c r="CW75" i="18"/>
  <c r="CW76" i="18"/>
  <c r="CW77" i="18"/>
  <c r="CW78" i="18"/>
  <c r="CW79" i="18"/>
  <c r="CW80" i="18"/>
  <c r="CW81" i="18"/>
  <c r="CW2" i="18"/>
  <c r="AB2" i="18"/>
  <c r="AE2" i="18"/>
  <c r="S5" i="18"/>
  <c r="AY84" i="27" l="1"/>
  <c r="BE5" i="27"/>
  <c r="BD5" i="27"/>
  <c r="BC5" i="27"/>
  <c r="U8" i="18"/>
  <c r="U11" i="18"/>
  <c r="U3" i="18"/>
  <c r="U5" i="18"/>
  <c r="U14" i="18"/>
  <c r="U13" i="18"/>
  <c r="U12" i="18"/>
  <c r="T5" i="18"/>
  <c r="U4" i="18"/>
  <c r="U6" i="18"/>
  <c r="AY85" i="27"/>
  <c r="AY86" i="27"/>
  <c r="AY87" i="27"/>
  <c r="AY88" i="27"/>
  <c r="AY89" i="27"/>
  <c r="AY90" i="27"/>
  <c r="AY91" i="27"/>
  <c r="AY92" i="27"/>
  <c r="BB6" i="27"/>
  <c r="L14" i="18"/>
  <c r="L13" i="18"/>
  <c r="L6" i="18"/>
  <c r="B196" i="29"/>
  <c r="B197" i="29"/>
  <c r="B198" i="29"/>
  <c r="B199" i="29"/>
  <c r="X3" i="18"/>
  <c r="X4" i="18"/>
  <c r="X5" i="18"/>
  <c r="X6" i="18"/>
  <c r="X7" i="18"/>
  <c r="X8" i="18"/>
  <c r="X9" i="18"/>
  <c r="X10" i="18"/>
  <c r="X11" i="18"/>
  <c r="X12" i="18"/>
  <c r="X13" i="18"/>
  <c r="X14" i="18"/>
  <c r="AY82" i="27"/>
  <c r="AY83" i="27"/>
  <c r="S3" i="18" l="1"/>
  <c r="S4" i="18"/>
  <c r="S6" i="18"/>
  <c r="S7" i="18"/>
  <c r="S8" i="18"/>
  <c r="S9" i="18"/>
  <c r="S10" i="18"/>
  <c r="S11" i="18"/>
  <c r="S12" i="18"/>
  <c r="S13" i="18"/>
  <c r="S14" i="18"/>
  <c r="B189" i="29"/>
  <c r="B190" i="29"/>
  <c r="B191" i="29"/>
  <c r="B192" i="29"/>
  <c r="B193" i="29"/>
  <c r="B194" i="29"/>
  <c r="B195" i="29"/>
  <c r="C257" i="29"/>
  <c r="M7" i="18"/>
  <c r="M4" i="18"/>
  <c r="N5" i="18"/>
  <c r="O5" i="18"/>
  <c r="AY72" i="27"/>
  <c r="AY73" i="27"/>
  <c r="AY74" i="27"/>
  <c r="AY75" i="27"/>
  <c r="AY76" i="27"/>
  <c r="AY77" i="27"/>
  <c r="AY78" i="27"/>
  <c r="AY79" i="27"/>
  <c r="AY80" i="27"/>
  <c r="AY81" i="27"/>
  <c r="R11" i="18" l="1"/>
  <c r="R9" i="18"/>
  <c r="R7" i="18"/>
  <c r="R5" i="18"/>
  <c r="R4" i="18"/>
  <c r="R3" i="18"/>
  <c r="AY70" i="27"/>
  <c r="AY71" i="27"/>
  <c r="K4" i="29"/>
  <c r="CG12" i="30"/>
  <c r="P4" i="29" l="1"/>
  <c r="B7" i="30" s="1"/>
  <c r="N4" i="29"/>
  <c r="M4" i="29"/>
  <c r="L4" i="29"/>
  <c r="O4" i="29"/>
  <c r="T36" i="16"/>
  <c r="T35" i="16"/>
  <c r="T34" i="16"/>
  <c r="T33" i="16"/>
  <c r="T32" i="16"/>
  <c r="T31" i="16"/>
  <c r="T30" i="16"/>
  <c r="T29" i="16"/>
  <c r="T28" i="16"/>
  <c r="T27" i="16"/>
  <c r="T26" i="16"/>
  <c r="T25" i="16"/>
  <c r="T24" i="16"/>
  <c r="T23" i="16"/>
  <c r="T22" i="16"/>
  <c r="T21" i="16"/>
  <c r="T20" i="16"/>
  <c r="BG4" i="3"/>
  <c r="E2" i="16"/>
  <c r="J2" i="16"/>
  <c r="G34" i="16"/>
  <c r="F34" i="16"/>
  <c r="E34" i="16"/>
  <c r="G33" i="16"/>
  <c r="F33" i="16"/>
  <c r="E33" i="16"/>
  <c r="G32" i="16"/>
  <c r="F32" i="16"/>
  <c r="E32" i="16"/>
  <c r="G31" i="16"/>
  <c r="F31" i="16"/>
  <c r="E31" i="16"/>
  <c r="G30" i="16"/>
  <c r="F30" i="16"/>
  <c r="E30" i="16"/>
  <c r="G29" i="16"/>
  <c r="F29" i="16"/>
  <c r="E29" i="16"/>
  <c r="G28" i="16"/>
  <c r="F28" i="16"/>
  <c r="E28" i="16"/>
  <c r="G27" i="16"/>
  <c r="F27" i="16"/>
  <c r="E27" i="16"/>
  <c r="G26" i="16"/>
  <c r="F26" i="16"/>
  <c r="E26" i="16"/>
  <c r="G25" i="16"/>
  <c r="F25" i="16"/>
  <c r="E25" i="16"/>
  <c r="G23" i="16"/>
  <c r="F23" i="16"/>
  <c r="E23" i="16"/>
  <c r="G22" i="16"/>
  <c r="F22" i="16"/>
  <c r="E22" i="16"/>
  <c r="G21" i="16"/>
  <c r="F21" i="16"/>
  <c r="E21" i="16"/>
  <c r="G20" i="16"/>
  <c r="F20" i="16"/>
  <c r="E20" i="16"/>
  <c r="G19" i="16"/>
  <c r="F19" i="16"/>
  <c r="E19" i="16"/>
  <c r="G18" i="16"/>
  <c r="F18" i="16"/>
  <c r="E18" i="16"/>
  <c r="G17" i="16"/>
  <c r="F17" i="16"/>
  <c r="E17" i="16"/>
  <c r="G16" i="16"/>
  <c r="F16" i="16"/>
  <c r="E16" i="16"/>
  <c r="G15" i="16"/>
  <c r="F15" i="16"/>
  <c r="E15" i="16"/>
  <c r="G14" i="16"/>
  <c r="F14" i="16"/>
  <c r="E14" i="16"/>
  <c r="E11" i="16"/>
  <c r="E10" i="16"/>
  <c r="E9" i="16"/>
  <c r="E8" i="16"/>
  <c r="E7" i="16"/>
  <c r="E6" i="16"/>
  <c r="E5" i="16"/>
  <c r="E4" i="16"/>
  <c r="E3" i="16"/>
  <c r="K6" i="16" l="1" a="1"/>
  <c r="K6" i="16" s="1"/>
  <c r="S7" i="16"/>
  <c r="S10" i="16"/>
  <c r="S8" i="16"/>
  <c r="S5" i="16"/>
  <c r="S6" i="16"/>
  <c r="S11" i="16"/>
  <c r="S3" i="16"/>
  <c r="S9" i="16"/>
  <c r="S4" i="16"/>
  <c r="H11" i="16"/>
  <c r="F11" i="16"/>
  <c r="G11" i="16"/>
  <c r="F9" i="16"/>
  <c r="G9" i="16"/>
  <c r="H9" i="16"/>
  <c r="H10" i="16"/>
  <c r="F10" i="16"/>
  <c r="G10" i="16"/>
  <c r="F3" i="16"/>
  <c r="G3" i="16"/>
  <c r="H3" i="16"/>
  <c r="H2" i="16"/>
  <c r="G2" i="16"/>
  <c r="F2" i="16"/>
  <c r="G4" i="16"/>
  <c r="H4" i="16"/>
  <c r="F4" i="16"/>
  <c r="H5" i="16"/>
  <c r="F5" i="16"/>
  <c r="G5" i="16"/>
  <c r="H6" i="16"/>
  <c r="F6" i="16"/>
  <c r="G6" i="16"/>
  <c r="G8" i="16"/>
  <c r="F8" i="16"/>
  <c r="H8" i="16"/>
  <c r="F7" i="16"/>
  <c r="G7" i="16"/>
  <c r="H7" i="16"/>
  <c r="T7" i="16"/>
  <c r="U7" i="16"/>
  <c r="W7" i="16"/>
  <c r="V7" i="16"/>
  <c r="U5" i="16"/>
  <c r="W5" i="16"/>
  <c r="T5" i="16"/>
  <c r="V5" i="16"/>
  <c r="T9" i="16"/>
  <c r="W9" i="16"/>
  <c r="U9" i="16"/>
  <c r="V9" i="16"/>
  <c r="V6" i="16"/>
  <c r="T6" i="16"/>
  <c r="U6" i="16"/>
  <c r="W6" i="16"/>
  <c r="V8" i="16"/>
  <c r="T8" i="16"/>
  <c r="U8" i="16"/>
  <c r="W8" i="16"/>
  <c r="U10" i="16"/>
  <c r="T10" i="16"/>
  <c r="V10" i="16"/>
  <c r="W10" i="16"/>
  <c r="W11" i="16"/>
  <c r="U11" i="16"/>
  <c r="T11" i="16"/>
  <c r="V11" i="16"/>
  <c r="V2" i="16"/>
  <c r="U2" i="16"/>
  <c r="W2" i="16"/>
  <c r="T3" i="16"/>
  <c r="W3" i="16"/>
  <c r="U3" i="16"/>
  <c r="V3" i="16"/>
  <c r="T4" i="16"/>
  <c r="V4" i="16"/>
  <c r="U4" i="16"/>
  <c r="W4" i="16"/>
  <c r="K29" i="16" a="1"/>
  <c r="K29" i="16" s="1"/>
  <c r="K44" i="16" a="1"/>
  <c r="K44" i="16" s="1"/>
  <c r="K42" i="16" a="1"/>
  <c r="K42" i="16" s="1"/>
  <c r="K45" i="16" a="1"/>
  <c r="K45" i="16" s="1"/>
  <c r="K43" i="16" a="1"/>
  <c r="K43" i="16" s="1"/>
  <c r="K38" i="16" a="1"/>
  <c r="K38" i="16" s="1"/>
  <c r="K13" i="16" a="1"/>
  <c r="K13" i="16" s="1"/>
  <c r="K21" i="16" a="1"/>
  <c r="K21" i="16" s="1"/>
  <c r="K3" i="16" a="1"/>
  <c r="K3" i="16" s="1"/>
  <c r="AI5" i="30"/>
  <c r="AR5" i="30"/>
  <c r="AL5" i="30"/>
  <c r="I5" i="30"/>
  <c r="K12" i="16" a="1"/>
  <c r="K12" i="16" s="1"/>
  <c r="K25" i="16" a="1"/>
  <c r="K25" i="16" s="1"/>
  <c r="K20" i="16" a="1"/>
  <c r="K20" i="16" s="1"/>
  <c r="K17" i="16" a="1"/>
  <c r="K17" i="16" s="1"/>
  <c r="K8" i="16" a="1"/>
  <c r="K8" i="16" s="1"/>
  <c r="K4" i="16" a="1"/>
  <c r="K4" i="16" s="1"/>
  <c r="K1" i="16" a="1"/>
  <c r="K1" i="16" s="1"/>
  <c r="K9" i="16" a="1"/>
  <c r="K9" i="16" s="1"/>
  <c r="K30" i="16" a="1"/>
  <c r="K30" i="16" s="1"/>
  <c r="K35" i="16" a="1"/>
  <c r="K35" i="16" s="1"/>
  <c r="K7" i="16" a="1"/>
  <c r="K7" i="16" s="1"/>
  <c r="K26" i="16" a="1"/>
  <c r="K26" i="16" s="1"/>
  <c r="K18" i="16" a="1"/>
  <c r="K18" i="16" s="1"/>
  <c r="K36" i="16" a="1"/>
  <c r="K36" i="16" s="1"/>
  <c r="K39" i="16" a="1"/>
  <c r="K39" i="16" s="1"/>
  <c r="K2" i="16" a="1"/>
  <c r="K2" i="16" s="1"/>
  <c r="K22" i="16" a="1"/>
  <c r="K22" i="16" s="1"/>
  <c r="K31" i="16" a="1"/>
  <c r="K31" i="16" s="1"/>
  <c r="K37" i="16" a="1"/>
  <c r="K37" i="16" s="1"/>
  <c r="K10" i="16" a="1"/>
  <c r="K10" i="16" s="1"/>
  <c r="K15" i="16" a="1"/>
  <c r="K15" i="16" s="1"/>
  <c r="K40" i="16" a="1"/>
  <c r="K40" i="16" s="1"/>
  <c r="K19" i="16" a="1"/>
  <c r="K19" i="16" s="1"/>
  <c r="K41" i="16" a="1"/>
  <c r="K41" i="16" s="1"/>
  <c r="K23" i="16" a="1"/>
  <c r="K23" i="16" s="1"/>
  <c r="K28" i="16" a="1"/>
  <c r="K28" i="16" s="1"/>
  <c r="K32" i="16" a="1"/>
  <c r="K32" i="16" s="1"/>
  <c r="K5" i="16" a="1"/>
  <c r="K5" i="16" s="1"/>
  <c r="K11" i="16" a="1"/>
  <c r="K11" i="16" s="1"/>
  <c r="K24" i="16" a="1"/>
  <c r="K24" i="16" s="1"/>
  <c r="K16" i="16" a="1"/>
  <c r="K16" i="16" s="1"/>
  <c r="K34" i="16" a="1"/>
  <c r="K34" i="16" s="1"/>
  <c r="K33" i="16" a="1"/>
  <c r="K33" i="16" s="1"/>
  <c r="K27" i="16" a="1"/>
  <c r="K27" i="16" s="1"/>
  <c r="K14" i="16" a="1"/>
  <c r="K14" i="16" s="1"/>
  <c r="A815" i="24"/>
  <c r="A816" i="24"/>
  <c r="B816" i="24"/>
  <c r="C816" i="24"/>
  <c r="D816" i="24"/>
  <c r="E816" i="24"/>
  <c r="F816" i="24"/>
  <c r="G816" i="24"/>
  <c r="H816" i="24"/>
  <c r="I816" i="24"/>
  <c r="J816" i="24"/>
  <c r="K816" i="24"/>
  <c r="L816" i="24"/>
  <c r="M816" i="24"/>
  <c r="A817" i="24"/>
  <c r="B817" i="24"/>
  <c r="C817" i="24"/>
  <c r="D817" i="24"/>
  <c r="E817" i="24"/>
  <c r="F817" i="24"/>
  <c r="G817" i="24"/>
  <c r="H817" i="24"/>
  <c r="I817" i="24"/>
  <c r="J817" i="24"/>
  <c r="K817" i="24"/>
  <c r="L817" i="24"/>
  <c r="M817" i="24"/>
  <c r="A818" i="24"/>
  <c r="B818" i="24"/>
  <c r="C818" i="24"/>
  <c r="D818" i="24"/>
  <c r="E818" i="24"/>
  <c r="F818" i="24"/>
  <c r="G818" i="24"/>
  <c r="H818" i="24"/>
  <c r="I818" i="24"/>
  <c r="J818" i="24"/>
  <c r="K818" i="24"/>
  <c r="L818" i="24"/>
  <c r="M818" i="24"/>
  <c r="A819" i="24"/>
  <c r="B819" i="24"/>
  <c r="C819" i="24"/>
  <c r="D819" i="24"/>
  <c r="E819" i="24"/>
  <c r="F819" i="24"/>
  <c r="G819" i="24"/>
  <c r="H819" i="24"/>
  <c r="I819" i="24"/>
  <c r="J819" i="24"/>
  <c r="K819" i="24"/>
  <c r="L819" i="24"/>
  <c r="M819" i="24"/>
  <c r="A820" i="24"/>
  <c r="B820" i="24"/>
  <c r="C820" i="24"/>
  <c r="D820" i="24"/>
  <c r="E820" i="24"/>
  <c r="F820" i="24"/>
  <c r="G820" i="24"/>
  <c r="H820" i="24"/>
  <c r="I820" i="24"/>
  <c r="J820" i="24"/>
  <c r="K820" i="24"/>
  <c r="L820" i="24"/>
  <c r="M820" i="24"/>
  <c r="A821" i="24"/>
  <c r="B821" i="24"/>
  <c r="C821" i="24"/>
  <c r="D821" i="24"/>
  <c r="E821" i="24"/>
  <c r="F821" i="24"/>
  <c r="G821" i="24"/>
  <c r="H821" i="24"/>
  <c r="I821" i="24"/>
  <c r="J821" i="24"/>
  <c r="K821" i="24"/>
  <c r="L821" i="24"/>
  <c r="M821" i="24"/>
  <c r="A822" i="24"/>
  <c r="B822" i="24"/>
  <c r="C822" i="24"/>
  <c r="D822" i="24"/>
  <c r="E822" i="24"/>
  <c r="F822" i="24"/>
  <c r="G822" i="24"/>
  <c r="H822" i="24"/>
  <c r="I822" i="24"/>
  <c r="J822" i="24"/>
  <c r="K822" i="24"/>
  <c r="L822" i="24"/>
  <c r="M822" i="24"/>
  <c r="A823" i="24"/>
  <c r="B823" i="24"/>
  <c r="C823" i="24"/>
  <c r="D823" i="24"/>
  <c r="E823" i="24"/>
  <c r="F823" i="24"/>
  <c r="G823" i="24"/>
  <c r="H823" i="24"/>
  <c r="I823" i="24"/>
  <c r="J823" i="24"/>
  <c r="K823" i="24"/>
  <c r="L823" i="24"/>
  <c r="M823" i="24"/>
  <c r="B815" i="24"/>
  <c r="C815" i="24"/>
  <c r="D815" i="24"/>
  <c r="E815" i="24"/>
  <c r="F815" i="24"/>
  <c r="G815" i="24"/>
  <c r="H815" i="24"/>
  <c r="I815" i="24"/>
  <c r="J815" i="24"/>
  <c r="K815" i="24"/>
  <c r="L815" i="24"/>
  <c r="M815" i="24"/>
  <c r="E824" i="24"/>
  <c r="E825" i="24"/>
  <c r="E826" i="24"/>
  <c r="E827" i="24"/>
  <c r="E828" i="24"/>
  <c r="E829" i="24"/>
  <c r="F827" i="24"/>
  <c r="F828" i="24"/>
  <c r="F829" i="24"/>
  <c r="F830" i="24"/>
  <c r="F831" i="24"/>
  <c r="F832" i="24"/>
  <c r="F833" i="24"/>
  <c r="F834" i="24"/>
  <c r="F835" i="24"/>
  <c r="F836" i="24"/>
  <c r="F837" i="24"/>
  <c r="F838" i="24"/>
  <c r="F839" i="24"/>
  <c r="F840" i="24"/>
  <c r="F841" i="24"/>
  <c r="F842" i="24"/>
  <c r="F843" i="24"/>
  <c r="F844" i="24"/>
  <c r="F845" i="24"/>
  <c r="D824" i="24" l="1"/>
  <c r="D825" i="24"/>
  <c r="D826" i="24"/>
  <c r="AS2" i="18" l="1"/>
  <c r="B19" i="18"/>
  <c r="AY55" i="27"/>
  <c r="CN3" i="18"/>
  <c r="CN2" i="18"/>
  <c r="BC4" i="18"/>
  <c r="BB4" i="18"/>
  <c r="BA4" i="18"/>
  <c r="BC3" i="18"/>
  <c r="BB3" i="18"/>
  <c r="BA3" i="18"/>
  <c r="BC2" i="18"/>
  <c r="BB2" i="18"/>
  <c r="BA2" i="18"/>
  <c r="B18" i="18"/>
  <c r="B17" i="18"/>
  <c r="Z14" i="18"/>
  <c r="W14" i="18"/>
  <c r="V14" i="18"/>
  <c r="Y14" i="18"/>
  <c r="J14" i="18"/>
  <c r="I14" i="18"/>
  <c r="H14" i="18"/>
  <c r="G14" i="18"/>
  <c r="Z13" i="18"/>
  <c r="W13" i="18"/>
  <c r="V13" i="18"/>
  <c r="Y13" i="18"/>
  <c r="T13" i="18"/>
  <c r="J13" i="18"/>
  <c r="I13" i="18"/>
  <c r="H13" i="18"/>
  <c r="G13" i="18"/>
  <c r="Z12" i="18"/>
  <c r="W12" i="18"/>
  <c r="Y12" i="18"/>
  <c r="I12" i="18"/>
  <c r="H12" i="18"/>
  <c r="G12" i="18"/>
  <c r="Z11" i="18"/>
  <c r="W11" i="18"/>
  <c r="Y11" i="18"/>
  <c r="K11" i="18"/>
  <c r="J11" i="18"/>
  <c r="I11" i="18"/>
  <c r="H11" i="18"/>
  <c r="G11" i="18"/>
  <c r="Z10" i="18"/>
  <c r="W10" i="18"/>
  <c r="Y10" i="18"/>
  <c r="J10" i="18"/>
  <c r="I10" i="18"/>
  <c r="H10" i="18"/>
  <c r="G10" i="18"/>
  <c r="Z9" i="18"/>
  <c r="W9" i="18"/>
  <c r="Y9" i="18"/>
  <c r="I9" i="18"/>
  <c r="H9" i="18"/>
  <c r="G9" i="18"/>
  <c r="Z8" i="18"/>
  <c r="W8" i="18"/>
  <c r="Y8" i="18"/>
  <c r="T8" i="18"/>
  <c r="K8" i="18"/>
  <c r="J8" i="18"/>
  <c r="I8" i="18"/>
  <c r="H8" i="18"/>
  <c r="G8" i="18"/>
  <c r="Z7" i="18"/>
  <c r="W7" i="18"/>
  <c r="Y7" i="18"/>
  <c r="K7" i="18"/>
  <c r="J7" i="18"/>
  <c r="I7" i="18"/>
  <c r="H7" i="18"/>
  <c r="G7" i="18"/>
  <c r="Z6" i="18"/>
  <c r="W6" i="18"/>
  <c r="V6" i="18"/>
  <c r="Y6" i="18"/>
  <c r="J6" i="18"/>
  <c r="I6" i="18"/>
  <c r="H6" i="18"/>
  <c r="G6" i="18"/>
  <c r="Z5" i="18"/>
  <c r="W5" i="18"/>
  <c r="K5" i="18"/>
  <c r="J5" i="18"/>
  <c r="I5" i="18"/>
  <c r="H5" i="18"/>
  <c r="G5" i="18"/>
  <c r="Z4" i="18"/>
  <c r="W4" i="18"/>
  <c r="Y4" i="18"/>
  <c r="K4" i="18"/>
  <c r="J4" i="18"/>
  <c r="I4" i="18"/>
  <c r="H4" i="18"/>
  <c r="G4" i="18"/>
  <c r="Z3" i="18"/>
  <c r="W3" i="18"/>
  <c r="Y3" i="18"/>
  <c r="T3" i="18"/>
  <c r="K3" i="18"/>
  <c r="J3" i="18"/>
  <c r="I3" i="18"/>
  <c r="H3" i="18"/>
  <c r="G3" i="18"/>
  <c r="B22" i="18"/>
  <c r="B101" i="26"/>
  <c r="B100" i="26"/>
  <c r="B99" i="26"/>
  <c r="B98" i="26"/>
  <c r="B97" i="26"/>
  <c r="B96" i="26"/>
  <c r="B95" i="26"/>
  <c r="B94" i="26"/>
  <c r="B93" i="26"/>
  <c r="B92" i="26"/>
  <c r="B91" i="26"/>
  <c r="B90" i="26"/>
  <c r="B89" i="26"/>
  <c r="B88" i="26"/>
  <c r="B87" i="26"/>
  <c r="B86" i="26"/>
  <c r="B85" i="26"/>
  <c r="B84" i="26"/>
  <c r="B83" i="26"/>
  <c r="AY69" i="27"/>
  <c r="AY68" i="27"/>
  <c r="AY67" i="27"/>
  <c r="AY66" i="27"/>
  <c r="AY65" i="27"/>
  <c r="AY64" i="27"/>
  <c r="AY63" i="27"/>
  <c r="AY62" i="27"/>
  <c r="AY61" i="27"/>
  <c r="AY60" i="27"/>
  <c r="AY59" i="27"/>
  <c r="AY58" i="27"/>
  <c r="AY57" i="27"/>
  <c r="AY56" i="27"/>
  <c r="AY54" i="27"/>
  <c r="AY53" i="27"/>
  <c r="AY52" i="27"/>
  <c r="AP32" i="16"/>
  <c r="AP44" i="16"/>
  <c r="AP39" i="16"/>
  <c r="AZ12" i="16" l="1" a="1"/>
  <c r="AZ12" i="16" s="1"/>
  <c r="AZ47" i="16" a="1"/>
  <c r="AZ47" i="16" s="1"/>
  <c r="AZ45" i="16" a="1"/>
  <c r="AZ45" i="16" s="1"/>
  <c r="AZ11" i="16" a="1"/>
  <c r="AZ11" i="16" s="1"/>
  <c r="AZ14" i="16" a="1"/>
  <c r="AZ14" i="16" s="1"/>
  <c r="AZ15" i="16" a="1"/>
  <c r="AZ15" i="16" s="1"/>
  <c r="AZ40" i="16" a="1"/>
  <c r="AZ40" i="16" s="1"/>
  <c r="AZ39" i="16" a="1"/>
  <c r="AZ39" i="16" s="1"/>
  <c r="AZ26" i="16" a="1"/>
  <c r="AZ26" i="16" s="1"/>
  <c r="AZ42" i="16" a="1"/>
  <c r="AZ42" i="16" s="1"/>
  <c r="AZ32" i="16" a="1"/>
  <c r="AZ32" i="16" s="1"/>
  <c r="AZ19" i="16" a="1"/>
  <c r="AZ19" i="16" s="1"/>
  <c r="AZ43" i="16" a="1"/>
  <c r="AZ43" i="16" s="1"/>
  <c r="AZ24" i="16" a="1"/>
  <c r="AZ24" i="16" s="1"/>
  <c r="AZ34" i="16" a="1"/>
  <c r="AZ34" i="16" s="1"/>
  <c r="AZ33" i="16" a="1"/>
  <c r="AZ33" i="16" s="1"/>
  <c r="AZ13" i="16" a="1"/>
  <c r="AZ13" i="16" s="1"/>
  <c r="AZ37" i="16" a="1"/>
  <c r="AZ37" i="16" s="1"/>
  <c r="AZ25" i="16" a="1"/>
  <c r="AZ25" i="16" s="1"/>
  <c r="AZ38" i="16" a="1"/>
  <c r="AZ38" i="16" s="1"/>
  <c r="AZ29" i="16" a="1"/>
  <c r="AZ29" i="16" s="1"/>
  <c r="AZ31" i="16" a="1"/>
  <c r="AZ31" i="16" s="1"/>
  <c r="AZ30" i="16" a="1"/>
  <c r="AZ30" i="16" s="1"/>
  <c r="AZ20" i="16" a="1"/>
  <c r="AZ20" i="16" s="1"/>
  <c r="AZ44" i="16" a="1"/>
  <c r="AZ44" i="16" s="1"/>
  <c r="AZ36" i="16" a="1"/>
  <c r="AZ36" i="16" s="1"/>
  <c r="AZ23" i="16" a="1"/>
  <c r="AZ23" i="16" s="1"/>
  <c r="AZ21" i="16" a="1"/>
  <c r="AZ21" i="16" s="1"/>
  <c r="AZ22" i="16" a="1"/>
  <c r="AZ22" i="16" s="1"/>
  <c r="AZ48" i="16" a="1"/>
  <c r="AZ48" i="16" s="1"/>
  <c r="AZ35" i="16" a="1"/>
  <c r="AZ35" i="16" s="1"/>
  <c r="AZ27" i="16" a="1"/>
  <c r="AZ27" i="16" s="1"/>
  <c r="AZ41" i="16" a="1"/>
  <c r="AZ41" i="16" s="1"/>
  <c r="AZ16" i="16" a="1"/>
  <c r="AZ16" i="16" s="1"/>
  <c r="AZ28" i="16" a="1"/>
  <c r="AZ28" i="16" s="1"/>
  <c r="AZ17" i="16" a="1"/>
  <c r="AZ17" i="16" s="1"/>
  <c r="AZ18" i="16" a="1"/>
  <c r="AZ18" i="16" s="1"/>
  <c r="AZ46" i="16" a="1"/>
  <c r="AZ46" i="16" s="1"/>
  <c r="AZ21" i="18"/>
  <c r="AY12" i="16"/>
  <c r="V40" i="2" s="1"/>
  <c r="AX12" i="16"/>
  <c r="BP27" i="10" s="1"/>
  <c r="AV12" i="16"/>
  <c r="AF40" i="2" s="1"/>
  <c r="AX17" i="18"/>
  <c r="AX18" i="18" s="1"/>
  <c r="BB6" i="18"/>
  <c r="AJ13" i="10" s="1"/>
  <c r="BB8" i="18"/>
  <c r="AJ16" i="10" s="1"/>
  <c r="BB10" i="18"/>
  <c r="AJ18" i="10" s="1"/>
  <c r="BB11" i="18"/>
  <c r="AJ19" i="10" s="1"/>
  <c r="BB9" i="18"/>
  <c r="AJ17" i="10" s="1"/>
  <c r="BB7" i="18"/>
  <c r="AJ14" i="10" s="1"/>
  <c r="AZ19" i="18"/>
  <c r="CM19" i="18" s="1" a="1"/>
  <c r="CM19" i="18" s="1"/>
  <c r="AZ20" i="18"/>
  <c r="CR2" i="18"/>
  <c r="CP2" i="18"/>
  <c r="CO2" i="18"/>
  <c r="CQ2" i="18"/>
  <c r="CR3" i="18"/>
  <c r="AC3" i="18"/>
  <c r="AC24" i="18"/>
  <c r="AF23" i="18"/>
  <c r="AC18" i="18"/>
  <c r="AF7" i="18"/>
  <c r="AF22" i="18"/>
  <c r="AC9" i="18"/>
  <c r="AF2" i="18"/>
  <c r="AC19" i="18"/>
  <c r="AC10" i="18"/>
  <c r="AF6" i="18"/>
  <c r="AF14" i="18"/>
  <c r="AC11" i="18"/>
  <c r="AC4" i="18"/>
  <c r="AC12" i="18"/>
  <c r="AF4" i="18"/>
  <c r="AC8" i="18"/>
  <c r="AF5" i="18"/>
  <c r="AF24" i="18"/>
  <c r="AC20" i="18"/>
  <c r="AC14" i="18"/>
  <c r="AF3" i="18"/>
  <c r="AF12" i="18"/>
  <c r="AC13" i="18"/>
  <c r="AC17" i="18"/>
  <c r="AC5" i="18"/>
  <c r="AC15" i="18"/>
  <c r="AF18" i="18"/>
  <c r="AF16" i="18"/>
  <c r="AC16" i="18"/>
  <c r="AC21" i="18"/>
  <c r="AC1" i="18"/>
  <c r="AF17" i="18"/>
  <c r="AF10" i="18"/>
  <c r="AC6" i="18"/>
  <c r="AC2" i="18"/>
  <c r="AC23" i="18"/>
  <c r="AF13" i="18"/>
  <c r="AC22" i="18"/>
  <c r="AF9" i="18"/>
  <c r="AF20" i="18"/>
  <c r="AC7" i="18"/>
  <c r="AF15" i="18"/>
  <c r="AF8" i="18"/>
  <c r="AF11" i="18"/>
  <c r="AF19" i="18"/>
  <c r="AF1" i="18"/>
  <c r="AF21" i="18"/>
  <c r="AT2" i="18"/>
  <c r="AT7" i="18"/>
  <c r="AA3" i="18" a="1"/>
  <c r="AA3" i="18" s="1"/>
  <c r="AZ7" i="18"/>
  <c r="CJ144" i="18" s="1" a="1"/>
  <c r="CJ144" i="18" s="1"/>
  <c r="AZ2" i="18"/>
  <c r="AZ18" i="18"/>
  <c r="AZ6" i="16" s="1"/>
  <c r="AZ8" i="18"/>
  <c r="AZ9" i="18"/>
  <c r="AJ6" i="10" s="1"/>
  <c r="AZ3" i="18"/>
  <c r="AJ2" i="10" s="1"/>
  <c r="AZ10" i="18"/>
  <c r="AZ11" i="18"/>
  <c r="AZ12" i="18"/>
  <c r="AZ4" i="18"/>
  <c r="AJ3" i="10" s="1"/>
  <c r="AZ13" i="18"/>
  <c r="AJ9" i="10" s="1"/>
  <c r="AZ14" i="18"/>
  <c r="AJ10" i="10" s="1"/>
  <c r="AZ15" i="18"/>
  <c r="CM15" i="18" s="1" a="1"/>
  <c r="CM15" i="18" s="1"/>
  <c r="AZ16" i="18"/>
  <c r="CJ262" i="18" s="1" a="1"/>
  <c r="CJ262" i="18" s="1"/>
  <c r="AZ5" i="18"/>
  <c r="AZ17" i="18"/>
  <c r="AJ11" i="10" s="1"/>
  <c r="AZ6" i="18"/>
  <c r="AH14" i="16"/>
  <c r="CJ230" i="18" l="1" a="1"/>
  <c r="CJ230" i="18" s="1"/>
  <c r="CJ214" i="18" a="1"/>
  <c r="CJ214" i="18" s="1"/>
  <c r="CJ229" i="18" a="1"/>
  <c r="CJ229" i="18" s="1"/>
  <c r="CJ213" i="18" a="1"/>
  <c r="CJ213" i="18" s="1"/>
  <c r="CJ228" i="18" a="1"/>
  <c r="CJ228" i="18" s="1"/>
  <c r="CJ212" i="18" a="1"/>
  <c r="CJ212" i="18" s="1"/>
  <c r="CJ227" i="18" a="1"/>
  <c r="CJ227" i="18" s="1"/>
  <c r="CM12" i="18" a="1"/>
  <c r="CM12" i="18" s="1"/>
  <c r="CJ226" i="18" a="1"/>
  <c r="CJ226" i="18" s="1"/>
  <c r="CJ225" i="18" a="1"/>
  <c r="CJ225" i="18" s="1"/>
  <c r="CJ224" i="18" a="1"/>
  <c r="CJ224" i="18" s="1"/>
  <c r="CJ223" i="18" a="1"/>
  <c r="CJ223" i="18" s="1"/>
  <c r="CJ222" i="18" a="1"/>
  <c r="CJ222" i="18" s="1"/>
  <c r="CJ221" i="18" a="1"/>
  <c r="CJ221" i="18" s="1"/>
  <c r="CJ220" i="18" a="1"/>
  <c r="CJ220" i="18" s="1"/>
  <c r="CJ219" i="18" a="1"/>
  <c r="CJ219" i="18" s="1"/>
  <c r="CJ218" i="18" a="1"/>
  <c r="CJ218" i="18" s="1"/>
  <c r="CJ217" i="18" a="1"/>
  <c r="CJ217" i="18" s="1"/>
  <c r="CJ216" i="18" a="1"/>
  <c r="CJ216" i="18" s="1"/>
  <c r="CJ231" i="18" a="1"/>
  <c r="CJ231" i="18" s="1"/>
  <c r="CJ215" i="18" a="1"/>
  <c r="CJ215" i="18" s="1"/>
  <c r="CM18" i="18" a="1"/>
  <c r="CM18" i="18" s="1"/>
  <c r="AZ5" i="16"/>
  <c r="AZ3" i="16"/>
  <c r="AZ4" i="16"/>
  <c r="AZ2" i="16"/>
  <c r="AJ15" i="10"/>
  <c r="AJ12" i="10"/>
  <c r="CJ258" i="18" a="1"/>
  <c r="CJ258" i="18" s="1"/>
  <c r="CJ257" i="18" a="1"/>
  <c r="CJ257" i="18" s="1"/>
  <c r="CJ256" i="18" a="1"/>
  <c r="CJ256" i="18" s="1"/>
  <c r="CJ194" i="18" a="1"/>
  <c r="CJ194" i="18" s="1"/>
  <c r="CJ195" i="18" a="1"/>
  <c r="CJ195" i="18" s="1"/>
  <c r="AJ5" i="10"/>
  <c r="CJ161" i="18" a="1"/>
  <c r="CJ161" i="18" s="1"/>
  <c r="CJ106" i="18" a="1"/>
  <c r="CJ106" i="18" s="1"/>
  <c r="AJ4" i="10"/>
  <c r="AJ8" i="10"/>
  <c r="CJ211" i="18" a="1"/>
  <c r="CJ211" i="18" s="1"/>
  <c r="AJ7" i="10"/>
  <c r="CJ124" i="18" a="1"/>
  <c r="CJ124" i="18" s="1"/>
  <c r="CJ125" i="18" a="1"/>
  <c r="CJ125" i="18" s="1"/>
  <c r="CJ255" i="18" a="1"/>
  <c r="CJ255" i="18" s="1"/>
  <c r="CJ105" i="18" a="1"/>
  <c r="CJ105" i="18" s="1"/>
  <c r="CJ88" i="18" a="1"/>
  <c r="CJ88" i="18" s="1"/>
  <c r="CM9" i="18" a="1"/>
  <c r="CM9" i="18" s="1"/>
  <c r="CJ210" i="18" a="1"/>
  <c r="CJ210" i="18" s="1"/>
  <c r="R27" i="10"/>
  <c r="CJ279" i="18" a="1"/>
  <c r="CJ279" i="18" s="1"/>
  <c r="CJ278" i="18" a="1"/>
  <c r="CJ278" i="18" s="1"/>
  <c r="CS3" i="18" s="1"/>
  <c r="CJ277" i="18" a="1"/>
  <c r="CJ277" i="18" s="1"/>
  <c r="CJ276" i="18" a="1"/>
  <c r="CJ276" i="18" s="1"/>
  <c r="CJ274" i="18" a="1"/>
  <c r="CJ274" i="18" s="1"/>
  <c r="CJ275" i="18" a="1"/>
  <c r="CJ275" i="18" s="1"/>
  <c r="CM20" i="18" a="1"/>
  <c r="CM20" i="18" s="1"/>
  <c r="CS2" i="18" s="1"/>
  <c r="CR6" i="18" s="1"/>
  <c r="CJ253" i="18" a="1"/>
  <c r="CJ253" i="18" s="1"/>
  <c r="CJ252" i="18" a="1"/>
  <c r="CJ252" i="18" s="1"/>
  <c r="CJ254" i="18" a="1"/>
  <c r="CJ254" i="18" s="1"/>
  <c r="AT20" i="18"/>
  <c r="AT18" i="18"/>
  <c r="AT21" i="18"/>
  <c r="AT17" i="18"/>
  <c r="AT19" i="18"/>
  <c r="AX21" i="18"/>
  <c r="AX20" i="18"/>
  <c r="AX19" i="18"/>
  <c r="AV17" i="18"/>
  <c r="AV21" i="18"/>
  <c r="AV20" i="18"/>
  <c r="AV19" i="18"/>
  <c r="AV18" i="18"/>
  <c r="CJ66" i="18" a="1"/>
  <c r="CJ66" i="18" s="1"/>
  <c r="CJ67" i="18" a="1"/>
  <c r="CJ67" i="18" s="1"/>
  <c r="CJ175" i="18" a="1"/>
  <c r="CJ175" i="18" s="1"/>
  <c r="CJ176" i="18" a="1"/>
  <c r="CJ176" i="18" s="1"/>
  <c r="CJ249" i="18" a="1"/>
  <c r="CJ249" i="18" s="1"/>
  <c r="CJ237" i="18" a="1"/>
  <c r="CJ237" i="18" s="1"/>
  <c r="CJ159" i="18" a="1"/>
  <c r="CJ159" i="18" s="1"/>
  <c r="CJ160" i="18" a="1"/>
  <c r="CJ160" i="18" s="1"/>
  <c r="CM17" i="18" a="1"/>
  <c r="CM17" i="18" s="1"/>
  <c r="CJ142" i="18" a="1"/>
  <c r="CJ142" i="18" s="1"/>
  <c r="CJ143" i="18" a="1"/>
  <c r="CJ143" i="18" s="1"/>
  <c r="CJ208" i="18" a="1"/>
  <c r="CJ208" i="18" s="1"/>
  <c r="CJ209" i="18" a="1"/>
  <c r="CJ209" i="18" s="1"/>
  <c r="CJ85" i="18" a="1"/>
  <c r="CJ85" i="18" s="1"/>
  <c r="CJ87" i="18" a="1"/>
  <c r="CJ87" i="18" s="1"/>
  <c r="CJ86" i="18" a="1"/>
  <c r="CJ86" i="18" s="1"/>
  <c r="CJ192" i="18" a="1"/>
  <c r="CJ192" i="18" s="1"/>
  <c r="CJ193" i="18" a="1"/>
  <c r="CJ193" i="18" s="1"/>
  <c r="CJ47" i="18" a="1"/>
  <c r="CJ47" i="18" s="1"/>
  <c r="CJ48" i="18" a="1"/>
  <c r="CJ48" i="18" s="1"/>
  <c r="CJ247" i="18" a="1"/>
  <c r="CJ247" i="18" s="1"/>
  <c r="CJ248" i="18" a="1"/>
  <c r="CJ248" i="18" s="1"/>
  <c r="CJ64" i="18" a="1"/>
  <c r="CJ64" i="18" s="1"/>
  <c r="CJ65" i="18" a="1"/>
  <c r="CJ65" i="18" s="1"/>
  <c r="CJ49" i="18" a="1"/>
  <c r="CJ49" i="18" s="1"/>
  <c r="CJ122" i="18" a="1"/>
  <c r="CJ122" i="18" s="1"/>
  <c r="CJ123" i="18" a="1"/>
  <c r="CJ123" i="18" s="1"/>
  <c r="CJ103" i="18" a="1"/>
  <c r="CJ103" i="18" s="1"/>
  <c r="CJ104" i="18" a="1"/>
  <c r="CJ104" i="18" s="1"/>
  <c r="CJ84" i="18" a="1"/>
  <c r="CJ84" i="18" s="1"/>
  <c r="CJ83" i="18" a="1"/>
  <c r="CJ83" i="18" s="1"/>
  <c r="CJ68" i="18" a="1"/>
  <c r="CJ68" i="18" s="1"/>
  <c r="CJ246" i="18" a="1"/>
  <c r="CJ246" i="18" s="1"/>
  <c r="CJ245" i="18" a="1"/>
  <c r="CJ245" i="18" s="1"/>
  <c r="CJ244" i="18" a="1"/>
  <c r="CJ244" i="18" s="1"/>
  <c r="CJ190" i="18" a="1"/>
  <c r="CJ190" i="18" s="1"/>
  <c r="CJ191" i="18" a="1"/>
  <c r="CJ191" i="18" s="1"/>
  <c r="CJ189" i="18" a="1"/>
  <c r="CJ189" i="18" s="1"/>
  <c r="CJ174" i="18" a="1"/>
  <c r="CJ174" i="18" s="1"/>
  <c r="CJ173" i="18" a="1"/>
  <c r="CJ173" i="18" s="1"/>
  <c r="CJ157" i="18" a="1"/>
  <c r="CJ157" i="18" s="1"/>
  <c r="CJ156" i="18" a="1"/>
  <c r="CJ156" i="18" s="1"/>
  <c r="CJ158" i="18" a="1"/>
  <c r="CJ158" i="18" s="1"/>
  <c r="CJ82" i="18" a="1"/>
  <c r="CJ82" i="18" s="1"/>
  <c r="CJ81" i="18" a="1"/>
  <c r="CJ81" i="18" s="1"/>
  <c r="CJ206" i="18" a="1"/>
  <c r="CJ206" i="18" s="1"/>
  <c r="CJ207" i="18" a="1"/>
  <c r="CJ207" i="18" s="1"/>
  <c r="CJ62" i="18" a="1"/>
  <c r="CJ62" i="18" s="1"/>
  <c r="CJ63" i="18" a="1"/>
  <c r="CJ63" i="18" s="1"/>
  <c r="CJ61" i="18" a="1"/>
  <c r="CJ61" i="18" s="1"/>
  <c r="CJ120" i="18" a="1"/>
  <c r="CJ120" i="18" s="1"/>
  <c r="CJ121" i="18" a="1"/>
  <c r="CJ121" i="18" s="1"/>
  <c r="CJ119" i="18" a="1"/>
  <c r="CJ119" i="18" s="1"/>
  <c r="CJ46" i="18" a="1"/>
  <c r="CJ46" i="18" s="1"/>
  <c r="CJ44" i="18" a="1"/>
  <c r="CJ44" i="18" s="1"/>
  <c r="CJ45" i="18" a="1"/>
  <c r="CJ45" i="18" s="1"/>
  <c r="CJ101" i="18" a="1"/>
  <c r="CJ101" i="18" s="1"/>
  <c r="CJ100" i="18" a="1"/>
  <c r="CJ100" i="18" s="1"/>
  <c r="CJ102" i="18" a="1"/>
  <c r="CJ102" i="18" s="1"/>
  <c r="CJ140" i="18" a="1"/>
  <c r="CJ140" i="18" s="1"/>
  <c r="CJ141" i="18" a="1"/>
  <c r="CJ141" i="18" s="1"/>
  <c r="CJ263" i="18" a="1"/>
  <c r="CJ263" i="18" s="1"/>
  <c r="CJ267" i="18" a="1"/>
  <c r="CJ267" i="18" s="1"/>
  <c r="CJ266" i="18" a="1"/>
  <c r="CJ266" i="18" s="1"/>
  <c r="CJ265" i="18" a="1"/>
  <c r="CJ265" i="18" s="1"/>
  <c r="CJ264" i="18" a="1"/>
  <c r="CJ264" i="18" s="1"/>
  <c r="CJ167" i="18" a="1"/>
  <c r="CJ167" i="18" s="1"/>
  <c r="CJ166" i="18" a="1"/>
  <c r="CJ166" i="18" s="1"/>
  <c r="CJ165" i="18" a="1"/>
  <c r="CJ165" i="18" s="1"/>
  <c r="CJ164" i="18" a="1"/>
  <c r="CJ164" i="18" s="1"/>
  <c r="CJ163" i="18" a="1"/>
  <c r="CJ163" i="18" s="1"/>
  <c r="CJ172" i="18" a="1"/>
  <c r="CJ172" i="18" s="1"/>
  <c r="CJ168" i="18" a="1"/>
  <c r="CJ168" i="18" s="1"/>
  <c r="CJ171" i="18" a="1"/>
  <c r="CJ171" i="18" s="1"/>
  <c r="CJ169" i="18" a="1"/>
  <c r="CJ169" i="18" s="1"/>
  <c r="CJ170" i="18" a="1"/>
  <c r="CJ170" i="18" s="1"/>
  <c r="CJ146" i="18" a="1"/>
  <c r="CJ146" i="18" s="1"/>
  <c r="CJ148" i="18" a="1"/>
  <c r="CJ148" i="18" s="1"/>
  <c r="CJ145" i="18" a="1"/>
  <c r="CJ145" i="18" s="1"/>
  <c r="CJ155" i="18" a="1"/>
  <c r="CJ155" i="18" s="1"/>
  <c r="CJ153" i="18" a="1"/>
  <c r="CJ153" i="18" s="1"/>
  <c r="CJ154" i="18" a="1"/>
  <c r="CJ154" i="18" s="1"/>
  <c r="CJ152" i="18" a="1"/>
  <c r="CJ152" i="18" s="1"/>
  <c r="CJ150" i="18" a="1"/>
  <c r="CJ150" i="18" s="1"/>
  <c r="CJ149" i="18" a="1"/>
  <c r="CJ149" i="18" s="1"/>
  <c r="CJ147" i="18" a="1"/>
  <c r="CJ147" i="18" s="1"/>
  <c r="CJ151" i="18" a="1"/>
  <c r="CJ151" i="18" s="1"/>
  <c r="CM2" i="18" a="1"/>
  <c r="CM2" i="18" s="1"/>
  <c r="CJ31" i="18" a="1"/>
  <c r="CJ31" i="18" s="1"/>
  <c r="CJ43" i="18" a="1"/>
  <c r="CJ43" i="18" s="1"/>
  <c r="CJ30" i="18" a="1"/>
  <c r="CJ30" i="18" s="1"/>
  <c r="CJ37" i="18" a="1"/>
  <c r="CJ37" i="18" s="1"/>
  <c r="CJ42" i="18" a="1"/>
  <c r="CJ42" i="18" s="1"/>
  <c r="CJ40" i="18" a="1"/>
  <c r="CJ40" i="18" s="1"/>
  <c r="CJ32" i="18" a="1"/>
  <c r="CJ32" i="18" s="1"/>
  <c r="CJ41" i="18" a="1"/>
  <c r="CJ41" i="18" s="1"/>
  <c r="CJ38" i="18" a="1"/>
  <c r="CJ38" i="18" s="1"/>
  <c r="CJ36" i="18" a="1"/>
  <c r="CJ36" i="18" s="1"/>
  <c r="CJ33" i="18" a="1"/>
  <c r="CJ33" i="18" s="1"/>
  <c r="CJ39" i="18" a="1"/>
  <c r="CJ39" i="18" s="1"/>
  <c r="CJ34" i="18" a="1"/>
  <c r="CJ34" i="18" s="1"/>
  <c r="CJ35" i="18" a="1"/>
  <c r="CJ35" i="18" s="1"/>
  <c r="CJ69" i="18" a="1"/>
  <c r="CJ69" i="18" s="1"/>
  <c r="CJ74" i="18" a="1"/>
  <c r="CJ74" i="18" s="1"/>
  <c r="CJ80" i="18" a="1"/>
  <c r="CJ80" i="18" s="1"/>
  <c r="CJ70" i="18" a="1"/>
  <c r="CJ70" i="18" s="1"/>
  <c r="CJ76" i="18" a="1"/>
  <c r="CJ76" i="18" s="1"/>
  <c r="CJ75" i="18" a="1"/>
  <c r="CJ75" i="18" s="1"/>
  <c r="CJ79" i="18" a="1"/>
  <c r="CJ79" i="18" s="1"/>
  <c r="CJ78" i="18" a="1"/>
  <c r="CJ78" i="18" s="1"/>
  <c r="CJ77" i="18" a="1"/>
  <c r="CJ77" i="18" s="1"/>
  <c r="CJ73" i="18" a="1"/>
  <c r="CJ73" i="18" s="1"/>
  <c r="CJ71" i="18" a="1"/>
  <c r="CJ71" i="18" s="1"/>
  <c r="CJ72" i="18" a="1"/>
  <c r="CJ72" i="18" s="1"/>
  <c r="CJ50" i="18" a="1"/>
  <c r="CJ50" i="18" s="1"/>
  <c r="CJ60" i="18" a="1"/>
  <c r="CJ60" i="18" s="1"/>
  <c r="CJ59" i="18" a="1"/>
  <c r="CJ59" i="18" s="1"/>
  <c r="CJ55" i="18" a="1"/>
  <c r="CJ55" i="18" s="1"/>
  <c r="CJ58" i="18" a="1"/>
  <c r="CJ58" i="18" s="1"/>
  <c r="CJ57" i="18" a="1"/>
  <c r="CJ57" i="18" s="1"/>
  <c r="CJ56" i="18" a="1"/>
  <c r="CJ56" i="18" s="1"/>
  <c r="CJ54" i="18" a="1"/>
  <c r="CJ54" i="18" s="1"/>
  <c r="CJ51" i="18" a="1"/>
  <c r="CJ51" i="18" s="1"/>
  <c r="CJ53" i="18" a="1"/>
  <c r="CJ53" i="18" s="1"/>
  <c r="CJ52" i="18" a="1"/>
  <c r="CJ52" i="18" s="1"/>
  <c r="CJ285" i="18" a="1"/>
  <c r="CJ285" i="18" s="1"/>
  <c r="CJ284" i="18" a="1"/>
  <c r="CJ284" i="18" s="1"/>
  <c r="CJ283" i="18" a="1"/>
  <c r="CJ283" i="18" s="1"/>
  <c r="CJ282" i="18" a="1"/>
  <c r="CJ282" i="18" s="1"/>
  <c r="CJ281" i="18" a="1"/>
  <c r="CJ281" i="18" s="1"/>
  <c r="CJ280" i="18" a="1"/>
  <c r="CJ280" i="18" s="1"/>
  <c r="CJ109" i="18" a="1"/>
  <c r="CJ109" i="18" s="1"/>
  <c r="CJ118" i="18" a="1"/>
  <c r="CJ118" i="18" s="1"/>
  <c r="CJ116" i="18" a="1"/>
  <c r="CJ116" i="18" s="1"/>
  <c r="CJ115" i="18" a="1"/>
  <c r="CJ115" i="18" s="1"/>
  <c r="CJ110" i="18" a="1"/>
  <c r="CJ110" i="18" s="1"/>
  <c r="CJ108" i="18" a="1"/>
  <c r="CJ108" i="18" s="1"/>
  <c r="CJ107" i="18" a="1"/>
  <c r="CJ107" i="18" s="1"/>
  <c r="CJ117" i="18" a="1"/>
  <c r="CJ117" i="18" s="1"/>
  <c r="CJ114" i="18" a="1"/>
  <c r="CJ114" i="18" s="1"/>
  <c r="CJ112" i="18" a="1"/>
  <c r="CJ112" i="18" s="1"/>
  <c r="CJ111" i="18" a="1"/>
  <c r="CJ111" i="18" s="1"/>
  <c r="CJ113" i="18" a="1"/>
  <c r="CJ113" i="18" s="1"/>
  <c r="CJ268" i="18" a="1"/>
  <c r="CJ268" i="18" s="1"/>
  <c r="CJ273" i="18" a="1"/>
  <c r="CJ273" i="18" s="1"/>
  <c r="CJ272" i="18" a="1"/>
  <c r="CJ272" i="18" s="1"/>
  <c r="CJ271" i="18" a="1"/>
  <c r="CJ271" i="18" s="1"/>
  <c r="CJ269" i="18" a="1"/>
  <c r="CJ269" i="18" s="1"/>
  <c r="CJ270" i="18" a="1"/>
  <c r="CJ270" i="18" s="1"/>
  <c r="CJ129" i="18" a="1"/>
  <c r="CJ129" i="18" s="1"/>
  <c r="CJ135" i="18" a="1"/>
  <c r="CJ135" i="18" s="1"/>
  <c r="CJ130" i="18" a="1"/>
  <c r="CJ130" i="18" s="1"/>
  <c r="CJ128" i="18" a="1"/>
  <c r="CJ128" i="18" s="1"/>
  <c r="CJ127" i="18" a="1"/>
  <c r="CJ127" i="18" s="1"/>
  <c r="CJ131" i="18" a="1"/>
  <c r="CJ131" i="18" s="1"/>
  <c r="CJ126" i="18" a="1"/>
  <c r="CJ126" i="18" s="1"/>
  <c r="CJ139" i="18" a="1"/>
  <c r="CJ139" i="18" s="1"/>
  <c r="CJ138" i="18" a="1"/>
  <c r="CJ138" i="18" s="1"/>
  <c r="CJ137" i="18" a="1"/>
  <c r="CJ137" i="18" s="1"/>
  <c r="CJ136" i="18" a="1"/>
  <c r="CJ136" i="18" s="1"/>
  <c r="CJ134" i="18" a="1"/>
  <c r="CJ134" i="18" s="1"/>
  <c r="CJ133" i="18" a="1"/>
  <c r="CJ133" i="18" s="1"/>
  <c r="CJ132" i="18" a="1"/>
  <c r="CJ132" i="18" s="1"/>
  <c r="CJ89" i="18" a="1"/>
  <c r="CJ89" i="18" s="1"/>
  <c r="CJ95" i="18" a="1"/>
  <c r="CJ95" i="18" s="1"/>
  <c r="CJ99" i="18" a="1"/>
  <c r="CJ99" i="18" s="1"/>
  <c r="CJ98" i="18" a="1"/>
  <c r="CJ98" i="18" s="1"/>
  <c r="CJ91" i="18" a="1"/>
  <c r="CJ91" i="18" s="1"/>
  <c r="CJ97" i="18" a="1"/>
  <c r="CJ97" i="18" s="1"/>
  <c r="CJ96" i="18" a="1"/>
  <c r="CJ96" i="18" s="1"/>
  <c r="CJ94" i="18" a="1"/>
  <c r="CJ94" i="18" s="1"/>
  <c r="CJ92" i="18" a="1"/>
  <c r="CJ92" i="18" s="1"/>
  <c r="CJ93" i="18" a="1"/>
  <c r="CJ93" i="18" s="1"/>
  <c r="CJ90" i="18" a="1"/>
  <c r="CJ90" i="18" s="1"/>
  <c r="CJ183" i="18" a="1"/>
  <c r="CJ183" i="18" s="1"/>
  <c r="CJ182" i="18" a="1"/>
  <c r="CJ182" i="18" s="1"/>
  <c r="CJ184" i="18" a="1"/>
  <c r="CJ184" i="18" s="1"/>
  <c r="CJ177" i="18" a="1"/>
  <c r="CJ177" i="18" s="1"/>
  <c r="CJ181" i="18" a="1"/>
  <c r="CJ181" i="18" s="1"/>
  <c r="CJ180" i="18" a="1"/>
  <c r="CJ180" i="18" s="1"/>
  <c r="CJ185" i="18" a="1"/>
  <c r="CJ185" i="18" s="1"/>
  <c r="CJ179" i="18" a="1"/>
  <c r="CJ179" i="18" s="1"/>
  <c r="CJ178" i="18" a="1"/>
  <c r="CJ178" i="18" s="1"/>
  <c r="CJ188" i="18" a="1"/>
  <c r="CJ188" i="18" s="1"/>
  <c r="CJ186" i="18" a="1"/>
  <c r="CJ186" i="18" s="1"/>
  <c r="CJ187" i="18" a="1"/>
  <c r="CJ187" i="18" s="1"/>
  <c r="CJ203" i="18" a="1"/>
  <c r="CJ203" i="18" s="1"/>
  <c r="CJ204" i="18" a="1"/>
  <c r="CJ204" i="18" s="1"/>
  <c r="CJ196" i="18" a="1"/>
  <c r="CJ196" i="18" s="1"/>
  <c r="CJ202" i="18" a="1"/>
  <c r="CJ202" i="18" s="1"/>
  <c r="CJ201" i="18" a="1"/>
  <c r="CJ201" i="18" s="1"/>
  <c r="CJ200" i="18" a="1"/>
  <c r="CJ200" i="18" s="1"/>
  <c r="CJ199" i="18" a="1"/>
  <c r="CJ199" i="18" s="1"/>
  <c r="CJ198" i="18" a="1"/>
  <c r="CJ198" i="18" s="1"/>
  <c r="CJ197" i="18" a="1"/>
  <c r="CJ197" i="18" s="1"/>
  <c r="CJ205" i="18" a="1"/>
  <c r="CJ205" i="18" s="1"/>
  <c r="CJ250" i="18" a="1"/>
  <c r="CJ250" i="18" s="1"/>
  <c r="CJ251" i="18" a="1"/>
  <c r="CJ251" i="18" s="1"/>
  <c r="CJ261" i="18" a="1"/>
  <c r="CJ261" i="18" s="1"/>
  <c r="CJ260" i="18" a="1"/>
  <c r="CJ260" i="18" s="1"/>
  <c r="CJ259" i="18" a="1"/>
  <c r="CJ259" i="18" s="1"/>
  <c r="CJ236" i="18" a="1"/>
  <c r="CJ236" i="18" s="1"/>
  <c r="CJ242" i="18" a="1"/>
  <c r="CJ242" i="18" s="1"/>
  <c r="CJ241" i="18" a="1"/>
  <c r="CJ241" i="18" s="1"/>
  <c r="CJ232" i="18" a="1"/>
  <c r="CJ232" i="18" s="1"/>
  <c r="CJ240" i="18" a="1"/>
  <c r="CJ240" i="18" s="1"/>
  <c r="CJ239" i="18" a="1"/>
  <c r="CJ239" i="18" s="1"/>
  <c r="CJ238" i="18" a="1"/>
  <c r="CJ238" i="18" s="1"/>
  <c r="CJ235" i="18" a="1"/>
  <c r="CJ235" i="18" s="1"/>
  <c r="CJ234" i="18" a="1"/>
  <c r="CJ234" i="18" s="1"/>
  <c r="CJ233" i="18" a="1"/>
  <c r="CJ233" i="18" s="1"/>
  <c r="CJ243" i="18" a="1"/>
  <c r="CJ243" i="18" s="1"/>
  <c r="AO85" i="16"/>
  <c r="AM85" i="16"/>
  <c r="AL85" i="16"/>
  <c r="AK85" i="16"/>
  <c r="AJ85" i="16"/>
  <c r="AI85" i="16"/>
  <c r="AH85" i="16"/>
  <c r="AO84" i="16"/>
  <c r="AM84" i="16"/>
  <c r="AL84" i="16"/>
  <c r="AK84" i="16"/>
  <c r="AJ84" i="16"/>
  <c r="AI84" i="16"/>
  <c r="AH84" i="16"/>
  <c r="AO83" i="16"/>
  <c r="AM83" i="16"/>
  <c r="AL83" i="16"/>
  <c r="AK83" i="16"/>
  <c r="AJ83" i="16"/>
  <c r="AI83" i="16"/>
  <c r="AH83" i="16"/>
  <c r="AH82" i="16"/>
  <c r="AH81" i="16"/>
  <c r="AH80" i="16"/>
  <c r="AH79" i="16"/>
  <c r="AH78" i="16"/>
  <c r="AH77" i="16"/>
  <c r="AH76" i="16"/>
  <c r="AH75" i="16"/>
  <c r="AH74" i="16"/>
  <c r="AH65" i="16"/>
  <c r="AH64" i="16"/>
  <c r="AH63" i="16"/>
  <c r="AH62" i="16"/>
  <c r="AH61" i="16"/>
  <c r="AH60" i="16"/>
  <c r="AH59" i="16"/>
  <c r="AH58" i="16"/>
  <c r="AH57" i="16"/>
  <c r="AH56" i="16"/>
  <c r="AH55" i="16"/>
  <c r="AH35" i="16"/>
  <c r="AH34" i="16"/>
  <c r="AH33" i="16"/>
  <c r="AH32" i="16"/>
  <c r="AH31" i="16"/>
  <c r="AH30" i="16"/>
  <c r="AH20" i="16"/>
  <c r="AH19" i="16"/>
  <c r="AH18" i="16"/>
  <c r="AH17" i="16"/>
  <c r="AH16" i="16"/>
  <c r="AH15" i="16"/>
  <c r="F7" i="29"/>
  <c r="B188" i="29"/>
  <c r="B187" i="29"/>
  <c r="B48" i="29"/>
  <c r="B47" i="29"/>
  <c r="B46" i="29"/>
  <c r="B45" i="29"/>
  <c r="B44" i="29"/>
  <c r="B43" i="29"/>
  <c r="B42" i="29"/>
  <c r="B41" i="29"/>
  <c r="B40" i="29"/>
  <c r="B39" i="29"/>
  <c r="B38" i="29"/>
  <c r="B37" i="29"/>
  <c r="B36" i="29"/>
  <c r="B35" i="29"/>
  <c r="B34" i="29"/>
  <c r="B186" i="29"/>
  <c r="B185" i="29"/>
  <c r="B184" i="29"/>
  <c r="B183" i="29"/>
  <c r="B182" i="29"/>
  <c r="B181" i="29"/>
  <c r="B180" i="29"/>
  <c r="B179" i="29"/>
  <c r="B178" i="29"/>
  <c r="B177" i="29"/>
  <c r="B176" i="29"/>
  <c r="B175" i="29"/>
  <c r="B174" i="29"/>
  <c r="B173" i="29"/>
  <c r="B172" i="29"/>
  <c r="B171" i="29"/>
  <c r="B170" i="29"/>
  <c r="B169" i="29"/>
  <c r="B168" i="29"/>
  <c r="B167" i="29"/>
  <c r="B166" i="29"/>
  <c r="B165" i="29"/>
  <c r="B163" i="29"/>
  <c r="B162" i="29"/>
  <c r="B161" i="29"/>
  <c r="AG72" i="16" l="1" a="1"/>
  <c r="AG72" i="16" s="1"/>
  <c r="AG68" i="16" a="1"/>
  <c r="AG68" i="16" s="1"/>
  <c r="AG42" i="16" a="1"/>
  <c r="AG42" i="16" s="1"/>
  <c r="AG21" i="16" a="1"/>
  <c r="AG21" i="16" s="1"/>
  <c r="AG24" i="16" a="1"/>
  <c r="AG24" i="16" s="1"/>
  <c r="AG51" i="16" a="1"/>
  <c r="AG51" i="16" s="1"/>
  <c r="AG87" i="16" a="1"/>
  <c r="AG87" i="16" s="1"/>
  <c r="AG37" i="16" a="1"/>
  <c r="AG37" i="16" s="1"/>
  <c r="AG71" i="16" a="1"/>
  <c r="AG71" i="16" s="1"/>
  <c r="AG80" i="16" a="1"/>
  <c r="AG80" i="16" s="1"/>
  <c r="AG40" i="16" a="1"/>
  <c r="AG40" i="16" s="1"/>
  <c r="AG73" i="16" a="1"/>
  <c r="AG73" i="16" s="1"/>
  <c r="AG61" i="16" a="1"/>
  <c r="AG61" i="16" s="1"/>
  <c r="AG8" i="16" a="1"/>
  <c r="AG8" i="16" s="1"/>
  <c r="AG17" i="16" a="1"/>
  <c r="AG17" i="16" s="1"/>
  <c r="AG14" i="16" a="1"/>
  <c r="AG14" i="16" s="1"/>
  <c r="AG46" i="16" a="1"/>
  <c r="AG46" i="16" s="1"/>
  <c r="AG35" i="16" a="1"/>
  <c r="AG35" i="16" s="1"/>
  <c r="AG60" i="16" a="1"/>
  <c r="AG60" i="16" s="1"/>
  <c r="AG23" i="16" a="1"/>
  <c r="AG23" i="16" s="1"/>
  <c r="AG27" i="16" a="1"/>
  <c r="AG27" i="16" s="1"/>
  <c r="AG66" i="16" a="1"/>
  <c r="AG66" i="16" s="1"/>
  <c r="AG22" i="16" a="1"/>
  <c r="AG22" i="16" s="1"/>
  <c r="AG67" i="16" a="1"/>
  <c r="AG67" i="16" s="1"/>
  <c r="AG39" i="16" a="1"/>
  <c r="AG39" i="16" s="1"/>
  <c r="AG7" i="16" a="1"/>
  <c r="AG7" i="16" s="1"/>
  <c r="AG70" i="16" a="1"/>
  <c r="AG70" i="16" s="1"/>
  <c r="AG69" i="16" a="1"/>
  <c r="AG69" i="16" s="1"/>
  <c r="AG32" i="16" a="1"/>
  <c r="AG32" i="16" s="1"/>
  <c r="AG85" i="16" a="1"/>
  <c r="AG85" i="16" s="1"/>
  <c r="AG5" i="16" a="1"/>
  <c r="AG5" i="16" s="1"/>
  <c r="AG29" i="16" a="1"/>
  <c r="AG29" i="16" s="1"/>
  <c r="AG48" i="16" a="1"/>
  <c r="AG48" i="16" s="1"/>
  <c r="AG10" i="16" a="1"/>
  <c r="AG10" i="16" s="1"/>
  <c r="AG78" i="16" a="1"/>
  <c r="AG78" i="16" s="1"/>
  <c r="AG56" i="16" a="1"/>
  <c r="AG56" i="16" s="1"/>
  <c r="AG28" i="16" a="1"/>
  <c r="AG28" i="16" s="1"/>
  <c r="AG6" i="16" a="1"/>
  <c r="AG6" i="16" s="1"/>
  <c r="AG47" i="16" a="1"/>
  <c r="AG47" i="16" s="1"/>
  <c r="AG64" i="16" a="1"/>
  <c r="AG64" i="16" s="1"/>
  <c r="AG19" i="16" a="1"/>
  <c r="AG19" i="16" s="1"/>
  <c r="AG53" i="16" a="1"/>
  <c r="AG53" i="16" s="1"/>
  <c r="AG43" i="16" a="1"/>
  <c r="AG43" i="16" s="1"/>
  <c r="AG9" i="16" a="1"/>
  <c r="AG9" i="16" s="1"/>
  <c r="AG84" i="16" a="1"/>
  <c r="AG84" i="16" s="1"/>
  <c r="AG82" i="16" a="1"/>
  <c r="AG82" i="16" s="1"/>
  <c r="AG65" i="16" a="1"/>
  <c r="AG65" i="16" s="1"/>
  <c r="AG50" i="16" a="1"/>
  <c r="AG50" i="16" s="1"/>
  <c r="AG63" i="16" a="1"/>
  <c r="AG63" i="16" s="1"/>
  <c r="AG44" i="16" a="1"/>
  <c r="AG44" i="16" s="1"/>
  <c r="AG77" i="16" a="1"/>
  <c r="AG77" i="16" s="1"/>
  <c r="AG76" i="16" a="1"/>
  <c r="AG76" i="16" s="1"/>
  <c r="AG38" i="16" a="1"/>
  <c r="AG38" i="16" s="1"/>
  <c r="AG59" i="16" a="1"/>
  <c r="AG59" i="16" s="1"/>
  <c r="AG74" i="16" a="1"/>
  <c r="AG74" i="16" s="1"/>
  <c r="AG3" i="16" a="1"/>
  <c r="AG3" i="16" s="1"/>
  <c r="AV2" i="16"/>
  <c r="AG33" i="16" a="1"/>
  <c r="AG33" i="16" s="1"/>
  <c r="AG52" i="16" a="1"/>
  <c r="AG52" i="16" s="1"/>
  <c r="AG30" i="16" a="1"/>
  <c r="AG30" i="16" s="1"/>
  <c r="AG18" i="16" a="1"/>
  <c r="AG18" i="16" s="1"/>
  <c r="AG36" i="16" a="1"/>
  <c r="AG36" i="16" s="1"/>
  <c r="AG57" i="16" a="1"/>
  <c r="AG57" i="16" s="1"/>
  <c r="AG86" i="16" a="1"/>
  <c r="AG86" i="16" s="1"/>
  <c r="AG16" i="16" a="1"/>
  <c r="AG16" i="16" s="1"/>
  <c r="AG79" i="16" a="1"/>
  <c r="AG79" i="16" s="1"/>
  <c r="AG31" i="16" a="1"/>
  <c r="AG31" i="16" s="1"/>
  <c r="AG20" i="16" a="1"/>
  <c r="AG20" i="16" s="1"/>
  <c r="AG81" i="16" a="1"/>
  <c r="AG81" i="16" s="1"/>
  <c r="AG83" i="16" a="1"/>
  <c r="AG83" i="16" s="1"/>
  <c r="AG45" i="16" a="1"/>
  <c r="AG45" i="16" s="1"/>
  <c r="AG49" i="16" a="1"/>
  <c r="AG49" i="16" s="1"/>
  <c r="AG34" i="16" a="1"/>
  <c r="AG34" i="16" s="1"/>
  <c r="AG54" i="16" a="1"/>
  <c r="AG54" i="16" s="1"/>
  <c r="AG11" i="16" a="1"/>
  <c r="AG11" i="16" s="1"/>
  <c r="AG75" i="16" a="1"/>
  <c r="AG75" i="16" s="1"/>
  <c r="AG13" i="16" a="1"/>
  <c r="AG13" i="16" s="1"/>
  <c r="AG58" i="16" a="1"/>
  <c r="AG58" i="16" s="1"/>
  <c r="AG25" i="16" a="1"/>
  <c r="AG25" i="16" s="1"/>
  <c r="AG62" i="16" a="1"/>
  <c r="AG62" i="16" s="1"/>
  <c r="AG12" i="16" a="1"/>
  <c r="AG12" i="16" s="1"/>
  <c r="AG55" i="16" a="1"/>
  <c r="AG55" i="16" s="1"/>
  <c r="AG88" i="16" a="1"/>
  <c r="AG88" i="16" s="1"/>
  <c r="AG41" i="16" a="1"/>
  <c r="AG41" i="16" s="1"/>
  <c r="AG26" i="16" a="1"/>
  <c r="AG26" i="16" s="1"/>
  <c r="AG15" i="16" a="1"/>
  <c r="AG15" i="16" s="1"/>
  <c r="AQ2" i="16"/>
  <c r="AV6" i="16"/>
  <c r="AV5" i="16"/>
  <c r="AG4" i="16" a="1"/>
  <c r="AG4" i="16" s="1"/>
  <c r="AY5" i="16"/>
  <c r="BV30" i="10" s="1"/>
  <c r="AS5" i="16"/>
  <c r="AR6" i="16"/>
  <c r="AS3" i="16"/>
  <c r="AY4" i="16"/>
  <c r="BV29" i="10" s="1"/>
  <c r="AT6" i="16"/>
  <c r="AT3" i="16"/>
  <c r="AY3" i="16"/>
  <c r="BV28" i="10" s="1"/>
  <c r="AQ6" i="16"/>
  <c r="AR3" i="16"/>
  <c r="AF33" i="2" s="1"/>
  <c r="AR4" i="16"/>
  <c r="AF34" i="2" s="1"/>
  <c r="AV4" i="16"/>
  <c r="AQ4" i="16"/>
  <c r="AS6" i="16"/>
  <c r="AT4" i="16"/>
  <c r="AY2" i="16"/>
  <c r="BV27" i="10" s="1"/>
  <c r="AY6" i="16"/>
  <c r="BV31" i="10" s="1"/>
  <c r="AS4" i="16"/>
  <c r="AS2" i="16"/>
  <c r="AQ5" i="16"/>
  <c r="AT2" i="16"/>
  <c r="AV3" i="16"/>
  <c r="AR5" i="16"/>
  <c r="AF35" i="2" s="1"/>
  <c r="AR2" i="16"/>
  <c r="AF32" i="2" s="1"/>
  <c r="AQ3" i="16"/>
  <c r="AT5" i="16"/>
  <c r="B92" i="2"/>
  <c r="B154" i="29" l="1"/>
  <c r="B155" i="29"/>
  <c r="B156" i="29"/>
  <c r="B157" i="29"/>
  <c r="B158" i="29"/>
  <c r="B159" i="29"/>
  <c r="B160" i="29"/>
  <c r="B81" i="26"/>
  <c r="B82" i="26"/>
  <c r="B78" i="26"/>
  <c r="B76" i="26"/>
  <c r="B77" i="26"/>
  <c r="B79" i="26"/>
  <c r="B80" i="26"/>
  <c r="H141" i="26"/>
  <c r="G141" i="26"/>
  <c r="F141" i="26"/>
  <c r="E141" i="26"/>
  <c r="D141" i="26"/>
  <c r="C141" i="26"/>
  <c r="H140" i="26"/>
  <c r="G140" i="26"/>
  <c r="F140" i="26"/>
  <c r="E140" i="26"/>
  <c r="D140" i="26"/>
  <c r="C140" i="26"/>
  <c r="C258" i="29"/>
  <c r="C259" i="29"/>
  <c r="E17" i="29"/>
  <c r="E16" i="29"/>
  <c r="D17" i="29"/>
  <c r="D16" i="29"/>
  <c r="H4" i="29"/>
  <c r="G88" i="2"/>
  <c r="CE22" i="18"/>
  <c r="CD22" i="18"/>
  <c r="CC22" i="18"/>
  <c r="CB22" i="18"/>
  <c r="AS4" i="18"/>
  <c r="AT4" i="18" s="1"/>
  <c r="AS3" i="18"/>
  <c r="AT3" i="18" s="1"/>
  <c r="B66" i="26"/>
  <c r="B67" i="26"/>
  <c r="B68" i="26"/>
  <c r="B69" i="26"/>
  <c r="B70" i="26"/>
  <c r="B71" i="26"/>
  <c r="B72" i="26"/>
  <c r="B73" i="26"/>
  <c r="B74" i="26"/>
  <c r="B75" i="26"/>
  <c r="I4" i="29" l="1"/>
  <c r="B23" i="29"/>
  <c r="B22" i="29"/>
  <c r="B21" i="29"/>
  <c r="B20" i="29"/>
  <c r="B19" i="29"/>
  <c r="B65" i="26"/>
  <c r="B64" i="26"/>
  <c r="BY22" i="18" l="1"/>
  <c r="BX22" i="18"/>
  <c r="BW22" i="18"/>
  <c r="AT6" i="18"/>
  <c r="BZ14" i="27"/>
  <c r="BZ13" i="27"/>
  <c r="BZ12" i="27"/>
  <c r="BZ11" i="27"/>
  <c r="BZ10" i="27"/>
  <c r="BZ9" i="27"/>
  <c r="CB9" i="27" s="1"/>
  <c r="BZ8" i="27"/>
  <c r="BZ7" i="27"/>
  <c r="BZ6" i="27"/>
  <c r="BZ5" i="27"/>
  <c r="BZ4" i="27"/>
  <c r="BT4" i="27"/>
  <c r="BV4" i="27" s="1"/>
  <c r="BZ3" i="27"/>
  <c r="BT3" i="27"/>
  <c r="BR2" i="27" s="1"/>
  <c r="BR3" i="27" s="1"/>
  <c r="BZ2" i="27"/>
  <c r="BT2" i="27"/>
  <c r="B240" i="29" l="1"/>
  <c r="B253" i="29"/>
  <c r="BU3" i="27"/>
  <c r="BR18" i="27"/>
  <c r="BR12" i="27"/>
  <c r="BR11" i="27"/>
  <c r="BR10" i="27"/>
  <c r="BR9" i="27"/>
  <c r="BR8" i="27"/>
  <c r="BR7" i="27"/>
  <c r="BR6" i="27"/>
  <c r="BS2" i="27" s="1" a="1"/>
  <c r="BS2" i="27" s="1"/>
  <c r="BR5" i="27"/>
  <c r="BR4" i="27"/>
  <c r="BX2" i="27"/>
  <c r="B234" i="29"/>
  <c r="B244" i="29"/>
  <c r="B245" i="29"/>
  <c r="B251" i="29"/>
  <c r="B228" i="29"/>
  <c r="B241" i="29"/>
  <c r="B242" i="29"/>
  <c r="B246" i="29"/>
  <c r="B247" i="29"/>
  <c r="B248" i="29"/>
  <c r="B250" i="29"/>
  <c r="B243" i="29"/>
  <c r="B252" i="29"/>
  <c r="B249" i="29"/>
  <c r="CB12" i="27"/>
  <c r="CB6" i="27"/>
  <c r="CB7" i="27"/>
  <c r="CB8" i="27"/>
  <c r="CB10" i="27"/>
  <c r="CB11" i="27"/>
  <c r="CB13" i="27"/>
  <c r="CB2" i="27"/>
  <c r="BX3" i="27"/>
  <c r="BX4" i="27"/>
  <c r="BW3" i="27"/>
  <c r="BT9" i="27" s="1"/>
  <c r="CB3" i="27"/>
  <c r="CB5" i="27"/>
  <c r="CB14" i="27"/>
  <c r="CB4" i="27"/>
  <c r="BW4" i="27"/>
  <c r="BV9" i="27" l="1"/>
  <c r="BV6" i="27"/>
  <c r="CA2" i="27" s="1"/>
  <c r="BV7" i="27"/>
  <c r="CA3" i="27" s="1"/>
  <c r="BV8" i="27"/>
  <c r="CA4" i="27" s="1"/>
  <c r="BW10" i="27"/>
  <c r="BW9" i="27"/>
  <c r="BU4" i="27"/>
  <c r="BT10" i="27"/>
  <c r="BT11" i="27" s="1"/>
  <c r="BV11" i="27" s="1"/>
  <c r="BU11" i="27" l="1"/>
  <c r="BX7" i="27" s="1"/>
  <c r="BU10" i="27"/>
  <c r="BX6" i="27" s="1"/>
  <c r="BU9" i="27"/>
  <c r="BV10" i="27"/>
  <c r="BS10" i="27" a="1"/>
  <c r="BS10" i="27" s="1"/>
  <c r="BS12" i="27" a="1"/>
  <c r="BS12" i="27" s="1"/>
  <c r="BS6" i="27" a="1"/>
  <c r="BS6" i="27" s="1"/>
  <c r="BS7" i="27" a="1"/>
  <c r="BS7" i="27" s="1"/>
  <c r="BS11" i="27" a="1"/>
  <c r="BS11" i="27" s="1"/>
  <c r="BS8" i="27" a="1"/>
  <c r="BS8" i="27" s="1"/>
  <c r="BS4" i="27" a="1"/>
  <c r="BS4" i="27" s="1"/>
  <c r="BS5" i="27" a="1"/>
  <c r="BS5" i="27" s="1"/>
  <c r="BS14" i="27" a="1"/>
  <c r="BS14" i="27" s="1"/>
  <c r="BS9" i="27" a="1"/>
  <c r="BS9" i="27" s="1"/>
  <c r="BS13" i="27" a="1"/>
  <c r="BS13" i="27" s="1"/>
  <c r="BS3" i="27" a="1"/>
  <c r="BS3" i="27" s="1"/>
  <c r="BW11" i="27"/>
  <c r="BX5" i="27" l="1"/>
  <c r="BT12" i="27"/>
  <c r="BW12" i="27"/>
  <c r="BV12" i="27" l="1"/>
  <c r="BU12" i="27"/>
  <c r="BW13" i="27"/>
  <c r="BT13" i="27"/>
  <c r="BV13" i="27" l="1"/>
  <c r="BU13" i="27"/>
  <c r="BX9" i="27" s="1"/>
  <c r="BW14" i="27"/>
  <c r="BX8" i="27"/>
  <c r="BT14" i="27"/>
  <c r="BV14" i="27" l="1"/>
  <c r="BU14" i="27"/>
  <c r="BX10" i="27" s="1"/>
  <c r="BW15" i="27"/>
  <c r="BT15" i="27"/>
  <c r="BV15" i="27" l="1"/>
  <c r="BU15" i="27"/>
  <c r="BW16" i="27"/>
  <c r="BT16" i="27"/>
  <c r="BV16" i="27" l="1"/>
  <c r="BU16" i="27"/>
  <c r="BX11" i="27"/>
  <c r="BW17" i="27"/>
  <c r="BT17" i="27"/>
  <c r="BV17" i="27" l="1"/>
  <c r="BU17" i="27"/>
  <c r="BX13" i="27" s="1"/>
  <c r="BX12" i="27"/>
  <c r="BT18" i="27"/>
  <c r="BW18" i="27"/>
  <c r="BV18" i="27" l="1"/>
  <c r="BU18" i="27"/>
  <c r="BX14" i="27" s="1"/>
  <c r="BW19" i="27"/>
  <c r="BT19" i="27"/>
  <c r="BV19" i="27" l="1"/>
  <c r="BU19" i="27"/>
  <c r="BX15" i="27" s="1"/>
  <c r="BW20" i="27"/>
  <c r="BT20" i="27"/>
  <c r="BV20" i="27" l="1"/>
  <c r="BU20" i="27"/>
  <c r="BX16" i="27" s="1"/>
  <c r="BT21" i="27"/>
  <c r="BW21" i="27"/>
  <c r="BV21" i="27" l="1"/>
  <c r="BU21" i="27"/>
  <c r="CA9" i="27" s="1"/>
  <c r="CA6" i="27" l="1"/>
  <c r="CA8" i="27"/>
  <c r="CA11" i="27"/>
  <c r="CA10" i="27"/>
  <c r="CA12" i="27"/>
  <c r="CA13" i="27"/>
  <c r="CA7" i="27"/>
  <c r="CA5" i="27"/>
  <c r="CA14" i="27"/>
  <c r="BX17" i="27"/>
  <c r="BY14" i="27" s="1" a="1"/>
  <c r="BY14" i="27" s="1"/>
  <c r="BY11" i="27" l="1" a="1"/>
  <c r="BY11" i="27" s="1"/>
  <c r="BY13" i="27" a="1"/>
  <c r="BY13" i="27" s="1"/>
  <c r="BY7" i="27" a="1"/>
  <c r="BY7" i="27" s="1"/>
  <c r="BY10" i="27" a="1"/>
  <c r="BY10" i="27" s="1"/>
  <c r="BY3" i="27" a="1"/>
  <c r="BY3" i="27" s="1"/>
  <c r="BY4" i="27" a="1"/>
  <c r="BY4" i="27" s="1"/>
  <c r="BY9" i="27" a="1"/>
  <c r="BY9" i="27" s="1"/>
  <c r="BY8" i="27" a="1"/>
  <c r="BY8" i="27" s="1"/>
  <c r="BY15" i="27" a="1"/>
  <c r="BY15" i="27" s="1"/>
  <c r="BY17" i="27" a="1"/>
  <c r="BY17" i="27" s="1"/>
  <c r="BY12" i="27" a="1"/>
  <c r="BY12" i="27" s="1"/>
  <c r="BY5" i="27" a="1"/>
  <c r="BY5" i="27" s="1"/>
  <c r="BY16" i="27" a="1"/>
  <c r="BY16" i="27" s="1"/>
  <c r="BY6" i="27" a="1"/>
  <c r="BY6" i="27" s="1"/>
  <c r="BY2" i="27" a="1"/>
  <c r="BY2" i="27" s="1"/>
  <c r="B63" i="26"/>
  <c r="BI2" i="27"/>
  <c r="BJ2" i="27"/>
  <c r="BK2" i="27"/>
  <c r="BL2" i="27"/>
  <c r="BM2" i="27"/>
  <c r="BN2" i="27"/>
  <c r="BI3" i="27"/>
  <c r="BJ3" i="27"/>
  <c r="BK3" i="27"/>
  <c r="BL3" i="27"/>
  <c r="BM3" i="27"/>
  <c r="BN3" i="27"/>
  <c r="BI4" i="27"/>
  <c r="BJ4" i="27"/>
  <c r="BK4" i="27"/>
  <c r="BL4" i="27"/>
  <c r="BM4" i="27"/>
  <c r="BN4" i="27"/>
  <c r="BI5" i="27"/>
  <c r="BJ5" i="27"/>
  <c r="BK5" i="27"/>
  <c r="BL5" i="27"/>
  <c r="BM5" i="27"/>
  <c r="BN5" i="27"/>
  <c r="BI6" i="27"/>
  <c r="BJ6" i="27"/>
  <c r="BK6" i="27"/>
  <c r="BL6" i="27"/>
  <c r="BM6" i="27"/>
  <c r="BN6" i="27"/>
  <c r="BI7" i="27"/>
  <c r="BJ7" i="27"/>
  <c r="BK7" i="27"/>
  <c r="BL7" i="27"/>
  <c r="BM7" i="27"/>
  <c r="BN7" i="27"/>
  <c r="BI8" i="27"/>
  <c r="BJ8" i="27"/>
  <c r="BK8" i="27"/>
  <c r="BL8" i="27"/>
  <c r="BM8" i="27"/>
  <c r="BN8" i="27"/>
  <c r="BI9" i="27"/>
  <c r="BJ9" i="27"/>
  <c r="BK9" i="27"/>
  <c r="BL9" i="27"/>
  <c r="BM9" i="27"/>
  <c r="BN9" i="27"/>
  <c r="BI10" i="27"/>
  <c r="BJ10" i="27"/>
  <c r="BK10" i="27"/>
  <c r="BL10" i="27"/>
  <c r="BM10" i="27"/>
  <c r="BN10" i="27"/>
  <c r="BI11" i="27"/>
  <c r="BJ11" i="27"/>
  <c r="BK11" i="27"/>
  <c r="BL11" i="27"/>
  <c r="BM11" i="27"/>
  <c r="BN11" i="27"/>
  <c r="BI12" i="27"/>
  <c r="BJ12" i="27"/>
  <c r="BK12" i="27"/>
  <c r="BL12" i="27"/>
  <c r="BM12" i="27"/>
  <c r="BN12" i="27"/>
  <c r="BI13" i="27"/>
  <c r="BJ13" i="27"/>
  <c r="BK13" i="27"/>
  <c r="BL13" i="27"/>
  <c r="BM13" i="27"/>
  <c r="BN13" i="27"/>
  <c r="BI14" i="27"/>
  <c r="BJ14" i="27"/>
  <c r="BK14" i="27"/>
  <c r="BL14" i="27"/>
  <c r="BM14" i="27"/>
  <c r="BN14" i="27"/>
  <c r="BI15" i="27"/>
  <c r="BJ15" i="27"/>
  <c r="BK15" i="27"/>
  <c r="BL15" i="27"/>
  <c r="BM15" i="27"/>
  <c r="BN15" i="27"/>
  <c r="BI16" i="27"/>
  <c r="BJ16" i="27"/>
  <c r="BK16" i="27"/>
  <c r="BL16" i="27"/>
  <c r="BM16" i="27"/>
  <c r="BN16" i="27"/>
  <c r="BI17" i="27"/>
  <c r="BJ17" i="27"/>
  <c r="BK17" i="27"/>
  <c r="BL17" i="27"/>
  <c r="BM17" i="27"/>
  <c r="BN17" i="27"/>
  <c r="BI18" i="27"/>
  <c r="BJ18" i="27"/>
  <c r="BK18" i="27"/>
  <c r="BL18" i="27"/>
  <c r="BM18" i="27"/>
  <c r="BN18" i="27"/>
  <c r="BI19" i="27"/>
  <c r="BJ19" i="27"/>
  <c r="BK19" i="27"/>
  <c r="BL19" i="27"/>
  <c r="BM19" i="27"/>
  <c r="BN19" i="27"/>
  <c r="BI20" i="27"/>
  <c r="BJ20" i="27"/>
  <c r="BK20" i="27"/>
  <c r="BL20" i="27"/>
  <c r="BM20" i="27"/>
  <c r="BN20" i="27"/>
  <c r="BI21" i="27"/>
  <c r="BJ21" i="27"/>
  <c r="BK21" i="27"/>
  <c r="BL21" i="27"/>
  <c r="BM21" i="27"/>
  <c r="BN21" i="27"/>
  <c r="BI22" i="27"/>
  <c r="BJ22" i="27"/>
  <c r="BK22" i="27"/>
  <c r="BL22" i="27"/>
  <c r="BM22" i="27"/>
  <c r="BN22" i="27"/>
  <c r="BI23" i="27"/>
  <c r="BJ23" i="27"/>
  <c r="BK23" i="27"/>
  <c r="BL23" i="27"/>
  <c r="BM23" i="27"/>
  <c r="BN23" i="27"/>
  <c r="BI24" i="27"/>
  <c r="BJ24" i="27"/>
  <c r="BK24" i="27"/>
  <c r="BL24" i="27"/>
  <c r="BM24" i="27"/>
  <c r="BN24" i="27"/>
  <c r="BI25" i="27"/>
  <c r="BJ25" i="27"/>
  <c r="BK25" i="27"/>
  <c r="BL25" i="27"/>
  <c r="BM25" i="27"/>
  <c r="BN25" i="27"/>
  <c r="BI26" i="27"/>
  <c r="BJ26" i="27"/>
  <c r="BK26" i="27"/>
  <c r="BL26" i="27"/>
  <c r="BM26" i="27"/>
  <c r="BN26" i="27"/>
  <c r="BI27" i="27"/>
  <c r="BJ27" i="27"/>
  <c r="BK27" i="27"/>
  <c r="BL27" i="27"/>
  <c r="BM27" i="27"/>
  <c r="BN27" i="27"/>
  <c r="BI28" i="27"/>
  <c r="BJ28" i="27"/>
  <c r="BK28" i="27"/>
  <c r="BL28" i="27"/>
  <c r="BM28" i="27"/>
  <c r="BN28" i="27"/>
  <c r="BI29" i="27"/>
  <c r="BJ29" i="27"/>
  <c r="BK29" i="27"/>
  <c r="BL29" i="27"/>
  <c r="BM29" i="27"/>
  <c r="BN29" i="27"/>
  <c r="BI30" i="27"/>
  <c r="BJ30" i="27"/>
  <c r="BK30" i="27"/>
  <c r="BL30" i="27"/>
  <c r="BM30" i="27"/>
  <c r="BN30" i="27"/>
  <c r="BI31" i="27"/>
  <c r="BJ31" i="27"/>
  <c r="BK31" i="27"/>
  <c r="BL31" i="27"/>
  <c r="BM31" i="27"/>
  <c r="BN31" i="27"/>
  <c r="BI32" i="27"/>
  <c r="BJ32" i="27"/>
  <c r="BK32" i="27"/>
  <c r="BL32" i="27"/>
  <c r="BM32" i="27"/>
  <c r="BN32" i="27"/>
  <c r="BI33" i="27"/>
  <c r="BJ33" i="27"/>
  <c r="BK33" i="27"/>
  <c r="BL33" i="27"/>
  <c r="BM33" i="27"/>
  <c r="BN33" i="27"/>
  <c r="BI34" i="27"/>
  <c r="BJ34" i="27"/>
  <c r="BK34" i="27"/>
  <c r="BL34" i="27"/>
  <c r="BM34" i="27"/>
  <c r="BN34" i="27"/>
  <c r="BI35" i="27"/>
  <c r="BJ35" i="27"/>
  <c r="BK35" i="27"/>
  <c r="BL35" i="27"/>
  <c r="BM35" i="27"/>
  <c r="BN35" i="27"/>
  <c r="BI36" i="27"/>
  <c r="BJ36" i="27"/>
  <c r="BK36" i="27"/>
  <c r="BL36" i="27"/>
  <c r="BM36" i="27"/>
  <c r="BN36" i="27"/>
  <c r="BI37" i="27"/>
  <c r="BJ37" i="27"/>
  <c r="BK37" i="27"/>
  <c r="BL37" i="27"/>
  <c r="BM37" i="27"/>
  <c r="BN37" i="27"/>
  <c r="BI38" i="27"/>
  <c r="BJ38" i="27"/>
  <c r="BK38" i="27"/>
  <c r="BL38" i="27"/>
  <c r="BM38" i="27"/>
  <c r="BN38" i="27"/>
  <c r="BI39" i="27"/>
  <c r="BJ39" i="27"/>
  <c r="BK39" i="27"/>
  <c r="BL39" i="27"/>
  <c r="BM39" i="27"/>
  <c r="BN39" i="27"/>
  <c r="BI40" i="27"/>
  <c r="BJ40" i="27"/>
  <c r="BK40" i="27"/>
  <c r="BL40" i="27"/>
  <c r="BM40" i="27"/>
  <c r="BN40" i="27"/>
  <c r="BI41" i="27"/>
  <c r="BJ41" i="27"/>
  <c r="BK41" i="27"/>
  <c r="BL41" i="27"/>
  <c r="BM41" i="27"/>
  <c r="BN41" i="27"/>
  <c r="BI42" i="27"/>
  <c r="BJ42" i="27"/>
  <c r="BK42" i="27"/>
  <c r="BL42" i="27"/>
  <c r="BM42" i="27"/>
  <c r="BN42" i="27"/>
  <c r="BI43" i="27"/>
  <c r="BJ43" i="27"/>
  <c r="BK43" i="27"/>
  <c r="BL43" i="27"/>
  <c r="BM43" i="27"/>
  <c r="BN43" i="27"/>
  <c r="BH44" i="27"/>
  <c r="BI44" i="27"/>
  <c r="BJ44" i="27"/>
  <c r="BK44" i="27"/>
  <c r="BL44" i="27"/>
  <c r="BM44" i="27"/>
  <c r="BN44" i="27"/>
  <c r="BH45" i="27"/>
  <c r="BI45" i="27"/>
  <c r="BJ45" i="27"/>
  <c r="BK45" i="27"/>
  <c r="BL45" i="27"/>
  <c r="BM45" i="27"/>
  <c r="BN45" i="27"/>
  <c r="BH46" i="27"/>
  <c r="BI46" i="27"/>
  <c r="BJ46" i="27"/>
  <c r="BK46" i="27"/>
  <c r="BL46" i="27"/>
  <c r="BM46" i="27"/>
  <c r="BN46" i="27"/>
  <c r="BH47" i="27"/>
  <c r="BI47" i="27"/>
  <c r="BJ47" i="27"/>
  <c r="BK47" i="27"/>
  <c r="BL47" i="27"/>
  <c r="BM47" i="27"/>
  <c r="BN47" i="27"/>
  <c r="AY48" i="27"/>
  <c r="AY47" i="27"/>
  <c r="AY46" i="27"/>
  <c r="AY45" i="27"/>
  <c r="AY44" i="27"/>
  <c r="AY43" i="27"/>
  <c r="AY42" i="27"/>
  <c r="AY41" i="27"/>
  <c r="AY40" i="27"/>
  <c r="AY39" i="27"/>
  <c r="AY38" i="27"/>
  <c r="AY37" i="27"/>
  <c r="AY36" i="27"/>
  <c r="AY35" i="27"/>
  <c r="AY34" i="27"/>
  <c r="AY33" i="27"/>
  <c r="AY32" i="27"/>
  <c r="AY31" i="27"/>
  <c r="AY30" i="27"/>
  <c r="AY29" i="27"/>
  <c r="AY28" i="27"/>
  <c r="AY27" i="27"/>
  <c r="AY26" i="27"/>
  <c r="AY25" i="27"/>
  <c r="AY24" i="27"/>
  <c r="AY23" i="27"/>
  <c r="AY21" i="27"/>
  <c r="AY20" i="27"/>
  <c r="AY19" i="27"/>
  <c r="AY18" i="27"/>
  <c r="AY17" i="27"/>
  <c r="AY16" i="27"/>
  <c r="AY15" i="27"/>
  <c r="AY14" i="27"/>
  <c r="AY13" i="27"/>
  <c r="AY12" i="27"/>
  <c r="BQ107" i="27" l="1" a="1"/>
  <c r="BQ107" i="27" s="1"/>
  <c r="BQ110" i="27" a="1"/>
  <c r="BQ110" i="27" s="1"/>
  <c r="BQ111" i="27" a="1"/>
  <c r="BQ111" i="27" s="1"/>
  <c r="BQ106" i="27" a="1"/>
  <c r="BQ106" i="27" s="1"/>
  <c r="BQ108" i="27" a="1"/>
  <c r="BQ108" i="27" s="1"/>
  <c r="BQ112" i="27" a="1"/>
  <c r="BQ112" i="27" s="1"/>
  <c r="BQ109" i="27" a="1"/>
  <c r="BQ109" i="27" s="1"/>
  <c r="BQ102" i="27" a="1"/>
  <c r="BQ102" i="27" s="1"/>
  <c r="BQ104" i="27" a="1"/>
  <c r="BQ104" i="27" s="1"/>
  <c r="BQ103" i="27" a="1"/>
  <c r="BQ103" i="27" s="1"/>
  <c r="BQ105" i="27" a="1"/>
  <c r="BQ105" i="27" s="1"/>
  <c r="BQ4" i="27" a="1"/>
  <c r="BQ4" i="27" s="1"/>
  <c r="BQ20" i="27" a="1"/>
  <c r="BQ20" i="27" s="1"/>
  <c r="BQ32" i="27" a="1"/>
  <c r="BQ32" i="27" s="1"/>
  <c r="BQ44" i="27" a="1"/>
  <c r="BQ44" i="27" s="1"/>
  <c r="BQ58" i="27" a="1"/>
  <c r="BQ58" i="27" s="1"/>
  <c r="BQ87" i="27" a="1"/>
  <c r="BQ87" i="27" s="1"/>
  <c r="BQ45" i="27" a="1"/>
  <c r="BQ45" i="27" s="1"/>
  <c r="BQ73" i="27" a="1"/>
  <c r="BQ73" i="27" s="1"/>
  <c r="BQ88" i="27" a="1"/>
  <c r="BQ88" i="27" s="1"/>
  <c r="BQ6" i="27" a="1"/>
  <c r="BQ6" i="27" s="1"/>
  <c r="BQ33" i="27" a="1"/>
  <c r="BQ33" i="27" s="1"/>
  <c r="BQ46" i="27" a="1"/>
  <c r="BQ46" i="27" s="1"/>
  <c r="BQ60" i="27" a="1"/>
  <c r="BQ60" i="27" s="1"/>
  <c r="BQ74" i="27" a="1"/>
  <c r="BQ74" i="27" s="1"/>
  <c r="BQ2" i="27" a="1"/>
  <c r="BQ2" i="27" s="1"/>
  <c r="BQ75" i="27" a="1"/>
  <c r="BQ75" i="27" s="1"/>
  <c r="BQ89" i="27" a="1"/>
  <c r="BQ89" i="27" s="1"/>
  <c r="BQ8" i="27" a="1"/>
  <c r="BQ8" i="27" s="1"/>
  <c r="BQ62" i="27" a="1"/>
  <c r="BQ62" i="27" s="1"/>
  <c r="BQ76" i="27" a="1"/>
  <c r="BQ76" i="27" s="1"/>
  <c r="BQ90" i="27" a="1"/>
  <c r="BQ90" i="27" s="1"/>
  <c r="BQ63" i="27" a="1"/>
  <c r="BQ63" i="27" s="1"/>
  <c r="BQ35" i="27" a="1"/>
  <c r="BQ35" i="27" s="1"/>
  <c r="BQ64" i="27" a="1"/>
  <c r="BQ64" i="27" s="1"/>
  <c r="BQ92" i="27" a="1"/>
  <c r="BQ92" i="27" s="1"/>
  <c r="BQ94" i="27" a="1"/>
  <c r="BQ94" i="27" s="1"/>
  <c r="BQ5" i="27" a="1"/>
  <c r="BQ5" i="27" s="1"/>
  <c r="BQ21" i="27" a="1"/>
  <c r="BQ21" i="27" s="1"/>
  <c r="BQ59" i="27" a="1"/>
  <c r="BQ59" i="27" s="1"/>
  <c r="BQ22" i="27" a="1"/>
  <c r="BQ22" i="27" s="1"/>
  <c r="BQ61" i="27" a="1"/>
  <c r="BQ61" i="27" s="1"/>
  <c r="BQ48" i="27" a="1"/>
  <c r="BQ48" i="27" s="1"/>
  <c r="BQ91" i="27" a="1"/>
  <c r="BQ91" i="27" s="1"/>
  <c r="BQ66" i="27" a="1"/>
  <c r="BQ66" i="27" s="1"/>
  <c r="BQ7" i="27" a="1"/>
  <c r="BQ7" i="27" s="1"/>
  <c r="BQ23" i="27" a="1"/>
  <c r="BQ23" i="27" s="1"/>
  <c r="BQ47" i="27" a="1"/>
  <c r="BQ47" i="27" s="1"/>
  <c r="BQ34" i="27" a="1"/>
  <c r="BQ34" i="27" s="1"/>
  <c r="BQ77" i="27" a="1"/>
  <c r="BQ77" i="27" s="1"/>
  <c r="BQ80" i="27" a="1"/>
  <c r="BQ80" i="27" s="1"/>
  <c r="BQ9" i="27" a="1"/>
  <c r="BQ9" i="27" s="1"/>
  <c r="BQ24" i="27" a="1"/>
  <c r="BQ24" i="27" s="1"/>
  <c r="BQ10" i="27" a="1"/>
  <c r="BQ10" i="27" s="1"/>
  <c r="BQ11" i="27" a="1"/>
  <c r="BQ11" i="27" s="1"/>
  <c r="BQ25" i="27" a="1"/>
  <c r="BQ25" i="27" s="1"/>
  <c r="BQ36" i="27" a="1"/>
  <c r="BQ36" i="27" s="1"/>
  <c r="BQ65" i="27" a="1"/>
  <c r="BQ65" i="27" s="1"/>
  <c r="BQ12" i="27" a="1"/>
  <c r="BQ12" i="27" s="1"/>
  <c r="BQ37" i="27" a="1"/>
  <c r="BQ37" i="27" s="1"/>
  <c r="BQ13" i="27" a="1"/>
  <c r="BQ13" i="27" s="1"/>
  <c r="BQ26" i="27" a="1"/>
  <c r="BQ26" i="27" s="1"/>
  <c r="BQ38" i="27" a="1"/>
  <c r="BQ38" i="27" s="1"/>
  <c r="BQ51" i="27" a="1"/>
  <c r="BQ51" i="27" s="1"/>
  <c r="BQ81" i="27" a="1"/>
  <c r="BQ81" i="27" s="1"/>
  <c r="BQ95" i="27" a="1"/>
  <c r="BQ95" i="27" s="1"/>
  <c r="BQ27" i="27" a="1"/>
  <c r="BQ27" i="27" s="1"/>
  <c r="BQ53" i="27" a="1"/>
  <c r="BQ53" i="27" s="1"/>
  <c r="BQ82" i="27" a="1"/>
  <c r="BQ82" i="27" s="1"/>
  <c r="BQ54" i="27" a="1"/>
  <c r="BQ54" i="27" s="1"/>
  <c r="BQ83" i="27" a="1"/>
  <c r="BQ83" i="27" s="1"/>
  <c r="BQ17" i="27" a="1"/>
  <c r="BQ17" i="27" s="1"/>
  <c r="BQ41" i="27" a="1"/>
  <c r="BQ41" i="27" s="1"/>
  <c r="BQ84" i="27" a="1"/>
  <c r="BQ84" i="27" s="1"/>
  <c r="BQ99" i="27" a="1"/>
  <c r="BQ99" i="27" s="1"/>
  <c r="BQ30" i="27" a="1"/>
  <c r="BQ30" i="27" s="1"/>
  <c r="BQ42" i="27" a="1"/>
  <c r="BQ42" i="27" s="1"/>
  <c r="BQ56" i="27" a="1"/>
  <c r="BQ56" i="27" s="1"/>
  <c r="BQ85" i="27" a="1"/>
  <c r="BQ85" i="27" s="1"/>
  <c r="BQ100" i="27" a="1"/>
  <c r="BQ100" i="27" s="1"/>
  <c r="BQ19" i="27" a="1"/>
  <c r="BQ19" i="27" s="1"/>
  <c r="BQ57" i="27" a="1"/>
  <c r="BQ57" i="27" s="1"/>
  <c r="BQ86" i="27" a="1"/>
  <c r="BQ86" i="27" s="1"/>
  <c r="BQ49" i="27" a="1"/>
  <c r="BQ49" i="27" s="1"/>
  <c r="BQ79" i="27" a="1"/>
  <c r="BQ79" i="27" s="1"/>
  <c r="BQ14" i="27" a="1"/>
  <c r="BQ14" i="27" s="1"/>
  <c r="BQ39" i="27" a="1"/>
  <c r="BQ39" i="27" s="1"/>
  <c r="BQ52" i="27" a="1"/>
  <c r="BQ52" i="27" s="1"/>
  <c r="BQ67" i="27" a="1"/>
  <c r="BQ67" i="27" s="1"/>
  <c r="BQ96" i="27" a="1"/>
  <c r="BQ96" i="27" s="1"/>
  <c r="BQ15" i="27" a="1"/>
  <c r="BQ15" i="27" s="1"/>
  <c r="BQ40" i="27" a="1"/>
  <c r="BQ40" i="27" s="1"/>
  <c r="BQ68" i="27" a="1"/>
  <c r="BQ68" i="27" s="1"/>
  <c r="BQ97" i="27" a="1"/>
  <c r="BQ97" i="27" s="1"/>
  <c r="BQ69" i="27" a="1"/>
  <c r="BQ69" i="27" s="1"/>
  <c r="BQ98" i="27" a="1"/>
  <c r="BQ98" i="27" s="1"/>
  <c r="BQ29" i="27" a="1"/>
  <c r="BQ29" i="27" s="1"/>
  <c r="BQ70" i="27" a="1"/>
  <c r="BQ70" i="27" s="1"/>
  <c r="BQ3" i="27" a="1"/>
  <c r="BQ3" i="27" s="1"/>
  <c r="BQ43" i="27" a="1"/>
  <c r="BQ43" i="27" s="1"/>
  <c r="BQ72" i="27" a="1"/>
  <c r="BQ72" i="27" s="1"/>
  <c r="BQ101" i="27" a="1"/>
  <c r="BQ101" i="27" s="1"/>
  <c r="BQ78" i="27" a="1"/>
  <c r="BQ78" i="27" s="1"/>
  <c r="BQ50" i="27" a="1"/>
  <c r="BQ50" i="27" s="1"/>
  <c r="BQ16" i="27" a="1"/>
  <c r="BQ16" i="27" s="1"/>
  <c r="BQ28" i="27" a="1"/>
  <c r="BQ28" i="27" s="1"/>
  <c r="BQ93" i="27" a="1"/>
  <c r="BQ93" i="27" s="1"/>
  <c r="BQ55" i="27" a="1"/>
  <c r="BQ55" i="27" s="1"/>
  <c r="BQ31" i="27" a="1"/>
  <c r="BQ31" i="27" s="1"/>
  <c r="BQ18" i="27" a="1"/>
  <c r="BQ18" i="27" s="1"/>
  <c r="BQ71" i="27" a="1"/>
  <c r="BQ71" i="27" s="1"/>
  <c r="V25" i="3"/>
  <c r="V24" i="3"/>
  <c r="V23" i="3"/>
  <c r="V22" i="3"/>
  <c r="V21" i="3"/>
  <c r="V20" i="3"/>
  <c r="V19" i="3"/>
  <c r="V18" i="3"/>
  <c r="V17" i="3"/>
  <c r="V16" i="3"/>
  <c r="BS18" i="27"/>
  <c r="CW59" i="18" l="1"/>
  <c r="B18" i="29" l="1"/>
  <c r="B148" i="29"/>
  <c r="B149" i="29"/>
  <c r="B150" i="29"/>
  <c r="B151" i="29"/>
  <c r="B152" i="29"/>
  <c r="B153" i="29"/>
  <c r="B62" i="26"/>
  <c r="B61" i="26"/>
  <c r="B57" i="26"/>
  <c r="B55" i="26"/>
  <c r="B60" i="26"/>
  <c r="B59" i="26"/>
  <c r="B58" i="26"/>
  <c r="B53" i="26"/>
  <c r="B54" i="26"/>
  <c r="B52" i="26"/>
  <c r="B50" i="26"/>
  <c r="B51" i="26"/>
  <c r="B56" i="26"/>
  <c r="B48" i="26"/>
  <c r="B49" i="26"/>
  <c r="B20" i="26"/>
  <c r="B19" i="26"/>
  <c r="B47" i="26"/>
  <c r="B45" i="26"/>
  <c r="B44" i="26"/>
  <c r="B43" i="26"/>
  <c r="B42" i="26"/>
  <c r="B46" i="26"/>
  <c r="B41" i="26"/>
  <c r="B40" i="26"/>
  <c r="B39" i="26"/>
  <c r="B38" i="26"/>
  <c r="B37" i="26"/>
  <c r="B36" i="26"/>
  <c r="B35" i="26"/>
  <c r="B34" i="26"/>
  <c r="B33" i="26"/>
  <c r="B32" i="26"/>
  <c r="B21" i="26"/>
  <c r="B22" i="26"/>
  <c r="B30" i="26"/>
  <c r="B31" i="26"/>
  <c r="B24" i="26"/>
  <c r="B27" i="26"/>
  <c r="B26" i="26"/>
  <c r="B23" i="26"/>
  <c r="B28" i="26"/>
  <c r="B29" i="26"/>
  <c r="B25" i="26"/>
  <c r="A120" i="26" l="1" a="1"/>
  <c r="A120" i="26" s="1"/>
  <c r="A121" i="26" a="1"/>
  <c r="A121" i="26" s="1"/>
  <c r="A136" i="26" a="1"/>
  <c r="A136" i="26" s="1"/>
  <c r="A81" i="26" a="1"/>
  <c r="A81" i="26" s="1"/>
  <c r="A33" i="26" a="1"/>
  <c r="A33" i="26" s="1"/>
  <c r="A67" i="26" a="1"/>
  <c r="A67" i="26" s="1"/>
  <c r="A100" i="26" a="1"/>
  <c r="A100" i="26" s="1"/>
  <c r="A126" i="26" a="1"/>
  <c r="A126" i="26" s="1"/>
  <c r="A4" i="26" a="1"/>
  <c r="A4" i="26" s="1"/>
  <c r="A54" i="26" a="1"/>
  <c r="A54" i="26" s="1"/>
  <c r="A15" i="26" a="1"/>
  <c r="A15" i="26" s="1"/>
  <c r="A60" i="26" a="1"/>
  <c r="A60" i="26" s="1"/>
  <c r="A49" i="26" a="1"/>
  <c r="A49" i="26" s="1"/>
  <c r="A116" i="26" a="1"/>
  <c r="A116" i="26" s="1"/>
  <c r="A16" i="26" a="1"/>
  <c r="A16" i="26" s="1"/>
  <c r="A14" i="26" a="1"/>
  <c r="A14" i="26" s="1"/>
  <c r="A107" i="26" a="1"/>
  <c r="A107" i="26" s="1"/>
  <c r="A134" i="26" a="1"/>
  <c r="A134" i="26" s="1"/>
  <c r="A70" i="26" a="1"/>
  <c r="A70" i="26" s="1"/>
  <c r="A90" i="26" a="1"/>
  <c r="A90" i="26" s="1"/>
  <c r="A141" i="26" a="1"/>
  <c r="A141" i="26" s="1"/>
  <c r="A77" i="26" a="1"/>
  <c r="A77" i="26" s="1"/>
  <c r="A113" i="26" a="1"/>
  <c r="A113" i="26" s="1"/>
  <c r="A62" i="26" a="1"/>
  <c r="A62" i="26" s="1"/>
  <c r="A128" i="26" a="1"/>
  <c r="A128" i="26" s="1"/>
  <c r="A65" i="26" a="1"/>
  <c r="A65" i="26" s="1"/>
  <c r="A39" i="26" a="1"/>
  <c r="A39" i="26" s="1"/>
  <c r="A112" i="26" a="1"/>
  <c r="A112" i="26" s="1"/>
  <c r="A3" i="26" a="1"/>
  <c r="A3" i="26" s="1"/>
  <c r="A75" i="26" a="1"/>
  <c r="A75" i="26" s="1"/>
  <c r="A58" i="26" a="1"/>
  <c r="A58" i="26" s="1"/>
  <c r="A108" i="26" a="1"/>
  <c r="A108" i="26" s="1"/>
  <c r="A7" i="26" a="1"/>
  <c r="A7" i="26" s="1"/>
  <c r="A101" i="26" a="1"/>
  <c r="A101" i="26" s="1"/>
  <c r="A127" i="26" a="1"/>
  <c r="A127" i="26" s="1"/>
  <c r="A38" i="26" a="1"/>
  <c r="A38" i="26" s="1"/>
  <c r="A85" i="26" a="1"/>
  <c r="A85" i="26" s="1"/>
  <c r="A47" i="26" a="1"/>
  <c r="A47" i="26" s="1"/>
  <c r="A56" i="26" a="1"/>
  <c r="A56" i="26" s="1"/>
  <c r="A125" i="26" a="1"/>
  <c r="A125" i="26" s="1"/>
  <c r="A26" i="26" a="1"/>
  <c r="A26" i="26" s="1"/>
  <c r="A83" i="26" a="1"/>
  <c r="A83" i="26" s="1"/>
  <c r="A5" i="26" a="1"/>
  <c r="A5" i="26" s="1"/>
  <c r="A8" i="26" a="1"/>
  <c r="A8" i="26" s="1"/>
  <c r="A123" i="26" a="1"/>
  <c r="A123" i="26" s="1"/>
  <c r="A140" i="26" a="1"/>
  <c r="A140" i="26" s="1"/>
  <c r="A106" i="26" a="1"/>
  <c r="A106" i="26" s="1"/>
  <c r="A34" i="26" a="1"/>
  <c r="A34" i="26" s="1"/>
  <c r="A44" i="26" a="1"/>
  <c r="A44" i="26" s="1"/>
  <c r="A115" i="26" a="1"/>
  <c r="A115" i="26" s="1"/>
  <c r="A31" i="26" a="1"/>
  <c r="A31" i="26" s="1"/>
  <c r="A52" i="26" a="1"/>
  <c r="A52" i="26" s="1"/>
  <c r="A129" i="26" a="1"/>
  <c r="A129" i="26" s="1"/>
  <c r="A93" i="26" a="1"/>
  <c r="A93" i="26" s="1"/>
  <c r="A122" i="26" a="1"/>
  <c r="A122" i="26" s="1"/>
  <c r="A28" i="26" a="1"/>
  <c r="A28" i="26" s="1"/>
  <c r="A95" i="26" a="1"/>
  <c r="A95" i="26" s="1"/>
  <c r="A131" i="26" a="1"/>
  <c r="A131" i="26" s="1"/>
  <c r="A21" i="26" a="1"/>
  <c r="A21" i="26" s="1"/>
  <c r="A102" i="26" a="1"/>
  <c r="A102" i="26" s="1"/>
  <c r="A124" i="26" a="1"/>
  <c r="A124" i="26" s="1"/>
  <c r="A37" i="26" a="1"/>
  <c r="A37" i="26" s="1"/>
  <c r="A19" i="26" a="1"/>
  <c r="A19" i="26" s="1"/>
  <c r="A78" i="26" a="1"/>
  <c r="A78" i="26" s="1"/>
  <c r="A73" i="26" a="1"/>
  <c r="A73" i="26" s="1"/>
  <c r="A114" i="26" a="1"/>
  <c r="A114" i="26" s="1"/>
  <c r="A82" i="26" a="1"/>
  <c r="A82" i="26" s="1"/>
  <c r="A118" i="26" a="1"/>
  <c r="A118" i="26" s="1"/>
  <c r="A9" i="26" a="1"/>
  <c r="A9" i="26" s="1"/>
  <c r="A79" i="26" a="1"/>
  <c r="A79" i="26" s="1"/>
  <c r="A18" i="26" a="1"/>
  <c r="A18" i="26" s="1"/>
  <c r="A98" i="26" a="1"/>
  <c r="A98" i="26" s="1"/>
  <c r="A29" i="26" a="1"/>
  <c r="A29" i="26" s="1"/>
  <c r="A30" i="26" a="1"/>
  <c r="A30" i="26" s="1"/>
  <c r="A103" i="26" a="1"/>
  <c r="A103" i="26" s="1"/>
  <c r="A84" i="26" a="1"/>
  <c r="A84" i="26" s="1"/>
  <c r="A97" i="26" a="1"/>
  <c r="A97" i="26" s="1"/>
  <c r="A59" i="26" a="1"/>
  <c r="A59" i="26" s="1"/>
  <c r="A104" i="26" a="1"/>
  <c r="A104" i="26" s="1"/>
  <c r="A105" i="26" a="1"/>
  <c r="A105" i="26" s="1"/>
  <c r="A66" i="26" a="1"/>
  <c r="A66" i="26" s="1"/>
  <c r="A139" i="26" a="1"/>
  <c r="A139" i="26" s="1"/>
  <c r="A64" i="26" a="1"/>
  <c r="A64" i="26" s="1"/>
  <c r="A132" i="26" a="1"/>
  <c r="A132" i="26" s="1"/>
  <c r="A137" i="26" a="1"/>
  <c r="A137" i="26" s="1"/>
  <c r="A74" i="26" a="1"/>
  <c r="A74" i="26" s="1"/>
  <c r="A22" i="26" a="1"/>
  <c r="A22" i="26" s="1"/>
  <c r="A48" i="26" a="1"/>
  <c r="A48" i="26" s="1"/>
  <c r="A92" i="26" a="1"/>
  <c r="A92" i="26" s="1"/>
  <c r="A71" i="26" a="1"/>
  <c r="A71" i="26" s="1"/>
  <c r="A43" i="26" a="1"/>
  <c r="A43" i="26" s="1"/>
  <c r="A138" i="26" a="1"/>
  <c r="A138" i="26" s="1"/>
  <c r="A72" i="26" a="1"/>
  <c r="A72" i="26" s="1"/>
  <c r="A35" i="26" a="1"/>
  <c r="A35" i="26" s="1"/>
  <c r="A80" i="26" a="1"/>
  <c r="A80" i="26" s="1"/>
  <c r="A61" i="26" a="1"/>
  <c r="A61" i="26" s="1"/>
  <c r="A96" i="26" a="1"/>
  <c r="A96" i="26" s="1"/>
  <c r="A36" i="26" a="1"/>
  <c r="A36" i="26" s="1"/>
  <c r="A69" i="26" a="1"/>
  <c r="A69" i="26" s="1"/>
  <c r="A24" i="26" a="1"/>
  <c r="A24" i="26" s="1"/>
  <c r="A32" i="26" a="1"/>
  <c r="A32" i="26" s="1"/>
  <c r="A99" i="26" a="1"/>
  <c r="A99" i="26" s="1"/>
  <c r="A41" i="26" a="1"/>
  <c r="A41" i="26" s="1"/>
  <c r="A130" i="26" a="1"/>
  <c r="A130" i="26" s="1"/>
  <c r="A51" i="26" a="1"/>
  <c r="A51" i="26" s="1"/>
  <c r="A12" i="26" a="1"/>
  <c r="A12" i="26" s="1"/>
  <c r="A13" i="26" a="1"/>
  <c r="A13" i="26" s="1"/>
  <c r="A57" i="26" a="1"/>
  <c r="A57" i="26" s="1"/>
  <c r="A117" i="26" a="1"/>
  <c r="A117" i="26" s="1"/>
  <c r="A20" i="26" a="1"/>
  <c r="A20" i="26" s="1"/>
  <c r="A88" i="26" a="1"/>
  <c r="A88" i="26" s="1"/>
  <c r="A45" i="26" a="1"/>
  <c r="A45" i="26" s="1"/>
  <c r="A86" i="26" a="1"/>
  <c r="A86" i="26" s="1"/>
  <c r="A111" i="26" a="1"/>
  <c r="A111" i="26" s="1"/>
  <c r="A87" i="26" a="1"/>
  <c r="A87" i="26" s="1"/>
  <c r="A133" i="26" a="1"/>
  <c r="A133" i="26" s="1"/>
  <c r="A46" i="26" a="1"/>
  <c r="A46" i="26" s="1"/>
  <c r="A91" i="26" a="1"/>
  <c r="A91" i="26" s="1"/>
  <c r="A89" i="26" a="1"/>
  <c r="A89" i="26" s="1"/>
  <c r="A76" i="26" a="1"/>
  <c r="A76" i="26" s="1"/>
  <c r="A17" i="26" a="1"/>
  <c r="A17" i="26" s="1"/>
  <c r="A25" i="26" a="1"/>
  <c r="A25" i="26" s="1"/>
  <c r="A109" i="26" a="1"/>
  <c r="A109" i="26" s="1"/>
  <c r="A42" i="26" a="1"/>
  <c r="A42" i="26" s="1"/>
  <c r="A50" i="26" a="1"/>
  <c r="A50" i="26" s="1"/>
  <c r="A27" i="26" a="1"/>
  <c r="A27" i="26" s="1"/>
  <c r="A110" i="26" a="1"/>
  <c r="A110" i="26" s="1"/>
  <c r="A11" i="26" a="1"/>
  <c r="A11" i="26" s="1"/>
  <c r="A94" i="26" a="1"/>
  <c r="A94" i="26" s="1"/>
  <c r="A23" i="26" a="1"/>
  <c r="A23" i="26" s="1"/>
  <c r="A68" i="26" a="1"/>
  <c r="A68" i="26" s="1"/>
  <c r="A55" i="26" a="1"/>
  <c r="A55" i="26" s="1"/>
  <c r="A53" i="26" a="1"/>
  <c r="A53" i="26" s="1"/>
  <c r="A6" i="26" a="1"/>
  <c r="A6" i="26" s="1"/>
  <c r="A63" i="26" a="1"/>
  <c r="A63" i="26" s="1"/>
  <c r="A10" i="26" a="1"/>
  <c r="A10" i="26" s="1"/>
  <c r="A135" i="26" a="1"/>
  <c r="A135" i="26" s="1"/>
  <c r="A119" i="26" a="1"/>
  <c r="A119" i="26" s="1"/>
  <c r="A40" i="26" a="1"/>
  <c r="A40" i="26" s="1"/>
  <c r="A142" i="26" a="1"/>
  <c r="A142" i="26" s="1"/>
  <c r="A2" i="26" a="1"/>
  <c r="A2" i="26" s="1"/>
  <c r="B147" i="29"/>
  <c r="B146" i="29" l="1"/>
  <c r="B145" i="29"/>
  <c r="B144" i="29"/>
  <c r="B143" i="29"/>
  <c r="B142" i="29"/>
  <c r="B141" i="29"/>
  <c r="B140" i="29"/>
  <c r="B139" i="29"/>
  <c r="B138" i="29"/>
  <c r="B137" i="29"/>
  <c r="B136" i="29"/>
  <c r="B135" i="29"/>
  <c r="B134" i="29"/>
  <c r="B133" i="29"/>
  <c r="B129" i="29"/>
  <c r="B132" i="29"/>
  <c r="B25" i="29"/>
  <c r="B131" i="29" l="1"/>
  <c r="B16" i="29"/>
  <c r="B17" i="29"/>
  <c r="B125" i="29"/>
  <c r="B126" i="29"/>
  <c r="B127" i="29"/>
  <c r="B128" i="29"/>
  <c r="B130" i="29"/>
  <c r="B15" i="29"/>
  <c r="B124" i="29"/>
  <c r="B123" i="29"/>
  <c r="B122" i="29"/>
  <c r="B121" i="29"/>
  <c r="B120" i="29"/>
  <c r="B119" i="29"/>
  <c r="B118" i="29"/>
  <c r="B117" i="29"/>
  <c r="B116" i="29"/>
  <c r="B24" i="29"/>
  <c r="B33" i="29"/>
  <c r="B32" i="29"/>
  <c r="B31" i="29"/>
  <c r="B30" i="29"/>
  <c r="B29" i="29"/>
  <c r="B28" i="29"/>
  <c r="B27" i="29"/>
  <c r="B26" i="29"/>
  <c r="V6" i="3" l="1"/>
  <c r="V7" i="3"/>
  <c r="V8" i="3"/>
  <c r="V9" i="3"/>
  <c r="V10" i="3"/>
  <c r="V11" i="3"/>
  <c r="V12" i="3"/>
  <c r="V13" i="3"/>
  <c r="V14" i="3"/>
  <c r="V5" i="3" l="1"/>
  <c r="AA4" i="18" a="1"/>
  <c r="AA4" i="18" s="1"/>
  <c r="AA16" i="18" a="1"/>
  <c r="AA16" i="18" s="1"/>
  <c r="AA15" i="18" a="1"/>
  <c r="AA15" i="18" s="1"/>
  <c r="AA14" i="18" a="1"/>
  <c r="AA14" i="18" s="1"/>
  <c r="AA11" i="18" a="1"/>
  <c r="AA11" i="18" s="1"/>
  <c r="AA22" i="18" a="1"/>
  <c r="AA22" i="18" s="1"/>
  <c r="AA7" i="18" a="1"/>
  <c r="AA7" i="18" s="1"/>
  <c r="AA8" i="18" a="1"/>
  <c r="AA8" i="18" s="1"/>
  <c r="AA21" i="18" a="1"/>
  <c r="AA21" i="18" s="1"/>
  <c r="AA6" i="18" a="1"/>
  <c r="AA6" i="18" s="1"/>
  <c r="AA10" i="18" a="1"/>
  <c r="AA10" i="18" s="1"/>
  <c r="AA5" i="18" a="1"/>
  <c r="AA5" i="18" s="1"/>
  <c r="AA12" i="18" a="1"/>
  <c r="AA12" i="18" s="1"/>
  <c r="AA9" i="18" a="1"/>
  <c r="AA9" i="18" s="1"/>
  <c r="AA20" i="18" a="1"/>
  <c r="AA20" i="18" s="1"/>
  <c r="AA19" i="18" a="1"/>
  <c r="AA19" i="18" s="1"/>
  <c r="AA13" i="18" a="1"/>
  <c r="AA13" i="18" s="1"/>
  <c r="AA17" i="18" a="1"/>
  <c r="AA17" i="18" s="1"/>
  <c r="AA18" i="18" a="1"/>
  <c r="AA18" i="18" s="1"/>
  <c r="F4" i="29"/>
  <c r="AM8" i="31"/>
  <c r="AM7" i="31"/>
  <c r="AM6" i="31"/>
  <c r="AM5" i="31"/>
  <c r="AM4" i="31"/>
  <c r="AM3" i="31"/>
  <c r="AD18" i="18" l="1" a="1"/>
  <c r="AD18" i="18" s="1"/>
  <c r="AD22" i="18" a="1"/>
  <c r="AD22" i="18" s="1"/>
  <c r="AD4" i="18" a="1"/>
  <c r="AD4" i="18" s="1"/>
  <c r="AD7" i="18" a="1"/>
  <c r="AD7" i="18" s="1"/>
  <c r="AD17" i="18" a="1"/>
  <c r="AD17" i="18" s="1"/>
  <c r="AD21" i="18" a="1"/>
  <c r="AD21" i="18" s="1"/>
  <c r="AD3" i="18" a="1"/>
  <c r="AD3" i="18" s="1"/>
  <c r="AD20" i="18" a="1"/>
  <c r="AD20" i="18" s="1"/>
  <c r="AD16" i="18" a="1"/>
  <c r="AD16" i="18" s="1"/>
  <c r="AD6" i="18" a="1"/>
  <c r="AD6" i="18" s="1"/>
  <c r="AD2" i="18" a="1"/>
  <c r="AD2" i="18" s="1"/>
  <c r="AD19" i="18" a="1"/>
  <c r="AD19" i="18" s="1"/>
  <c r="AD15" i="18" a="1"/>
  <c r="AD15" i="18" s="1"/>
  <c r="AD5" i="18" a="1"/>
  <c r="AD5" i="18" s="1"/>
  <c r="AD14" i="18" a="1"/>
  <c r="AD14" i="18" s="1"/>
  <c r="AD13" i="18" a="1"/>
  <c r="AD13" i="18" s="1"/>
  <c r="AD12" i="18" a="1"/>
  <c r="AD12" i="18" s="1"/>
  <c r="AD24" i="18" a="1"/>
  <c r="AD24" i="18" s="1"/>
  <c r="AD11" i="18" a="1"/>
  <c r="AD11" i="18" s="1"/>
  <c r="AD10" i="18" a="1"/>
  <c r="AD10" i="18" s="1"/>
  <c r="AD23" i="18" a="1"/>
  <c r="AD23" i="18" s="1"/>
  <c r="AD9" i="18" a="1"/>
  <c r="AD9" i="18" s="1"/>
  <c r="AD8" i="18" a="1"/>
  <c r="AD8" i="18" s="1"/>
  <c r="AF50" i="8"/>
  <c r="AF52" i="8"/>
  <c r="AF48" i="8"/>
  <c r="AF44" i="8"/>
  <c r="AF40" i="8"/>
  <c r="AF38" i="8"/>
  <c r="AF42" i="8"/>
  <c r="P81" i="2"/>
  <c r="AF51" i="8"/>
  <c r="AF47" i="8"/>
  <c r="AF43" i="8"/>
  <c r="AF39" i="8"/>
  <c r="AF46" i="8"/>
  <c r="AF49" i="8"/>
  <c r="AF41" i="8"/>
  <c r="AF45" i="8"/>
  <c r="AF37" i="8"/>
  <c r="J17" i="28" l="1"/>
  <c r="M864" i="24"/>
  <c r="L864" i="24"/>
  <c r="K864" i="24"/>
  <c r="J864" i="24"/>
  <c r="I864" i="24"/>
  <c r="H864" i="24"/>
  <c r="G864" i="24"/>
  <c r="F864" i="24"/>
  <c r="E864" i="24"/>
  <c r="D864" i="24"/>
  <c r="C864" i="24"/>
  <c r="B864" i="24"/>
  <c r="A864" i="24"/>
  <c r="M863" i="24"/>
  <c r="L863" i="24"/>
  <c r="K863" i="24"/>
  <c r="J863" i="24"/>
  <c r="I863" i="24"/>
  <c r="H863" i="24"/>
  <c r="G863" i="24"/>
  <c r="F863" i="24"/>
  <c r="E863" i="24"/>
  <c r="D863" i="24"/>
  <c r="C863" i="24"/>
  <c r="B863" i="24"/>
  <c r="A863" i="24"/>
  <c r="M862" i="24"/>
  <c r="L862" i="24"/>
  <c r="K862" i="24"/>
  <c r="J862" i="24"/>
  <c r="I862" i="24"/>
  <c r="H862" i="24"/>
  <c r="G862" i="24"/>
  <c r="F862" i="24"/>
  <c r="E862" i="24"/>
  <c r="D862" i="24"/>
  <c r="C862" i="24"/>
  <c r="B862" i="24"/>
  <c r="A862" i="24"/>
  <c r="M861" i="24"/>
  <c r="L861" i="24"/>
  <c r="K861" i="24"/>
  <c r="J861" i="24"/>
  <c r="I861" i="24"/>
  <c r="H861" i="24"/>
  <c r="G861" i="24"/>
  <c r="F861" i="24"/>
  <c r="E861" i="24"/>
  <c r="D861" i="24"/>
  <c r="C861" i="24"/>
  <c r="B861" i="24"/>
  <c r="A861" i="24"/>
  <c r="M860" i="24"/>
  <c r="L860" i="24"/>
  <c r="K860" i="24"/>
  <c r="J860" i="24"/>
  <c r="I860" i="24"/>
  <c r="H860" i="24"/>
  <c r="G860" i="24"/>
  <c r="F860" i="24"/>
  <c r="E860" i="24"/>
  <c r="D860" i="24"/>
  <c r="C860" i="24"/>
  <c r="B860" i="24"/>
  <c r="A860" i="24"/>
  <c r="M859" i="24"/>
  <c r="L859" i="24"/>
  <c r="K859" i="24"/>
  <c r="J859" i="24"/>
  <c r="I859" i="24"/>
  <c r="H859" i="24"/>
  <c r="G859" i="24"/>
  <c r="F859" i="24"/>
  <c r="E859" i="24"/>
  <c r="D859" i="24"/>
  <c r="C859" i="24"/>
  <c r="B859" i="24"/>
  <c r="A859" i="24"/>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E845" i="24"/>
  <c r="D845" i="24"/>
  <c r="C845" i="24"/>
  <c r="B845" i="24"/>
  <c r="A845" i="24"/>
  <c r="M844" i="24"/>
  <c r="L844" i="24"/>
  <c r="K844" i="24"/>
  <c r="J844" i="24"/>
  <c r="I844" i="24"/>
  <c r="H844" i="24"/>
  <c r="G844" i="24"/>
  <c r="E844" i="24"/>
  <c r="D844" i="24"/>
  <c r="C844" i="24"/>
  <c r="B844" i="24"/>
  <c r="A844" i="24"/>
  <c r="M843" i="24"/>
  <c r="L843" i="24"/>
  <c r="K843" i="24"/>
  <c r="J843" i="24"/>
  <c r="I843" i="24"/>
  <c r="H843" i="24"/>
  <c r="G843" i="24"/>
  <c r="E843" i="24"/>
  <c r="D843" i="24"/>
  <c r="C843" i="24"/>
  <c r="B843" i="24"/>
  <c r="A843" i="24"/>
  <c r="M842" i="24"/>
  <c r="L842" i="24"/>
  <c r="K842" i="24"/>
  <c r="J842" i="24"/>
  <c r="I842" i="24"/>
  <c r="H842" i="24"/>
  <c r="G842" i="24"/>
  <c r="E842" i="24"/>
  <c r="D842" i="24"/>
  <c r="C842" i="24"/>
  <c r="B842" i="24"/>
  <c r="A842" i="24"/>
  <c r="M841" i="24"/>
  <c r="L841" i="24"/>
  <c r="K841" i="24"/>
  <c r="J841" i="24"/>
  <c r="I841" i="24"/>
  <c r="H841" i="24"/>
  <c r="G841" i="24"/>
  <c r="E841" i="24"/>
  <c r="D841" i="24"/>
  <c r="C841" i="24"/>
  <c r="B841" i="24"/>
  <c r="A841" i="24"/>
  <c r="M840" i="24"/>
  <c r="L840" i="24"/>
  <c r="K840" i="24"/>
  <c r="J840" i="24"/>
  <c r="I840" i="24"/>
  <c r="H840" i="24"/>
  <c r="G840" i="24"/>
  <c r="E840" i="24"/>
  <c r="D840" i="24"/>
  <c r="C840" i="24"/>
  <c r="B840" i="24"/>
  <c r="A840" i="24"/>
  <c r="M839" i="24"/>
  <c r="L839" i="24"/>
  <c r="K839" i="24"/>
  <c r="J839" i="24"/>
  <c r="I839" i="24"/>
  <c r="H839" i="24"/>
  <c r="G839" i="24"/>
  <c r="E839" i="24"/>
  <c r="D839" i="24"/>
  <c r="C839" i="24"/>
  <c r="B839" i="24"/>
  <c r="A839" i="24"/>
  <c r="M838" i="24"/>
  <c r="L838" i="24"/>
  <c r="K838" i="24"/>
  <c r="J838" i="24"/>
  <c r="I838" i="24"/>
  <c r="H838" i="24"/>
  <c r="G838" i="24"/>
  <c r="E838" i="24"/>
  <c r="D838" i="24"/>
  <c r="C838" i="24"/>
  <c r="B838" i="24"/>
  <c r="A838" i="24"/>
  <c r="M837" i="24"/>
  <c r="L837" i="24"/>
  <c r="K837" i="24"/>
  <c r="J837" i="24"/>
  <c r="I837" i="24"/>
  <c r="H837" i="24"/>
  <c r="G837" i="24"/>
  <c r="E837" i="24"/>
  <c r="D837" i="24"/>
  <c r="C837" i="24"/>
  <c r="B837" i="24"/>
  <c r="A837" i="24"/>
  <c r="M836" i="24"/>
  <c r="L836" i="24"/>
  <c r="K836" i="24"/>
  <c r="J836" i="24"/>
  <c r="I836" i="24"/>
  <c r="H836" i="24"/>
  <c r="G836" i="24"/>
  <c r="E836" i="24"/>
  <c r="D836" i="24"/>
  <c r="C836" i="24"/>
  <c r="B836" i="24"/>
  <c r="A836" i="24"/>
  <c r="M835" i="24"/>
  <c r="L835" i="24"/>
  <c r="K835" i="24"/>
  <c r="J835" i="24"/>
  <c r="I835" i="24"/>
  <c r="H835" i="24"/>
  <c r="G835" i="24"/>
  <c r="E835" i="24"/>
  <c r="D835" i="24"/>
  <c r="C835" i="24"/>
  <c r="B835" i="24"/>
  <c r="A835" i="24"/>
  <c r="M834" i="24"/>
  <c r="L834" i="24"/>
  <c r="K834" i="24"/>
  <c r="J834" i="24"/>
  <c r="I834" i="24"/>
  <c r="H834" i="24"/>
  <c r="G834" i="24"/>
  <c r="E834" i="24"/>
  <c r="D834" i="24"/>
  <c r="C834" i="24"/>
  <c r="B834" i="24"/>
  <c r="A834" i="24"/>
  <c r="M833" i="24"/>
  <c r="L833" i="24"/>
  <c r="K833" i="24"/>
  <c r="J833" i="24"/>
  <c r="I833" i="24"/>
  <c r="H833" i="24"/>
  <c r="G833" i="24"/>
  <c r="E833" i="24"/>
  <c r="D833" i="24"/>
  <c r="C833" i="24"/>
  <c r="B833" i="24"/>
  <c r="A833" i="24"/>
  <c r="M832" i="24"/>
  <c r="L832" i="24"/>
  <c r="K832" i="24"/>
  <c r="J832" i="24"/>
  <c r="I832" i="24"/>
  <c r="H832" i="24"/>
  <c r="G832" i="24"/>
  <c r="E832" i="24"/>
  <c r="D832" i="24"/>
  <c r="C832" i="24"/>
  <c r="B832" i="24"/>
  <c r="A832" i="24"/>
  <c r="M831" i="24"/>
  <c r="L831" i="24"/>
  <c r="K831" i="24"/>
  <c r="J831" i="24"/>
  <c r="I831" i="24"/>
  <c r="H831" i="24"/>
  <c r="G831" i="24"/>
  <c r="E831" i="24"/>
  <c r="D831" i="24"/>
  <c r="C831" i="24"/>
  <c r="B831" i="24"/>
  <c r="A831" i="24"/>
  <c r="M830" i="24"/>
  <c r="L830" i="24"/>
  <c r="K830" i="24"/>
  <c r="J830" i="24"/>
  <c r="I830" i="24"/>
  <c r="H830" i="24"/>
  <c r="G830" i="24"/>
  <c r="E830" i="24"/>
  <c r="D830" i="24"/>
  <c r="C830" i="24"/>
  <c r="B830" i="24"/>
  <c r="A830" i="24"/>
  <c r="M829" i="24"/>
  <c r="L829" i="24"/>
  <c r="K829" i="24"/>
  <c r="J829" i="24"/>
  <c r="I829" i="24"/>
  <c r="H829" i="24"/>
  <c r="G829" i="24"/>
  <c r="D829" i="24"/>
  <c r="C829" i="24"/>
  <c r="B829" i="24"/>
  <c r="A829" i="24"/>
  <c r="M828" i="24"/>
  <c r="L828" i="24"/>
  <c r="K828" i="24"/>
  <c r="J828" i="24"/>
  <c r="I828" i="24"/>
  <c r="H828" i="24"/>
  <c r="G828" i="24"/>
  <c r="D828" i="24"/>
  <c r="C828" i="24"/>
  <c r="B828" i="24"/>
  <c r="A828" i="24"/>
  <c r="M827" i="24"/>
  <c r="L827" i="24"/>
  <c r="K827" i="24"/>
  <c r="J827" i="24"/>
  <c r="I827" i="24"/>
  <c r="H827" i="24"/>
  <c r="G827" i="24"/>
  <c r="D827" i="24"/>
  <c r="C827" i="24"/>
  <c r="B827" i="24"/>
  <c r="A827" i="24"/>
  <c r="M826" i="24"/>
  <c r="L826" i="24"/>
  <c r="K826" i="24"/>
  <c r="J826" i="24"/>
  <c r="I826" i="24"/>
  <c r="H826" i="24"/>
  <c r="G826" i="24"/>
  <c r="F826" i="24"/>
  <c r="C826" i="24"/>
  <c r="B826" i="24"/>
  <c r="A826" i="24"/>
  <c r="M825" i="24"/>
  <c r="L825" i="24"/>
  <c r="K825" i="24"/>
  <c r="J825" i="24"/>
  <c r="I825" i="24"/>
  <c r="H825" i="24"/>
  <c r="G825" i="24"/>
  <c r="F825" i="24"/>
  <c r="C825" i="24"/>
  <c r="B825" i="24"/>
  <c r="A825" i="24"/>
  <c r="M824" i="24"/>
  <c r="L824" i="24"/>
  <c r="K824" i="24"/>
  <c r="J824" i="24"/>
  <c r="I824" i="24"/>
  <c r="H824" i="24"/>
  <c r="G824" i="24"/>
  <c r="F824" i="24"/>
  <c r="C824" i="24"/>
  <c r="B824" i="24"/>
  <c r="A824" i="24"/>
  <c r="BC12" i="31"/>
  <c r="BA12" i="31"/>
  <c r="BC11" i="31"/>
  <c r="BA11" i="31"/>
  <c r="BC10" i="31"/>
  <c r="BA10" i="31"/>
  <c r="BC9" i="31"/>
  <c r="BA9" i="31"/>
  <c r="BC8" i="31"/>
  <c r="BA8" i="31"/>
  <c r="AK8" i="31"/>
  <c r="BC7" i="31"/>
  <c r="BA7" i="31"/>
  <c r="AK7" i="31"/>
  <c r="AK6" i="31"/>
  <c r="AK5" i="31"/>
  <c r="AK4" i="31"/>
  <c r="CH3" i="31"/>
  <c r="AK3" i="31"/>
  <c r="AP4" i="17"/>
  <c r="BO47" i="27"/>
  <c r="BG47" i="27"/>
  <c r="BF47" i="27"/>
  <c r="BE47" i="27"/>
  <c r="BD47" i="27"/>
  <c r="BO46" i="27"/>
  <c r="BG46" i="27"/>
  <c r="BF46" i="27"/>
  <c r="BE46" i="27"/>
  <c r="BD46" i="27"/>
  <c r="BO45" i="27"/>
  <c r="BG45" i="27"/>
  <c r="BF45" i="27"/>
  <c r="BE45" i="27"/>
  <c r="BD45" i="27"/>
  <c r="BO44" i="27"/>
  <c r="BG44" i="27"/>
  <c r="BF44" i="27"/>
  <c r="BE44" i="27"/>
  <c r="BD44" i="27"/>
  <c r="BO43" i="27"/>
  <c r="BO42" i="27"/>
  <c r="BO41" i="27"/>
  <c r="BO40" i="27"/>
  <c r="BO39" i="27"/>
  <c r="BO38" i="27"/>
  <c r="BO37" i="27"/>
  <c r="BO36" i="27"/>
  <c r="BO35" i="27"/>
  <c r="BO34" i="27"/>
  <c r="BO33" i="27"/>
  <c r="BO32" i="27"/>
  <c r="BO31" i="27"/>
  <c r="BO30" i="27"/>
  <c r="BO29" i="27"/>
  <c r="BO28" i="27"/>
  <c r="BO27" i="27"/>
  <c r="BO26" i="27"/>
  <c r="BO25" i="27"/>
  <c r="BO24" i="27"/>
  <c r="BO23" i="27"/>
  <c r="BO22" i="27"/>
  <c r="BO21" i="27"/>
  <c r="BO20" i="27"/>
  <c r="BO19" i="27"/>
  <c r="BO18" i="27"/>
  <c r="BO17" i="27"/>
  <c r="BO16" i="27"/>
  <c r="BO15" i="27"/>
  <c r="BO14" i="27"/>
  <c r="BO13" i="27"/>
  <c r="BO12" i="27"/>
  <c r="BO11" i="27"/>
  <c r="BO10" i="27"/>
  <c r="BO9" i="27"/>
  <c r="BO8" i="27"/>
  <c r="BO7" i="27"/>
  <c r="BO6" i="27"/>
  <c r="BO5" i="27"/>
  <c r="BO4" i="27"/>
  <c r="BO3" i="27"/>
  <c r="BO2" i="27"/>
  <c r="CW58" i="18"/>
  <c r="CW57" i="18"/>
  <c r="CW56" i="18"/>
  <c r="CW55" i="18"/>
  <c r="CW54" i="18"/>
  <c r="CW53" i="18"/>
  <c r="CW52" i="18"/>
  <c r="CW51" i="18"/>
  <c r="CW50" i="18"/>
  <c r="CW49" i="18"/>
  <c r="CW48" i="18"/>
  <c r="CW47" i="18"/>
  <c r="CW46" i="18"/>
  <c r="CW45" i="18"/>
  <c r="CW44" i="18"/>
  <c r="CW43" i="18"/>
  <c r="CW42" i="18"/>
  <c r="CW41" i="18"/>
  <c r="CW40" i="18"/>
  <c r="CW39" i="18"/>
  <c r="CW38" i="18"/>
  <c r="CW37" i="18"/>
  <c r="CW36" i="18"/>
  <c r="CW35" i="18"/>
  <c r="CW34" i="18"/>
  <c r="CW33" i="18"/>
  <c r="CW32" i="18"/>
  <c r="CW31" i="18"/>
  <c r="CW30" i="18"/>
  <c r="CW29" i="18"/>
  <c r="CW28" i="18"/>
  <c r="CW27" i="18"/>
  <c r="CW26" i="18"/>
  <c r="CW25" i="18"/>
  <c r="CW24" i="18"/>
  <c r="CW23" i="18"/>
  <c r="CW22" i="18"/>
  <c r="BT22" i="18"/>
  <c r="BS22" i="18"/>
  <c r="BR22" i="18"/>
  <c r="BQ22" i="18"/>
  <c r="CW21" i="18"/>
  <c r="CW20" i="18"/>
  <c r="CW19" i="18"/>
  <c r="CW18" i="18"/>
  <c r="CW17" i="18"/>
  <c r="CW16" i="18"/>
  <c r="CW15" i="18"/>
  <c r="CW14" i="18"/>
  <c r="CW13" i="18"/>
  <c r="CW12" i="18"/>
  <c r="CW11" i="18"/>
  <c r="CW10" i="18"/>
  <c r="CW9" i="18"/>
  <c r="CW8" i="18"/>
  <c r="CW7" i="18"/>
  <c r="CW6" i="18"/>
  <c r="CW5" i="18"/>
  <c r="CW4" i="18"/>
  <c r="CW3" i="18"/>
  <c r="AK2" i="18"/>
  <c r="AH2" i="18"/>
  <c r="F14" i="29"/>
  <c r="F13" i="29"/>
  <c r="F12" i="29"/>
  <c r="F11" i="29"/>
  <c r="F10" i="29"/>
  <c r="F9" i="29"/>
  <c r="F8" i="29"/>
  <c r="H7" i="29"/>
  <c r="I7" i="29" s="1"/>
  <c r="H6" i="29"/>
  <c r="I6" i="29" s="1"/>
  <c r="F6" i="29"/>
  <c r="H5" i="29"/>
  <c r="I5" i="29" s="1"/>
  <c r="F5" i="29"/>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H59" i="10"/>
  <c r="B59" i="10"/>
  <c r="H58" i="10"/>
  <c r="B58" i="10"/>
  <c r="H57" i="10"/>
  <c r="B57" i="10"/>
  <c r="H56" i="10"/>
  <c r="B56" i="10"/>
  <c r="H55" i="10"/>
  <c r="B55" i="10"/>
  <c r="H54" i="10"/>
  <c r="B54" i="10"/>
  <c r="H53" i="10"/>
  <c r="B53" i="10"/>
  <c r="H52" i="10"/>
  <c r="B52" i="10"/>
  <c r="H51" i="10"/>
  <c r="B51" i="10"/>
  <c r="H50" i="10"/>
  <c r="B50" i="10"/>
  <c r="H49" i="10"/>
  <c r="B49" i="10"/>
  <c r="H48" i="10"/>
  <c r="B48" i="10"/>
  <c r="H47" i="10"/>
  <c r="B47" i="10"/>
  <c r="H46" i="10"/>
  <c r="B46" i="10"/>
  <c r="H45" i="10"/>
  <c r="B45" i="10"/>
  <c r="H44" i="10"/>
  <c r="B44" i="10"/>
  <c r="H43" i="10"/>
  <c r="B43" i="10"/>
  <c r="H42" i="10"/>
  <c r="B42" i="10"/>
  <c r="H41" i="10"/>
  <c r="B41" i="10"/>
  <c r="H40" i="10"/>
  <c r="B40" i="10"/>
  <c r="H39" i="10"/>
  <c r="B39" i="10"/>
  <c r="H38" i="10"/>
  <c r="B38" i="10"/>
  <c r="H37" i="10"/>
  <c r="B37" i="10"/>
  <c r="H36" i="10"/>
  <c r="B36" i="10"/>
  <c r="H35" i="10"/>
  <c r="B35" i="10"/>
  <c r="H34" i="10"/>
  <c r="B34" i="10"/>
  <c r="H33" i="10"/>
  <c r="B33" i="10"/>
  <c r="H32" i="10"/>
  <c r="B32" i="10"/>
  <c r="H31" i="10"/>
  <c r="B31" i="10"/>
  <c r="H30" i="10"/>
  <c r="B30" i="10"/>
  <c r="H29" i="10"/>
  <c r="B29" i="10"/>
  <c r="H28" i="10"/>
  <c r="B28" i="10"/>
  <c r="H27" i="10"/>
  <c r="B27" i="10"/>
  <c r="H26" i="10"/>
  <c r="B26" i="10"/>
  <c r="H25" i="10"/>
  <c r="B25" i="10"/>
  <c r="H24" i="10"/>
  <c r="B24" i="10"/>
  <c r="H23" i="10"/>
  <c r="B23" i="10"/>
  <c r="H22" i="10"/>
  <c r="B22" i="10"/>
  <c r="H21" i="10"/>
  <c r="B21" i="10"/>
  <c r="H20" i="10"/>
  <c r="B20" i="10"/>
  <c r="H19" i="10"/>
  <c r="B19" i="10"/>
  <c r="H18" i="10"/>
  <c r="B18" i="10"/>
  <c r="H17" i="10"/>
  <c r="B17" i="10"/>
  <c r="H16" i="10"/>
  <c r="B16" i="10"/>
  <c r="H15" i="10"/>
  <c r="B15" i="10"/>
  <c r="H14" i="10"/>
  <c r="B14" i="10"/>
  <c r="Q24" i="10"/>
  <c r="H13" i="10"/>
  <c r="B13" i="10"/>
  <c r="H12" i="10"/>
  <c r="B12" i="10"/>
  <c r="F25" i="3"/>
  <c r="T14" i="3"/>
  <c r="H11" i="10"/>
  <c r="B11" i="10"/>
  <c r="T24" i="3"/>
  <c r="T13" i="3"/>
  <c r="H10" i="10"/>
  <c r="B10" i="10"/>
  <c r="F23" i="3"/>
  <c r="T12" i="3"/>
  <c r="H9" i="10"/>
  <c r="B9" i="10"/>
  <c r="T11" i="3"/>
  <c r="H8" i="10"/>
  <c r="B8" i="10"/>
  <c r="T21" i="3"/>
  <c r="T10" i="3"/>
  <c r="H7" i="10"/>
  <c r="B7" i="10"/>
  <c r="T9" i="3"/>
  <c r="H6" i="10"/>
  <c r="B6" i="10"/>
  <c r="F19" i="3"/>
  <c r="T8" i="3"/>
  <c r="H5" i="10"/>
  <c r="B5" i="10"/>
  <c r="T7" i="3"/>
  <c r="H4" i="10"/>
  <c r="B4" i="10"/>
  <c r="F17" i="3"/>
  <c r="T6" i="3"/>
  <c r="H3" i="10"/>
  <c r="B3" i="10"/>
  <c r="T16" i="3"/>
  <c r="T5" i="3"/>
  <c r="H2" i="10"/>
  <c r="B2" i="10"/>
  <c r="AN61" i="2"/>
  <c r="T62" i="2"/>
  <c r="U23" i="2"/>
  <c r="R23" i="2" s="1"/>
  <c r="F18" i="2"/>
  <c r="F17" i="2"/>
  <c r="F16" i="2"/>
  <c r="T16" i="2" s="1"/>
  <c r="F15" i="2"/>
  <c r="T15" i="2" s="1"/>
  <c r="F14" i="2"/>
  <c r="F13" i="2"/>
  <c r="Y62" i="2" s="1"/>
  <c r="O9" i="2"/>
  <c r="AF73" i="2" l="1"/>
  <c r="AI23" i="18"/>
  <c r="AI7" i="18"/>
  <c r="AI22" i="18"/>
  <c r="AI6" i="18"/>
  <c r="AI21" i="18"/>
  <c r="AI5" i="18"/>
  <c r="AI20" i="18"/>
  <c r="AI4" i="18"/>
  <c r="AI19" i="18"/>
  <c r="AI3" i="18"/>
  <c r="AI18" i="18"/>
  <c r="AI2" i="18"/>
  <c r="AI17" i="18"/>
  <c r="AI16" i="18"/>
  <c r="AI14" i="18"/>
  <c r="AI12" i="18"/>
  <c r="AI11" i="18"/>
  <c r="AI1" i="18"/>
  <c r="AI8" i="18"/>
  <c r="AI15" i="18"/>
  <c r="AI13" i="18"/>
  <c r="AI10" i="18"/>
  <c r="AI9" i="18"/>
  <c r="AI24" i="18"/>
  <c r="AL15" i="18"/>
  <c r="AL14" i="18"/>
  <c r="AL13" i="18"/>
  <c r="AL12" i="18"/>
  <c r="AL11" i="18"/>
  <c r="AL10" i="18"/>
  <c r="AL9" i="18"/>
  <c r="AL24" i="18"/>
  <c r="AL7" i="18"/>
  <c r="AL22" i="18"/>
  <c r="AL5" i="18"/>
  <c r="AL20" i="18"/>
  <c r="AL2" i="18"/>
  <c r="AL16" i="18"/>
  <c r="AL1" i="18"/>
  <c r="AL8" i="18"/>
  <c r="AL23" i="18"/>
  <c r="AL6" i="18"/>
  <c r="AL21" i="18"/>
  <c r="AL4" i="18"/>
  <c r="AL19" i="18"/>
  <c r="AL3" i="18"/>
  <c r="AL18" i="18"/>
  <c r="AL17" i="18"/>
  <c r="K1" i="10" a="1"/>
  <c r="K1" i="10" s="1"/>
  <c r="F19" i="10" a="1"/>
  <c r="F19" i="10" s="1"/>
  <c r="F30" i="10" a="1"/>
  <c r="F30" i="10" s="1"/>
  <c r="F62" i="10" a="1"/>
  <c r="F62" i="10" s="1"/>
  <c r="F94" i="10" a="1"/>
  <c r="F94" i="10" s="1"/>
  <c r="F126" i="10" a="1"/>
  <c r="F126" i="10" s="1"/>
  <c r="F158" i="10" a="1"/>
  <c r="F158" i="10" s="1"/>
  <c r="F190" i="10" a="1"/>
  <c r="F190" i="10" s="1"/>
  <c r="F222" i="10" a="1"/>
  <c r="F222" i="10" s="1"/>
  <c r="F254" i="10" a="1"/>
  <c r="F254" i="10" s="1"/>
  <c r="F268" i="10" a="1"/>
  <c r="F268" i="10" s="1"/>
  <c r="F282" i="10" a="1"/>
  <c r="F282" i="10" s="1"/>
  <c r="F296" i="10" a="1"/>
  <c r="F296" i="10" s="1"/>
  <c r="F13" i="10" a="1"/>
  <c r="F13" i="10" s="1"/>
  <c r="F169" i="10" a="1"/>
  <c r="F169" i="10" s="1"/>
  <c r="F191" i="10" a="1"/>
  <c r="F191" i="10" s="1"/>
  <c r="F20" i="10" a="1"/>
  <c r="F20" i="10" s="1"/>
  <c r="F31" i="10" a="1"/>
  <c r="F31" i="10" s="1"/>
  <c r="F41" i="10" a="1"/>
  <c r="F41" i="10" s="1"/>
  <c r="F51" i="10" a="1"/>
  <c r="F51" i="10" s="1"/>
  <c r="F63" i="10" a="1"/>
  <c r="F63" i="10" s="1"/>
  <c r="F73" i="10" a="1"/>
  <c r="F73" i="10" s="1"/>
  <c r="F83" i="10" a="1"/>
  <c r="F83" i="10" s="1"/>
  <c r="F95" i="10" a="1"/>
  <c r="F95" i="10" s="1"/>
  <c r="F105" i="10" a="1"/>
  <c r="F105" i="10" s="1"/>
  <c r="F115" i="10" a="1"/>
  <c r="F115" i="10" s="1"/>
  <c r="F127" i="10" a="1"/>
  <c r="F127" i="10" s="1"/>
  <c r="F137" i="10" a="1"/>
  <c r="F137" i="10" s="1"/>
  <c r="F147" i="10" a="1"/>
  <c r="F147" i="10" s="1"/>
  <c r="F159" i="10" a="1"/>
  <c r="F159" i="10" s="1"/>
  <c r="F179" i="10" a="1"/>
  <c r="F179" i="10" s="1"/>
  <c r="F21" i="10" a="1"/>
  <c r="F21" i="10" s="1"/>
  <c r="F52" i="10" a="1"/>
  <c r="F52" i="10" s="1"/>
  <c r="F84" i="10" a="1"/>
  <c r="F84" i="10" s="1"/>
  <c r="F116" i="10" a="1"/>
  <c r="F116" i="10" s="1"/>
  <c r="F148" i="10" a="1"/>
  <c r="F148" i="10" s="1"/>
  <c r="F180" i="10" a="1"/>
  <c r="F180" i="10" s="1"/>
  <c r="F212" i="10" a="1"/>
  <c r="F212" i="10" s="1"/>
  <c r="F244" i="10" a="1"/>
  <c r="F244" i="10" s="1"/>
  <c r="F270" i="10" a="1"/>
  <c r="F270" i="10" s="1"/>
  <c r="F284" i="10" a="1"/>
  <c r="F284" i="10" s="1"/>
  <c r="F298" i="10" a="1"/>
  <c r="F298" i="10" s="1"/>
  <c r="F15" i="10" a="1"/>
  <c r="F15" i="10" s="1"/>
  <c r="F160" i="10" a="1"/>
  <c r="F160" i="10" s="1"/>
  <c r="F181" i="10" a="1"/>
  <c r="F181" i="10" s="1"/>
  <c r="F202" i="10" a="1"/>
  <c r="F202" i="10" s="1"/>
  <c r="F22" i="10" a="1"/>
  <c r="F22" i="10" s="1"/>
  <c r="F32" i="10" a="1"/>
  <c r="F32" i="10" s="1"/>
  <c r="F42" i="10" a="1"/>
  <c r="F42" i="10" s="1"/>
  <c r="F53" i="10" a="1"/>
  <c r="F53" i="10" s="1"/>
  <c r="F64" i="10" a="1"/>
  <c r="F64" i="10" s="1"/>
  <c r="F74" i="10" a="1"/>
  <c r="F74" i="10" s="1"/>
  <c r="F85" i="10" a="1"/>
  <c r="F85" i="10" s="1"/>
  <c r="F96" i="10" a="1"/>
  <c r="F96" i="10" s="1"/>
  <c r="F106" i="10" a="1"/>
  <c r="F106" i="10" s="1"/>
  <c r="F117" i="10" a="1"/>
  <c r="F117" i="10" s="1"/>
  <c r="F128" i="10" a="1"/>
  <c r="F128" i="10" s="1"/>
  <c r="F138" i="10" a="1"/>
  <c r="F138" i="10" s="1"/>
  <c r="F149" i="10" a="1"/>
  <c r="F149" i="10" s="1"/>
  <c r="F170" i="10" a="1"/>
  <c r="F170" i="10" s="1"/>
  <c r="F192" i="10" a="1"/>
  <c r="F192" i="10" s="1"/>
  <c r="F54" i="10" a="1"/>
  <c r="F54" i="10" s="1"/>
  <c r="F86" i="10" a="1"/>
  <c r="F86" i="10" s="1"/>
  <c r="F118" i="10" a="1"/>
  <c r="F118" i="10" s="1"/>
  <c r="F150" i="10" a="1"/>
  <c r="F150" i="10" s="1"/>
  <c r="F182" i="10" a="1"/>
  <c r="F182" i="10" s="1"/>
  <c r="F214" i="10" a="1"/>
  <c r="F214" i="10" s="1"/>
  <c r="F246" i="10" a="1"/>
  <c r="F246" i="10" s="1"/>
  <c r="F257" i="10" a="1"/>
  <c r="F257" i="10" s="1"/>
  <c r="F272" i="10" a="1"/>
  <c r="F272" i="10" s="1"/>
  <c r="F286" i="10" a="1"/>
  <c r="F286" i="10" s="1"/>
  <c r="F300" i="10" a="1"/>
  <c r="F300" i="10" s="1"/>
  <c r="F17" i="10" a="1"/>
  <c r="F17" i="10" s="1"/>
  <c r="F198" i="10" a="1"/>
  <c r="F198" i="10" s="1"/>
  <c r="F103" i="10" a="1"/>
  <c r="F103" i="10" s="1"/>
  <c r="F187" i="10" a="1"/>
  <c r="F187" i="10" s="1"/>
  <c r="F23" i="10" a="1"/>
  <c r="F23" i="10" s="1"/>
  <c r="F33" i="10" a="1"/>
  <c r="F33" i="10" s="1"/>
  <c r="F43" i="10" a="1"/>
  <c r="F43" i="10" s="1"/>
  <c r="F55" i="10" a="1"/>
  <c r="F55" i="10" s="1"/>
  <c r="F65" i="10" a="1"/>
  <c r="F65" i="10" s="1"/>
  <c r="F75" i="10" a="1"/>
  <c r="F75" i="10" s="1"/>
  <c r="F87" i="10" a="1"/>
  <c r="F87" i="10" s="1"/>
  <c r="F97" i="10" a="1"/>
  <c r="F97" i="10" s="1"/>
  <c r="F107" i="10" a="1"/>
  <c r="F107" i="10" s="1"/>
  <c r="F119" i="10" a="1"/>
  <c r="F119" i="10" s="1"/>
  <c r="F129" i="10" a="1"/>
  <c r="F129" i="10" s="1"/>
  <c r="F139" i="10" a="1"/>
  <c r="F139" i="10" s="1"/>
  <c r="F151" i="10" a="1"/>
  <c r="F151" i="10" s="1"/>
  <c r="F161" i="10" a="1"/>
  <c r="F161" i="10" s="1"/>
  <c r="F171" i="10" a="1"/>
  <c r="F171" i="10" s="1"/>
  <c r="F183" i="10" a="1"/>
  <c r="F183" i="10" s="1"/>
  <c r="F193" i="10" a="1"/>
  <c r="F193" i="10" s="1"/>
  <c r="F203" i="10" a="1"/>
  <c r="F203" i="10" s="1"/>
  <c r="F215" i="10" a="1"/>
  <c r="F215" i="10" s="1"/>
  <c r="F225" i="10" a="1"/>
  <c r="F225" i="10" s="1"/>
  <c r="F235" i="10" a="1"/>
  <c r="F235" i="10" s="1"/>
  <c r="F247" i="10" a="1"/>
  <c r="F247" i="10" s="1"/>
  <c r="F258" i="10" a="1"/>
  <c r="F258" i="10" s="1"/>
  <c r="F273" i="10" a="1"/>
  <c r="F273" i="10" s="1"/>
  <c r="F287" i="10" a="1"/>
  <c r="F287" i="10" s="1"/>
  <c r="F301" i="10" a="1"/>
  <c r="F301" i="10" s="1"/>
  <c r="F18" i="10" a="1"/>
  <c r="F18" i="10" s="1"/>
  <c r="F236" i="10" a="1"/>
  <c r="F236" i="10" s="1"/>
  <c r="F259" i="10" a="1"/>
  <c r="F259" i="10" s="1"/>
  <c r="F288" i="10" a="1"/>
  <c r="F288" i="10" s="1"/>
  <c r="F3" i="10" a="1"/>
  <c r="F3" i="10" s="1"/>
  <c r="F275" i="10" a="1"/>
  <c r="F275" i="10" s="1"/>
  <c r="F47" i="10" a="1"/>
  <c r="F47" i="10" s="1"/>
  <c r="F67" i="10" a="1"/>
  <c r="F67" i="10" s="1"/>
  <c r="F89" i="10" a="1"/>
  <c r="F89" i="10" s="1"/>
  <c r="F111" i="10" a="1"/>
  <c r="F111" i="10" s="1"/>
  <c r="F143" i="10" a="1"/>
  <c r="F143" i="10" s="1"/>
  <c r="F175" i="10" a="1"/>
  <c r="F175" i="10" s="1"/>
  <c r="F195" i="10" a="1"/>
  <c r="F195" i="10" s="1"/>
  <c r="F217" i="10" a="1"/>
  <c r="F217" i="10" s="1"/>
  <c r="F239" i="10" a="1"/>
  <c r="F239" i="10" s="1"/>
  <c r="F262" i="10" a="1"/>
  <c r="F262" i="10" s="1"/>
  <c r="F36" i="10" a="1"/>
  <c r="F36" i="10" s="1"/>
  <c r="F164" i="10" a="1"/>
  <c r="F164" i="10" s="1"/>
  <c r="F196" i="10" a="1"/>
  <c r="F196" i="10" s="1"/>
  <c r="F228" i="10" a="1"/>
  <c r="F228" i="10" s="1"/>
  <c r="F7" i="10" a="1"/>
  <c r="F7" i="10" s="1"/>
  <c r="F37" i="10" a="1"/>
  <c r="F37" i="10" s="1"/>
  <c r="F69" i="10" a="1"/>
  <c r="F69" i="10" s="1"/>
  <c r="F90" i="10" a="1"/>
  <c r="F90" i="10" s="1"/>
  <c r="F112" i="10" a="1"/>
  <c r="F112" i="10" s="1"/>
  <c r="F154" i="10" a="1"/>
  <c r="F154" i="10" s="1"/>
  <c r="F186" i="10" a="1"/>
  <c r="F186" i="10" s="1"/>
  <c r="F208" i="10" a="1"/>
  <c r="F208" i="10" s="1"/>
  <c r="F229" i="10" a="1"/>
  <c r="F229" i="10" s="1"/>
  <c r="F250" i="10" a="1"/>
  <c r="F250" i="10" s="1"/>
  <c r="F38" i="10" a="1"/>
  <c r="F38" i="10" s="1"/>
  <c r="F102" i="10" a="1"/>
  <c r="F102" i="10" s="1"/>
  <c r="F166" i="10" a="1"/>
  <c r="F166" i="10" s="1"/>
  <c r="F264" i="10" a="1"/>
  <c r="F264" i="10" s="1"/>
  <c r="F292" i="10" a="1"/>
  <c r="F292" i="10" s="1"/>
  <c r="F39" i="10" a="1"/>
  <c r="F39" i="10" s="1"/>
  <c r="F71" i="10" a="1"/>
  <c r="F71" i="10" s="1"/>
  <c r="F91" i="10" a="1"/>
  <c r="F91" i="10" s="1"/>
  <c r="F123" i="10" a="1"/>
  <c r="F123" i="10" s="1"/>
  <c r="F145" i="10" a="1"/>
  <c r="F145" i="10" s="1"/>
  <c r="F155" i="10" a="1"/>
  <c r="F155" i="10" s="1"/>
  <c r="F177" i="10" a="1"/>
  <c r="F177" i="10" s="1"/>
  <c r="F44" i="10" a="1"/>
  <c r="F44" i="10" s="1"/>
  <c r="F76" i="10" a="1"/>
  <c r="F76" i="10" s="1"/>
  <c r="F108" i="10" a="1"/>
  <c r="F108" i="10" s="1"/>
  <c r="F140" i="10" a="1"/>
  <c r="F140" i="10" s="1"/>
  <c r="F172" i="10" a="1"/>
  <c r="F172" i="10" s="1"/>
  <c r="F204" i="10" a="1"/>
  <c r="F204" i="10" s="1"/>
  <c r="F2" i="10" a="1"/>
  <c r="F2" i="10" s="1"/>
  <c r="F153" i="10" a="1"/>
  <c r="F153" i="10" s="1"/>
  <c r="F6" i="10" a="1"/>
  <c r="F6" i="10" s="1"/>
  <c r="F263" i="10" a="1"/>
  <c r="F263" i="10" s="1"/>
  <c r="F133" i="10" a="1"/>
  <c r="F133" i="10" s="1"/>
  <c r="F291" i="10" a="1"/>
  <c r="F291" i="10" s="1"/>
  <c r="F9" i="10" a="1"/>
  <c r="F9" i="10" s="1"/>
  <c r="F135" i="10" a="1"/>
  <c r="F135" i="10" s="1"/>
  <c r="F24" i="10" a="1"/>
  <c r="F24" i="10" s="1"/>
  <c r="F34" i="10" a="1"/>
  <c r="F34" i="10" s="1"/>
  <c r="F45" i="10" a="1"/>
  <c r="F45" i="10" s="1"/>
  <c r="F56" i="10" a="1"/>
  <c r="F56" i="10" s="1"/>
  <c r="F66" i="10" a="1"/>
  <c r="F66" i="10" s="1"/>
  <c r="F77" i="10" a="1"/>
  <c r="F77" i="10" s="1"/>
  <c r="F88" i="10" a="1"/>
  <c r="F88" i="10" s="1"/>
  <c r="F98" i="10" a="1"/>
  <c r="F98" i="10" s="1"/>
  <c r="F109" i="10" a="1"/>
  <c r="F109" i="10" s="1"/>
  <c r="F120" i="10" a="1"/>
  <c r="F120" i="10" s="1"/>
  <c r="F130" i="10" a="1"/>
  <c r="F130" i="10" s="1"/>
  <c r="F141" i="10" a="1"/>
  <c r="F141" i="10" s="1"/>
  <c r="F152" i="10" a="1"/>
  <c r="F152" i="10" s="1"/>
  <c r="F162" i="10" a="1"/>
  <c r="F162" i="10" s="1"/>
  <c r="F173" i="10" a="1"/>
  <c r="F173" i="10" s="1"/>
  <c r="F184" i="10" a="1"/>
  <c r="F184" i="10" s="1"/>
  <c r="F194" i="10" a="1"/>
  <c r="F194" i="10" s="1"/>
  <c r="F205" i="10" a="1"/>
  <c r="F205" i="10" s="1"/>
  <c r="F216" i="10" a="1"/>
  <c r="F216" i="10" s="1"/>
  <c r="F226" i="10" a="1"/>
  <c r="F226" i="10" s="1"/>
  <c r="F237" i="10" a="1"/>
  <c r="F237" i="10" s="1"/>
  <c r="F248" i="10" a="1"/>
  <c r="F248" i="10" s="1"/>
  <c r="F260" i="10" a="1"/>
  <c r="F260" i="10" s="1"/>
  <c r="F274" i="10" a="1"/>
  <c r="F274" i="10" s="1"/>
  <c r="F4" i="10" a="1"/>
  <c r="F4" i="10" s="1"/>
  <c r="F238" i="10" a="1"/>
  <c r="F238" i="10" s="1"/>
  <c r="F261" i="10" a="1"/>
  <c r="F261" i="10" s="1"/>
  <c r="F289" i="10" a="1"/>
  <c r="F289" i="10" s="1"/>
  <c r="F57" i="10" a="1"/>
  <c r="F57" i="10" s="1"/>
  <c r="F79" i="10" a="1"/>
  <c r="F79" i="10" s="1"/>
  <c r="F99" i="10" a="1"/>
  <c r="F99" i="10" s="1"/>
  <c r="F121" i="10" a="1"/>
  <c r="F121" i="10" s="1"/>
  <c r="F163" i="10" a="1"/>
  <c r="F163" i="10" s="1"/>
  <c r="F207" i="10" a="1"/>
  <c r="F207" i="10" s="1"/>
  <c r="F227" i="10" a="1"/>
  <c r="F227" i="10" s="1"/>
  <c r="F249" i="10" a="1"/>
  <c r="F249" i="10" s="1"/>
  <c r="F276" i="10" a="1"/>
  <c r="F276" i="10" s="1"/>
  <c r="F68" i="10" a="1"/>
  <c r="F68" i="10" s="1"/>
  <c r="F132" i="10" a="1"/>
  <c r="F132" i="10" s="1"/>
  <c r="F277" i="10" a="1"/>
  <c r="F277" i="10" s="1"/>
  <c r="F48" i="10" a="1"/>
  <c r="F48" i="10" s="1"/>
  <c r="F80" i="10" a="1"/>
  <c r="F80" i="10" s="1"/>
  <c r="F101" i="10" a="1"/>
  <c r="F101" i="10" s="1"/>
  <c r="F122" i="10" a="1"/>
  <c r="F122" i="10" s="1"/>
  <c r="F165" i="10" a="1"/>
  <c r="F165" i="10" s="1"/>
  <c r="F197" i="10" a="1"/>
  <c r="F197" i="10" s="1"/>
  <c r="F218" i="10" a="1"/>
  <c r="F218" i="10" s="1"/>
  <c r="F240" i="10" a="1"/>
  <c r="F240" i="10" s="1"/>
  <c r="F278" i="10" a="1"/>
  <c r="F278" i="10" s="1"/>
  <c r="F70" i="10" a="1"/>
  <c r="F70" i="10" s="1"/>
  <c r="F230" i="10" a="1"/>
  <c r="F230" i="10" s="1"/>
  <c r="F279" i="10" a="1"/>
  <c r="F279" i="10" s="1"/>
  <c r="F27" i="10" a="1"/>
  <c r="F27" i="10" s="1"/>
  <c r="F59" i="10" a="1"/>
  <c r="F59" i="10" s="1"/>
  <c r="F81" i="10" a="1"/>
  <c r="F81" i="10" s="1"/>
  <c r="F113" i="10" a="1"/>
  <c r="F113" i="10" s="1"/>
  <c r="F46" i="10" a="1"/>
  <c r="F46" i="10" s="1"/>
  <c r="F78" i="10" a="1"/>
  <c r="F78" i="10" s="1"/>
  <c r="F110" i="10" a="1"/>
  <c r="F110" i="10" s="1"/>
  <c r="F142" i="10" a="1"/>
  <c r="F142" i="10" s="1"/>
  <c r="F174" i="10" a="1"/>
  <c r="F174" i="10" s="1"/>
  <c r="F206" i="10" a="1"/>
  <c r="F206" i="10" s="1"/>
  <c r="F5" i="10" a="1"/>
  <c r="F5" i="10" s="1"/>
  <c r="F185" i="10" a="1"/>
  <c r="F185" i="10" s="1"/>
  <c r="F100" i="10" a="1"/>
  <c r="F100" i="10" s="1"/>
  <c r="F58" i="10" a="1"/>
  <c r="F58" i="10" s="1"/>
  <c r="F176" i="10" a="1"/>
  <c r="F176" i="10" s="1"/>
  <c r="F134" i="10" a="1"/>
  <c r="F134" i="10" s="1"/>
  <c r="F49" i="10" a="1"/>
  <c r="F49" i="10" s="1"/>
  <c r="F167" i="10" a="1"/>
  <c r="F167" i="10" s="1"/>
  <c r="F25" i="10" a="1"/>
  <c r="F25" i="10" s="1"/>
  <c r="F35" i="10" a="1"/>
  <c r="F35" i="10" s="1"/>
  <c r="F131" i="10" a="1"/>
  <c r="F131" i="10" s="1"/>
  <c r="F290" i="10" a="1"/>
  <c r="F290" i="10" s="1"/>
  <c r="F26" i="10" a="1"/>
  <c r="F26" i="10" s="1"/>
  <c r="F144" i="10" a="1"/>
  <c r="F144" i="10" s="1"/>
  <c r="F8" i="10" a="1"/>
  <c r="F8" i="10" s="1"/>
  <c r="F28" i="10" a="1"/>
  <c r="F28" i="10" s="1"/>
  <c r="F199" i="10" a="1"/>
  <c r="F199" i="10" s="1"/>
  <c r="F232" i="10" a="1"/>
  <c r="F232" i="10" s="1"/>
  <c r="F269" i="10" a="1"/>
  <c r="F269" i="10" s="1"/>
  <c r="F16" i="10" a="1"/>
  <c r="F16" i="10" s="1"/>
  <c r="F271" i="10" a="1"/>
  <c r="F271" i="10" s="1"/>
  <c r="F241" i="10" a="1"/>
  <c r="F241" i="10" s="1"/>
  <c r="F168" i="10" a="1"/>
  <c r="F168" i="10" s="1"/>
  <c r="F92" i="10" a="1"/>
  <c r="F92" i="10" s="1"/>
  <c r="F256" i="10" a="1"/>
  <c r="F256" i="10" s="1"/>
  <c r="F12" i="10" a="1"/>
  <c r="F12" i="10" s="1"/>
  <c r="F189" i="10" a="1"/>
  <c r="F189" i="10" s="1"/>
  <c r="F14" i="10" a="1"/>
  <c r="F14" i="10" s="1"/>
  <c r="F29" i="10" a="1"/>
  <c r="F29" i="10" s="1"/>
  <c r="F114" i="10" a="1"/>
  <c r="F114" i="10" s="1"/>
  <c r="F233" i="10" a="1"/>
  <c r="F233" i="10" s="1"/>
  <c r="F293" i="10" a="1"/>
  <c r="F293" i="10" s="1"/>
  <c r="F265" i="10" a="1"/>
  <c r="F265" i="10" s="1"/>
  <c r="F124" i="10" a="1"/>
  <c r="F124" i="10" s="1"/>
  <c r="F200" i="10" a="1"/>
  <c r="F200" i="10" s="1"/>
  <c r="F234" i="10" a="1"/>
  <c r="F234" i="10" s="1"/>
  <c r="F82" i="10" a="1"/>
  <c r="F82" i="10" s="1"/>
  <c r="F231" i="10" a="1"/>
  <c r="F231" i="10" s="1"/>
  <c r="F40" i="10" a="1"/>
  <c r="F40" i="10" s="1"/>
  <c r="F125" i="10" a="1"/>
  <c r="F125" i="10" s="1"/>
  <c r="F201" i="10" a="1"/>
  <c r="F201" i="10" s="1"/>
  <c r="F280" i="10" a="1"/>
  <c r="F280" i="10" s="1"/>
  <c r="F10" i="10" a="1"/>
  <c r="F10" i="10" s="1"/>
  <c r="F209" i="10" a="1"/>
  <c r="F209" i="10" s="1"/>
  <c r="F281" i="10" a="1"/>
  <c r="F281" i="10" s="1"/>
  <c r="F283" i="10" a="1"/>
  <c r="F283" i="10" s="1"/>
  <c r="F255" i="10" a="1"/>
  <c r="F255" i="10" s="1"/>
  <c r="F266" i="10" a="1"/>
  <c r="F266" i="10" s="1"/>
  <c r="F50" i="10" a="1"/>
  <c r="F50" i="10" s="1"/>
  <c r="F136" i="10" a="1"/>
  <c r="F136" i="10" s="1"/>
  <c r="F242" i="10" a="1"/>
  <c r="F242" i="10" s="1"/>
  <c r="F221" i="10" a="1"/>
  <c r="F221" i="10" s="1"/>
  <c r="F188" i="10" a="1"/>
  <c r="F188" i="10" s="1"/>
  <c r="F60" i="10" a="1"/>
  <c r="F60" i="10" s="1"/>
  <c r="F210" i="10" a="1"/>
  <c r="F210" i="10" s="1"/>
  <c r="F243" i="10" a="1"/>
  <c r="F243" i="10" s="1"/>
  <c r="F285" i="10" a="1"/>
  <c r="F285" i="10" s="1"/>
  <c r="F93" i="10" a="1"/>
  <c r="F93" i="10" s="1"/>
  <c r="F61" i="10" a="1"/>
  <c r="F61" i="10" s="1"/>
  <c r="F146" i="10" a="1"/>
  <c r="F146" i="10" s="1"/>
  <c r="F211" i="10" a="1"/>
  <c r="F211" i="10" s="1"/>
  <c r="F245" i="10" a="1"/>
  <c r="F245" i="10" s="1"/>
  <c r="F178" i="10" a="1"/>
  <c r="F178" i="10" s="1"/>
  <c r="F156" i="10" a="1"/>
  <c r="F156" i="10" s="1"/>
  <c r="F213" i="10" a="1"/>
  <c r="F213" i="10" s="1"/>
  <c r="F251" i="10" a="1"/>
  <c r="F251" i="10" s="1"/>
  <c r="F294" i="10" a="1"/>
  <c r="F294" i="10" s="1"/>
  <c r="F11" i="10" a="1"/>
  <c r="F11" i="10" s="1"/>
  <c r="F72" i="10" a="1"/>
  <c r="F72" i="10" s="1"/>
  <c r="F157" i="10" a="1"/>
  <c r="F157" i="10" s="1"/>
  <c r="F219" i="10" a="1"/>
  <c r="F219" i="10" s="1"/>
  <c r="F252" i="10" a="1"/>
  <c r="F252" i="10" s="1"/>
  <c r="F295" i="10" a="1"/>
  <c r="F295" i="10" s="1"/>
  <c r="F220" i="10" a="1"/>
  <c r="F220" i="10" s="1"/>
  <c r="F253" i="10" a="1"/>
  <c r="F253" i="10" s="1"/>
  <c r="F297" i="10" a="1"/>
  <c r="F297" i="10" s="1"/>
  <c r="F299" i="10" a="1"/>
  <c r="F299" i="10" s="1"/>
  <c r="F223" i="10" a="1"/>
  <c r="F223" i="10" s="1"/>
  <c r="F224" i="10" a="1"/>
  <c r="F224" i="10" s="1"/>
  <c r="F104" i="10" a="1"/>
  <c r="F104" i="10" s="1"/>
  <c r="F267" i="10" a="1"/>
  <c r="F267" i="10" s="1"/>
  <c r="P66" i="2"/>
  <c r="P67" i="2"/>
  <c r="R84" i="2"/>
  <c r="AU6" i="16"/>
  <c r="AU4" i="16"/>
  <c r="K9" i="10" a="1"/>
  <c r="K9" i="10" s="1"/>
  <c r="K25" i="10" a="1"/>
  <c r="K25" i="10" s="1"/>
  <c r="K41" i="10" a="1"/>
  <c r="K41" i="10" s="1"/>
  <c r="K54" i="10" a="1"/>
  <c r="K54" i="10" s="1"/>
  <c r="K48" i="10" a="1"/>
  <c r="K48" i="10" s="1"/>
  <c r="K38" i="10" a="1"/>
  <c r="K38" i="10" s="1"/>
  <c r="K8" i="10" a="1"/>
  <c r="K8" i="10" s="1"/>
  <c r="K40" i="10" a="1"/>
  <c r="K40" i="10" s="1"/>
  <c r="K10" i="10" a="1"/>
  <c r="K10" i="10" s="1"/>
  <c r="K26" i="10" a="1"/>
  <c r="K26" i="10" s="1"/>
  <c r="K42" i="10" a="1"/>
  <c r="K42" i="10" s="1"/>
  <c r="K55" i="10" a="1"/>
  <c r="K55" i="10" s="1"/>
  <c r="K11" i="10" a="1"/>
  <c r="K11" i="10" s="1"/>
  <c r="K27" i="10" a="1"/>
  <c r="K27" i="10" s="1"/>
  <c r="K43" i="10" a="1"/>
  <c r="K43" i="10" s="1"/>
  <c r="K56" i="10" a="1"/>
  <c r="K56" i="10" s="1"/>
  <c r="K57" i="10" a="1"/>
  <c r="K57" i="10" s="1"/>
  <c r="K58" i="10" a="1"/>
  <c r="K58" i="10" s="1"/>
  <c r="K3" i="10" a="1"/>
  <c r="K3" i="10" s="1"/>
  <c r="K36" i="10" a="1"/>
  <c r="K36" i="10" s="1"/>
  <c r="K12" i="10" a="1"/>
  <c r="K12" i="10" s="1"/>
  <c r="K28" i="10" a="1"/>
  <c r="K28" i="10" s="1"/>
  <c r="K44" i="10" a="1"/>
  <c r="K44" i="10" s="1"/>
  <c r="K20" i="10" a="1"/>
  <c r="K20" i="10" s="1"/>
  <c r="K39" i="10" a="1"/>
  <c r="K39" i="10" s="1"/>
  <c r="K13" i="10" a="1"/>
  <c r="K13" i="10" s="1"/>
  <c r="K29" i="10" a="1"/>
  <c r="K29" i="10" s="1"/>
  <c r="K45" i="10" a="1"/>
  <c r="K45" i="10" s="1"/>
  <c r="K4" i="10" a="1"/>
  <c r="K4" i="10" s="1"/>
  <c r="K7" i="10" a="1"/>
  <c r="K7" i="10" s="1"/>
  <c r="K14" i="10" a="1"/>
  <c r="K14" i="10" s="1"/>
  <c r="K30" i="10" a="1"/>
  <c r="K30" i="10" s="1"/>
  <c r="K59" i="10" a="1"/>
  <c r="K59" i="10" s="1"/>
  <c r="K15" i="10" a="1"/>
  <c r="K15" i="10" s="1"/>
  <c r="K31" i="10" a="1"/>
  <c r="K31" i="10" s="1"/>
  <c r="K46" i="10" a="1"/>
  <c r="K46" i="10" s="1"/>
  <c r="K32" i="10" a="1"/>
  <c r="K32" i="10" s="1"/>
  <c r="K17" i="10" a="1"/>
  <c r="K17" i="10" s="1"/>
  <c r="K47" i="10" a="1"/>
  <c r="K47" i="10" s="1"/>
  <c r="K2" i="10" a="1"/>
  <c r="K2" i="10" s="1"/>
  <c r="K18" i="10" a="1"/>
  <c r="K18" i="10" s="1"/>
  <c r="K35" i="10" a="1"/>
  <c r="K35" i="10" s="1"/>
  <c r="K6" i="10" a="1"/>
  <c r="K6" i="10" s="1"/>
  <c r="K24" i="10" a="1"/>
  <c r="K24" i="10" s="1"/>
  <c r="K53" i="10" a="1"/>
  <c r="K53" i="10" s="1"/>
  <c r="K16" i="10" a="1"/>
  <c r="K16" i="10" s="1"/>
  <c r="K33" i="10" a="1"/>
  <c r="K33" i="10" s="1"/>
  <c r="K34" i="10" a="1"/>
  <c r="K34" i="10" s="1"/>
  <c r="K19" i="10" a="1"/>
  <c r="K19" i="10" s="1"/>
  <c r="K49" i="10" a="1"/>
  <c r="K49" i="10" s="1"/>
  <c r="K51" i="10" a="1"/>
  <c r="K51" i="10" s="1"/>
  <c r="K52" i="10" a="1"/>
  <c r="K52" i="10" s="1"/>
  <c r="K5" i="10" a="1"/>
  <c r="K5" i="10" s="1"/>
  <c r="K21" i="10" a="1"/>
  <c r="K21" i="10" s="1"/>
  <c r="K37" i="10" a="1"/>
  <c r="K37" i="10" s="1"/>
  <c r="K50" i="10" a="1"/>
  <c r="K50" i="10" s="1"/>
  <c r="K22" i="10" a="1"/>
  <c r="K22" i="10" s="1"/>
  <c r="K23" i="10" a="1"/>
  <c r="K23" i="10" s="1"/>
  <c r="M32" i="2"/>
  <c r="AN32" i="2"/>
  <c r="AB32" i="2"/>
  <c r="AB33" i="2"/>
  <c r="M33" i="2"/>
  <c r="AN33" i="2"/>
  <c r="AB3" i="16" s="1"/>
  <c r="AC3" i="16" s="1"/>
  <c r="AP33" i="2" s="1"/>
  <c r="AB35" i="2"/>
  <c r="M35" i="2"/>
  <c r="AN35" i="2"/>
  <c r="AB5" i="16" s="1"/>
  <c r="AC5" i="16" s="1"/>
  <c r="AP35" i="2" s="1"/>
  <c r="AN36" i="2"/>
  <c r="AB6" i="16" s="1"/>
  <c r="AC6" i="16" s="1"/>
  <c r="AP36" i="2" s="1"/>
  <c r="AF36" i="2"/>
  <c r="M36" i="2"/>
  <c r="AB36" i="2"/>
  <c r="AB34" i="2"/>
  <c r="M34" i="2"/>
  <c r="AN34" i="2"/>
  <c r="AB4" i="16" s="1"/>
  <c r="AC4" i="16" s="1"/>
  <c r="AP34" i="2" s="1"/>
  <c r="AK52" i="8"/>
  <c r="X68" i="2"/>
  <c r="AF24" i="8"/>
  <c r="V15" i="8"/>
  <c r="AA36" i="8"/>
  <c r="AA11" i="8"/>
  <c r="V48" i="8"/>
  <c r="AA19" i="8"/>
  <c r="AK51" i="8"/>
  <c r="X67" i="2"/>
  <c r="AA17" i="8"/>
  <c r="AF76" i="2"/>
  <c r="V41" i="8"/>
  <c r="AN69" i="2"/>
  <c r="P69" i="2"/>
  <c r="V6" i="8"/>
  <c r="AF21" i="8"/>
  <c r="AN67" i="2"/>
  <c r="X69" i="2"/>
  <c r="AF18" i="8"/>
  <c r="AA44" i="8"/>
  <c r="X79" i="2"/>
  <c r="AA49" i="8"/>
  <c r="AK48" i="8"/>
  <c r="AK10" i="8"/>
  <c r="AF20" i="8"/>
  <c r="AF75" i="2"/>
  <c r="AA32" i="8"/>
  <c r="AN66" i="2"/>
  <c r="V44" i="8"/>
  <c r="X80" i="2"/>
  <c r="AK47" i="8"/>
  <c r="AF80" i="2"/>
  <c r="V49" i="8"/>
  <c r="AA43" i="8"/>
  <c r="V5" i="8"/>
  <c r="AK49" i="8"/>
  <c r="AA25" i="8"/>
  <c r="L87" i="2"/>
  <c r="AF13" i="8"/>
  <c r="AF78" i="2"/>
  <c r="X70" i="2"/>
  <c r="AA52" i="8"/>
  <c r="V22" i="8"/>
  <c r="AN80" i="2"/>
  <c r="AN70" i="2"/>
  <c r="AF9" i="8"/>
  <c r="P78" i="2"/>
  <c r="AK44" i="8"/>
  <c r="AF16" i="8"/>
  <c r="AK38" i="8"/>
  <c r="AA28" i="8"/>
  <c r="V35" i="8"/>
  <c r="V40" i="8"/>
  <c r="V47" i="8"/>
  <c r="AK43" i="8"/>
  <c r="V17" i="8"/>
  <c r="AA23" i="8"/>
  <c r="AA50" i="8"/>
  <c r="AK41" i="8"/>
  <c r="AN72" i="2"/>
  <c r="P79" i="2"/>
  <c r="AF5" i="8"/>
  <c r="V26" i="8"/>
  <c r="AK3" i="8"/>
  <c r="AF36" i="8"/>
  <c r="AF79" i="2"/>
  <c r="AN76" i="2"/>
  <c r="V39" i="8"/>
  <c r="B87" i="2"/>
  <c r="AK40" i="8"/>
  <c r="AF26" i="8"/>
  <c r="AF12" i="8"/>
  <c r="AK18" i="8"/>
  <c r="AA24" i="8"/>
  <c r="V11" i="8"/>
  <c r="V36" i="8"/>
  <c r="V27" i="8"/>
  <c r="AK39" i="8"/>
  <c r="AA35" i="8"/>
  <c r="AA3" i="8"/>
  <c r="AA46" i="8"/>
  <c r="AK33" i="8"/>
  <c r="V25" i="8"/>
  <c r="AA10" i="8"/>
  <c r="P77" i="2"/>
  <c r="AF32" i="8"/>
  <c r="AF7" i="8"/>
  <c r="V52" i="8"/>
  <c r="AF29" i="8"/>
  <c r="AK36" i="8"/>
  <c r="AF74" i="2"/>
  <c r="AF8" i="8"/>
  <c r="AN74" i="2"/>
  <c r="AA20" i="8"/>
  <c r="AF70" i="2"/>
  <c r="V32" i="8"/>
  <c r="V7" i="8"/>
  <c r="AK35" i="8"/>
  <c r="AA15" i="8"/>
  <c r="V51" i="8"/>
  <c r="AA42" i="8"/>
  <c r="AK25" i="8"/>
  <c r="AF72" i="2"/>
  <c r="AF69" i="2"/>
  <c r="AA45" i="8"/>
  <c r="AN71" i="2"/>
  <c r="AN78" i="2"/>
  <c r="AA33" i="8"/>
  <c r="AA7" i="8"/>
  <c r="AA6" i="8"/>
  <c r="V29" i="8"/>
  <c r="AA40" i="8"/>
  <c r="AN73" i="2"/>
  <c r="AK32" i="8"/>
  <c r="AA41" i="8"/>
  <c r="AF4" i="8"/>
  <c r="AA16" i="8"/>
  <c r="AK42" i="8"/>
  <c r="V28" i="8"/>
  <c r="AF66" i="2"/>
  <c r="AK31" i="8"/>
  <c r="AN75" i="2"/>
  <c r="V31" i="8"/>
  <c r="AA38" i="8"/>
  <c r="AK17" i="8"/>
  <c r="V50" i="8"/>
  <c r="AK45" i="8"/>
  <c r="AA13" i="8"/>
  <c r="V4" i="8"/>
  <c r="AK4" i="8"/>
  <c r="AF15" i="8"/>
  <c r="AF71" i="2"/>
  <c r="V18" i="8"/>
  <c r="B89" i="2"/>
  <c r="AA31" i="8"/>
  <c r="V10" i="8"/>
  <c r="AK28" i="8"/>
  <c r="AA9" i="8"/>
  <c r="AF81" i="2"/>
  <c r="AF10" i="8"/>
  <c r="AA12" i="8"/>
  <c r="AK22" i="8"/>
  <c r="V24" i="8"/>
  <c r="AK34" i="8"/>
  <c r="AK27" i="8"/>
  <c r="V43" i="8"/>
  <c r="V23" i="8"/>
  <c r="AA34" i="8"/>
  <c r="AK9" i="8"/>
  <c r="V46" i="8"/>
  <c r="AK37" i="8"/>
  <c r="V45" i="8"/>
  <c r="AA47" i="8"/>
  <c r="AA14" i="8"/>
  <c r="AF68" i="2"/>
  <c r="AF28" i="8"/>
  <c r="AA5" i="8"/>
  <c r="AK24" i="8"/>
  <c r="V37" i="8"/>
  <c r="AF77" i="2"/>
  <c r="AA8" i="8"/>
  <c r="AN79" i="2"/>
  <c r="V20" i="8"/>
  <c r="AK14" i="8"/>
  <c r="AK23" i="8"/>
  <c r="V19" i="8"/>
  <c r="AF35" i="8"/>
  <c r="V3" i="8"/>
  <c r="AA30" i="8"/>
  <c r="G87" i="2"/>
  <c r="V42" i="8"/>
  <c r="AK29" i="8"/>
  <c r="V13" i="8"/>
  <c r="AK5" i="8"/>
  <c r="AK7" i="8"/>
  <c r="AA27" i="8"/>
  <c r="AF22" i="8"/>
  <c r="V21" i="8"/>
  <c r="AK20" i="8"/>
  <c r="V9" i="8"/>
  <c r="P72" i="2"/>
  <c r="AA29" i="8"/>
  <c r="AA4" i="8"/>
  <c r="V16" i="8"/>
  <c r="X66" i="2"/>
  <c r="AK19" i="8"/>
  <c r="P80" i="2"/>
  <c r="AF31" i="8"/>
  <c r="AK50" i="8"/>
  <c r="AA26" i="8"/>
  <c r="X73" i="2"/>
  <c r="V38" i="8"/>
  <c r="AK21" i="8"/>
  <c r="AK16" i="8"/>
  <c r="P68" i="2"/>
  <c r="X78" i="2"/>
  <c r="X81" i="2"/>
  <c r="AF6" i="8"/>
  <c r="V12" i="8"/>
  <c r="AF30" i="8"/>
  <c r="AK15" i="8"/>
  <c r="AK46" i="8"/>
  <c r="AF27" i="8"/>
  <c r="AK30" i="8"/>
  <c r="AA22" i="8"/>
  <c r="V34" i="8"/>
  <c r="AK13" i="8"/>
  <c r="AK12" i="8"/>
  <c r="AF67" i="2"/>
  <c r="V33" i="8"/>
  <c r="X77" i="2"/>
  <c r="P73" i="2"/>
  <c r="V8" i="8"/>
  <c r="AF14" i="8"/>
  <c r="AK11" i="8"/>
  <c r="AK26" i="8"/>
  <c r="AF23" i="8"/>
  <c r="AK6" i="8"/>
  <c r="AA18" i="8"/>
  <c r="V30" i="8"/>
  <c r="AK8" i="8"/>
  <c r="AA21" i="8"/>
  <c r="P70" i="2"/>
  <c r="AF19" i="8"/>
  <c r="AF33" i="8"/>
  <c r="AN68" i="2"/>
  <c r="AF34" i="8"/>
  <c r="AF25" i="8"/>
  <c r="AN81" i="2"/>
  <c r="AA48" i="8"/>
  <c r="I85" i="2"/>
  <c r="AF11" i="8"/>
  <c r="AF17" i="8"/>
  <c r="AN77" i="2"/>
  <c r="AA51" i="8"/>
  <c r="P71" i="2"/>
  <c r="AA37" i="8"/>
  <c r="V14" i="8"/>
  <c r="X72" i="2"/>
  <c r="AA39" i="8"/>
  <c r="X71" i="2"/>
  <c r="AF3" i="8"/>
  <c r="AS38" i="2"/>
  <c r="T13" i="2"/>
  <c r="R14" i="2"/>
  <c r="T14" i="2"/>
  <c r="R17" i="2"/>
  <c r="T17" i="2"/>
  <c r="R18" i="2"/>
  <c r="D24" i="2" s="1"/>
  <c r="T18" i="2"/>
  <c r="B239" i="29"/>
  <c r="B229" i="29"/>
  <c r="B238" i="29"/>
  <c r="B237" i="29"/>
  <c r="B235" i="29"/>
  <c r="B236" i="29"/>
  <c r="B230" i="29"/>
  <c r="B233" i="29"/>
  <c r="B231" i="29"/>
  <c r="B232" i="29"/>
  <c r="T23" i="3"/>
  <c r="T19" i="3"/>
  <c r="F20" i="3"/>
  <c r="V27" i="3" a="1"/>
  <c r="V27" i="3" s="1"/>
  <c r="T60" i="2" s="1"/>
  <c r="T20" i="3"/>
  <c r="BD48" i="3" a="1"/>
  <c r="BD48" i="3" s="1"/>
  <c r="T18" i="3"/>
  <c r="F22" i="3"/>
  <c r="T17" i="3"/>
  <c r="T25" i="3"/>
  <c r="T22" i="3"/>
  <c r="F24" i="3"/>
  <c r="F16" i="3"/>
  <c r="F21" i="3"/>
  <c r="F18" i="3"/>
  <c r="R15" i="2"/>
  <c r="D276" i="10"/>
  <c r="C138" i="10"/>
  <c r="AG39" i="8" s="1"/>
  <c r="D108" i="10"/>
  <c r="AI9" i="8" s="1"/>
  <c r="C193" i="10"/>
  <c r="AL44" i="8" s="1"/>
  <c r="D163" i="10"/>
  <c r="AN14" i="8" s="1"/>
  <c r="C103" i="10"/>
  <c r="AG4" i="8" s="1"/>
  <c r="C7" i="10"/>
  <c r="W8" i="8" s="1"/>
  <c r="D103" i="10"/>
  <c r="AI4" i="8" s="1"/>
  <c r="C218" i="10"/>
  <c r="D4" i="10"/>
  <c r="Y5" i="8" s="1"/>
  <c r="C249" i="10"/>
  <c r="C256" i="10"/>
  <c r="C78" i="10"/>
  <c r="AB29" i="8" s="1"/>
  <c r="C133" i="10"/>
  <c r="AG34" i="8" s="1"/>
  <c r="D249" i="10"/>
  <c r="C231" i="10"/>
  <c r="J47" i="10"/>
  <c r="C181" i="10"/>
  <c r="AL32" i="8" s="1"/>
  <c r="J20" i="10"/>
  <c r="C151" i="10"/>
  <c r="AG52" i="8" s="1"/>
  <c r="C39" i="10"/>
  <c r="W40" i="8" s="1"/>
  <c r="D151" i="10"/>
  <c r="AI52" i="8" s="1"/>
  <c r="D205" i="10"/>
  <c r="D36" i="10"/>
  <c r="Y37" i="8" s="1"/>
  <c r="C91" i="10"/>
  <c r="AB42" i="8" s="1"/>
  <c r="D236" i="10"/>
  <c r="D60" i="10"/>
  <c r="AD11" i="8" s="1"/>
  <c r="D299" i="10"/>
  <c r="D295" i="10"/>
  <c r="D291" i="10"/>
  <c r="D287" i="10"/>
  <c r="D283" i="10"/>
  <c r="D279" i="10"/>
  <c r="D275" i="10"/>
  <c r="D271" i="10"/>
  <c r="D267" i="10"/>
  <c r="D263" i="10"/>
  <c r="D259" i="10"/>
  <c r="D255" i="10"/>
  <c r="D251" i="10"/>
  <c r="C299" i="10"/>
  <c r="C295" i="10"/>
  <c r="C291" i="10"/>
  <c r="C287" i="10"/>
  <c r="C283" i="10"/>
  <c r="C279" i="10"/>
  <c r="C275" i="10"/>
  <c r="C271" i="10"/>
  <c r="C267" i="10"/>
  <c r="C263" i="10"/>
  <c r="C259" i="10"/>
  <c r="C255" i="10"/>
  <c r="C251" i="10"/>
  <c r="C247" i="10"/>
  <c r="C243" i="10"/>
  <c r="C59" i="10"/>
  <c r="AB10" i="8" s="1"/>
  <c r="D56" i="10"/>
  <c r="AD7" i="8" s="1"/>
  <c r="D50" i="10"/>
  <c r="Y51" i="8" s="1"/>
  <c r="D47" i="10"/>
  <c r="Y48" i="8" s="1"/>
  <c r="C44" i="10"/>
  <c r="W45" i="8" s="1"/>
  <c r="C36" i="10"/>
  <c r="W37" i="8" s="1"/>
  <c r="D27" i="10"/>
  <c r="Y28" i="8" s="1"/>
  <c r="D23" i="10"/>
  <c r="Y24" i="8" s="1"/>
  <c r="D21" i="10"/>
  <c r="Y22" i="8" s="1"/>
  <c r="I15" i="10"/>
  <c r="C4" i="10"/>
  <c r="W5" i="8" s="1"/>
  <c r="C56" i="10"/>
  <c r="AB7" i="8" s="1"/>
  <c r="D53" i="10"/>
  <c r="AD4" i="8" s="1"/>
  <c r="C50" i="10"/>
  <c r="W51" i="8" s="1"/>
  <c r="C47" i="10"/>
  <c r="W48" i="8" s="1"/>
  <c r="D32" i="10"/>
  <c r="Y33" i="8" s="1"/>
  <c r="I30" i="10"/>
  <c r="C27" i="10"/>
  <c r="W28" i="8" s="1"/>
  <c r="C23" i="10"/>
  <c r="W24" i="8" s="1"/>
  <c r="C21" i="10"/>
  <c r="W22" i="8" s="1"/>
  <c r="D19" i="10"/>
  <c r="Y20" i="8" s="1"/>
  <c r="D17" i="10"/>
  <c r="Y18" i="8" s="1"/>
  <c r="J13"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AN49" i="8" s="1"/>
  <c r="D194" i="10"/>
  <c r="AN45" i="8" s="1"/>
  <c r="D190" i="10"/>
  <c r="AN41" i="8" s="1"/>
  <c r="D186" i="10"/>
  <c r="AN37" i="8" s="1"/>
  <c r="D182" i="10"/>
  <c r="AN33" i="8" s="1"/>
  <c r="D178" i="10"/>
  <c r="AN29" i="8" s="1"/>
  <c r="D174" i="10"/>
  <c r="AN25" i="8" s="1"/>
  <c r="D170" i="10"/>
  <c r="AN21" i="8" s="1"/>
  <c r="D166" i="10"/>
  <c r="AN17" i="8" s="1"/>
  <c r="D162" i="10"/>
  <c r="AN13" i="8" s="1"/>
  <c r="D158" i="10"/>
  <c r="AN9" i="8" s="1"/>
  <c r="D154" i="10"/>
  <c r="AN5" i="8" s="1"/>
  <c r="D150" i="10"/>
  <c r="AI51" i="8" s="1"/>
  <c r="D146" i="10"/>
  <c r="AI47" i="8" s="1"/>
  <c r="D142" i="10"/>
  <c r="AI43" i="8" s="1"/>
  <c r="D138" i="10"/>
  <c r="AI39" i="8" s="1"/>
  <c r="D134" i="10"/>
  <c r="AI35" i="8" s="1"/>
  <c r="D130" i="10"/>
  <c r="AI31" i="8" s="1"/>
  <c r="D126" i="10"/>
  <c r="AI27" i="8" s="1"/>
  <c r="D122" i="10"/>
  <c r="AI23" i="8" s="1"/>
  <c r="D118" i="10"/>
  <c r="AI19" i="8" s="1"/>
  <c r="D114" i="10"/>
  <c r="AI15" i="8" s="1"/>
  <c r="D110" i="10"/>
  <c r="AI11" i="8" s="1"/>
  <c r="D106" i="10"/>
  <c r="AI7" i="8" s="1"/>
  <c r="D102" i="10"/>
  <c r="AI3" i="8" s="1"/>
  <c r="D98" i="10"/>
  <c r="AD49" i="8" s="1"/>
  <c r="D94" i="10"/>
  <c r="AD45" i="8" s="1"/>
  <c r="D90" i="10"/>
  <c r="AD41" i="8" s="1"/>
  <c r="D86" i="10"/>
  <c r="AD37" i="8" s="1"/>
  <c r="D82" i="10"/>
  <c r="AD33" i="8" s="1"/>
  <c r="D78" i="10"/>
  <c r="AD29" i="8" s="1"/>
  <c r="D74" i="10"/>
  <c r="AD25" i="8" s="1"/>
  <c r="D70" i="10"/>
  <c r="AD21" i="8" s="1"/>
  <c r="D66" i="10"/>
  <c r="AD17" i="8" s="1"/>
  <c r="D62" i="10"/>
  <c r="AD13" i="8" s="1"/>
  <c r="C53" i="10"/>
  <c r="AB4" i="8" s="1"/>
  <c r="D38" i="10"/>
  <c r="Y39" i="8" s="1"/>
  <c r="C32" i="10"/>
  <c r="W33" i="8" s="1"/>
  <c r="D25" i="10"/>
  <c r="Y26" i="8" s="1"/>
  <c r="C19" i="10"/>
  <c r="W20" i="8" s="1"/>
  <c r="C17" i="10"/>
  <c r="W18" i="8" s="1"/>
  <c r="I13" i="10"/>
  <c r="D9" i="10"/>
  <c r="Y10" i="8" s="1"/>
  <c r="C298" i="10"/>
  <c r="C294" i="10"/>
  <c r="C290" i="10"/>
  <c r="C286" i="10"/>
  <c r="C282" i="10"/>
  <c r="C278" i="10"/>
  <c r="C274" i="10"/>
  <c r="C270" i="10"/>
  <c r="C266" i="10"/>
  <c r="C262" i="10"/>
  <c r="C258" i="10"/>
  <c r="C254" i="10"/>
  <c r="C250" i="10"/>
  <c r="C246" i="10"/>
  <c r="C242" i="10"/>
  <c r="D58" i="10"/>
  <c r="AD9" i="8" s="1"/>
  <c r="D43" i="10"/>
  <c r="Y44" i="8" s="1"/>
  <c r="C40" i="10"/>
  <c r="W41" i="8" s="1"/>
  <c r="D30" i="10"/>
  <c r="Y31" i="8" s="1"/>
  <c r="I28" i="10"/>
  <c r="C15" i="10"/>
  <c r="W16" i="8" s="1"/>
  <c r="C5" i="10"/>
  <c r="W6" i="8" s="1"/>
  <c r="C58" i="10"/>
  <c r="AB9" i="8" s="1"/>
  <c r="D55" i="10"/>
  <c r="AD6" i="8" s="1"/>
  <c r="D49" i="10"/>
  <c r="Y50" i="8" s="1"/>
  <c r="D46" i="10"/>
  <c r="Y47" i="8" s="1"/>
  <c r="C43" i="10"/>
  <c r="W44" i="8" s="1"/>
  <c r="D35" i="10"/>
  <c r="Y36" i="8" s="1"/>
  <c r="C30" i="10"/>
  <c r="W31" i="8" s="1"/>
  <c r="D13" i="10"/>
  <c r="Y14" i="8" s="1"/>
  <c r="J54" i="10"/>
  <c r="I48" i="10"/>
  <c r="C33" i="10"/>
  <c r="W34" i="8" s="1"/>
  <c r="C28" i="10"/>
  <c r="W29" i="8" s="1"/>
  <c r="D24" i="10"/>
  <c r="Y25" i="8" s="1"/>
  <c r="D22" i="10"/>
  <c r="Y23" i="8" s="1"/>
  <c r="D20" i="10"/>
  <c r="Y21" i="8" s="1"/>
  <c r="C6" i="10"/>
  <c r="W7" i="8" s="1"/>
  <c r="C244" i="10"/>
  <c r="D239" i="10"/>
  <c r="C235" i="10"/>
  <c r="C222" i="10"/>
  <c r="D209" i="10"/>
  <c r="C205" i="10"/>
  <c r="D192" i="10"/>
  <c r="AN43" i="8" s="1"/>
  <c r="C188" i="10"/>
  <c r="AL39" i="8" s="1"/>
  <c r="D175" i="10"/>
  <c r="AN26" i="8" s="1"/>
  <c r="C171" i="10"/>
  <c r="AL22" i="8" s="1"/>
  <c r="C158" i="10"/>
  <c r="AL9" i="8" s="1"/>
  <c r="D145" i="10"/>
  <c r="AI46" i="8" s="1"/>
  <c r="C141" i="10"/>
  <c r="AG42" i="8" s="1"/>
  <c r="D128" i="10"/>
  <c r="AI29" i="8" s="1"/>
  <c r="C124" i="10"/>
  <c r="AG25" i="8" s="1"/>
  <c r="D111" i="10"/>
  <c r="AI12" i="8" s="1"/>
  <c r="C107" i="10"/>
  <c r="AG8" i="8" s="1"/>
  <c r="C94" i="10"/>
  <c r="AB45" i="8" s="1"/>
  <c r="D81" i="10"/>
  <c r="AD32" i="8" s="1"/>
  <c r="C77" i="10"/>
  <c r="AB28" i="8" s="1"/>
  <c r="D64" i="10"/>
  <c r="AD15" i="8" s="1"/>
  <c r="C60" i="10"/>
  <c r="AB11" i="8" s="1"/>
  <c r="C45" i="10"/>
  <c r="W46" i="8" s="1"/>
  <c r="D41" i="10"/>
  <c r="Y42" i="8" s="1"/>
  <c r="J38" i="10"/>
  <c r="I14" i="10"/>
  <c r="D12" i="10"/>
  <c r="Y13" i="8" s="1"/>
  <c r="C239" i="10"/>
  <c r="C226" i="10"/>
  <c r="D213" i="10"/>
  <c r="C209" i="10"/>
  <c r="D196" i="10"/>
  <c r="AN47" i="8" s="1"/>
  <c r="C192" i="10"/>
  <c r="AL43" i="8" s="1"/>
  <c r="D179" i="10"/>
  <c r="AN30" i="8" s="1"/>
  <c r="C175" i="10"/>
  <c r="AL26" i="8" s="1"/>
  <c r="C162" i="10"/>
  <c r="AL13" i="8" s="1"/>
  <c r="D149" i="10"/>
  <c r="AI50" i="8" s="1"/>
  <c r="C145" i="10"/>
  <c r="AG46" i="8" s="1"/>
  <c r="D132" i="10"/>
  <c r="AI33" i="8" s="1"/>
  <c r="C128" i="10"/>
  <c r="AG29" i="8" s="1"/>
  <c r="D115" i="10"/>
  <c r="AI16" i="8" s="1"/>
  <c r="C111" i="10"/>
  <c r="AG12" i="8" s="1"/>
  <c r="C98" i="10"/>
  <c r="AB49" i="8" s="1"/>
  <c r="D85" i="10"/>
  <c r="AD36" i="8" s="1"/>
  <c r="C81" i="10"/>
  <c r="AB32" i="8" s="1"/>
  <c r="D68" i="10"/>
  <c r="AD19" i="8" s="1"/>
  <c r="C64" i="10"/>
  <c r="AB15" i="8" s="1"/>
  <c r="C41" i="10"/>
  <c r="W42" i="8" s="1"/>
  <c r="C12" i="10"/>
  <c r="W13" i="8" s="1"/>
  <c r="C8" i="10"/>
  <c r="W9" i="8" s="1"/>
  <c r="D52" i="10"/>
  <c r="AD3" i="8" s="1"/>
  <c r="D301" i="10"/>
  <c r="D296" i="10"/>
  <c r="D285" i="10"/>
  <c r="D280" i="10"/>
  <c r="D269" i="10"/>
  <c r="D264" i="10"/>
  <c r="D253" i="10"/>
  <c r="D248" i="10"/>
  <c r="C230" i="10"/>
  <c r="D217" i="10"/>
  <c r="C213" i="10"/>
  <c r="D200" i="10"/>
  <c r="AN51" i="8" s="1"/>
  <c r="C196" i="10"/>
  <c r="AL47" i="8" s="1"/>
  <c r="D183" i="10"/>
  <c r="AN34" i="8" s="1"/>
  <c r="C179" i="10"/>
  <c r="AL30" i="8" s="1"/>
  <c r="C166" i="10"/>
  <c r="AL17" i="8" s="1"/>
  <c r="D153" i="10"/>
  <c r="AN4" i="8" s="1"/>
  <c r="C149" i="10"/>
  <c r="AG50" i="8" s="1"/>
  <c r="D136" i="10"/>
  <c r="AI37" i="8" s="1"/>
  <c r="C132" i="10"/>
  <c r="AG33" i="8" s="1"/>
  <c r="D119" i="10"/>
  <c r="AI20" i="8" s="1"/>
  <c r="C115" i="10"/>
  <c r="AG16" i="8" s="1"/>
  <c r="C102" i="10"/>
  <c r="AG3" i="8" s="1"/>
  <c r="D89" i="10"/>
  <c r="AD40" i="8" s="1"/>
  <c r="C85" i="10"/>
  <c r="AB36" i="8" s="1"/>
  <c r="D72" i="10"/>
  <c r="AD23" i="8" s="1"/>
  <c r="C68" i="10"/>
  <c r="AB19" i="8" s="1"/>
  <c r="C301" i="10"/>
  <c r="C296" i="10"/>
  <c r="C285" i="10"/>
  <c r="C280" i="10"/>
  <c r="C269" i="10"/>
  <c r="C264" i="10"/>
  <c r="C253" i="10"/>
  <c r="C248" i="10"/>
  <c r="D243" i="10"/>
  <c r="C234" i="10"/>
  <c r="D221" i="10"/>
  <c r="C217" i="10"/>
  <c r="D204" i="10"/>
  <c r="C200" i="10"/>
  <c r="AL51" i="8" s="1"/>
  <c r="D187" i="10"/>
  <c r="AN38" i="8" s="1"/>
  <c r="C183" i="10"/>
  <c r="AL34" i="8" s="1"/>
  <c r="C170" i="10"/>
  <c r="AL21" i="8" s="1"/>
  <c r="D157" i="10"/>
  <c r="AN8" i="8" s="1"/>
  <c r="C153" i="10"/>
  <c r="AL4" i="8" s="1"/>
  <c r="D140" i="10"/>
  <c r="AI41" i="8" s="1"/>
  <c r="C136" i="10"/>
  <c r="AG37" i="8" s="1"/>
  <c r="D123" i="10"/>
  <c r="AI24" i="8" s="1"/>
  <c r="C119" i="10"/>
  <c r="AG20" i="8" s="1"/>
  <c r="C106" i="10"/>
  <c r="AG7" i="8" s="1"/>
  <c r="D93" i="10"/>
  <c r="AD44" i="8" s="1"/>
  <c r="C89" i="10"/>
  <c r="AB40" i="8" s="1"/>
  <c r="D76" i="10"/>
  <c r="AD27" i="8" s="1"/>
  <c r="C72" i="10"/>
  <c r="AB23" i="8" s="1"/>
  <c r="C238" i="10"/>
  <c r="D225" i="10"/>
  <c r="C221" i="10"/>
  <c r="D208" i="10"/>
  <c r="C204" i="10"/>
  <c r="D191" i="10"/>
  <c r="AN42" i="8" s="1"/>
  <c r="C187" i="10"/>
  <c r="AL38" i="8" s="1"/>
  <c r="C174" i="10"/>
  <c r="AL25" i="8" s="1"/>
  <c r="D161" i="10"/>
  <c r="AN12" i="8" s="1"/>
  <c r="C157" i="10"/>
  <c r="AL8" i="8" s="1"/>
  <c r="D144" i="10"/>
  <c r="AI45" i="8" s="1"/>
  <c r="C140" i="10"/>
  <c r="AG41" i="8" s="1"/>
  <c r="D127" i="10"/>
  <c r="AI28" i="8" s="1"/>
  <c r="C123" i="10"/>
  <c r="AG24" i="8" s="1"/>
  <c r="C110" i="10"/>
  <c r="AG11" i="8" s="1"/>
  <c r="D97" i="10"/>
  <c r="AD48" i="8" s="1"/>
  <c r="C93" i="10"/>
  <c r="AB44" i="8" s="1"/>
  <c r="D80" i="10"/>
  <c r="AD31" i="8" s="1"/>
  <c r="C76" i="10"/>
  <c r="AB27" i="8" s="1"/>
  <c r="D63" i="10"/>
  <c r="AD14" i="8" s="1"/>
  <c r="D59" i="10"/>
  <c r="AD10" i="8" s="1"/>
  <c r="C48" i="10"/>
  <c r="W49" i="8" s="1"/>
  <c r="D44" i="10"/>
  <c r="Y45" i="8" s="1"/>
  <c r="C35" i="10"/>
  <c r="W36" i="8" s="1"/>
  <c r="C18" i="10"/>
  <c r="W19" i="8" s="1"/>
  <c r="C14" i="10"/>
  <c r="W15" i="8" s="1"/>
  <c r="D5" i="10"/>
  <c r="Y6" i="8" s="1"/>
  <c r="D229" i="10"/>
  <c r="C225" i="10"/>
  <c r="D212" i="10"/>
  <c r="C208" i="10"/>
  <c r="D195" i="10"/>
  <c r="AN46" i="8" s="1"/>
  <c r="C191" i="10"/>
  <c r="AL42" i="8" s="1"/>
  <c r="C178" i="10"/>
  <c r="AL29" i="8" s="1"/>
  <c r="D165" i="10"/>
  <c r="AN16" i="8" s="1"/>
  <c r="C161" i="10"/>
  <c r="AL12" i="8" s="1"/>
  <c r="D148" i="10"/>
  <c r="AI49" i="8" s="1"/>
  <c r="C144" i="10"/>
  <c r="AG45" i="8" s="1"/>
  <c r="D131" i="10"/>
  <c r="AI32" i="8" s="1"/>
  <c r="C127" i="10"/>
  <c r="AG28" i="8" s="1"/>
  <c r="C114" i="10"/>
  <c r="AG15" i="8" s="1"/>
  <c r="D101" i="10"/>
  <c r="AD52" i="8" s="1"/>
  <c r="C97" i="10"/>
  <c r="AB48" i="8" s="1"/>
  <c r="D84" i="10"/>
  <c r="AD35" i="8" s="1"/>
  <c r="C80" i="10"/>
  <c r="AB31" i="8" s="1"/>
  <c r="D67" i="10"/>
  <c r="AD18" i="8" s="1"/>
  <c r="C63" i="10"/>
  <c r="AB14" i="8" s="1"/>
  <c r="C55" i="10"/>
  <c r="AB6" i="8" s="1"/>
  <c r="D40" i="10"/>
  <c r="Y41" i="8" s="1"/>
  <c r="D33" i="10"/>
  <c r="Y34" i="8" s="1"/>
  <c r="D31" i="10"/>
  <c r="Y32" i="8" s="1"/>
  <c r="D29" i="10"/>
  <c r="Y30" i="8" s="1"/>
  <c r="C20" i="10"/>
  <c r="W21" i="8" s="1"/>
  <c r="C9" i="10"/>
  <c r="W10" i="8" s="1"/>
  <c r="D300" i="10"/>
  <c r="D289" i="10"/>
  <c r="D284" i="10"/>
  <c r="D273" i="10"/>
  <c r="D268" i="10"/>
  <c r="D257" i="10"/>
  <c r="D252" i="10"/>
  <c r="D247" i="10"/>
  <c r="D233" i="10"/>
  <c r="C229" i="10"/>
  <c r="D216" i="10"/>
  <c r="C212" i="10"/>
  <c r="D199" i="10"/>
  <c r="AN50" i="8" s="1"/>
  <c r="C195" i="10"/>
  <c r="AL46" i="8" s="1"/>
  <c r="C182" i="10"/>
  <c r="AL33" i="8" s="1"/>
  <c r="D169" i="10"/>
  <c r="AN20" i="8" s="1"/>
  <c r="C165" i="10"/>
  <c r="AL16" i="8" s="1"/>
  <c r="D152" i="10"/>
  <c r="AN3" i="8" s="1"/>
  <c r="C148" i="10"/>
  <c r="AG49" i="8" s="1"/>
  <c r="D135" i="10"/>
  <c r="AI36" i="8" s="1"/>
  <c r="C131" i="10"/>
  <c r="AG32" i="8" s="1"/>
  <c r="C118" i="10"/>
  <c r="AG19" i="8" s="1"/>
  <c r="D105" i="10"/>
  <c r="AI6" i="8" s="1"/>
  <c r="C101" i="10"/>
  <c r="AB52" i="8" s="1"/>
  <c r="D88" i="10"/>
  <c r="AD39" i="8" s="1"/>
  <c r="C84" i="10"/>
  <c r="AB35" i="8" s="1"/>
  <c r="D71" i="10"/>
  <c r="AD22" i="8" s="1"/>
  <c r="C67" i="10"/>
  <c r="AB18" i="8" s="1"/>
  <c r="C300" i="10"/>
  <c r="C289" i="10"/>
  <c r="C284" i="10"/>
  <c r="C273" i="10"/>
  <c r="C268" i="10"/>
  <c r="C257" i="10"/>
  <c r="C252" i="10"/>
  <c r="D237" i="10"/>
  <c r="C233" i="10"/>
  <c r="D220" i="10"/>
  <c r="C216" i="10"/>
  <c r="D203" i="10"/>
  <c r="C199" i="10"/>
  <c r="AL50" i="8" s="1"/>
  <c r="C186" i="10"/>
  <c r="AL37" i="8" s="1"/>
  <c r="D173" i="10"/>
  <c r="AN24" i="8" s="1"/>
  <c r="C169" i="10"/>
  <c r="AL20" i="8" s="1"/>
  <c r="D156" i="10"/>
  <c r="AN7" i="8" s="1"/>
  <c r="C152" i="10"/>
  <c r="AL3" i="8" s="1"/>
  <c r="D139" i="10"/>
  <c r="AI40" i="8" s="1"/>
  <c r="C135" i="10"/>
  <c r="AG36" i="8" s="1"/>
  <c r="C122" i="10"/>
  <c r="AG23" i="8" s="1"/>
  <c r="D109" i="10"/>
  <c r="AI10" i="8" s="1"/>
  <c r="C105" i="10"/>
  <c r="AG6" i="8" s="1"/>
  <c r="D92" i="10"/>
  <c r="AD43" i="8" s="1"/>
  <c r="C88" i="10"/>
  <c r="AB39" i="8" s="1"/>
  <c r="D75" i="10"/>
  <c r="AD26" i="8" s="1"/>
  <c r="C71" i="10"/>
  <c r="AB22" i="8" s="1"/>
  <c r="I54" i="10"/>
  <c r="D241" i="10"/>
  <c r="C237" i="10"/>
  <c r="D224" i="10"/>
  <c r="C220" i="10"/>
  <c r="D207" i="10"/>
  <c r="C203" i="10"/>
  <c r="C190" i="10"/>
  <c r="AL41" i="8" s="1"/>
  <c r="D177" i="10"/>
  <c r="AN28" i="8" s="1"/>
  <c r="C173" i="10"/>
  <c r="AL24" i="8" s="1"/>
  <c r="D160" i="10"/>
  <c r="AN11" i="8" s="1"/>
  <c r="C156" i="10"/>
  <c r="AL7" i="8" s="1"/>
  <c r="D143" i="10"/>
  <c r="AI44" i="8" s="1"/>
  <c r="C139" i="10"/>
  <c r="AG40" i="8" s="1"/>
  <c r="C126" i="10"/>
  <c r="AG27" i="8" s="1"/>
  <c r="D113" i="10"/>
  <c r="AI14" i="8" s="1"/>
  <c r="C109" i="10"/>
  <c r="AG10" i="8" s="1"/>
  <c r="D96" i="10"/>
  <c r="AD47" i="8" s="1"/>
  <c r="C92" i="10"/>
  <c r="AB43" i="8" s="1"/>
  <c r="D79" i="10"/>
  <c r="AD30" i="8" s="1"/>
  <c r="C75" i="10"/>
  <c r="AB26" i="8" s="1"/>
  <c r="C62" i="10"/>
  <c r="AB13" i="8" s="1"/>
  <c r="C51" i="10"/>
  <c r="W52" i="8" s="1"/>
  <c r="I39" i="10"/>
  <c r="C22" i="10"/>
  <c r="W23" i="8" s="1"/>
  <c r="C241" i="10"/>
  <c r="D228" i="10"/>
  <c r="C224" i="10"/>
  <c r="D211" i="10"/>
  <c r="C207" i="10"/>
  <c r="C194" i="10"/>
  <c r="AL45" i="8" s="1"/>
  <c r="D181" i="10"/>
  <c r="AN32" i="8" s="1"/>
  <c r="C177" i="10"/>
  <c r="AL28" i="8" s="1"/>
  <c r="D164" i="10"/>
  <c r="AN15" i="8" s="1"/>
  <c r="C160" i="10"/>
  <c r="AL11" i="8" s="1"/>
  <c r="D147" i="10"/>
  <c r="AI48" i="8" s="1"/>
  <c r="C143" i="10"/>
  <c r="AG44" i="8" s="1"/>
  <c r="C130" i="10"/>
  <c r="AG31" i="8" s="1"/>
  <c r="D117" i="10"/>
  <c r="AI18" i="8" s="1"/>
  <c r="C113" i="10"/>
  <c r="AG14" i="8" s="1"/>
  <c r="D100" i="10"/>
  <c r="AD51" i="8" s="1"/>
  <c r="C96" i="10"/>
  <c r="AB47" i="8" s="1"/>
  <c r="D83" i="10"/>
  <c r="AD34" i="8" s="1"/>
  <c r="C79" i="10"/>
  <c r="AB30" i="8" s="1"/>
  <c r="C66" i="10"/>
  <c r="AB17" i="8" s="1"/>
  <c r="J57" i="10"/>
  <c r="D37" i="10"/>
  <c r="Y38" i="8" s="1"/>
  <c r="C13" i="10"/>
  <c r="W14" i="8" s="1"/>
  <c r="D10" i="10"/>
  <c r="Y11" i="8" s="1"/>
  <c r="D6" i="10"/>
  <c r="Y7" i="8" s="1"/>
  <c r="D293" i="10"/>
  <c r="D288" i="10"/>
  <c r="D277" i="10"/>
  <c r="D272" i="10"/>
  <c r="D261" i="10"/>
  <c r="D256" i="10"/>
  <c r="D232" i="10"/>
  <c r="C228" i="10"/>
  <c r="D215" i="10"/>
  <c r="C211" i="10"/>
  <c r="C10" i="10"/>
  <c r="W11" i="8" s="1"/>
  <c r="D18" i="10"/>
  <c r="Y19" i="8" s="1"/>
  <c r="C52" i="10"/>
  <c r="AB3" i="8" s="1"/>
  <c r="D231" i="10"/>
  <c r="C34" i="10"/>
  <c r="W35" i="8" s="1"/>
  <c r="D73" i="10"/>
  <c r="AD24" i="8" s="1"/>
  <c r="C86" i="10"/>
  <c r="AB37" i="8" s="1"/>
  <c r="C277" i="10"/>
  <c r="D61" i="10"/>
  <c r="AD12" i="8" s="1"/>
  <c r="D219" i="10"/>
  <c r="C3" i="10"/>
  <c r="W4" i="8" s="1"/>
  <c r="C37" i="10"/>
  <c r="W38" i="8" s="1"/>
  <c r="C57" i="10"/>
  <c r="AB8" i="8" s="1"/>
  <c r="D104" i="10"/>
  <c r="AI5" i="8" s="1"/>
  <c r="C292" i="10"/>
  <c r="D3" i="10"/>
  <c r="Y4" i="8" s="1"/>
  <c r="D26" i="10"/>
  <c r="Y27" i="8" s="1"/>
  <c r="I32" i="10"/>
  <c r="J34" i="10"/>
  <c r="I44" i="10"/>
  <c r="D57" i="10"/>
  <c r="AD8" i="8" s="1"/>
  <c r="C74" i="10"/>
  <c r="AB25" i="8" s="1"/>
  <c r="C87" i="10"/>
  <c r="AB38" i="8" s="1"/>
  <c r="D99" i="10"/>
  <c r="AD50" i="8" s="1"/>
  <c r="C147" i="10"/>
  <c r="AG48" i="8" s="1"/>
  <c r="D159" i="10"/>
  <c r="AN10" i="8" s="1"/>
  <c r="D171" i="10"/>
  <c r="AN22" i="8" s="1"/>
  <c r="C201" i="10"/>
  <c r="AL52" i="8" s="1"/>
  <c r="C214" i="10"/>
  <c r="C245" i="10"/>
  <c r="C265" i="10"/>
  <c r="C272" i="10"/>
  <c r="D292" i="10"/>
  <c r="J14" i="10"/>
  <c r="I16" i="10"/>
  <c r="J21" i="10"/>
  <c r="I37" i="10"/>
  <c r="C49" i="10"/>
  <c r="W50" i="8" s="1"/>
  <c r="J53" i="10"/>
  <c r="C69" i="10"/>
  <c r="AB20" i="8" s="1"/>
  <c r="D87" i="10"/>
  <c r="AD38" i="8" s="1"/>
  <c r="C117" i="10"/>
  <c r="AG18" i="8" s="1"/>
  <c r="C129" i="10"/>
  <c r="AG30" i="8" s="1"/>
  <c r="D141" i="10"/>
  <c r="AI42" i="8" s="1"/>
  <c r="C189" i="10"/>
  <c r="AL40" i="8" s="1"/>
  <c r="D201" i="10"/>
  <c r="AN52" i="8" s="1"/>
  <c r="C227" i="10"/>
  <c r="D245" i="10"/>
  <c r="D265" i="10"/>
  <c r="C121" i="10"/>
  <c r="AG22" i="8" s="1"/>
  <c r="D121" i="10"/>
  <c r="AI22" i="8" s="1"/>
  <c r="D176" i="10"/>
  <c r="AN27" i="8" s="1"/>
  <c r="C26" i="10"/>
  <c r="W27" i="8" s="1"/>
  <c r="C134" i="10"/>
  <c r="AG35" i="8" s="1"/>
  <c r="J26" i="10"/>
  <c r="D45" i="10"/>
  <c r="Y46" i="8" s="1"/>
  <c r="D69" i="10"/>
  <c r="AD20" i="8" s="1"/>
  <c r="D129" i="10"/>
  <c r="AI30" i="8" s="1"/>
  <c r="C154" i="10"/>
  <c r="AL5" i="8" s="1"/>
  <c r="C184" i="10"/>
  <c r="AL35" i="8" s="1"/>
  <c r="D189" i="10"/>
  <c r="AN40" i="8" s="1"/>
  <c r="D227" i="10"/>
  <c r="J36" i="10"/>
  <c r="C16" i="10"/>
  <c r="W17" i="8" s="1"/>
  <c r="D297" i="10"/>
  <c r="D34" i="10"/>
  <c r="Y35" i="8" s="1"/>
  <c r="C99" i="10"/>
  <c r="AB50" i="8" s="1"/>
  <c r="I49" i="10"/>
  <c r="C54" i="10"/>
  <c r="AB5" i="8" s="1"/>
  <c r="C82" i="10"/>
  <c r="AB33" i="8" s="1"/>
  <c r="C100" i="10"/>
  <c r="AB51" i="8" s="1"/>
  <c r="C112" i="10"/>
  <c r="AG13" i="8" s="1"/>
  <c r="C172" i="10"/>
  <c r="AL23" i="8" s="1"/>
  <c r="D184" i="10"/>
  <c r="AN35" i="8" s="1"/>
  <c r="C215" i="10"/>
  <c r="C240" i="10"/>
  <c r="C260" i="10"/>
  <c r="C293" i="10"/>
  <c r="D7" i="10"/>
  <c r="Y8" i="8" s="1"/>
  <c r="C297" i="10"/>
  <c r="C61" i="10"/>
  <c r="AB12" i="8" s="1"/>
  <c r="D244" i="10"/>
  <c r="D116" i="10"/>
  <c r="AI17" i="8" s="1"/>
  <c r="J32" i="10"/>
  <c r="C232" i="10"/>
  <c r="C24" i="10"/>
  <c r="W25" i="8" s="1"/>
  <c r="I19" i="10"/>
  <c r="D54" i="10"/>
  <c r="AD5" i="8" s="1"/>
  <c r="D112" i="10"/>
  <c r="AI13" i="8" s="1"/>
  <c r="D124" i="10"/>
  <c r="AI25" i="8" s="1"/>
  <c r="C142" i="10"/>
  <c r="AG43" i="8" s="1"/>
  <c r="C167" i="10"/>
  <c r="AL18" i="8" s="1"/>
  <c r="D172" i="10"/>
  <c r="AN23" i="8" s="1"/>
  <c r="C202" i="10"/>
  <c r="D240" i="10"/>
  <c r="D260" i="10"/>
  <c r="C73" i="10"/>
  <c r="AB24" i="8" s="1"/>
  <c r="J4" i="10"/>
  <c r="C176" i="10"/>
  <c r="AL27" i="8" s="1"/>
  <c r="D14" i="10"/>
  <c r="Y15" i="8" s="1"/>
  <c r="D28" i="10"/>
  <c r="Y29" i="8" s="1"/>
  <c r="C159" i="10"/>
  <c r="AL10" i="8" s="1"/>
  <c r="D2" i="10"/>
  <c r="Y3" i="8" s="1"/>
  <c r="J19" i="10"/>
  <c r="C38" i="10"/>
  <c r="W39" i="8" s="1"/>
  <c r="C70" i="10"/>
  <c r="AB21" i="8" s="1"/>
  <c r="C95" i="10"/>
  <c r="AB46" i="8" s="1"/>
  <c r="C155" i="10"/>
  <c r="AL6" i="8" s="1"/>
  <c r="D167" i="10"/>
  <c r="AN18" i="8" s="1"/>
  <c r="C197" i="10"/>
  <c r="AL48" i="8" s="1"/>
  <c r="D133" i="10"/>
  <c r="AI34" i="8" s="1"/>
  <c r="D48" i="10"/>
  <c r="Y49" i="8" s="1"/>
  <c r="C164" i="10"/>
  <c r="AL15" i="8" s="1"/>
  <c r="D188" i="10"/>
  <c r="AN39" i="8" s="1"/>
  <c r="I12" i="10"/>
  <c r="D15" i="10"/>
  <c r="Y16" i="8" s="1"/>
  <c r="C31" i="10"/>
  <c r="W32" i="8" s="1"/>
  <c r="C46" i="10"/>
  <c r="W47" i="8" s="1"/>
  <c r="C83" i="10"/>
  <c r="AB34" i="8" s="1"/>
  <c r="D95" i="10"/>
  <c r="AD46" i="8" s="1"/>
  <c r="D107" i="10"/>
  <c r="AI8" i="8" s="1"/>
  <c r="C137" i="10"/>
  <c r="AG38" i="8" s="1"/>
  <c r="D155" i="10"/>
  <c r="AN6" i="8" s="1"/>
  <c r="C185" i="10"/>
  <c r="AL36" i="8" s="1"/>
  <c r="D197" i="10"/>
  <c r="AN48" i="8" s="1"/>
  <c r="D235" i="10"/>
  <c r="C281" i="10"/>
  <c r="C288" i="10"/>
  <c r="D39" i="10"/>
  <c r="Y40" i="8" s="1"/>
  <c r="C116" i="10"/>
  <c r="AG17" i="8" s="1"/>
  <c r="C206" i="10"/>
  <c r="J12" i="10"/>
  <c r="C29" i="10"/>
  <c r="W30" i="8" s="1"/>
  <c r="J35" i="10"/>
  <c r="C42" i="10"/>
  <c r="W43" i="8" s="1"/>
  <c r="C65" i="10"/>
  <c r="AB16" i="8" s="1"/>
  <c r="D77" i="10"/>
  <c r="AD28" i="8" s="1"/>
  <c r="C125" i="10"/>
  <c r="AG26" i="8" s="1"/>
  <c r="D137" i="10"/>
  <c r="AI38" i="8" s="1"/>
  <c r="C150" i="10"/>
  <c r="AG51" i="8" s="1"/>
  <c r="C180" i="10"/>
  <c r="AL31" i="8" s="1"/>
  <c r="D185" i="10"/>
  <c r="AN36" i="8" s="1"/>
  <c r="C210" i="10"/>
  <c r="C223" i="10"/>
  <c r="C261" i="10"/>
  <c r="D281" i="10"/>
  <c r="D91" i="10"/>
  <c r="AD42" i="8" s="1"/>
  <c r="C146" i="10"/>
  <c r="AG47" i="8" s="1"/>
  <c r="C104" i="10"/>
  <c r="AG5" i="8" s="1"/>
  <c r="D8" i="10"/>
  <c r="Y9" i="8" s="1"/>
  <c r="I22" i="10"/>
  <c r="D11" i="10"/>
  <c r="Y12" i="8" s="1"/>
  <c r="D42" i="10"/>
  <c r="Y43" i="8" s="1"/>
  <c r="D51" i="10"/>
  <c r="Y52" i="8" s="1"/>
  <c r="D65" i="10"/>
  <c r="AD16" i="8" s="1"/>
  <c r="C90" i="10"/>
  <c r="AB41" i="8" s="1"/>
  <c r="C120" i="10"/>
  <c r="AG21" i="8" s="1"/>
  <c r="D125" i="10"/>
  <c r="AI26" i="8" s="1"/>
  <c r="C168" i="10"/>
  <c r="AL19" i="8" s="1"/>
  <c r="D180" i="10"/>
  <c r="AN31" i="8" s="1"/>
  <c r="D223" i="10"/>
  <c r="D193" i="10"/>
  <c r="AN44" i="8" s="1"/>
  <c r="I56" i="10"/>
  <c r="C219" i="10"/>
  <c r="D16" i="10"/>
  <c r="Y17" i="8" s="1"/>
  <c r="C11" i="10"/>
  <c r="W12" i="8" s="1"/>
  <c r="C25" i="10"/>
  <c r="W26" i="8" s="1"/>
  <c r="I8" i="10"/>
  <c r="J29" i="10"/>
  <c r="J55" i="10"/>
  <c r="C108" i="10"/>
  <c r="AG9" i="8" s="1"/>
  <c r="D120" i="10"/>
  <c r="AI21" i="8" s="1"/>
  <c r="C163" i="10"/>
  <c r="AL14" i="8" s="1"/>
  <c r="D168" i="10"/>
  <c r="AN19" i="8" s="1"/>
  <c r="C198" i="10"/>
  <c r="AL49" i="8" s="1"/>
  <c r="C236" i="10"/>
  <c r="C276" i="10"/>
  <c r="I17" i="10"/>
  <c r="J24" i="10"/>
  <c r="J46" i="10"/>
  <c r="J3" i="10"/>
  <c r="J51" i="10"/>
  <c r="I27" i="10"/>
  <c r="J59" i="10"/>
  <c r="J48" i="10"/>
  <c r="J56" i="10"/>
  <c r="C2" i="10"/>
  <c r="W3" i="8" s="1"/>
  <c r="J16" i="10"/>
  <c r="I31" i="10"/>
  <c r="J39" i="10"/>
  <c r="J45" i="10"/>
  <c r="I57" i="10"/>
  <c r="I2" i="10"/>
  <c r="I6" i="10"/>
  <c r="J28" i="10"/>
  <c r="I33" i="10"/>
  <c r="I10" i="10"/>
  <c r="I52" i="10"/>
  <c r="J30" i="10"/>
  <c r="J43" i="10"/>
  <c r="J5" i="10"/>
  <c r="J15" i="10"/>
  <c r="J9" i="10"/>
  <c r="J25" i="10"/>
  <c r="I38" i="10"/>
  <c r="R13" i="2"/>
  <c r="I41" i="2" s="1"/>
  <c r="S4" i="17"/>
  <c r="AF4" i="17"/>
  <c r="S5" i="17"/>
  <c r="S6" i="17"/>
  <c r="S7" i="17"/>
  <c r="J2" i="10"/>
  <c r="J17" i="10"/>
  <c r="I34" i="10"/>
  <c r="I36" i="10"/>
  <c r="J10" i="10"/>
  <c r="I24" i="10"/>
  <c r="I26" i="10"/>
  <c r="I46" i="10"/>
  <c r="I9" i="10"/>
  <c r="J49" i="10"/>
  <c r="J6" i="10"/>
  <c r="I21" i="10"/>
  <c r="I43" i="10"/>
  <c r="I3" i="10"/>
  <c r="J8" i="10"/>
  <c r="J22" i="10"/>
  <c r="J52" i="10"/>
  <c r="I59" i="10"/>
  <c r="R16" i="2"/>
  <c r="AR20" i="16" s="1"/>
  <c r="J44" i="10"/>
  <c r="I51" i="10"/>
  <c r="J50" i="10"/>
  <c r="I50" i="10"/>
  <c r="J11" i="10"/>
  <c r="I11" i="10"/>
  <c r="J23" i="10"/>
  <c r="I23" i="10"/>
  <c r="J42" i="10"/>
  <c r="I42" i="10"/>
  <c r="J41" i="10"/>
  <c r="I41" i="10"/>
  <c r="J18" i="10"/>
  <c r="I18" i="10"/>
  <c r="J7" i="10"/>
  <c r="I7" i="10"/>
  <c r="J40" i="10"/>
  <c r="I40" i="10"/>
  <c r="J58" i="10"/>
  <c r="I58" i="10"/>
  <c r="J27" i="10"/>
  <c r="J31" i="10"/>
  <c r="J33" i="10"/>
  <c r="I4" i="10"/>
  <c r="I45" i="10"/>
  <c r="I53" i="10"/>
  <c r="J37" i="10"/>
  <c r="I5" i="10"/>
  <c r="I25" i="10"/>
  <c r="I29" i="10"/>
  <c r="I35" i="10"/>
  <c r="I47" i="10"/>
  <c r="I55" i="10"/>
  <c r="AS3" i="3" a="1"/>
  <c r="AS3" i="3" s="1"/>
  <c r="P60" i="2" s="1"/>
  <c r="I20" i="10"/>
  <c r="AW2" i="16" l="1"/>
  <c r="AQ19" i="16"/>
  <c r="AC2" i="16"/>
  <c r="AP32" i="2" s="1"/>
  <c r="A260" i="29" a="1"/>
  <c r="A260" i="29" s="1"/>
  <c r="A103" i="29" a="1"/>
  <c r="A103" i="29" s="1"/>
  <c r="A46" i="29" a="1"/>
  <c r="A46" i="29" s="1"/>
  <c r="A3" i="29" a="1"/>
  <c r="A3" i="29" s="1"/>
  <c r="A252" i="29" a="1"/>
  <c r="A252" i="29" s="1"/>
  <c r="A49" i="29" a="1"/>
  <c r="A49" i="29" s="1"/>
  <c r="A212" i="29" a="1"/>
  <c r="A212" i="29" s="1"/>
  <c r="A50" i="29" a="1"/>
  <c r="A50" i="29" s="1"/>
  <c r="A167" i="29" a="1"/>
  <c r="A167" i="29" s="1"/>
  <c r="A214" i="29" a="1"/>
  <c r="A214" i="29" s="1"/>
  <c r="A94" i="29" a="1"/>
  <c r="A94" i="29" s="1"/>
  <c r="A240" i="29" a="1"/>
  <c r="A240" i="29" s="1"/>
  <c r="A131" i="29" a="1"/>
  <c r="A131" i="29" s="1"/>
  <c r="A172" i="29" a="1"/>
  <c r="A172" i="29" s="1"/>
  <c r="A241" i="29" a="1"/>
  <c r="A241" i="29" s="1"/>
  <c r="A229" i="29" a="1"/>
  <c r="A229" i="29" s="1"/>
  <c r="A23" i="29" a="1"/>
  <c r="A23" i="29" s="1"/>
  <c r="A152" i="29" a="1"/>
  <c r="A152" i="29" s="1"/>
  <c r="A27" i="29" a="1"/>
  <c r="A27" i="29" s="1"/>
  <c r="A166" i="29" a="1"/>
  <c r="A166" i="29" s="1"/>
  <c r="A81" i="29" a="1"/>
  <c r="A81" i="29" s="1"/>
  <c r="A158" i="29" a="1"/>
  <c r="A158" i="29" s="1"/>
  <c r="A231" i="29" a="1"/>
  <c r="A231" i="29" s="1"/>
  <c r="A18" i="29" a="1"/>
  <c r="A18" i="29" s="1"/>
  <c r="A12" i="29" a="1"/>
  <c r="A12" i="29" s="1"/>
  <c r="A160" i="29" a="1"/>
  <c r="A160" i="29" s="1"/>
  <c r="A74" i="29" a="1"/>
  <c r="A74" i="29" s="1"/>
  <c r="A17" i="29" a="1"/>
  <c r="A17" i="29" s="1"/>
  <c r="A243" i="29" a="1"/>
  <c r="A243" i="29" s="1"/>
  <c r="A62" i="29" a="1"/>
  <c r="A62" i="29" s="1"/>
  <c r="A55" i="29" a="1"/>
  <c r="A55" i="29" s="1"/>
  <c r="A63" i="29" a="1"/>
  <c r="A63" i="29" s="1"/>
  <c r="A197" i="29" a="1"/>
  <c r="A197" i="29" s="1"/>
  <c r="A56" i="29" a="1"/>
  <c r="A56" i="29" s="1"/>
  <c r="A108" i="29" a="1"/>
  <c r="A108" i="29" s="1"/>
  <c r="A127" i="29" a="1"/>
  <c r="A127" i="29" s="1"/>
  <c r="A202" i="29" a="1"/>
  <c r="A202" i="29" s="1"/>
  <c r="A175" i="29" a="1"/>
  <c r="A175" i="29" s="1"/>
  <c r="A257" i="29" a="1"/>
  <c r="A257" i="29" s="1"/>
  <c r="A10" i="29" a="1"/>
  <c r="A10" i="29" s="1"/>
  <c r="A54" i="29" a="1"/>
  <c r="A54" i="29" s="1"/>
  <c r="A77" i="29" a="1"/>
  <c r="A77" i="29" s="1"/>
  <c r="A78" i="29" a="1"/>
  <c r="A78" i="29" s="1"/>
  <c r="A225" i="29" a="1"/>
  <c r="A225" i="29" s="1"/>
  <c r="A115" i="29" a="1"/>
  <c r="A115" i="29" s="1"/>
  <c r="A124" i="29" a="1"/>
  <c r="A124" i="29" s="1"/>
  <c r="A173" i="29" a="1"/>
  <c r="A173" i="29" s="1"/>
  <c r="A22" i="29" a="1"/>
  <c r="A22" i="29" s="1"/>
  <c r="A38" i="29" a="1"/>
  <c r="A38" i="29" s="1"/>
  <c r="A129" i="29" a="1"/>
  <c r="A129" i="29" s="1"/>
  <c r="A256" i="29" a="1"/>
  <c r="A256" i="29" s="1"/>
  <c r="A188" i="29" a="1"/>
  <c r="A188" i="29" s="1"/>
  <c r="A139" i="29" a="1"/>
  <c r="A139" i="29" s="1"/>
  <c r="A132" i="29" a="1"/>
  <c r="A132" i="29" s="1"/>
  <c r="A53" i="29" a="1"/>
  <c r="A53" i="29" s="1"/>
  <c r="A201" i="29" a="1"/>
  <c r="A201" i="29" s="1"/>
  <c r="A159" i="29" a="1"/>
  <c r="A159" i="29" s="1"/>
  <c r="A52" i="29" a="1"/>
  <c r="A52" i="29" s="1"/>
  <c r="A67" i="29" a="1"/>
  <c r="A67" i="29" s="1"/>
  <c r="A11" i="29" a="1"/>
  <c r="A11" i="29" s="1"/>
  <c r="A128" i="29" a="1"/>
  <c r="A128" i="29" s="1"/>
  <c r="A191" i="29" a="1"/>
  <c r="A191" i="29" s="1"/>
  <c r="A85" i="29" a="1"/>
  <c r="A85" i="29" s="1"/>
  <c r="A96" i="29" a="1"/>
  <c r="A96" i="29" s="1"/>
  <c r="A189" i="29" a="1"/>
  <c r="A189" i="29" s="1"/>
  <c r="A110" i="29" a="1"/>
  <c r="A110" i="29" s="1"/>
  <c r="A9" i="29" a="1"/>
  <c r="A9" i="29" s="1"/>
  <c r="A221" i="29" a="1"/>
  <c r="A221" i="29" s="1"/>
  <c r="A84" i="29" a="1"/>
  <c r="A84" i="29" s="1"/>
  <c r="A87" i="29" a="1"/>
  <c r="A87" i="29" s="1"/>
  <c r="A34" i="29" a="1"/>
  <c r="A34" i="29" s="1"/>
  <c r="A79" i="29" a="1"/>
  <c r="A79" i="29" s="1"/>
  <c r="A28" i="29" a="1"/>
  <c r="A28" i="29" s="1"/>
  <c r="A251" i="29" a="1"/>
  <c r="A251" i="29" s="1"/>
  <c r="A89" i="29" a="1"/>
  <c r="A89" i="29" s="1"/>
  <c r="A33" i="29" a="1"/>
  <c r="A33" i="29" s="1"/>
  <c r="A83" i="29" a="1"/>
  <c r="A83" i="29" s="1"/>
  <c r="A156" i="29" a="1"/>
  <c r="A156" i="29" s="1"/>
  <c r="A199" i="29" a="1"/>
  <c r="A199" i="29" s="1"/>
  <c r="A114" i="29" a="1"/>
  <c r="A114" i="29" s="1"/>
  <c r="A258" i="29" a="1"/>
  <c r="A258" i="29" s="1"/>
  <c r="A245" i="29" a="1"/>
  <c r="A245" i="29" s="1"/>
  <c r="A216" i="29" a="1"/>
  <c r="A216" i="29" s="1"/>
  <c r="A66" i="29" a="1"/>
  <c r="A66" i="29" s="1"/>
  <c r="A219" i="29" a="1"/>
  <c r="A219" i="29" s="1"/>
  <c r="A95" i="29" a="1"/>
  <c r="A95" i="29" s="1"/>
  <c r="A35" i="29" a="1"/>
  <c r="A35" i="29" s="1"/>
  <c r="A43" i="29" a="1"/>
  <c r="A43" i="29" s="1"/>
  <c r="A262" i="29" a="1"/>
  <c r="A262" i="29" s="1"/>
  <c r="A119" i="29" a="1"/>
  <c r="A119" i="29" s="1"/>
  <c r="A48" i="29" a="1"/>
  <c r="A48" i="29" s="1"/>
  <c r="A186" i="29" a="1"/>
  <c r="A186" i="29" s="1"/>
  <c r="A92" i="29" a="1"/>
  <c r="A92" i="29" s="1"/>
  <c r="A26" i="29" a="1"/>
  <c r="A26" i="29" s="1"/>
  <c r="A93" i="29" a="1"/>
  <c r="A93" i="29" s="1"/>
  <c r="A37" i="29" a="1"/>
  <c r="A37" i="29" s="1"/>
  <c r="A68" i="29" a="1"/>
  <c r="A68" i="29" s="1"/>
  <c r="A138" i="29" a="1"/>
  <c r="A138" i="29" s="1"/>
  <c r="A235" i="29" a="1"/>
  <c r="A235" i="29" s="1"/>
  <c r="A184" i="29" a="1"/>
  <c r="A184" i="29" s="1"/>
  <c r="A206" i="29" a="1"/>
  <c r="A206" i="29" s="1"/>
  <c r="A144" i="29" a="1"/>
  <c r="A144" i="29" s="1"/>
  <c r="A57" i="29" a="1"/>
  <c r="A57" i="29" s="1"/>
  <c r="A14" i="29" a="1"/>
  <c r="A14" i="29" s="1"/>
  <c r="A134" i="29" a="1"/>
  <c r="A134" i="29" s="1"/>
  <c r="A61" i="29" a="1"/>
  <c r="A61" i="29" s="1"/>
  <c r="A70" i="29" a="1"/>
  <c r="A70" i="29" s="1"/>
  <c r="A107" i="29" a="1"/>
  <c r="A107" i="29" s="1"/>
  <c r="A130" i="29" a="1"/>
  <c r="A130" i="29" s="1"/>
  <c r="A123" i="29" a="1"/>
  <c r="A123" i="29" s="1"/>
  <c r="A155" i="29" a="1"/>
  <c r="A155" i="29" s="1"/>
  <c r="A190" i="29" a="1"/>
  <c r="A190" i="29" s="1"/>
  <c r="A227" i="29" a="1"/>
  <c r="A227" i="29" s="1"/>
  <c r="A97" i="29" a="1"/>
  <c r="A97" i="29" s="1"/>
  <c r="A135" i="29" a="1"/>
  <c r="A135" i="29" s="1"/>
  <c r="A69" i="29" a="1"/>
  <c r="A69" i="29" s="1"/>
  <c r="A226" i="29" a="1"/>
  <c r="A226" i="29" s="1"/>
  <c r="A86" i="29" a="1"/>
  <c r="A86" i="29" s="1"/>
  <c r="A30" i="29" a="1"/>
  <c r="A30" i="29" s="1"/>
  <c r="A162" i="29" a="1"/>
  <c r="A162" i="29" s="1"/>
  <c r="A76" i="29" a="1"/>
  <c r="A76" i="29" s="1"/>
  <c r="A187" i="29" a="1"/>
  <c r="A187" i="29" s="1"/>
  <c r="A122" i="29" a="1"/>
  <c r="A122" i="29" s="1"/>
  <c r="A247" i="29" a="1"/>
  <c r="A247" i="29" s="1"/>
  <c r="A249" i="29" a="1"/>
  <c r="A249" i="29" s="1"/>
  <c r="A203" i="29" a="1"/>
  <c r="A203" i="29" s="1"/>
  <c r="A200" i="29" a="1"/>
  <c r="A200" i="29" s="1"/>
  <c r="A41" i="29" a="1"/>
  <c r="A41" i="29" s="1"/>
  <c r="A102" i="29" a="1"/>
  <c r="A102" i="29" s="1"/>
  <c r="A45" i="29" a="1"/>
  <c r="A45" i="29" s="1"/>
  <c r="A2" i="29" a="1"/>
  <c r="A2" i="29" s="1"/>
  <c r="A91" i="29" a="1"/>
  <c r="A91" i="29" s="1"/>
  <c r="A42" i="29" a="1"/>
  <c r="A42" i="29" s="1"/>
  <c r="A137" i="29" a="1"/>
  <c r="A137" i="29" s="1"/>
  <c r="A101" i="29" a="1"/>
  <c r="A101" i="29" s="1"/>
  <c r="A151" i="29" a="1"/>
  <c r="A151" i="29" s="1"/>
  <c r="A24" i="29" a="1"/>
  <c r="A24" i="29" s="1"/>
  <c r="A174" i="29" a="1"/>
  <c r="A174" i="29" s="1"/>
  <c r="A181" i="29" a="1"/>
  <c r="A181" i="29" s="1"/>
  <c r="A169" i="29" a="1"/>
  <c r="A169" i="29" s="1"/>
  <c r="A126" i="29" a="1"/>
  <c r="A126" i="29" s="1"/>
  <c r="A182" i="29" a="1"/>
  <c r="A182" i="29" s="1"/>
  <c r="A71" i="29" a="1"/>
  <c r="A71" i="29" s="1"/>
  <c r="A116" i="29" a="1"/>
  <c r="A116" i="29" s="1"/>
  <c r="A59" i="29" a="1"/>
  <c r="A59" i="29" s="1"/>
  <c r="A16" i="29" a="1"/>
  <c r="A16" i="29" s="1"/>
  <c r="A106" i="29" a="1"/>
  <c r="A106" i="29" s="1"/>
  <c r="A145" i="29" a="1"/>
  <c r="A145" i="29" s="1"/>
  <c r="A150" i="29" a="1"/>
  <c r="A150" i="29" s="1"/>
  <c r="A215" i="29" a="1"/>
  <c r="A215" i="29" s="1"/>
  <c r="A165" i="29" a="1"/>
  <c r="A165" i="29" s="1"/>
  <c r="A82" i="29" a="1"/>
  <c r="A82" i="29" s="1"/>
  <c r="A161" i="29" a="1"/>
  <c r="A161" i="29" s="1"/>
  <c r="A196" i="29" a="1"/>
  <c r="A196" i="29" s="1"/>
  <c r="A259" i="29" a="1"/>
  <c r="A259" i="29" s="1"/>
  <c r="A111" i="29" a="1"/>
  <c r="A111" i="29" s="1"/>
  <c r="A64" i="29" a="1"/>
  <c r="A64" i="29" s="1"/>
  <c r="A157" i="29" a="1"/>
  <c r="A157" i="29" s="1"/>
  <c r="A248" i="29" a="1"/>
  <c r="A248" i="29" s="1"/>
  <c r="A73" i="29" a="1"/>
  <c r="A73" i="29" s="1"/>
  <c r="A32" i="29" a="1"/>
  <c r="A32" i="29" s="1"/>
  <c r="A121" i="29" a="1"/>
  <c r="A121" i="29" s="1"/>
  <c r="A246" i="29" a="1"/>
  <c r="A246" i="29" s="1"/>
  <c r="A164" i="29" a="1"/>
  <c r="A164" i="29" s="1"/>
  <c r="A232" i="29" a="1"/>
  <c r="A232" i="29" s="1"/>
  <c r="A180" i="29" a="1"/>
  <c r="A180" i="29" s="1"/>
  <c r="A143" i="29" a="1"/>
  <c r="A143" i="29" s="1"/>
  <c r="A234" i="29" a="1"/>
  <c r="A234" i="29" s="1"/>
  <c r="A209" i="29" a="1"/>
  <c r="A209" i="29" s="1"/>
  <c r="A40" i="29" a="1"/>
  <c r="A40" i="29" s="1"/>
  <c r="A177" i="29" a="1"/>
  <c r="A177" i="29" s="1"/>
  <c r="A253" i="29" a="1"/>
  <c r="A253" i="29" s="1"/>
  <c r="A98" i="29" a="1"/>
  <c r="A98" i="29" s="1"/>
  <c r="A261" i="29" a="1"/>
  <c r="A261" i="29" s="1"/>
  <c r="A88" i="29" a="1"/>
  <c r="A88" i="29" s="1"/>
  <c r="A47" i="29" a="1"/>
  <c r="A47" i="29" s="1"/>
  <c r="A136" i="29" a="1"/>
  <c r="A136" i="29" s="1"/>
  <c r="A117" i="29" a="1"/>
  <c r="A117" i="29" s="1"/>
  <c r="A179" i="29" a="1"/>
  <c r="A179" i="29" s="1"/>
  <c r="A233" i="29" a="1"/>
  <c r="A233" i="29" s="1"/>
  <c r="A223" i="29" a="1"/>
  <c r="A223" i="29" s="1"/>
  <c r="A228" i="29" a="1"/>
  <c r="A228" i="29" s="1"/>
  <c r="A205" i="29" a="1"/>
  <c r="A205" i="29" s="1"/>
  <c r="A224" i="29" a="1"/>
  <c r="A224" i="29" s="1"/>
  <c r="A113" i="29" a="1"/>
  <c r="A113" i="29" s="1"/>
  <c r="A7" i="29" a="1"/>
  <c r="A7" i="29" s="1"/>
  <c r="A141" i="29" a="1"/>
  <c r="A141" i="29" s="1"/>
  <c r="A242" i="29" a="1"/>
  <c r="A242" i="29" s="1"/>
  <c r="A146" i="29" a="1"/>
  <c r="A146" i="29" s="1"/>
  <c r="A25" i="29" a="1"/>
  <c r="A25" i="29" s="1"/>
  <c r="A163" i="29" a="1"/>
  <c r="A163" i="29" s="1"/>
  <c r="A213" i="29" a="1"/>
  <c r="A213" i="29" s="1"/>
  <c r="A21" i="29" a="1"/>
  <c r="A21" i="29" s="1"/>
  <c r="A39" i="29" a="1"/>
  <c r="A39" i="29" s="1"/>
  <c r="A237" i="29" a="1"/>
  <c r="A237" i="29" s="1"/>
  <c r="A244" i="29" a="1"/>
  <c r="A244" i="29" s="1"/>
  <c r="A171" i="29" a="1"/>
  <c r="A171" i="29" s="1"/>
  <c r="A72" i="29" a="1"/>
  <c r="A72" i="29" s="1"/>
  <c r="A230" i="29" a="1"/>
  <c r="A230" i="29" s="1"/>
  <c r="A193" i="29" a="1"/>
  <c r="A193" i="29" s="1"/>
  <c r="A210" i="29" a="1"/>
  <c r="A210" i="29" s="1"/>
  <c r="A13" i="29" a="1"/>
  <c r="A13" i="29" s="1"/>
  <c r="A104" i="29" a="1"/>
  <c r="A104" i="29" s="1"/>
  <c r="A60" i="29" a="1"/>
  <c r="A60" i="29" s="1"/>
  <c r="A149" i="29" a="1"/>
  <c r="A149" i="29" s="1"/>
  <c r="A147" i="29" a="1"/>
  <c r="A147" i="29" s="1"/>
  <c r="A195" i="29" a="1"/>
  <c r="A195" i="29" s="1"/>
  <c r="A218" i="29" a="1"/>
  <c r="A218" i="29" s="1"/>
  <c r="A238" i="29" a="1"/>
  <c r="A238" i="29" s="1"/>
  <c r="A255" i="29" a="1"/>
  <c r="A255" i="29" s="1"/>
  <c r="A154" i="29" a="1"/>
  <c r="A154" i="29" s="1"/>
  <c r="A217" i="29" a="1"/>
  <c r="A217" i="29" s="1"/>
  <c r="A153" i="29" a="1"/>
  <c r="A153" i="29" s="1"/>
  <c r="A120" i="29" a="1"/>
  <c r="A120" i="29" s="1"/>
  <c r="A31" i="29" a="1"/>
  <c r="A31" i="29" s="1"/>
  <c r="A29" i="29" a="1"/>
  <c r="A29" i="29" s="1"/>
  <c r="A118" i="29" a="1"/>
  <c r="A118" i="29" s="1"/>
  <c r="A75" i="29" a="1"/>
  <c r="A75" i="29" s="1"/>
  <c r="A178" i="29" a="1"/>
  <c r="A178" i="29" s="1"/>
  <c r="A176" i="29" a="1"/>
  <c r="A176" i="29" s="1"/>
  <c r="A208" i="29" a="1"/>
  <c r="A208" i="29" s="1"/>
  <c r="A250" i="29" a="1"/>
  <c r="A250" i="29" s="1"/>
  <c r="A254" i="29" a="1"/>
  <c r="A254" i="29" s="1"/>
  <c r="A99" i="29" a="1"/>
  <c r="A99" i="29" s="1"/>
  <c r="A6" i="29" a="1"/>
  <c r="A6" i="29" s="1"/>
  <c r="A80" i="29" a="1"/>
  <c r="A80" i="29" s="1"/>
  <c r="A1" i="29" a="1"/>
  <c r="A1" i="29" s="1"/>
  <c r="A36" i="29" a="1"/>
  <c r="A36" i="29" s="1"/>
  <c r="A168" i="29" a="1"/>
  <c r="A168" i="29" s="1"/>
  <c r="A112" i="29" a="1"/>
  <c r="A112" i="29" s="1"/>
  <c r="A204" i="29" a="1"/>
  <c r="A204" i="29" s="1"/>
  <c r="A44" i="29" a="1"/>
  <c r="A44" i="29" s="1"/>
  <c r="A133" i="29" a="1"/>
  <c r="A133" i="29" s="1"/>
  <c r="A90" i="29" a="1"/>
  <c r="A90" i="29" s="1"/>
  <c r="A194" i="29" a="1"/>
  <c r="A194" i="29" s="1"/>
  <c r="A148" i="29" a="1"/>
  <c r="A148" i="29" s="1"/>
  <c r="A222" i="29" a="1"/>
  <c r="A222" i="29" s="1"/>
  <c r="A220" i="29" a="1"/>
  <c r="A220" i="29" s="1"/>
  <c r="A239" i="29" a="1"/>
  <c r="A239" i="29" s="1"/>
  <c r="A170" i="29" a="1"/>
  <c r="A170" i="29" s="1"/>
  <c r="A20" i="29" a="1"/>
  <c r="A20" i="29" s="1"/>
  <c r="A109" i="29" a="1"/>
  <c r="A109" i="29" s="1"/>
  <c r="A100" i="29" a="1"/>
  <c r="A100" i="29" s="1"/>
  <c r="A125" i="29" a="1"/>
  <c r="A125" i="29" s="1"/>
  <c r="A183" i="29" a="1"/>
  <c r="A183" i="29" s="1"/>
  <c r="A185" i="29" a="1"/>
  <c r="A185" i="29" s="1"/>
  <c r="A192" i="29" a="1"/>
  <c r="A192" i="29" s="1"/>
  <c r="A58" i="29" a="1"/>
  <c r="A58" i="29" s="1"/>
  <c r="A263" i="29" a="1"/>
  <c r="A263" i="29" s="1"/>
  <c r="A105" i="29" a="1"/>
  <c r="A105" i="29" s="1"/>
  <c r="A207" i="29" a="1"/>
  <c r="A207" i="29" s="1"/>
  <c r="A4" i="29" a="1"/>
  <c r="A4" i="29" s="1"/>
  <c r="A5" i="29" a="1"/>
  <c r="A5" i="29" s="1"/>
  <c r="A65" i="29" a="1"/>
  <c r="A65" i="29" s="1"/>
  <c r="A51" i="29" a="1"/>
  <c r="A51" i="29" s="1"/>
  <c r="A142" i="29" a="1"/>
  <c r="A142" i="29" s="1"/>
  <c r="A198" i="29" a="1"/>
  <c r="A198" i="29" s="1"/>
  <c r="A15" i="29" a="1"/>
  <c r="A15" i="29" s="1"/>
  <c r="A19" i="29" a="1"/>
  <c r="A19" i="29" s="1"/>
  <c r="A211" i="29" a="1"/>
  <c r="A211" i="29" s="1"/>
  <c r="A236" i="29" a="1"/>
  <c r="A236" i="29" s="1"/>
  <c r="A140" i="29" a="1"/>
  <c r="A140" i="29" s="1"/>
  <c r="A8" i="29" a="1"/>
  <c r="A8" i="29" s="1"/>
  <c r="BF7" i="2"/>
  <c r="V22" i="2" s="1"/>
  <c r="R22" i="2" s="1"/>
  <c r="AQ18" i="16"/>
  <c r="AR24" i="16"/>
  <c r="AR39" i="16"/>
  <c r="AR19" i="16"/>
  <c r="AR21" i="16"/>
  <c r="AR23" i="16"/>
  <c r="AR25" i="16"/>
  <c r="AR26" i="16"/>
  <c r="AU3" i="16"/>
  <c r="Z33" i="2" s="1"/>
  <c r="G10" i="29"/>
  <c r="G5" i="29"/>
  <c r="G14" i="29"/>
  <c r="G13" i="29"/>
  <c r="G12" i="29"/>
  <c r="G11" i="29"/>
  <c r="G6" i="29"/>
  <c r="G7" i="29"/>
  <c r="G4" i="29"/>
  <c r="G8" i="29"/>
  <c r="G9" i="29"/>
  <c r="Z36" i="2"/>
  <c r="AR12" i="16"/>
  <c r="AR17" i="16"/>
  <c r="AR29" i="16"/>
  <c r="AR38" i="16"/>
  <c r="AR16" i="16"/>
  <c r="AR13" i="16"/>
  <c r="AR37" i="16"/>
  <c r="AR15" i="16"/>
  <c r="AR36" i="16"/>
  <c r="AR14" i="16"/>
  <c r="AR35" i="16"/>
  <c r="AR34" i="16"/>
  <c r="AR32" i="16"/>
  <c r="AR31" i="16"/>
  <c r="AR30" i="16"/>
  <c r="AM24" i="18" a="1"/>
  <c r="AM24" i="18" s="1"/>
  <c r="AM8" i="18" a="1"/>
  <c r="AM8" i="18" s="1"/>
  <c r="AM7" i="18" a="1"/>
  <c r="AM7" i="18" s="1"/>
  <c r="AM22" i="18" a="1"/>
  <c r="AM22" i="18" s="1"/>
  <c r="AM6" i="18" a="1"/>
  <c r="AM6" i="18" s="1"/>
  <c r="AM23" i="18" a="1"/>
  <c r="AM23" i="18" s="1"/>
  <c r="AM21" i="18" a="1"/>
  <c r="AM21" i="18" s="1"/>
  <c r="AM5" i="18" a="1"/>
  <c r="AM5" i="18" s="1"/>
  <c r="AM19" i="18" a="1"/>
  <c r="AM19" i="18" s="1"/>
  <c r="AM14" i="18" a="1"/>
  <c r="AM14" i="18" s="1"/>
  <c r="AM9" i="18" a="1"/>
  <c r="AM9" i="18" s="1"/>
  <c r="AM20" i="18" a="1"/>
  <c r="AM20" i="18" s="1"/>
  <c r="AM4" i="18" a="1"/>
  <c r="AM4" i="18" s="1"/>
  <c r="AM3" i="18" a="1"/>
  <c r="AM3" i="18" s="1"/>
  <c r="AM13" i="18" a="1"/>
  <c r="AM13" i="18" s="1"/>
  <c r="AM10" i="18" a="1"/>
  <c r="AM10" i="18" s="1"/>
  <c r="AM18" i="18" a="1"/>
  <c r="AM18" i="18" s="1"/>
  <c r="AM2" i="18" a="1"/>
  <c r="AM2" i="18" s="1"/>
  <c r="AM15" i="18" a="1"/>
  <c r="AM15" i="18" s="1"/>
  <c r="AM11" i="18" a="1"/>
  <c r="AM11" i="18" s="1"/>
  <c r="AM17" i="18" a="1"/>
  <c r="AM17" i="18" s="1"/>
  <c r="AM16" i="18" a="1"/>
  <c r="AM16" i="18" s="1"/>
  <c r="AM12" i="18" a="1"/>
  <c r="AM12" i="18" s="1"/>
  <c r="AJ24" i="18" a="1"/>
  <c r="AJ24" i="18" s="1"/>
  <c r="AJ23" i="18" a="1"/>
  <c r="AJ23" i="18" s="1"/>
  <c r="AJ7" i="18" a="1"/>
  <c r="AJ7" i="18" s="1"/>
  <c r="AJ22" i="18" a="1"/>
  <c r="AJ22" i="18" s="1"/>
  <c r="AJ6" i="18" a="1"/>
  <c r="AJ6" i="18" s="1"/>
  <c r="AJ21" i="18" a="1"/>
  <c r="AJ21" i="18" s="1"/>
  <c r="AJ5" i="18" a="1"/>
  <c r="AJ5" i="18" s="1"/>
  <c r="AJ20" i="18" a="1"/>
  <c r="AJ20" i="18" s="1"/>
  <c r="AJ4" i="18" a="1"/>
  <c r="AJ4" i="18" s="1"/>
  <c r="AJ19" i="18" a="1"/>
  <c r="AJ19" i="18" s="1"/>
  <c r="AJ3" i="18" a="1"/>
  <c r="AJ3" i="18" s="1"/>
  <c r="AJ18" i="18" a="1"/>
  <c r="AJ18" i="18" s="1"/>
  <c r="AJ2" i="18" a="1"/>
  <c r="AJ2" i="18" s="1"/>
  <c r="AJ17" i="18" a="1"/>
  <c r="AJ17" i="18" s="1"/>
  <c r="AJ16" i="18" a="1"/>
  <c r="AJ16" i="18" s="1"/>
  <c r="AJ15" i="18" a="1"/>
  <c r="AJ15" i="18" s="1"/>
  <c r="AJ14" i="18" a="1"/>
  <c r="AJ14" i="18" s="1"/>
  <c r="AJ13" i="18" a="1"/>
  <c r="AJ13" i="18" s="1"/>
  <c r="AJ12" i="18" a="1"/>
  <c r="AJ12" i="18" s="1"/>
  <c r="AJ11" i="18" a="1"/>
  <c r="AJ11" i="18" s="1"/>
  <c r="AJ10" i="18" a="1"/>
  <c r="AJ10" i="18" s="1"/>
  <c r="AJ9" i="18" a="1"/>
  <c r="AJ9" i="18" s="1"/>
  <c r="AJ8" i="18" a="1"/>
  <c r="AJ8" i="18" s="1"/>
  <c r="AG23" i="18" a="1"/>
  <c r="AG23" i="18" s="1"/>
  <c r="AG7" i="18" a="1"/>
  <c r="AG7" i="18" s="1"/>
  <c r="AG24" i="18" a="1"/>
  <c r="AG24" i="18" s="1"/>
  <c r="AG6" i="18" a="1"/>
  <c r="AG6" i="18" s="1"/>
  <c r="AG21" i="18" a="1"/>
  <c r="AG21" i="18" s="1"/>
  <c r="AG17" i="18" a="1"/>
  <c r="AG17" i="18" s="1"/>
  <c r="AG22" i="18" a="1"/>
  <c r="AG22" i="18" s="1"/>
  <c r="AG15" i="18" a="1"/>
  <c r="AG15" i="18" s="1"/>
  <c r="AG14" i="18" a="1"/>
  <c r="AG14" i="18" s="1"/>
  <c r="AG13" i="18" a="1"/>
  <c r="AG13" i="18" s="1"/>
  <c r="AG18" i="18" a="1"/>
  <c r="AG18" i="18" s="1"/>
  <c r="AG8" i="18" a="1"/>
  <c r="AG8" i="18" s="1"/>
  <c r="AG3" i="18" a="1"/>
  <c r="AG3" i="18" s="1"/>
  <c r="AG20" i="18" a="1"/>
  <c r="AG20" i="18" s="1"/>
  <c r="AG2" i="18" a="1"/>
  <c r="AG2" i="18" s="1"/>
  <c r="AG5" i="18" a="1"/>
  <c r="AG5" i="18" s="1"/>
  <c r="AG16" i="18" a="1"/>
  <c r="AG16" i="18" s="1"/>
  <c r="AG4" i="18" a="1"/>
  <c r="AG4" i="18" s="1"/>
  <c r="AG12" i="18" a="1"/>
  <c r="AG12" i="18" s="1"/>
  <c r="AG11" i="18" a="1"/>
  <c r="AG11" i="18" s="1"/>
  <c r="AG10" i="18" a="1"/>
  <c r="AG10" i="18" s="1"/>
  <c r="AG9" i="18" a="1"/>
  <c r="AG9" i="18" s="1"/>
  <c r="AG19" i="18" a="1"/>
  <c r="AG19" i="18" s="1"/>
  <c r="G67" i="2"/>
  <c r="K68" i="2"/>
  <c r="Q11" i="10"/>
  <c r="P11" i="10"/>
  <c r="AG11" i="10"/>
  <c r="R11" i="10"/>
  <c r="AH11" i="10"/>
  <c r="S11" i="10"/>
  <c r="AI11" i="10"/>
  <c r="T11" i="10"/>
  <c r="AF11" i="10"/>
  <c r="U11" i="10"/>
  <c r="V11" i="10"/>
  <c r="W11" i="10"/>
  <c r="X11" i="10"/>
  <c r="Y11" i="10"/>
  <c r="Z11" i="10"/>
  <c r="AA11" i="10"/>
  <c r="AB11" i="10"/>
  <c r="AC11" i="10"/>
  <c r="AD11" i="10"/>
  <c r="AE11" i="10"/>
  <c r="D22" i="2"/>
  <c r="G68" i="2"/>
  <c r="AT9" i="18"/>
  <c r="AT10" i="18"/>
  <c r="CM16" i="18" a="1"/>
  <c r="CM16" i="18" s="1"/>
  <c r="AQ15" i="16"/>
  <c r="AQ14" i="16"/>
  <c r="K67" i="2"/>
  <c r="I49" i="2"/>
  <c r="I50" i="2"/>
  <c r="I48" i="2"/>
  <c r="I51" i="2"/>
  <c r="I47" i="2"/>
  <c r="AQ16" i="16"/>
  <c r="I62" i="2"/>
  <c r="I61" i="2"/>
  <c r="I60" i="2"/>
  <c r="I59" i="2"/>
  <c r="I53" i="2"/>
  <c r="L23" i="2" s="1"/>
  <c r="I54" i="2"/>
  <c r="I56" i="2"/>
  <c r="I57" i="2"/>
  <c r="I55" i="2"/>
  <c r="I43" i="2"/>
  <c r="I44" i="2"/>
  <c r="I45" i="2"/>
  <c r="AQ17" i="16"/>
  <c r="AI40" i="2"/>
  <c r="D23" i="2" s="1"/>
  <c r="CM14" i="18" a="1"/>
  <c r="CM14" i="18" s="1"/>
  <c r="CM5" i="18" a="1"/>
  <c r="CM5" i="18" s="1"/>
  <c r="CM10" i="18" a="1"/>
  <c r="CM10" i="18" s="1"/>
  <c r="CM6" i="18" a="1"/>
  <c r="CM6" i="18" s="1"/>
  <c r="CM11" i="18" a="1"/>
  <c r="CM11" i="18" s="1"/>
  <c r="CM8" i="18" a="1"/>
  <c r="CM8" i="18" s="1"/>
  <c r="CM7" i="18" a="1"/>
  <c r="CM7" i="18" s="1"/>
  <c r="CM3" i="18" a="1"/>
  <c r="CM3" i="18" s="1"/>
  <c r="CM4" i="18" a="1"/>
  <c r="CM4" i="18" s="1"/>
  <c r="CM13" i="18" a="1"/>
  <c r="CM13" i="18" s="1"/>
  <c r="Z34" i="2"/>
  <c r="L60" i="2"/>
  <c r="K66" i="2"/>
  <c r="G66" i="2"/>
  <c r="AD32" i="2" l="1"/>
  <c r="AX2" i="16"/>
  <c r="AU2" i="16"/>
  <c r="Z32" i="2" s="1"/>
  <c r="AU5" i="16"/>
  <c r="Z35" i="2" s="1"/>
  <c r="BC11" i="18"/>
  <c r="BC7" i="18"/>
  <c r="BC6" i="18"/>
  <c r="BC10" i="18"/>
  <c r="BC8" i="18"/>
  <c r="BC9" i="18"/>
  <c r="Q22" i="10"/>
  <c r="F70" i="2"/>
  <c r="AV1" i="2"/>
  <c r="B8" i="28" s="1"/>
  <c r="CN6" i="18" l="1"/>
  <c r="CO6" i="18" l="1" a="1"/>
  <c r="CO6" i="18" s="1"/>
  <c r="CP6" i="18" a="1"/>
  <c r="CP6" i="18" s="1"/>
  <c r="CQ6" i="18" a="1"/>
  <c r="CQ6" i="18" s="1"/>
  <c r="CR7" i="18"/>
  <c r="CN7" i="18"/>
  <c r="CT2" i="18" l="1"/>
  <c r="CO7" i="18" a="1"/>
  <c r="CO7" i="18" s="1"/>
  <c r="CT3" i="18" s="1"/>
  <c r="CQ7" i="18" a="1"/>
  <c r="CQ7" i="18" s="1"/>
  <c r="CP7" i="18" a="1"/>
  <c r="CP7" i="18" s="1"/>
  <c r="CN8" i="18"/>
  <c r="CR8" i="18"/>
  <c r="CQ8" i="18" l="1" a="1"/>
  <c r="CQ8" i="18" s="1"/>
  <c r="CP8" i="18" a="1"/>
  <c r="CP8" i="18" s="1"/>
  <c r="CO8" i="18" a="1"/>
  <c r="CO8" i="18" s="1"/>
  <c r="CR9" i="18"/>
  <c r="CN9" i="18"/>
  <c r="CP9" i="18" s="1" a="1"/>
  <c r="CP9" i="18" s="1"/>
  <c r="CT4" i="18" l="1"/>
  <c r="CQ9" i="18" a="1"/>
  <c r="CQ9" i="18" s="1"/>
  <c r="CO9" i="18" a="1"/>
  <c r="CO9" i="18" s="1"/>
  <c r="CR10" i="18"/>
  <c r="CN10" i="18"/>
  <c r="CT5" i="18" l="1"/>
  <c r="CO10" i="18" a="1"/>
  <c r="CO10" i="18" s="1"/>
  <c r="CP10" i="18" a="1"/>
  <c r="CP10" i="18" s="1"/>
  <c r="CQ10" i="18" a="1"/>
  <c r="CQ10" i="18" s="1"/>
  <c r="CR11" i="18"/>
  <c r="CN11" i="18"/>
  <c r="CT6" i="18" l="1"/>
  <c r="CQ11" i="18" a="1"/>
  <c r="CQ11" i="18" s="1"/>
  <c r="CP11" i="18" a="1"/>
  <c r="CP11" i="18" s="1"/>
  <c r="CO11" i="18" a="1"/>
  <c r="CO11" i="18" s="1"/>
  <c r="CR12" i="18"/>
  <c r="CN12" i="18"/>
  <c r="CT7" i="18" l="1"/>
  <c r="CP12" i="18" a="1"/>
  <c r="CP12" i="18" s="1"/>
  <c r="CO12" i="18" a="1"/>
  <c r="CO12" i="18" s="1"/>
  <c r="CT8" i="18" s="1"/>
  <c r="CQ12" i="18" a="1"/>
  <c r="CQ12" i="18" s="1"/>
  <c r="CR13" i="18"/>
  <c r="CN13" i="18"/>
  <c r="CQ13" i="18" l="1" a="1"/>
  <c r="CQ13" i="18" s="1"/>
  <c r="CP13" i="18" a="1"/>
  <c r="CP13" i="18" s="1"/>
  <c r="CO13" i="18" a="1"/>
  <c r="CO13" i="18" s="1"/>
  <c r="CN14" i="18"/>
  <c r="CR14" i="18"/>
  <c r="CT9" i="18" l="1"/>
  <c r="CQ14" i="18" a="1"/>
  <c r="CQ14" i="18" s="1"/>
  <c r="CP14" i="18" a="1"/>
  <c r="CP14" i="18" s="1"/>
  <c r="CO14" i="18" a="1"/>
  <c r="CO14" i="18" s="1"/>
  <c r="CN15" i="18"/>
  <c r="CR15" i="18"/>
  <c r="CT10" i="18" l="1"/>
  <c r="CR16" i="18"/>
  <c r="CO15" i="18" a="1"/>
  <c r="CO15" i="18" s="1"/>
  <c r="CQ15" i="18" a="1"/>
  <c r="CQ15" i="18" s="1"/>
  <c r="CP15" i="18" a="1"/>
  <c r="CP15" i="18" s="1"/>
  <c r="CN16" i="18"/>
  <c r="CT11" i="18" l="1"/>
  <c r="CP16" i="18" a="1"/>
  <c r="CP16" i="18" s="1"/>
  <c r="CQ16" i="18" a="1"/>
  <c r="CQ16" i="18" s="1"/>
  <c r="CO16" i="18" a="1"/>
  <c r="CO16" i="18" s="1"/>
  <c r="CT12" i="18" s="1"/>
  <c r="CR17" i="18"/>
  <c r="CN17" i="18"/>
  <c r="CR18" i="18" s="1"/>
  <c r="CN18" i="18" l="1"/>
  <c r="CQ18" i="18" s="1" a="1"/>
  <c r="CQ18" i="18" s="1"/>
  <c r="CQ17" i="18" a="1"/>
  <c r="CQ17" i="18" s="1"/>
  <c r="CP17" i="18" a="1"/>
  <c r="CP17" i="18" s="1"/>
  <c r="CO17" i="18" a="1"/>
  <c r="CO17" i="18" s="1"/>
  <c r="CT13" i="18" s="1"/>
  <c r="CR19" i="18" l="1"/>
  <c r="CN19" i="18"/>
  <c r="CQ19" i="18" s="1" a="1"/>
  <c r="CQ19" i="18" s="1"/>
  <c r="CO18" i="18" a="1"/>
  <c r="CO18" i="18" s="1"/>
  <c r="CT14" i="18" s="1"/>
  <c r="CP18" i="18" a="1"/>
  <c r="CP18" i="18" s="1"/>
  <c r="CO19" i="18" l="1" a="1"/>
  <c r="CO19" i="18" s="1"/>
  <c r="CT15" i="18" s="1"/>
  <c r="CP19" i="18" a="1"/>
  <c r="CP19" i="18" s="1"/>
  <c r="CR20" i="18"/>
  <c r="CN20" i="18"/>
  <c r="CP20" i="18" s="1" a="1"/>
  <c r="CP20" i="18" s="1"/>
  <c r="CR21" i="18" l="1"/>
  <c r="CN21" i="18"/>
  <c r="CO21" i="18" s="1" a="1"/>
  <c r="CO21" i="18" s="1"/>
  <c r="CT17" i="18" s="1"/>
  <c r="CQ20" i="18" a="1"/>
  <c r="CQ20" i="18" s="1"/>
  <c r="CO20" i="18" a="1"/>
  <c r="CO20" i="18" s="1"/>
  <c r="CT16" i="18" s="1"/>
  <c r="CR22" i="18" l="1"/>
  <c r="CN22" i="18"/>
  <c r="CQ22" i="18" s="1" a="1"/>
  <c r="CQ22" i="18" s="1"/>
  <c r="CP21" i="18" a="1"/>
  <c r="CP21" i="18" s="1"/>
  <c r="CQ21" i="18" a="1"/>
  <c r="CQ21" i="18" s="1"/>
  <c r="CR23" i="18" l="1"/>
  <c r="CN23" i="18"/>
  <c r="CQ23" i="18" s="1" a="1"/>
  <c r="CQ23" i="18" s="1"/>
  <c r="CP22" i="18" a="1"/>
  <c r="CP22" i="18" s="1"/>
  <c r="CO22" i="18" a="1"/>
  <c r="CO22" i="18" s="1"/>
  <c r="CT18" i="18" s="1"/>
  <c r="CR24" i="18" l="1"/>
  <c r="CP23" i="18" a="1"/>
  <c r="CP23" i="18" s="1"/>
  <c r="CO23" i="18" a="1"/>
  <c r="CO23" i="18" s="1"/>
  <c r="CT19" i="18" s="1"/>
  <c r="CN24" i="18"/>
  <c r="CQ24" i="18" s="1" a="1"/>
  <c r="CQ24" i="18" s="1"/>
  <c r="CR25" i="18" l="1"/>
  <c r="CN25" i="18"/>
  <c r="CQ25" i="18" s="1" a="1"/>
  <c r="CQ25" i="18" s="1"/>
  <c r="CO24" i="18" a="1"/>
  <c r="CO24" i="18" s="1"/>
  <c r="CT20" i="18" s="1"/>
  <c r="CP24" i="18" a="1"/>
  <c r="CP24" i="18" s="1"/>
  <c r="CN26" i="18" l="1"/>
  <c r="CP26" i="18" s="1" a="1"/>
  <c r="CP26" i="18" s="1"/>
  <c r="CR26" i="18"/>
  <c r="CO25" i="18" a="1"/>
  <c r="CO25" i="18" s="1"/>
  <c r="CT21" i="18" s="1"/>
  <c r="CP25" i="18" a="1"/>
  <c r="CP25" i="18" s="1"/>
  <c r="CN27" i="18" l="1"/>
  <c r="CQ27" i="18" s="1" a="1"/>
  <c r="CQ27" i="18" s="1"/>
  <c r="CR27" i="18"/>
  <c r="CO26" i="18" a="1"/>
  <c r="CO26" i="18" s="1"/>
  <c r="CT22" i="18" s="1"/>
  <c r="CQ26" i="18" a="1"/>
  <c r="CQ26" i="18" s="1"/>
  <c r="CR28" i="18" l="1"/>
  <c r="CN28" i="18"/>
  <c r="CO28" i="18" s="1" a="1"/>
  <c r="CO28" i="18" s="1"/>
  <c r="CT24" i="18" s="1"/>
  <c r="CP27" i="18" a="1"/>
  <c r="CP27" i="18" s="1"/>
  <c r="CO27" i="18" a="1"/>
  <c r="CO27" i="18" s="1"/>
  <c r="CT23" i="18" s="1"/>
  <c r="CR29" i="18" l="1"/>
  <c r="CQ28" i="18" a="1"/>
  <c r="CQ28" i="18" s="1"/>
  <c r="CP28" i="18" a="1"/>
  <c r="CP28" i="18" s="1"/>
  <c r="CN29" i="18"/>
  <c r="CQ29" i="18" s="1" a="1"/>
  <c r="CQ29" i="18" s="1"/>
  <c r="CR30" i="18" l="1"/>
  <c r="CN30" i="18"/>
  <c r="CQ30" i="18" s="1" a="1"/>
  <c r="CQ30" i="18" s="1"/>
  <c r="CO29" i="18" a="1"/>
  <c r="CO29" i="18" s="1"/>
  <c r="CT25" i="18" s="1"/>
  <c r="CP29" i="18" a="1"/>
  <c r="CP29" i="18" s="1"/>
  <c r="CR31" i="18" l="1"/>
  <c r="CN31" i="18"/>
  <c r="CO31" i="18" s="1" a="1"/>
  <c r="CO31" i="18" s="1"/>
  <c r="CT27" i="18" s="1"/>
  <c r="CP30" i="18" a="1"/>
  <c r="CP30" i="18" s="1"/>
  <c r="CO30" i="18" a="1"/>
  <c r="CO30" i="18" s="1"/>
  <c r="CT26" i="18" s="1"/>
  <c r="CR32" i="18" l="1"/>
  <c r="CQ31" i="18" a="1"/>
  <c r="CQ31" i="18" s="1"/>
  <c r="CN32" i="18"/>
  <c r="CO32" i="18" s="1" a="1"/>
  <c r="CO32" i="18" s="1"/>
  <c r="CT28" i="18" s="1"/>
  <c r="CP31" i="18" a="1"/>
  <c r="CP31" i="18" s="1"/>
  <c r="CN33" i="18" l="1"/>
  <c r="CO33" i="18" s="1" a="1"/>
  <c r="CO33" i="18" s="1"/>
  <c r="CT29" i="18" s="1"/>
  <c r="CR33" i="18"/>
  <c r="CP32" i="18" a="1"/>
  <c r="CP32" i="18" s="1"/>
  <c r="CQ32" i="18" a="1"/>
  <c r="CQ32" i="18" s="1"/>
  <c r="CN34" i="18" l="1"/>
  <c r="CQ34" i="18" s="1" a="1"/>
  <c r="CQ34" i="18" s="1"/>
  <c r="CQ33" i="18" a="1"/>
  <c r="CQ33" i="18" s="1"/>
  <c r="CR34" i="18"/>
  <c r="CP33" i="18" a="1"/>
  <c r="CP33" i="18" s="1"/>
  <c r="CN35" i="18" l="1"/>
  <c r="CQ35" i="18" s="1" a="1"/>
  <c r="CQ35" i="18" s="1"/>
  <c r="CR35" i="18"/>
  <c r="CO34" i="18" a="1"/>
  <c r="CO34" i="18" s="1"/>
  <c r="CT30" i="18" s="1"/>
  <c r="CP34" i="18" a="1"/>
  <c r="CP34" i="18" s="1"/>
  <c r="CR36" i="18" l="1"/>
  <c r="CN36" i="18"/>
  <c r="CP36" i="18" s="1" a="1"/>
  <c r="CP36" i="18" s="1"/>
  <c r="CO35" i="18" a="1"/>
  <c r="CO35" i="18" s="1"/>
  <c r="CT31" i="18" s="1"/>
  <c r="CP35" i="18" a="1"/>
  <c r="CP35" i="18" s="1"/>
  <c r="CR37" i="18" l="1"/>
  <c r="CN37" i="18"/>
  <c r="CR38" i="18" s="1"/>
  <c r="CO36" i="18" a="1"/>
  <c r="CO36" i="18" s="1"/>
  <c r="CT32" i="18" s="1"/>
  <c r="CQ36" i="18" a="1"/>
  <c r="CQ36" i="18" s="1"/>
  <c r="CP37" i="18" l="1" a="1"/>
  <c r="CP37" i="18" s="1"/>
  <c r="CN38" i="18"/>
  <c r="CQ38" i="18" s="1" a="1"/>
  <c r="CQ38" i="18" s="1"/>
  <c r="CQ37" i="18" a="1"/>
  <c r="CQ37" i="18" s="1"/>
  <c r="CO37" i="18" a="1"/>
  <c r="CO37" i="18" s="1"/>
  <c r="CT33" i="18" s="1"/>
  <c r="CR39" i="18" l="1"/>
  <c r="CN39" i="18"/>
  <c r="CR40" i="18" s="1"/>
  <c r="CP38" i="18" a="1"/>
  <c r="CP38" i="18" s="1"/>
  <c r="CO38" i="18" a="1"/>
  <c r="CO38" i="18" s="1"/>
  <c r="CT34" i="18" s="1"/>
  <c r="CQ39" i="18" l="1" a="1"/>
  <c r="CQ39" i="18" s="1"/>
  <c r="CN40" i="18"/>
  <c r="CQ40" i="18" s="1" a="1"/>
  <c r="CQ40" i="18" s="1"/>
  <c r="CP39" i="18" a="1"/>
  <c r="CP39" i="18" s="1"/>
  <c r="CO39" i="18" a="1"/>
  <c r="CO39" i="18" s="1"/>
  <c r="CT35" i="18" s="1"/>
  <c r="CR41" i="18" l="1"/>
  <c r="CO40" i="18" a="1"/>
  <c r="CO40" i="18" s="1"/>
  <c r="CT36" i="18" s="1"/>
  <c r="CN41" i="18"/>
  <c r="CQ41" i="18" s="1" a="1"/>
  <c r="CQ41" i="18" s="1"/>
  <c r="CP40" i="18" a="1"/>
  <c r="CP40" i="18" s="1"/>
  <c r="CR42" i="18" l="1"/>
  <c r="CP41" i="18" a="1"/>
  <c r="CP41" i="18" s="1"/>
  <c r="CN42" i="18"/>
  <c r="CQ42" i="18" s="1" a="1"/>
  <c r="CQ42" i="18" s="1"/>
  <c r="CO41" i="18" a="1"/>
  <c r="CO41" i="18" s="1"/>
  <c r="CT37" i="18" s="1"/>
  <c r="CO42" i="18" l="1" a="1"/>
  <c r="CO42" i="18" s="1"/>
  <c r="CT38" i="18" s="1"/>
  <c r="CR43" i="18"/>
  <c r="CP42" i="18" a="1"/>
  <c r="CP42" i="18" s="1"/>
  <c r="CN43" i="18"/>
  <c r="CQ43" i="18" s="1" a="1"/>
  <c r="CQ43" i="18" s="1"/>
  <c r="CP43" i="18" l="1" a="1"/>
  <c r="CP43" i="18" s="1"/>
  <c r="CN44" i="18"/>
  <c r="CP44" i="18" s="1" a="1"/>
  <c r="CP44" i="18" s="1"/>
  <c r="CR44" i="18"/>
  <c r="CO43" i="18" a="1"/>
  <c r="CO43" i="18" s="1"/>
  <c r="CT39" i="18" s="1"/>
  <c r="CN45" i="18" l="1"/>
  <c r="CQ45" i="18" s="1" a="1"/>
  <c r="CQ45" i="18" s="1"/>
  <c r="CR45" i="18"/>
  <c r="CQ44" i="18" a="1"/>
  <c r="CQ44" i="18" s="1"/>
  <c r="CO44" i="18" a="1"/>
  <c r="CO44" i="18" s="1"/>
  <c r="CT40" i="18" s="1"/>
  <c r="CN46" i="18" l="1"/>
  <c r="CQ46" i="18" s="1" a="1"/>
  <c r="CQ46" i="18" s="1"/>
  <c r="CR46" i="18"/>
  <c r="CO45" i="18" a="1"/>
  <c r="CO45" i="18" s="1"/>
  <c r="CT41" i="18" s="1"/>
  <c r="CP45" i="18" a="1"/>
  <c r="CP45" i="18" s="1"/>
  <c r="CR47" i="18" l="1"/>
  <c r="CN47" i="18"/>
  <c r="CO47" i="18" s="1" a="1"/>
  <c r="CO47" i="18" s="1"/>
  <c r="CT43" i="18" s="1"/>
  <c r="CO46" i="18" a="1"/>
  <c r="CO46" i="18" s="1"/>
  <c r="CT42" i="18" s="1"/>
  <c r="CP46" i="18" a="1"/>
  <c r="CP46" i="18" s="1"/>
  <c r="CR48" i="18" l="1"/>
  <c r="CN48" i="18"/>
  <c r="CQ48" i="18" s="1" a="1"/>
  <c r="CQ48" i="18" s="1"/>
  <c r="CP47" i="18" a="1"/>
  <c r="CP47" i="18" s="1"/>
  <c r="CQ47" i="18" a="1"/>
  <c r="CQ47" i="18" s="1"/>
  <c r="CP48" i="18" l="1" a="1"/>
  <c r="CP48" i="18" s="1"/>
  <c r="CO48" i="18" a="1"/>
  <c r="CO48" i="18" s="1"/>
  <c r="CT44" i="18" s="1"/>
  <c r="CR49" i="18"/>
  <c r="CN49" i="18"/>
  <c r="CP49" i="18" s="1" a="1"/>
  <c r="CP49" i="18" s="1"/>
  <c r="CR50" i="18" l="1"/>
  <c r="CO49" i="18" a="1"/>
  <c r="CO49" i="18" s="1"/>
  <c r="CT45" i="18" s="1"/>
  <c r="CN50" i="18"/>
  <c r="CQ50" i="18" s="1" a="1"/>
  <c r="CQ50" i="18" s="1"/>
  <c r="CQ49" i="18" a="1"/>
  <c r="CQ49" i="18" s="1"/>
  <c r="CR51" i="18" l="1"/>
  <c r="CN51" i="18"/>
  <c r="CQ51" i="18" s="1" a="1"/>
  <c r="CQ51" i="18" s="1"/>
  <c r="CO50" i="18" a="1"/>
  <c r="CO50" i="18" s="1"/>
  <c r="CT46" i="18" s="1"/>
  <c r="CP50" i="18" a="1"/>
  <c r="CP50" i="18" s="1"/>
  <c r="CR52" i="18" l="1"/>
  <c r="CN52" i="18"/>
  <c r="CP52" i="18" s="1" a="1"/>
  <c r="CP52" i="18" s="1"/>
  <c r="CP51" i="18" a="1"/>
  <c r="CP51" i="18" s="1"/>
  <c r="CO51" i="18" a="1"/>
  <c r="CO51" i="18" s="1"/>
  <c r="CT47" i="18" s="1"/>
  <c r="CR53" i="18" l="1"/>
  <c r="CN53" i="18"/>
  <c r="CO53" i="18" s="1" a="1"/>
  <c r="CO53" i="18" s="1"/>
  <c r="CT49" i="18" s="1"/>
  <c r="CQ52" i="18" a="1"/>
  <c r="CQ52" i="18" s="1"/>
  <c r="CO52" i="18" a="1"/>
  <c r="CO52" i="18" s="1"/>
  <c r="CT48" i="18" s="1"/>
  <c r="CR54" i="18" l="1"/>
  <c r="CN54" i="18"/>
  <c r="CQ54" i="18" s="1" a="1"/>
  <c r="CQ54" i="18" s="1"/>
  <c r="CP53" i="18" a="1"/>
  <c r="CP53" i="18" s="1"/>
  <c r="CQ53" i="18" a="1"/>
  <c r="CQ53" i="18" s="1"/>
  <c r="CN55" i="18" l="1"/>
  <c r="CQ55" i="18" s="1" a="1"/>
  <c r="CQ55" i="18" s="1"/>
  <c r="CP54" i="18" a="1"/>
  <c r="CP54" i="18" s="1"/>
  <c r="CR55" i="18"/>
  <c r="CO54" i="18" a="1"/>
  <c r="CO54" i="18" s="1"/>
  <c r="CT50" i="18" s="1"/>
  <c r="CR56" i="18" l="1"/>
  <c r="CP55" i="18" a="1"/>
  <c r="CP55" i="18" s="1"/>
  <c r="CO55" i="18" a="1"/>
  <c r="CO55" i="18" s="1"/>
  <c r="CT51" i="18" s="1"/>
  <c r="CN56" i="18"/>
  <c r="CQ56" i="18" s="1" a="1"/>
  <c r="CQ56" i="18" s="1"/>
  <c r="CR57" i="18" l="1"/>
  <c r="CN57" i="18"/>
  <c r="CO56" i="18" a="1"/>
  <c r="CO56" i="18" s="1"/>
  <c r="CT52" i="18" s="1"/>
  <c r="CP56" i="18" a="1"/>
  <c r="CP56" i="18" s="1"/>
  <c r="CQ57" i="18" a="1"/>
  <c r="CQ57" i="18" s="1"/>
  <c r="CP57" i="18" a="1"/>
  <c r="CP57" i="18" s="1"/>
  <c r="CO57" i="18" a="1"/>
  <c r="CO57" i="18" s="1"/>
  <c r="CT53" i="18" s="1"/>
  <c r="CR58" i="18"/>
  <c r="CN58" i="18"/>
  <c r="CP58" i="18" l="1" a="1"/>
  <c r="CP58" i="18" s="1"/>
  <c r="CO58" i="18" a="1"/>
  <c r="CO58" i="18" s="1"/>
  <c r="CT54" i="18" s="1"/>
  <c r="CQ58" i="18" a="1"/>
  <c r="CQ58" i="18" s="1"/>
  <c r="CR59" i="18"/>
  <c r="CN59" i="18"/>
  <c r="CQ59" i="18" l="1" a="1"/>
  <c r="CQ59" i="18" s="1"/>
  <c r="CO59" i="18" a="1"/>
  <c r="CO59" i="18" s="1"/>
  <c r="CT55" i="18" s="1"/>
  <c r="CP59" i="18" a="1"/>
  <c r="CP59" i="18" s="1"/>
  <c r="CR60" i="18"/>
  <c r="CN60" i="18"/>
  <c r="CO60" i="18" l="1" a="1"/>
  <c r="CO60" i="18" s="1"/>
  <c r="CT56" i="18" s="1"/>
  <c r="CP60" i="18" a="1"/>
  <c r="CP60" i="18" s="1"/>
  <c r="CQ60" i="18" a="1"/>
  <c r="CQ60" i="18" s="1"/>
  <c r="CN61" i="18"/>
  <c r="CR61" i="18"/>
  <c r="CQ61" i="18" l="1" a="1"/>
  <c r="CQ61" i="18" s="1"/>
  <c r="CP61" i="18" a="1"/>
  <c r="CP61" i="18" s="1"/>
  <c r="CO61" i="18" a="1"/>
  <c r="CO61" i="18" s="1"/>
  <c r="CT57" i="18" s="1"/>
  <c r="CN62" i="18"/>
  <c r="CR62" i="18"/>
  <c r="CQ62" i="18" l="1" a="1"/>
  <c r="CQ62" i="18" s="1"/>
  <c r="CP62" i="18" a="1"/>
  <c r="CP62" i="18" s="1"/>
  <c r="CO62" i="18" a="1"/>
  <c r="CO62" i="18" s="1"/>
  <c r="CT58" i="18" s="1"/>
  <c r="CR63" i="18"/>
  <c r="CN63" i="18"/>
  <c r="CO63" i="18" l="1" a="1"/>
  <c r="CO63" i="18" s="1"/>
  <c r="CT59" i="18" s="1"/>
  <c r="CQ63" i="18" a="1"/>
  <c r="CQ63" i="18" s="1"/>
  <c r="CP63" i="18" a="1"/>
  <c r="CP63" i="18" s="1"/>
  <c r="CR64" i="18"/>
  <c r="CN64" i="18"/>
  <c r="CQ64" i="18" l="1" a="1"/>
  <c r="CQ64" i="18" s="1"/>
  <c r="CP64" i="18" a="1"/>
  <c r="CP64" i="18" s="1"/>
  <c r="CO64" i="18" a="1"/>
  <c r="CO64" i="18" s="1"/>
  <c r="CT60" i="18" s="1"/>
  <c r="CN65" i="18"/>
  <c r="CR65" i="18"/>
  <c r="CQ65" i="18" l="1" a="1"/>
  <c r="CQ65" i="18" s="1"/>
  <c r="CP65" i="18" a="1"/>
  <c r="CP65" i="18" s="1"/>
  <c r="CO65" i="18" a="1"/>
  <c r="CO65" i="18" s="1"/>
  <c r="CT61" i="18" s="1"/>
  <c r="CN66" i="18"/>
  <c r="CR66" i="18"/>
  <c r="CQ66" i="18" l="1" a="1"/>
  <c r="CQ66" i="18" s="1"/>
  <c r="CP66" i="18" a="1"/>
  <c r="CP66" i="18" s="1"/>
  <c r="CO66" i="18" a="1"/>
  <c r="CO66" i="18" s="1"/>
  <c r="CT62" i="18" s="1"/>
  <c r="CN67" i="18"/>
  <c r="CR67" i="18"/>
  <c r="CQ67" i="18" l="1" a="1"/>
  <c r="CQ67" i="18" s="1"/>
  <c r="CP67" i="18" a="1"/>
  <c r="CP67" i="18" s="1"/>
  <c r="CO67" i="18" a="1"/>
  <c r="CO67" i="18" s="1"/>
  <c r="CT63" i="18" s="1"/>
  <c r="CN68" i="18"/>
  <c r="CR68" i="18"/>
  <c r="CP68" i="18" l="1" a="1"/>
  <c r="CP68" i="18" s="1"/>
  <c r="CO68" i="18" a="1"/>
  <c r="CO68" i="18" s="1"/>
  <c r="CT64" i="18" s="1"/>
  <c r="CQ68" i="18" a="1"/>
  <c r="CQ68" i="18" s="1"/>
  <c r="CR69" i="18"/>
  <c r="CN69" i="18"/>
  <c r="CO69" i="18" l="1" a="1"/>
  <c r="CO69" i="18" s="1"/>
  <c r="CT65" i="18" s="1"/>
  <c r="CQ69" i="18" a="1"/>
  <c r="CQ69" i="18" s="1"/>
  <c r="CP69" i="18" a="1"/>
  <c r="CP69" i="18" s="1"/>
  <c r="CN70" i="18"/>
  <c r="CR70" i="18"/>
  <c r="CQ70" i="18" l="1" a="1"/>
  <c r="CQ70" i="18" s="1"/>
  <c r="CP70" i="18" a="1"/>
  <c r="CP70" i="18" s="1"/>
  <c r="CO70" i="18" a="1"/>
  <c r="CO70" i="18" s="1"/>
  <c r="CT66" i="18" s="1"/>
  <c r="CR71" i="18"/>
  <c r="CN71" i="18"/>
  <c r="CO71" i="18" l="1" a="1"/>
  <c r="CO71" i="18" s="1"/>
  <c r="CT67" i="18" s="1"/>
  <c r="CQ71" i="18" a="1"/>
  <c r="CQ71" i="18" s="1"/>
  <c r="CP71" i="18" a="1"/>
  <c r="CP71" i="18" s="1"/>
  <c r="CN72" i="18"/>
  <c r="CR72" i="18"/>
  <c r="CQ72" i="18" l="1" a="1"/>
  <c r="CQ72" i="18" s="1"/>
  <c r="CP72" i="18" a="1"/>
  <c r="CP72" i="18" s="1"/>
  <c r="CO72" i="18" a="1"/>
  <c r="CO72" i="18" s="1"/>
  <c r="CT68" i="18" s="1"/>
  <c r="CR73" i="18"/>
  <c r="CN73" i="18"/>
  <c r="CQ73" i="18" l="1" a="1"/>
  <c r="CQ73" i="18" s="1"/>
  <c r="CP73" i="18" a="1"/>
  <c r="CP73" i="18" s="1"/>
  <c r="CO73" i="18" a="1"/>
  <c r="CO73" i="18" s="1"/>
  <c r="CT69" i="18" s="1"/>
  <c r="CN74" i="18"/>
  <c r="CR74" i="18"/>
  <c r="CO74" i="18" l="1" a="1"/>
  <c r="CO74" i="18" s="1"/>
  <c r="CT70" i="18" s="1"/>
  <c r="CP74" i="18" a="1"/>
  <c r="CP74" i="18" s="1"/>
  <c r="CQ74" i="18" a="1"/>
  <c r="CQ74" i="18" s="1"/>
  <c r="CN75" i="18"/>
  <c r="CR75" i="18"/>
  <c r="CQ75" i="18" l="1" a="1"/>
  <c r="CQ75" i="18" s="1"/>
  <c r="CO75" i="18" a="1"/>
  <c r="CO75" i="18" s="1"/>
  <c r="CT71" i="18" s="1"/>
  <c r="CP75" i="18" a="1"/>
  <c r="CP75" i="18" s="1"/>
  <c r="CN76" i="18"/>
  <c r="CR76" i="18"/>
  <c r="CP76" i="18" l="1" a="1"/>
  <c r="CP76" i="18" s="1"/>
  <c r="CO76" i="18" a="1"/>
  <c r="CO76" i="18" s="1"/>
  <c r="CT72" i="18" s="1"/>
  <c r="CQ76" i="18" a="1"/>
  <c r="CQ76" i="18" s="1"/>
  <c r="CR77" i="18"/>
  <c r="CN77" i="18"/>
  <c r="CQ77" i="18" l="1" a="1"/>
  <c r="CQ77" i="18" s="1"/>
  <c r="CP77" i="18" a="1"/>
  <c r="CP77" i="18" s="1"/>
  <c r="CO77" i="18" a="1"/>
  <c r="CO77" i="18" s="1"/>
  <c r="CT73" i="18" s="1"/>
  <c r="CR78" i="18"/>
  <c r="CN78" i="18"/>
  <c r="CQ78" i="18" l="1" a="1"/>
  <c r="CQ78" i="18" s="1"/>
  <c r="CP78" i="18" a="1"/>
  <c r="CP78" i="18" s="1"/>
  <c r="CO78" i="18" a="1"/>
  <c r="CO78" i="18" s="1"/>
  <c r="CT74" i="18" s="1"/>
  <c r="CR79" i="18"/>
  <c r="CN79" i="18"/>
  <c r="CO79" i="18" l="1" a="1"/>
  <c r="CO79" i="18" s="1"/>
  <c r="CT75" i="18" s="1"/>
  <c r="CQ79" i="18" a="1"/>
  <c r="CQ79" i="18" s="1"/>
  <c r="CP79" i="18" a="1"/>
  <c r="CP79" i="18" s="1"/>
  <c r="CR80" i="18"/>
  <c r="CN80" i="18"/>
  <c r="CO80" i="18" l="1" a="1"/>
  <c r="CO80" i="18" s="1"/>
  <c r="CT76" i="18" s="1"/>
  <c r="CQ80" i="18" a="1"/>
  <c r="CQ80" i="18" s="1"/>
  <c r="CP80" i="18" a="1"/>
  <c r="CP80" i="18" s="1"/>
  <c r="CR81" i="18"/>
  <c r="CN81" i="18"/>
  <c r="CP81" i="18" l="1" a="1"/>
  <c r="CP81" i="18" s="1"/>
  <c r="CQ81" i="18" a="1"/>
  <c r="CQ81" i="18" s="1"/>
  <c r="CO81" i="18" a="1"/>
  <c r="CO81" i="18" s="1"/>
  <c r="CT77" i="18" s="1"/>
  <c r="CR82" i="18"/>
  <c r="CN82" i="18"/>
  <c r="CQ82" i="18" l="1" a="1"/>
  <c r="CQ82" i="18" s="1"/>
  <c r="CP82" i="18" a="1"/>
  <c r="CP82" i="18" s="1"/>
  <c r="CO82" i="18" a="1"/>
  <c r="CO82" i="18" s="1"/>
  <c r="CT78" i="18" s="1"/>
  <c r="CR83" i="18"/>
  <c r="CN83" i="18"/>
  <c r="CQ83" i="18" l="1" a="1"/>
  <c r="CQ83" i="18" s="1"/>
  <c r="CP83" i="18" a="1"/>
  <c r="CP83" i="18" s="1"/>
  <c r="CO83" i="18" a="1"/>
  <c r="CO83" i="18" s="1"/>
  <c r="CT79" i="18" s="1"/>
  <c r="CN84" i="18"/>
  <c r="CR84" i="18"/>
  <c r="CP84" i="18" l="1" a="1"/>
  <c r="CP84" i="18" s="1"/>
  <c r="CO84" i="18" a="1"/>
  <c r="CO84" i="18" s="1"/>
  <c r="CT80" i="18" s="1"/>
  <c r="CQ84" i="18" a="1"/>
  <c r="CQ84" i="18" s="1"/>
  <c r="CN85" i="18"/>
  <c r="CR85" i="18"/>
  <c r="CQ85" i="18" l="1" a="1"/>
  <c r="CQ85" i="18" s="1"/>
  <c r="CO85" i="18" a="1"/>
  <c r="CO85" i="18" s="1"/>
  <c r="CT81" i="18" s="1"/>
  <c r="CP85" i="18" a="1"/>
  <c r="CP85" i="18" s="1"/>
  <c r="CN86" i="18"/>
  <c r="CR86" i="18"/>
  <c r="CQ86" i="18" l="1" a="1"/>
  <c r="CQ86" i="18" s="1"/>
  <c r="CP86" i="18" a="1"/>
  <c r="CP86" i="18" s="1"/>
  <c r="CO86" i="18" a="1"/>
  <c r="CO86" i="18" s="1"/>
  <c r="CT82" i="18" s="1"/>
  <c r="CR87" i="18"/>
  <c r="CN87" i="18"/>
  <c r="CO87" i="18" l="1" a="1"/>
  <c r="CO87" i="18" s="1"/>
  <c r="CT83" i="18" s="1"/>
  <c r="CQ87" i="18" a="1"/>
  <c r="CQ87" i="18" s="1"/>
  <c r="CP87" i="18" a="1"/>
  <c r="CP87" i="18" s="1"/>
  <c r="CN88" i="18"/>
  <c r="CR88" i="18"/>
  <c r="CQ88" i="18" l="1" a="1"/>
  <c r="CQ88" i="18" s="1"/>
  <c r="CP88" i="18" a="1"/>
  <c r="CP88" i="18" s="1"/>
  <c r="CO88" i="18" a="1"/>
  <c r="CO88" i="18" s="1"/>
  <c r="CT84" i="18" s="1"/>
  <c r="CN89" i="18"/>
  <c r="CR89" i="18"/>
  <c r="CQ89" i="18" l="1" a="1"/>
  <c r="CQ89" i="18" s="1"/>
  <c r="CP89" i="18" a="1"/>
  <c r="CP89" i="18" s="1"/>
  <c r="CO89" i="18" a="1"/>
  <c r="CO89" i="18" s="1"/>
  <c r="CT85" i="18" s="1"/>
  <c r="CR90" i="18"/>
  <c r="CN90" i="18"/>
  <c r="CP90" i="18" l="1" a="1"/>
  <c r="CP90" i="18" s="1"/>
  <c r="CO90" i="18" a="1"/>
  <c r="CO90" i="18" s="1"/>
  <c r="CT86" i="18" s="1"/>
  <c r="CQ90" i="18" a="1"/>
  <c r="CQ90" i="18" s="1"/>
  <c r="CR91" i="18"/>
  <c r="CN91" i="18"/>
  <c r="CQ91" i="18" l="1" a="1"/>
  <c r="CQ91" i="18" s="1"/>
  <c r="CO91" i="18" a="1"/>
  <c r="CO91" i="18" s="1"/>
  <c r="CT87" i="18" s="1"/>
  <c r="CP91" i="18" a="1"/>
  <c r="CP91" i="18" s="1"/>
  <c r="CR92" i="18"/>
  <c r="CN92" i="18"/>
  <c r="CO92" i="18" l="1" a="1"/>
  <c r="CO92" i="18" s="1"/>
  <c r="CT88" i="18" s="1"/>
  <c r="CP92" i="18" a="1"/>
  <c r="CP92" i="18" s="1"/>
  <c r="CQ92" i="18" a="1"/>
  <c r="CQ92" i="18" s="1"/>
  <c r="CR93" i="18"/>
  <c r="CN93" i="18"/>
  <c r="CQ93" i="18" l="1" a="1"/>
  <c r="CQ93" i="18" s="1"/>
  <c r="CP93" i="18" a="1"/>
  <c r="CP93" i="18" s="1"/>
  <c r="CO93" i="18" a="1"/>
  <c r="CO93" i="18" s="1"/>
  <c r="CT89" i="18" s="1"/>
  <c r="CR94" i="18"/>
  <c r="CN94" i="18"/>
  <c r="CQ94" i="18" l="1" a="1"/>
  <c r="CQ94" i="18" s="1"/>
  <c r="CP94" i="18" a="1"/>
  <c r="CP94" i="18" s="1"/>
  <c r="CO94" i="18" a="1"/>
  <c r="CO94" i="18" s="1"/>
  <c r="CT90" i="18" s="1"/>
  <c r="CN95" i="18"/>
  <c r="CR95" i="18"/>
  <c r="CO95" i="18" l="1" a="1"/>
  <c r="CO95" i="18" s="1"/>
  <c r="CT91" i="18" s="1"/>
  <c r="CP95" i="18" a="1"/>
  <c r="CP95" i="18" s="1"/>
  <c r="CQ95" i="18" a="1"/>
  <c r="CQ95" i="18" s="1"/>
  <c r="CR96" i="18"/>
  <c r="CN96" i="18"/>
  <c r="CP96" i="18" l="1" a="1"/>
  <c r="CP96" i="18" s="1"/>
  <c r="CQ96" i="18" a="1"/>
  <c r="CQ96" i="18" s="1"/>
  <c r="CO96" i="18" a="1"/>
  <c r="CO96" i="18" s="1"/>
  <c r="CT92" i="18" s="1"/>
  <c r="CN97" i="18"/>
  <c r="CR97" i="18"/>
  <c r="CQ97" i="18" l="1" a="1"/>
  <c r="CQ97" i="18" s="1"/>
  <c r="CP97" i="18" a="1"/>
  <c r="CP97" i="18" s="1"/>
  <c r="CO97" i="18" a="1"/>
  <c r="CO97" i="18" s="1"/>
  <c r="CT93" i="18" s="1"/>
  <c r="CN98" i="18"/>
  <c r="CR98" i="18"/>
  <c r="CQ98" i="18" l="1" a="1"/>
  <c r="CQ98" i="18" s="1"/>
  <c r="CP98" i="18" a="1"/>
  <c r="CP98" i="18" s="1"/>
  <c r="CO98" i="18" a="1"/>
  <c r="CO98" i="18" s="1"/>
  <c r="CT94" i="18" s="1"/>
  <c r="CN99" i="18"/>
  <c r="CR99" i="18"/>
  <c r="CQ99" i="18" l="1" a="1"/>
  <c r="CQ99" i="18" s="1"/>
  <c r="CP99" i="18" a="1"/>
  <c r="CP99" i="18" s="1"/>
  <c r="CO99" i="18" a="1"/>
  <c r="CO99" i="18" s="1"/>
  <c r="CT95" i="18" s="1"/>
  <c r="CN100" i="18"/>
  <c r="CR100" i="18"/>
  <c r="CP100" i="18" l="1" a="1"/>
  <c r="CP100" i="18" s="1"/>
  <c r="CO100" i="18" a="1"/>
  <c r="CO100" i="18" s="1"/>
  <c r="CT96" i="18" s="1"/>
  <c r="CQ100" i="18" a="1"/>
  <c r="CQ100" i="18" s="1"/>
  <c r="CN101" i="18"/>
  <c r="CR101" i="18"/>
  <c r="CO101" i="18" l="1" a="1"/>
  <c r="CO101" i="18" s="1"/>
  <c r="CT97" i="18" s="1"/>
  <c r="CP101" i="18" a="1"/>
  <c r="CP101" i="18" s="1"/>
  <c r="CQ101" i="18" a="1"/>
  <c r="CQ101" i="18" s="1"/>
  <c r="CR102" i="18"/>
  <c r="CN102" i="18"/>
  <c r="CQ102" i="18" l="1" a="1"/>
  <c r="CQ102" i="18" s="1"/>
  <c r="CP102" i="18" a="1"/>
  <c r="CP102" i="18" s="1"/>
  <c r="CO102" i="18" a="1"/>
  <c r="CO102" i="18" s="1"/>
  <c r="CT98" i="18" s="1"/>
  <c r="CN103" i="18"/>
  <c r="CR103" i="18"/>
  <c r="CO103" i="18" l="1" a="1"/>
  <c r="CO103" i="18" s="1"/>
  <c r="CT99" i="18" s="1"/>
  <c r="CQ103" i="18" a="1"/>
  <c r="CQ103" i="18" s="1"/>
  <c r="CP103" i="18" a="1"/>
  <c r="CP103" i="18" s="1"/>
  <c r="CR104" i="18"/>
  <c r="CN104" i="18"/>
  <c r="CQ104" i="18" l="1" a="1"/>
  <c r="CQ104" i="18" s="1"/>
  <c r="CP104" i="18" a="1"/>
  <c r="CP104" i="18" s="1"/>
  <c r="CO104" i="18" a="1"/>
  <c r="CO104" i="18" s="1"/>
  <c r="CT100" i="18" s="1"/>
  <c r="CN105" i="18"/>
  <c r="CR105" i="18"/>
  <c r="CQ105" i="18" l="1" a="1"/>
  <c r="CQ105" i="18" s="1"/>
  <c r="CP105" i="18" a="1"/>
  <c r="CP105" i="18" s="1"/>
  <c r="CO105" i="18" a="1"/>
  <c r="CO105" i="18" s="1"/>
  <c r="CX12" i="18" l="1"/>
  <c r="CX48" i="18"/>
  <c r="CX27" i="18"/>
  <c r="CX38" i="18"/>
  <c r="CV67" i="18"/>
  <c r="AW76" i="2" s="1"/>
  <c r="CV54" i="18"/>
  <c r="AW63" i="2" s="1"/>
  <c r="CX45" i="18"/>
  <c r="CX24" i="18"/>
  <c r="CX8" i="18"/>
  <c r="CV47" i="18"/>
  <c r="AW56" i="2" s="1"/>
  <c r="CX37" i="18"/>
  <c r="CV63" i="18"/>
  <c r="AW72" i="2" s="1"/>
  <c r="CV50" i="18"/>
  <c r="AW59" i="2" s="1"/>
  <c r="CX55" i="18"/>
  <c r="CX11" i="18"/>
  <c r="CV43" i="18"/>
  <c r="AW52" i="2" s="1"/>
  <c r="CX18" i="18"/>
  <c r="CV59" i="18"/>
  <c r="AW68" i="2" s="1"/>
  <c r="CX36" i="18"/>
  <c r="CV26" i="18"/>
  <c r="AW35" i="2" s="1"/>
  <c r="CX69" i="18"/>
  <c r="CX19" i="18"/>
  <c r="CV72" i="18"/>
  <c r="BJ71" i="10" s="1"/>
  <c r="CX10" i="18"/>
  <c r="CX42" i="18"/>
  <c r="CX50" i="18"/>
  <c r="CX66" i="18"/>
  <c r="CX53" i="18"/>
  <c r="CV78" i="18"/>
  <c r="BJ77" i="10" s="1"/>
  <c r="CX20" i="18"/>
  <c r="CX79" i="18"/>
  <c r="CX25" i="18"/>
  <c r="CV69" i="18"/>
  <c r="BJ68" i="10" s="1"/>
  <c r="CV36" i="18"/>
  <c r="AW45" i="2" s="1"/>
  <c r="CV80" i="18"/>
  <c r="BJ79" i="10" s="1"/>
  <c r="CX71" i="18"/>
  <c r="CX62" i="18"/>
  <c r="CX22" i="18"/>
  <c r="CX70" i="18"/>
  <c r="CV39" i="18"/>
  <c r="AW48" i="2" s="1"/>
  <c r="CX41" i="18"/>
  <c r="CX47" i="18"/>
  <c r="CX39" i="18"/>
  <c r="CV32" i="18"/>
  <c r="AW41" i="2" s="1"/>
  <c r="CX9" i="18"/>
  <c r="CX72" i="18"/>
  <c r="CX59" i="18"/>
  <c r="CV55" i="18"/>
  <c r="AW64" i="2" s="1"/>
  <c r="CV10" i="18"/>
  <c r="AW19" i="2" s="1"/>
  <c r="CV70" i="18"/>
  <c r="BJ69" i="10" s="1"/>
  <c r="CV30" i="18"/>
  <c r="AW39" i="2" s="1"/>
  <c r="CV48" i="18"/>
  <c r="AW57" i="2" s="1"/>
  <c r="CV42" i="18"/>
  <c r="AW51" i="2" s="1"/>
  <c r="CX68" i="18"/>
  <c r="CX56" i="18"/>
  <c r="CV12" i="18"/>
  <c r="AW21" i="2" s="1"/>
  <c r="CX74" i="18"/>
  <c r="CV14" i="18"/>
  <c r="AW23" i="2" s="1"/>
  <c r="CX63" i="18"/>
  <c r="CV79" i="18"/>
  <c r="BJ78" i="10" s="1"/>
  <c r="CX46" i="18"/>
  <c r="CX73" i="18"/>
  <c r="CV22" i="18"/>
  <c r="AW31" i="2" s="1"/>
  <c r="CV16" i="18"/>
  <c r="AW25" i="2" s="1"/>
  <c r="CX58" i="18"/>
  <c r="CV66" i="18"/>
  <c r="AW75" i="2" s="1"/>
  <c r="CV46" i="18"/>
  <c r="AW55" i="2" s="1"/>
  <c r="CV52" i="18"/>
  <c r="AW61" i="2" s="1"/>
  <c r="CV40" i="18"/>
  <c r="AW49" i="2" s="1"/>
  <c r="CV11" i="18"/>
  <c r="AW20" i="2" s="1"/>
  <c r="CX40" i="18"/>
  <c r="CV73" i="18"/>
  <c r="BJ72" i="10" s="1"/>
  <c r="CV64" i="18"/>
  <c r="AW73" i="2" s="1"/>
  <c r="CV24" i="18"/>
  <c r="AW33" i="2" s="1"/>
  <c r="CX33" i="18"/>
  <c r="CX34" i="18"/>
  <c r="CV33" i="18"/>
  <c r="AW42" i="2" s="1"/>
  <c r="CV41" i="18"/>
  <c r="AW50" i="2" s="1"/>
  <c r="CX67" i="18"/>
  <c r="CX35" i="18"/>
  <c r="CV61" i="18"/>
  <c r="AW70" i="2" s="1"/>
  <c r="CX75" i="18"/>
  <c r="CV57" i="18"/>
  <c r="AW66" i="2" s="1"/>
  <c r="CV75" i="18"/>
  <c r="BJ74" i="10" s="1"/>
  <c r="CX61" i="18"/>
  <c r="CV25" i="18"/>
  <c r="AW34" i="2" s="1"/>
  <c r="CX15" i="18"/>
  <c r="CX44" i="18"/>
  <c r="CX23" i="18"/>
  <c r="CX14" i="18"/>
  <c r="CV60" i="18"/>
  <c r="AW69" i="2" s="1"/>
  <c r="CV56" i="18"/>
  <c r="AW65" i="2" s="1"/>
  <c r="CX30" i="18"/>
  <c r="CV44" i="18"/>
  <c r="AW53" i="2" s="1"/>
  <c r="CX80" i="18"/>
  <c r="CV15" i="18"/>
  <c r="AW24" i="2" s="1"/>
  <c r="CV38" i="18"/>
  <c r="AW47" i="2" s="1"/>
  <c r="CV81" i="18"/>
  <c r="BJ80" i="10" s="1"/>
  <c r="CV77" i="18"/>
  <c r="BJ76" i="10" s="1"/>
  <c r="CV65" i="18"/>
  <c r="AW74" i="2" s="1"/>
  <c r="CX64" i="18"/>
  <c r="CX51" i="18"/>
  <c r="CX52" i="18"/>
  <c r="CX31" i="18"/>
  <c r="CV29" i="18"/>
  <c r="AW38" i="2" s="1"/>
  <c r="CX21" i="18"/>
  <c r="CX60" i="18"/>
  <c r="CV23" i="18"/>
  <c r="AW32" i="2" s="1"/>
  <c r="CV37" i="18"/>
  <c r="AW46" i="2" s="1"/>
  <c r="CX57" i="18"/>
  <c r="CX54" i="18"/>
  <c r="CV68" i="18"/>
  <c r="AW77" i="2" s="1"/>
  <c r="CV45" i="18"/>
  <c r="AW54" i="2" s="1"/>
  <c r="CV49" i="18"/>
  <c r="AW58" i="2" s="1"/>
  <c r="CV35" i="18"/>
  <c r="AW44" i="2" s="1"/>
  <c r="CX29" i="18"/>
  <c r="CX26" i="18"/>
  <c r="CX49" i="18"/>
  <c r="CX81" i="18"/>
  <c r="CV62" i="18"/>
  <c r="AW71" i="2" s="1"/>
  <c r="CX16" i="18"/>
  <c r="CV34" i="18"/>
  <c r="AW43" i="2" s="1"/>
  <c r="CV21" i="18"/>
  <c r="AW30" i="2" s="1"/>
  <c r="CV28" i="18"/>
  <c r="AW37" i="2" s="1"/>
  <c r="CV51" i="18"/>
  <c r="AW60" i="2" s="1"/>
  <c r="CV76" i="18"/>
  <c r="BJ75" i="10" s="1"/>
  <c r="CV58" i="18"/>
  <c r="AW67" i="2" s="1"/>
  <c r="CV19" i="18"/>
  <c r="AW28" i="2" s="1"/>
  <c r="CX43" i="18"/>
  <c r="CX77" i="18"/>
  <c r="CV27" i="18"/>
  <c r="AW36" i="2" s="1"/>
  <c r="CV31" i="18"/>
  <c r="AW40" i="2" s="1"/>
  <c r="CX78" i="18"/>
  <c r="CV74" i="18"/>
  <c r="BJ73" i="10" s="1"/>
  <c r="CX65" i="18"/>
  <c r="CV18" i="18"/>
  <c r="AW27" i="2" s="1"/>
  <c r="CV13" i="18"/>
  <c r="AW22" i="2" s="1"/>
  <c r="CV17" i="18"/>
  <c r="AW26" i="2" s="1"/>
  <c r="CV20" i="18"/>
  <c r="AW29" i="2" s="1"/>
  <c r="CX17" i="18"/>
  <c r="CV71" i="18"/>
  <c r="BJ70" i="10" s="1"/>
  <c r="CX13" i="18"/>
  <c r="CX32" i="18"/>
  <c r="CV9" i="18"/>
  <c r="AW18" i="2" s="1"/>
  <c r="CX28" i="18"/>
  <c r="CV53" i="18"/>
  <c r="AW62" i="2" s="1"/>
  <c r="CV8" i="18"/>
  <c r="AW17" i="2" s="1"/>
  <c r="CX76" i="18"/>
  <c r="CV3" i="18"/>
  <c r="AW12" i="2" s="1"/>
  <c r="CX6" i="18"/>
  <c r="CV6" i="18"/>
  <c r="AW15" i="2" s="1"/>
  <c r="CV4" i="18"/>
  <c r="AW13" i="2" s="1"/>
  <c r="CX7" i="18"/>
  <c r="CV5" i="18"/>
  <c r="AW14" i="2" s="1"/>
  <c r="CV7" i="18"/>
  <c r="AW16" i="2" s="1"/>
  <c r="CX3" i="18"/>
  <c r="CX2" i="18"/>
  <c r="CX5" i="18"/>
  <c r="CV2" i="18"/>
  <c r="AW11" i="2" s="1"/>
  <c r="CX4" i="18"/>
  <c r="CT101" i="18"/>
  <c r="CU75" i="18" s="1" a="1"/>
  <c r="CU75" i="18" s="1"/>
  <c r="CU23" i="18" l="1" a="1"/>
  <c r="CU23" i="18" s="1"/>
  <c r="CU26" i="18" a="1"/>
  <c r="CU26" i="18" s="1"/>
  <c r="CU8" i="18" a="1"/>
  <c r="CU8" i="18" s="1"/>
  <c r="CU63" i="18" a="1"/>
  <c r="CU63" i="18" s="1"/>
  <c r="CU31" i="18" a="1"/>
  <c r="CU31" i="18" s="1"/>
  <c r="CU69" i="18" a="1"/>
  <c r="CU69" i="18" s="1"/>
  <c r="CU84" i="18" a="1"/>
  <c r="CU84" i="18" s="1"/>
  <c r="CU55" i="18" a="1"/>
  <c r="CU55" i="18" s="1"/>
  <c r="CU58" i="18" a="1"/>
  <c r="CU58" i="18" s="1"/>
  <c r="CU41" i="18" a="1"/>
  <c r="CU41" i="18" s="1"/>
  <c r="CU72" i="18" a="1"/>
  <c r="CU72" i="18" s="1"/>
  <c r="CU88" i="18" a="1"/>
  <c r="CU88" i="18" s="1"/>
  <c r="CU79" i="18" a="1"/>
  <c r="CU79" i="18" s="1"/>
  <c r="CU16" i="18" a="1"/>
  <c r="CU16" i="18" s="1"/>
  <c r="CU13" i="18" a="1"/>
  <c r="CU13" i="18" s="1"/>
  <c r="CU90" i="18" a="1"/>
  <c r="CU90" i="18" s="1"/>
  <c r="CU82" i="18" a="1"/>
  <c r="CU82" i="18" s="1"/>
  <c r="CU33" i="18" a="1"/>
  <c r="CU33" i="18" s="1"/>
  <c r="CU47" i="18" a="1"/>
  <c r="CU47" i="18" s="1"/>
  <c r="CU37" i="18" a="1"/>
  <c r="CU37" i="18" s="1"/>
  <c r="CU28" i="18" a="1"/>
  <c r="CU28" i="18" s="1"/>
  <c r="CU91" i="18" a="1"/>
  <c r="CU91" i="18" s="1"/>
  <c r="CU25" i="18" a="1"/>
  <c r="CU25" i="18" s="1"/>
  <c r="CU44" i="18" a="1"/>
  <c r="CU44" i="18" s="1"/>
  <c r="CU20" i="18" a="1"/>
  <c r="CU20" i="18" s="1"/>
  <c r="CU38" i="18" a="1"/>
  <c r="CU38" i="18" s="1"/>
  <c r="CU59" i="18" a="1"/>
  <c r="CU59" i="18" s="1"/>
  <c r="CU11" i="18" a="1"/>
  <c r="CU11" i="18" s="1"/>
  <c r="CU56" i="18" a="1"/>
  <c r="CU56" i="18" s="1"/>
  <c r="CU67" i="18" a="1"/>
  <c r="CU67" i="18" s="1"/>
  <c r="CU81" i="18" a="1"/>
  <c r="CU81" i="18" s="1"/>
  <c r="CU50" i="18" a="1"/>
  <c r="CU50" i="18" s="1"/>
  <c r="CU52" i="18" a="1"/>
  <c r="CU52" i="18" s="1"/>
  <c r="CU49" i="18" a="1"/>
  <c r="CU49" i="18" s="1"/>
  <c r="CU96" i="18" a="1"/>
  <c r="CU96" i="18" s="1"/>
  <c r="CU78" i="18" a="1"/>
  <c r="CU78" i="18" s="1"/>
  <c r="CU94" i="18" a="1"/>
  <c r="CU94" i="18" s="1"/>
  <c r="CU101" i="18" a="1"/>
  <c r="CU101" i="18" s="1"/>
  <c r="CU51" i="18" a="1"/>
  <c r="CU51" i="18" s="1"/>
  <c r="CU42" i="18" a="1"/>
  <c r="CU42" i="18" s="1"/>
  <c r="CU92" i="18" a="1"/>
  <c r="CU92" i="18" s="1"/>
  <c r="CU15" i="18" a="1"/>
  <c r="CU15" i="18" s="1"/>
  <c r="CU36" i="18" a="1"/>
  <c r="CU36" i="18" s="1"/>
  <c r="CU29" i="18" a="1"/>
  <c r="CU29" i="18" s="1"/>
  <c r="CU3" i="18" a="1"/>
  <c r="CU3" i="18" s="1"/>
  <c r="CU9" i="18" a="1"/>
  <c r="CU9" i="18" s="1"/>
  <c r="CU70" i="18" a="1"/>
  <c r="CU70" i="18" s="1"/>
  <c r="CU77" i="18" a="1"/>
  <c r="CU77" i="18" s="1"/>
  <c r="CU32" i="18" a="1"/>
  <c r="CU32" i="18" s="1"/>
  <c r="CU68" i="18" a="1"/>
  <c r="CU68" i="18" s="1"/>
  <c r="CU27" i="18" a="1"/>
  <c r="CU27" i="18" s="1"/>
  <c r="CU76" i="18" a="1"/>
  <c r="CU76" i="18" s="1"/>
  <c r="CU64" i="18" a="1"/>
  <c r="CU64" i="18" s="1"/>
  <c r="CU60" i="18" a="1"/>
  <c r="CU60" i="18" s="1"/>
  <c r="CU97" i="18" a="1"/>
  <c r="CU97" i="18" s="1"/>
  <c r="CU100" i="18" a="1"/>
  <c r="CU100" i="18" s="1"/>
  <c r="CU21" i="18" a="1"/>
  <c r="CU21" i="18" s="1"/>
  <c r="CU12" i="18" a="1"/>
  <c r="CU12" i="18" s="1"/>
  <c r="CU57" i="18" a="1"/>
  <c r="CU57" i="18" s="1"/>
  <c r="CU62" i="18" a="1"/>
  <c r="CU62" i="18" s="1"/>
  <c r="CU86" i="18" a="1"/>
  <c r="CU86" i="18" s="1"/>
  <c r="CU48" i="18" a="1"/>
  <c r="CU48" i="18" s="1"/>
  <c r="CU18" i="18" a="1"/>
  <c r="CU18" i="18" s="1"/>
  <c r="CU14" i="18" a="1"/>
  <c r="CU14" i="18" s="1"/>
  <c r="CU99" i="18" a="1"/>
  <c r="CU99" i="18" s="1"/>
  <c r="CU73" i="18" a="1"/>
  <c r="CU73" i="18" s="1"/>
  <c r="CU80" i="18" a="1"/>
  <c r="CU80" i="18" s="1"/>
  <c r="CU7" i="18" a="1"/>
  <c r="CU7" i="18" s="1"/>
  <c r="CU45" i="18" a="1"/>
  <c r="CU45" i="18" s="1"/>
  <c r="CU35" i="18" a="1"/>
  <c r="CU35" i="18" s="1"/>
  <c r="CU17" i="18" a="1"/>
  <c r="CU17" i="18" s="1"/>
  <c r="CU93" i="18" a="1"/>
  <c r="CU93" i="18" s="1"/>
  <c r="CU4" i="18" a="1"/>
  <c r="CU4" i="18" s="1"/>
  <c r="CU89" i="18" a="1"/>
  <c r="CU89" i="18" s="1"/>
  <c r="CU53" i="18" a="1"/>
  <c r="CU53" i="18" s="1"/>
  <c r="CU5" i="18" a="1"/>
  <c r="CU5" i="18" s="1"/>
  <c r="CU65" i="18" a="1"/>
  <c r="CU65" i="18" s="1"/>
  <c r="CU6" i="18" a="1"/>
  <c r="CU6" i="18" s="1"/>
  <c r="CU83" i="18" a="1"/>
  <c r="CU83" i="18" s="1"/>
  <c r="CU61" i="18" a="1"/>
  <c r="CU61" i="18" s="1"/>
  <c r="CU95" i="18" a="1"/>
  <c r="CU95" i="18" s="1"/>
  <c r="CU40" i="18" a="1"/>
  <c r="CU40" i="18" s="1"/>
  <c r="CU98" i="18" a="1"/>
  <c r="CU98" i="18" s="1"/>
  <c r="CU66" i="18" a="1"/>
  <c r="CU66" i="18" s="1"/>
  <c r="CU71" i="18" a="1"/>
  <c r="CU71" i="18" s="1"/>
  <c r="CU34" i="18" a="1"/>
  <c r="CU34" i="18" s="1"/>
  <c r="CU2" i="18" a="1"/>
  <c r="CU2" i="18" s="1"/>
  <c r="CU54" i="18" a="1"/>
  <c r="CU54" i="18" s="1"/>
  <c r="CU39" i="18" a="1"/>
  <c r="CU39" i="18" s="1"/>
  <c r="CU30" i="18" a="1"/>
  <c r="CU30" i="18" s="1"/>
  <c r="CU10" i="18" a="1"/>
  <c r="CU10" i="18" s="1"/>
  <c r="CU46" i="18" a="1"/>
  <c r="CU46" i="18" s="1"/>
  <c r="CU19" i="18" a="1"/>
  <c r="CU19" i="18" s="1"/>
  <c r="CU85" i="18" a="1"/>
  <c r="CU85" i="18" s="1"/>
  <c r="CU43" i="18" a="1"/>
  <c r="CU43" i="18" s="1"/>
  <c r="CU22" i="18" a="1"/>
  <c r="CU22" i="18" s="1"/>
  <c r="CU74" i="18" a="1"/>
  <c r="CU74" i="18" s="1"/>
  <c r="CU24" i="18" a="1"/>
  <c r="CU24" i="18" s="1"/>
  <c r="CU87" i="18" a="1"/>
  <c r="CU87" i="18" s="1"/>
  <c r="AT11" i="18" l="1"/>
  <c r="AR11" i="18" s="1"/>
  <c r="AR19" i="18" l="1"/>
  <c r="AV8" i="18" s="1"/>
  <c r="H79" i="2" s="1"/>
  <c r="AR12" i="18"/>
  <c r="AV1" i="18" s="1"/>
  <c r="H72" i="2" s="1"/>
  <c r="AR16" i="18"/>
  <c r="AV5" i="18" s="1"/>
  <c r="H76" i="2" s="1"/>
  <c r="AR18" i="18"/>
  <c r="AV7" i="18" s="1"/>
  <c r="H78" i="2" s="1"/>
  <c r="AR13" i="18"/>
  <c r="AV2" i="18" s="1"/>
  <c r="H73" i="2" s="1"/>
  <c r="AR14" i="18"/>
  <c r="AV3" i="18" s="1"/>
  <c r="H74" i="2" s="1"/>
  <c r="AR21" i="18"/>
  <c r="J81" i="2" s="1"/>
  <c r="AR20" i="18"/>
  <c r="AV9" i="18" s="1"/>
  <c r="H80" i="2" s="1"/>
  <c r="AR15" i="18"/>
  <c r="AV4" i="18" s="1"/>
  <c r="H75" i="2" s="1"/>
  <c r="AR17" i="18"/>
  <c r="AV6" i="18" s="1"/>
  <c r="H77" i="2" s="1"/>
  <c r="L62" i="2" l="1"/>
  <c r="Y60" i="2" s="1"/>
  <c r="C3" i="8" a="1"/>
  <c r="C3" i="8" l="1"/>
  <c r="E13" i="8" l="1"/>
  <c r="M9" i="8"/>
  <c r="M11" i="8"/>
  <c r="E9" i="8"/>
  <c r="C8" i="8"/>
  <c r="E11" i="8"/>
  <c r="O8" i="8"/>
  <c r="H13" i="8"/>
  <c r="C23" i="8"/>
  <c r="E19" i="8"/>
  <c r="Q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35DAEC5-21D9-4C6B-8B8B-F800C972DB76}">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 ref="H8" authorId="0" shapeId="0" xr:uid="{00000000-0006-0000-0000-000001000000}">
      <text>
        <r>
          <rPr>
            <sz val="9"/>
            <rFont val="宋体"/>
            <family val="3"/>
            <charset val="134"/>
          </rPr>
          <t>1英寸为2.54厘米
1英尺为30.48厘米</t>
        </r>
      </text>
    </comment>
    <comment ref="H9" authorId="0" shapeId="0" xr:uid="{00000000-0006-0000-0000-000002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4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5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6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7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8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A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C41" authorId="0" shapeId="0" xr:uid="{00000000-0006-0000-0100-000013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3" authorId="0" shapeId="0" xr:uid="{00000000-0006-0000-0100-000014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44" authorId="0" shapeId="0" xr:uid="{00000000-0006-0000-0100-000015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5" authorId="0" shapeId="0" xr:uid="{00000000-0006-0000-0100-000016000000}">
      <text>
        <r>
          <rPr>
            <sz val="9"/>
            <rFont val="微软雅黑"/>
            <family val="2"/>
            <charset val="134"/>
          </rPr>
          <t>你尝试躲起避过敌人，躲过守卫，偷偷溜走，无声息地绕到某人背后时，进行一次敏捷（隐匿）检定。</t>
        </r>
      </text>
    </comment>
    <comment ref="I45" authorId="0" shapeId="0" xr:uid="{00000000-0006-0000-0100-000017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47" authorId="0" shapeId="0" xr:uid="{00000000-0006-0000-0100-000018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8" authorId="0" shapeId="0" xr:uid="{00000000-0006-0000-0100-000019000000}">
      <text>
        <r>
          <rPr>
            <sz val="9"/>
            <rFont val="微软雅黑"/>
            <family val="2"/>
            <charset val="134"/>
          </rPr>
          <t>你的智力（奥秘）检定量化你忆起关于法术、魔法物品、奥秘符文、魔法派系、位面、位面住民等相关知识的能力。</t>
        </r>
      </text>
    </comment>
    <comment ref="C49" authorId="0" shapeId="0" xr:uid="{00000000-0006-0000-0100-00001A000000}">
      <text>
        <r>
          <rPr>
            <sz val="9"/>
            <rFont val="微软雅黑"/>
            <family val="2"/>
            <charset val="134"/>
          </rPr>
          <t>你的智力（历史）检定量化你忆起关于历史事件、传奇人物、古王国、昔日纠纷、近代战争、失落文明等相关知识的能力。</t>
        </r>
      </text>
    </comment>
    <comment ref="C50" authorId="0" shapeId="0" xr:uid="{00000000-0006-0000-0100-00001B000000}">
      <text>
        <r>
          <rPr>
            <sz val="9"/>
            <rFont val="微软雅黑"/>
            <family val="2"/>
            <charset val="134"/>
          </rPr>
          <t>你的智力（自然）检定量化你忆起关于地势、动植物、气候、自然周期相关知识的能力。</t>
        </r>
      </text>
    </comment>
    <comment ref="C51" authorId="0" shapeId="0" xr:uid="{00000000-0006-0000-0100-00001C000000}">
      <text>
        <r>
          <rPr>
            <sz val="9"/>
            <rFont val="微软雅黑"/>
            <family val="2"/>
            <charset val="134"/>
          </rPr>
          <t>你的智力（宗教）检定量化你回忆神祇、仪式和祷告、宗教阶级、圣徽、秘密组织风俗等知识的能力。</t>
        </r>
      </text>
    </comment>
    <comment ref="C53" authorId="0" shapeId="0" xr:uid="{00000000-0006-0000-0100-00001D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3" authorId="0" shapeId="0" xr:uid="{00000000-0006-0000-0100-00001E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54" authorId="0" shapeId="0" xr:uid="{00000000-0006-0000-0100-00001F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55" authorId="0" shapeId="0" xr:uid="{00000000-0006-0000-0100-000020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6" authorId="0" shapeId="0" xr:uid="{00000000-0006-0000-0100-000021000000}">
      <text>
        <r>
          <rPr>
            <sz val="9"/>
            <rFont val="微软雅黑"/>
            <family val="2"/>
            <charset val="134"/>
          </rPr>
          <t>感知（医药）检定让你可以尝试稳定濒死战友的伤势或者诊断病症。</t>
        </r>
      </text>
    </comment>
    <comment ref="C57" authorId="0" shapeId="0" xr:uid="{00000000-0006-0000-0100-000022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9" authorId="0" shapeId="0" xr:uid="{00000000-0006-0000-0100-000023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60" authorId="0" shapeId="0" xr:uid="{00000000-0006-0000-0100-000026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1" authorId="0" shapeId="0" xr:uid="{00000000-0006-0000-0100-000028000000}">
      <text>
        <r>
          <rPr>
            <sz val="9"/>
            <rFont val="微软雅黑"/>
            <family val="2"/>
            <charset val="134"/>
          </rPr>
          <t>当你尝试用威胁、敌对行为、暴力等使他人改变心意时，进行一次魅力（威吓）检定。
例子包括迫供、吓退痞子、用破瓶的利口“说服”高官三思等。</t>
        </r>
      </text>
    </comment>
    <comment ref="C62" authorId="0" shapeId="0" xr:uid="{00000000-0006-0000-0100-00002B000000}">
      <text>
        <r>
          <rPr>
            <sz val="9"/>
            <rFont val="微软雅黑"/>
            <family val="2"/>
            <charset val="134"/>
          </rPr>
          <t>你的魅力（表演）检定决定你能多好地用音乐，舞蹈，扮演，卖艺，说书，或其他方式娱乐观众。</t>
        </r>
      </text>
    </comment>
    <comment ref="P64" authorId="1" shapeId="0" xr:uid="{00000000-0006-0000-0100-00002D000000}">
      <text>
        <r>
          <rPr>
            <sz val="9"/>
            <rFont val="微软雅黑"/>
            <family val="2"/>
            <charset val="134"/>
          </rPr>
          <t>因种族特性，专长，职业特性而无需消耗环位释放的法术，可以在此处记录（如因精类触碰而获得的迷踪步）</t>
        </r>
      </text>
    </comment>
    <comment ref="B83" authorId="1" shapeId="0" xr:uid="{00000000-0006-0000-0100-00002F000000}">
      <text>
        <r>
          <rPr>
            <sz val="9"/>
            <rFont val="宋体"/>
            <family val="3"/>
            <charset val="134"/>
          </rPr>
          <t>此处下拉栏选择的法术为已录入法术书中的法术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Killer Queen</author>
    <author>LENOVO</author>
  </authors>
  <commentList>
    <comment ref="AA2" authorId="0" shapeId="0" xr:uid="{5E390747-9A11-4F63-AF8A-F5118AC537FB}">
      <text>
        <r>
          <rPr>
            <sz val="10"/>
            <color indexed="81"/>
            <rFont val="宋体"/>
            <family val="3"/>
            <charset val="134"/>
          </rPr>
          <t>单位为磅，同时无需填入单位</t>
        </r>
      </text>
    </comment>
    <comment ref="X9" authorId="1" shapeId="0" xr:uid="{46DABCB2-0122-4FE8-8B45-280A603B36DC}">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X10" authorId="1" shapeId="0" xr:uid="{D99173A8-0214-4E41-A338-6081F05FBB3B}">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X11" authorId="1" shapeId="0" xr:uid="{603A8057-A1C2-40E1-985D-D2DCBAE3AF5F}">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X12" authorId="1" shapeId="0" xr:uid="{3319FEF1-AFEF-4FEB-88D9-84409F3CC34F}">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X13" authorId="1" shapeId="0" xr:uid="{EF71418E-7D51-4AA6-8E4E-CA54D2B2A8F7}">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B14" authorId="0" shapeId="0" xr:uid="{750D07A9-7628-47F7-B99F-9F1092EFE7FD}">
      <text>
        <r>
          <rPr>
            <sz val="10"/>
            <color indexed="81"/>
            <rFont val="宋体"/>
            <family val="3"/>
            <charset val="134"/>
          </rPr>
          <t>暂无收录</t>
        </r>
      </text>
    </comment>
    <comment ref="X14" authorId="1" shapeId="0" xr:uid="{3A062261-70B4-4F90-96A6-650D943DD24D}">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16" authorId="0" shapeId="0" xr:uid="{A3A2C8A6-A2D2-40A3-A6B1-91A928A6209D}">
      <text>
        <r>
          <rPr>
            <sz val="10"/>
            <color indexed="81"/>
            <rFont val="宋体"/>
            <family val="3"/>
            <charset val="134"/>
          </rPr>
          <t>暂无收录</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<sst xmlns="http://schemas.openxmlformats.org/spreadsheetml/2006/main" count="22856" uniqueCount="10995">
  <si>
    <t>人物背景 Background</t>
  </si>
  <si>
    <t>角色名</t>
  </si>
  <si>
    <t>人物形象</t>
  </si>
  <si>
    <t>玩家</t>
  </si>
  <si>
    <t>故乡</t>
  </si>
  <si>
    <t>背景描述</t>
  </si>
  <si>
    <t>背景</t>
  </si>
  <si>
    <t>年龄</t>
  </si>
  <si>
    <t>身高</t>
  </si>
  <si>
    <t>性别</t>
  </si>
  <si>
    <t>体重</t>
  </si>
  <si>
    <t>人物立绘</t>
  </si>
  <si>
    <t>个性</t>
  </si>
  <si>
    <t>背景获利</t>
  </si>
  <si>
    <t>属性值</t>
  </si>
  <si>
    <t>理念</t>
  </si>
  <si>
    <t>专长</t>
  </si>
  <si>
    <t>羁绊</t>
  </si>
  <si>
    <t>技能熟练</t>
  </si>
  <si>
    <t>缺陷</t>
  </si>
  <si>
    <t>工具熟练</t>
  </si>
  <si>
    <t>背景故事</t>
  </si>
  <si>
    <t>生命值小工具</t>
  </si>
  <si>
    <t>生命骰使用期望</t>
  </si>
  <si>
    <t>是</t>
  </si>
  <si>
    <t>种族特性</t>
  </si>
  <si>
    <t>1级</t>
  </si>
  <si>
    <t>2级</t>
  </si>
  <si>
    <t>3级</t>
  </si>
  <si>
    <t>4级</t>
  </si>
  <si>
    <t>5级</t>
  </si>
  <si>
    <t>6级</t>
  </si>
  <si>
    <t>7级</t>
  </si>
  <si>
    <t>8级</t>
  </si>
  <si>
    <t>9级</t>
  </si>
  <si>
    <t>10级</t>
  </si>
  <si>
    <t>名称</t>
  </si>
  <si>
    <t>描述</t>
  </si>
  <si>
    <t>熟练</t>
  </si>
  <si>
    <t>修正</t>
  </si>
  <si>
    <t>&lt;</t>
  </si>
  <si>
    <t>11级</t>
  </si>
  <si>
    <t>12级</t>
  </si>
  <si>
    <t>13级</t>
  </si>
  <si>
    <t>14级</t>
  </si>
  <si>
    <t>15级</t>
  </si>
  <si>
    <t>16级</t>
  </si>
  <si>
    <t>17级</t>
  </si>
  <si>
    <t>18级</t>
  </si>
  <si>
    <t>19级</t>
  </si>
  <si>
    <t>20级</t>
  </si>
  <si>
    <t>主职</t>
  </si>
  <si>
    <t>子职</t>
  </si>
  <si>
    <t>Lv</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</si>
  <si>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</si>
  <si>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</si>
  <si>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</si>
  <si>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</si>
  <si>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</si>
  <si>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</si>
  <si>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</si>
  <si>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</si>
  <si>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</si>
  <si>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</si>
  <si>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</si>
  <si>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</si>
  <si>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等级</t>
  </si>
  <si>
    <t>属性</t>
  </si>
  <si>
    <t>总值</t>
  </si>
  <si>
    <t>初始值</t>
  </si>
  <si>
    <t>成长</t>
  </si>
  <si>
    <t>调整值</t>
  </si>
  <si>
    <t>豁免</t>
  </si>
  <si>
    <t>X</t>
  </si>
  <si>
    <t>力量</t>
  </si>
  <si>
    <t>&gt;</t>
  </si>
  <si>
    <t>敏捷</t>
  </si>
  <si>
    <t>体质</t>
  </si>
  <si>
    <t>智力</t>
  </si>
  <si>
    <t>感知</t>
  </si>
  <si>
    <t>魅力</t>
  </si>
  <si>
    <t>战斗</t>
  </si>
  <si>
    <t>持有英雄激励</t>
  </si>
  <si>
    <t>否</t>
  </si>
  <si>
    <t>Now</t>
  </si>
  <si>
    <t>Max</t>
  </si>
  <si>
    <t>先攻</t>
  </si>
  <si>
    <t>HP</t>
  </si>
  <si>
    <t>/</t>
  </si>
  <si>
    <t>AC</t>
  </si>
  <si>
    <t>HD</t>
  </si>
  <si>
    <t>画像</t>
  </si>
  <si>
    <t>盾牌</t>
  </si>
  <si>
    <t>抗性</t>
  </si>
  <si>
    <t>体型</t>
  </si>
  <si>
    <t>中型</t>
  </si>
  <si>
    <t>速度</t>
  </si>
  <si>
    <t>免疫</t>
  </si>
  <si>
    <t>特殊能力</t>
  </si>
  <si>
    <t>优势</t>
  </si>
  <si>
    <t>技能</t>
  </si>
  <si>
    <t>装备</t>
  </si>
  <si>
    <t>已同调的装备</t>
  </si>
  <si>
    <t>默认</t>
  </si>
  <si>
    <t>同调</t>
  </si>
  <si>
    <t>加值</t>
  </si>
  <si>
    <t>特性</t>
  </si>
  <si>
    <t>重量</t>
  </si>
  <si>
    <t>敏捷加值</t>
  </si>
  <si>
    <t>运动</t>
  </si>
  <si>
    <t>+</t>
  </si>
  <si>
    <t>战斗风格专长</t>
  </si>
  <si>
    <t>武器名称</t>
  </si>
  <si>
    <t>精通</t>
  </si>
  <si>
    <t>伤害类型</t>
  </si>
  <si>
    <t>特技</t>
  </si>
  <si>
    <t>O</t>
  </si>
  <si>
    <t>巧手</t>
  </si>
  <si>
    <t>隐匿</t>
  </si>
  <si>
    <t>调查</t>
  </si>
  <si>
    <t>奥秘</t>
  </si>
  <si>
    <t>历史</t>
  </si>
  <si>
    <t>自然</t>
  </si>
  <si>
    <t>宗教</t>
  </si>
  <si>
    <t>察觉</t>
  </si>
  <si>
    <t>洞悉</t>
  </si>
  <si>
    <t>求生</t>
  </si>
  <si>
    <t>———随身钱币———</t>
  </si>
  <si>
    <t>游说</t>
  </si>
  <si>
    <t>背包1</t>
  </si>
  <si>
    <t>背包2</t>
  </si>
  <si>
    <t>总负重</t>
  </si>
  <si>
    <t>钱包</t>
  </si>
  <si>
    <t>GP</t>
  </si>
  <si>
    <t>PP</t>
  </si>
  <si>
    <t>EP</t>
  </si>
  <si>
    <t>总财富</t>
  </si>
  <si>
    <t>威吓</t>
  </si>
  <si>
    <t>最大载重</t>
  </si>
  <si>
    <t>次元袋</t>
  </si>
  <si>
    <t>SP</t>
  </si>
  <si>
    <t>表演</t>
  </si>
  <si>
    <t>CP</t>
  </si>
  <si>
    <t>法术</t>
  </si>
  <si>
    <t>无消耗法术</t>
  </si>
  <si>
    <t>关键属性</t>
  </si>
  <si>
    <t>法术DC</t>
  </si>
  <si>
    <t>法术攻击骰</t>
  </si>
  <si>
    <t>法术名称</t>
  </si>
  <si>
    <t>侦测魔法</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</si>
  <si>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</si>
  <si>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</si>
  <si>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</si>
  <si>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</si>
  <si>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</si>
  <si>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</si>
  <si>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</si>
  <si>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</si>
  <si>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</si>
  <si>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</si>
  <si>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</si>
  <si>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</si>
  <si>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</si>
  <si>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</si>
  <si>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</si>
  <si>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</si>
  <si>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</si>
  <si>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</si>
  <si>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</si>
  <si>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</si>
  <si>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</si>
  <si>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</si>
  <si>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</si>
  <si>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语言</t>
  </si>
  <si>
    <t>物品</t>
  </si>
  <si>
    <t>价格</t>
  </si>
  <si>
    <t>工具</t>
  </si>
  <si>
    <t>操作</t>
  </si>
  <si>
    <t>制造</t>
  </si>
  <si>
    <t>熟练加值</t>
  </si>
  <si>
    <t>CR</t>
  </si>
  <si>
    <t>无消耗</t>
  </si>
  <si>
    <t>—标准语言—</t>
  </si>
  <si>
    <t>吟游诗人</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</si>
  <si>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</si>
  <si>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</si>
  <si>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</si>
  <si>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</si>
  <si>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</si>
  <si>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</si>
  <si>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</si>
  <si>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Exp</t>
  </si>
  <si>
    <t>戏法</t>
  </si>
  <si>
    <t>通用语</t>
  </si>
  <si>
    <t>牧师</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</si>
  <si>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</si>
  <si>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</si>
  <si>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</si>
  <si>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</si>
  <si>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</si>
  <si>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</si>
  <si>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1环</t>
  </si>
  <si>
    <t>1/8</t>
  </si>
  <si>
    <t>通用手语</t>
  </si>
  <si>
    <t>德鲁伊</t>
  </si>
  <si>
    <t>箭矢</t>
  </si>
  <si>
    <t>20支</t>
  </si>
  <si>
    <t>1GP</t>
  </si>
  <si>
    <t>书法工具</t>
  </si>
  <si>
    <t>以华丽的字迹撰写文字防止造假（DC15）</t>
  </si>
  <si>
    <t>墨水、法术卷轴</t>
  </si>
  <si>
    <t>10GP</t>
  </si>
  <si>
    <t>2环</t>
  </si>
  <si>
    <t>1/4</t>
  </si>
  <si>
    <t>龙语</t>
  </si>
  <si>
    <t>圣武士</t>
  </si>
  <si>
    <t>弩矢</t>
  </si>
  <si>
    <t>木匠工具</t>
  </si>
  <si>
    <t>封死或撬开一扇门或一个容器（DC20）</t>
  </si>
  <si>
    <t>短棒、巨棒、长棍、木桶、箱子、梯子、长杆、便携式攻城锤、火把</t>
  </si>
  <si>
    <t>8GP</t>
  </si>
  <si>
    <t>3环</t>
  </si>
  <si>
    <t>1/2</t>
  </si>
  <si>
    <t>矮人语</t>
  </si>
  <si>
    <t>游侠</t>
  </si>
  <si>
    <t>枪械子弹</t>
  </si>
  <si>
    <t>10发</t>
  </si>
  <si>
    <t>3GP</t>
  </si>
  <si>
    <t>制图工具</t>
  </si>
  <si>
    <t>为一小片区域绘制地图（DC15）</t>
  </si>
  <si>
    <t>地图</t>
  </si>
  <si>
    <t>15GP</t>
  </si>
  <si>
    <t>4环</t>
  </si>
  <si>
    <t>精灵语</t>
  </si>
  <si>
    <t>术士</t>
  </si>
  <si>
    <t>投石索子弹</t>
  </si>
  <si>
    <t>20发</t>
  </si>
  <si>
    <t>4CP</t>
  </si>
  <si>
    <t>鞋匠工具</t>
  </si>
  <si>
    <t>改造足具来为穿戴者的下一次敏捷（特技）检定提供优势（DC10）</t>
  </si>
  <si>
    <t>攀爬工具</t>
  </si>
  <si>
    <t>5GP</t>
  </si>
  <si>
    <t>5环</t>
  </si>
  <si>
    <t>巨人语</t>
  </si>
  <si>
    <t>魔契师</t>
  </si>
  <si>
    <t>吹矢</t>
  </si>
  <si>
    <t>50支</t>
  </si>
  <si>
    <t>厨师工具</t>
  </si>
  <si>
    <t>改善食物风味（DC10），检查食物是否腐坏或有毒（DC15）</t>
  </si>
  <si>
    <t>口粮</t>
  </si>
  <si>
    <t>6环</t>
  </si>
  <si>
    <t>侏儒语</t>
  </si>
  <si>
    <t>法师</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</si>
  <si>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</si>
  <si>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</si>
  <si>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</si>
  <si>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</si>
  <si>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</si>
  <si>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7环</t>
  </si>
  <si>
    <t>戏法1</t>
  </si>
  <si>
    <t>地精语</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</si>
  <si>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</si>
  <si>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</si>
  <si>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</si>
  <si>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</si>
  <si>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</si>
  <si>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8环</t>
  </si>
  <si>
    <t>半身人语</t>
  </si>
  <si>
    <t>法球</t>
  </si>
  <si>
    <t>皮匠工具</t>
  </si>
  <si>
    <t>对一个皮制品进行图案设计（DC10）</t>
  </si>
  <si>
    <t>投石索、鞭子、兽皮甲、皮甲、镶钉皮甲、背包、弩矢匣、地图或卷轴匣、羊皮纸、小包、箭袋、水袋</t>
  </si>
  <si>
    <t>9环</t>
  </si>
  <si>
    <t>兽人语</t>
  </si>
  <si>
    <t>权杖</t>
  </si>
  <si>
    <t>石匠工具</t>
  </si>
  <si>
    <t>在石头上凿出一个符号标志或一个洞（DC10）</t>
  </si>
  <si>
    <t>滑轮组</t>
  </si>
  <si>
    <t>—稀有语言—</t>
  </si>
  <si>
    <t>法杖（也视作长棍）</t>
  </si>
  <si>
    <t>画家工具</t>
  </si>
  <si>
    <t>画出你所见过的某个事物的可辨图像（DC10）</t>
  </si>
  <si>
    <t>德鲁伊法器、圣徽</t>
  </si>
  <si>
    <t>深渊语</t>
  </si>
  <si>
    <t>魔杖</t>
  </si>
  <si>
    <t>陶匠工具</t>
  </si>
  <si>
    <t>判断一个陶瓷物件在过去24小时内盛过什么内容物（DC15）</t>
  </si>
  <si>
    <t>壶、灯</t>
  </si>
  <si>
    <t>戏法2</t>
  </si>
  <si>
    <t>天界语</t>
  </si>
  <si>
    <t>背包</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</si>
  <si>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</si>
  <si>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</si>
  <si>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</si>
  <si>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</si>
  <si>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</si>
  <si>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深潜语</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</si>
  <si>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</si>
  <si>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</si>
  <si>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</si>
  <si>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</si>
  <si>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</si>
  <si>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微型</t>
  </si>
  <si>
    <t>德鲁伊语</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</si>
  <si>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</si>
  <si>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</si>
  <si>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</si>
  <si>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</si>
  <si>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</si>
  <si>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小型</t>
  </si>
  <si>
    <t>炼狱语</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</si>
  <si>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</si>
  <si>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</si>
  <si>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</si>
  <si>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</si>
  <si>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</si>
  <si>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</si>
  <si>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原初语</t>
  </si>
  <si>
    <t>铺盖</t>
  </si>
  <si>
    <t>一卷铺盖能睡下一个小型或中型生物。躺在铺盖中时，你自动通过抵抗极寒的豁免检定（详见地下城主指南）。</t>
  </si>
  <si>
    <t>易容工具</t>
  </si>
  <si>
    <t>化妆（DC10）</t>
  </si>
  <si>
    <t>戏服</t>
  </si>
  <si>
    <t>大型</t>
  </si>
  <si>
    <t>列1</t>
  </si>
  <si>
    <t>木族语</t>
  </si>
  <si>
    <t>铃铛</t>
  </si>
  <si>
    <t>以一个操作动作，你可以摇响一个铃铛，铃铛会发出60尺内都能够听到的声音。</t>
  </si>
  <si>
    <t>文书伪造工具</t>
  </si>
  <si>
    <t>模仿其他人的笔迹，至多10个单词（DC15），或伪造一份火漆（DC20）</t>
  </si>
  <si>
    <t>-</t>
  </si>
  <si>
    <t>巨型</t>
  </si>
  <si>
    <t>盗贼黑话</t>
  </si>
  <si>
    <t>毯子</t>
  </si>
  <si>
    <t>包裹在毯子中期间，你在抵抗极寒的豁免检定上具有优势（详见地下城主指南）。</t>
  </si>
  <si>
    <t>5SP</t>
  </si>
  <si>
    <t>赌具（多种）</t>
  </si>
  <si>
    <t>判断某人是否作弊（DC10），或赢取游戏（DC20）</t>
  </si>
  <si>
    <t>超巨型</t>
  </si>
  <si>
    <t>地底通用语</t>
  </si>
  <si>
    <t>滑轮组允许你提起你正常能提动的四倍重量的物品。</t>
  </si>
  <si>
    <t>骰子</t>
  </si>
  <si>
    <t>1SP</t>
  </si>
  <si>
    <t>书籍</t>
  </si>
  <si>
    <t>龙棋</t>
  </si>
  <si>
    <t>装备同调数量</t>
  </si>
  <si>
    <t>玻璃瓶</t>
  </si>
  <si>
    <t>一个玻璃瓶至多能装入1.5品脱的东西。</t>
  </si>
  <si>
    <t>纸牌</t>
  </si>
  <si>
    <t>吊桶</t>
  </si>
  <si>
    <t>一个吊桶能装入至多半立方尺的东西。</t>
  </si>
  <si>
    <t>5CP</t>
  </si>
  <si>
    <t>三龙牌</t>
  </si>
  <si>
    <t>窃贼套组</t>
  </si>
  <si>
    <t>窃贼套组包含以下物品：背包、滚珠、铃铛、10根蜡烛、撬棍、附盖提灯、7扁瓶燃油、五天份的口粮、绳索、火绒盒和水袋。</t>
  </si>
  <si>
    <t>16GP</t>
  </si>
  <si>
    <t>草药工具</t>
  </si>
  <si>
    <t>辨认植物（DC10）</t>
  </si>
  <si>
    <t>抗毒剂、蜡烛、医疗包、治疗药水</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</si>
  <si>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</si>
  <si>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</si>
  <si>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</si>
  <si>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</si>
  <si>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列2</t>
  </si>
  <si>
    <t>蜡烛</t>
  </si>
  <si>
    <t>一根蜡烛可以燃烧1小时，并发出5尺范围的明亮光照，以及额外5尺的微光光照。</t>
  </si>
  <si>
    <t>1CP</t>
  </si>
  <si>
    <t>风笛</t>
  </si>
  <si>
    <t>弩矢匣</t>
  </si>
  <si>
    <t>一个弩矢匣至多能存放20根弩矢。</t>
  </si>
  <si>
    <t>鼓</t>
  </si>
  <si>
    <t>6GP</t>
  </si>
  <si>
    <t>地图或卷轴匣</t>
  </si>
  <si>
    <t>一个地图或卷轴匣至多能存放10张纸张或5张羊皮纸。</t>
  </si>
  <si>
    <t>扬琴</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</si>
  <si>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</si>
  <si>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</si>
  <si>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</si>
  <si>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箱子</t>
  </si>
  <si>
    <t>一个箱子至多能装入12立方尺的东西。</t>
  </si>
  <si>
    <t>号角</t>
  </si>
  <si>
    <t>一套攀爬工具包含鞋子包头、手套、岩钉和系带。以一个操作动作，你可以使用攀爬工具锚定自己，此时你不会从锚定处摔落超过25尺，且在使用附赠动作解除锚定前无法从锚定处向外移动超过25尺。</t>
  </si>
  <si>
    <t>鲁特琴</t>
  </si>
  <si>
    <t>35GP</t>
  </si>
  <si>
    <t>高档服装</t>
  </si>
  <si>
    <t>高档服装使用昂贵的材料和装饰物制成，并缝制着极其精密的细节。有些活动和场合仅允许穿着高档服装的人参与。</t>
  </si>
  <si>
    <t>里拉琴</t>
  </si>
  <si>
    <t>旅行服装</t>
  </si>
  <si>
    <t>旅行服装是为应对在多种环境中的旅途而设计的结实服装。</t>
  </si>
  <si>
    <t>排箫</t>
  </si>
  <si>
    <t>12GP</t>
  </si>
  <si>
    <t>材料包</t>
  </si>
  <si>
    <t>材料包是一种装有你法术所需的一切免费材料的防水小包。</t>
  </si>
  <si>
    <t>芦笛</t>
  </si>
  <si>
    <t>若你穿着对应的戏服，你为模仿他人或模仿某一类人所作的任何属性检定都具有优势。</t>
  </si>
  <si>
    <t>提琴</t>
  </si>
  <si>
    <t>撬棍</t>
  </si>
  <si>
    <t>在能够撬动的地方使用撬棍可以给予你在这方面的力量检定优势。</t>
  </si>
  <si>
    <t>领航工具</t>
  </si>
  <si>
    <t>计划路线（DC10），或通过观星判断位置（DC15）</t>
  </si>
  <si>
    <t>外交套组</t>
  </si>
  <si>
    <t>外交套组包含以下物品：箱子、高档服装、墨水、5支墨水笔、油灯、2个地图或卷轴匣、4扁瓶燃油、5张纸张、5张羊皮纸、香水和火绒盒。</t>
  </si>
  <si>
    <t>39GP</t>
  </si>
  <si>
    <t>毒药工具</t>
  </si>
  <si>
    <t>侦测有毒物件（DC10）</t>
  </si>
  <si>
    <t>基础毒药</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</si>
  <si>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</si>
  <si>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</si>
  <si>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</si>
  <si>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</si>
  <si>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木质法杖（也视作长棍）</t>
  </si>
  <si>
    <t>紫衫魔杖</t>
  </si>
  <si>
    <t>地城套组</t>
  </si>
  <si>
    <t>地城套组包含以下物品：背包、铁蒺藜、撬棍、2扁瓶燃油、10天份的口粮、绳索、火绒盒、10根火把和水袋。</t>
  </si>
  <si>
    <t>列3</t>
  </si>
  <si>
    <t>艺人套组</t>
  </si>
  <si>
    <t>艺人套组包含以下物品：背包、铺盖、铃铛、牛眼提灯、3套戏服、镜子、8扁瓶燃油、9天份的口粮、火绒盒和水袋。</t>
  </si>
  <si>
    <t>40GP</t>
  </si>
  <si>
    <t>探索套组</t>
  </si>
  <si>
    <t>探索套组包含以下物品：背包、铺盖、2扁瓶燃油、10天份的口粮、绳索、火绒盒、10根火把和水袋。</t>
  </si>
  <si>
    <t>扁瓶</t>
  </si>
  <si>
    <t>2CP</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</si>
  <si>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</si>
  <si>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</si>
  <si>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</si>
  <si>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</si>
  <si>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</si>
  <si>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</si>
  <si>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纹章（挂载到织物或盾牌上）</t>
  </si>
  <si>
    <t>圣物匣（手持）</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</si>
  <si>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</si>
  <si>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</si>
  <si>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</si>
  <si>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</si>
  <si>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</si>
  <si>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</si>
  <si>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</si>
  <si>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</si>
  <si>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</si>
  <si>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</si>
  <si>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</si>
  <si>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一把梯子有10尺高。你只能在梯子上爬上或是爬下。</t>
  </si>
  <si>
    <t>油灯</t>
  </si>
  <si>
    <t>一盏油灯使用燃油作为燃料，点着时能够发出15尺半径的明亮光照和额外30尺的微光光照。</t>
  </si>
  <si>
    <t>牛眼提灯</t>
  </si>
  <si>
    <t>一盏牛眼提灯使用燃油作为燃料，点着时能够发出60尺远锥形的明亮光照和额外60尺远的微光光照。</t>
  </si>
  <si>
    <t>附盖提灯</t>
  </si>
  <si>
    <t>一盏附盖提灯使用燃油作为燃料，点着时能够发出30尺半径的明亮光照和额外30尺的微光光照。以一个附赠动作，你可以盖上或掀开提灯的盖子。盖上盖子时，提灯的光亮降至半径5尺的微光光照。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</si>
  <si>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</si>
  <si>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</si>
  <si>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</si>
  <si>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</si>
  <si>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</si>
  <si>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</si>
  <si>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</si>
  <si>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如果你在地图所绘制的地点参考了一张准确的地图，你为辨认位置所进行的感知（求生）检定获得+5的加值。</t>
  </si>
  <si>
    <t>镜子</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</si>
  <si>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</si>
  <si>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</si>
  <si>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</si>
  <si>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</si>
  <si>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</si>
  <si>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</si>
  <si>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一页纸张能够写满250个手写单词。</t>
  </si>
  <si>
    <t>2SP</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</si>
  <si>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</si>
  <si>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</si>
  <si>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</si>
  <si>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</si>
  <si>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</si>
  <si>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</si>
  <si>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</si>
  <si>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铁壶</t>
  </si>
  <si>
    <t>铁壶具有一加仑的容量。</t>
  </si>
  <si>
    <t>治疗药水</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</si>
  <si>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</si>
  <si>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</si>
  <si>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</si>
  <si>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</si>
  <si>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祭司套组包含以下物品：背包、毯子、圣水、油灯、7天份的口粮、长袍和火绒盒。</t>
  </si>
  <si>
    <t>33GP</t>
  </si>
  <si>
    <t>箭袋</t>
  </si>
  <si>
    <t>箭袋至多能装入20根箭矢。</t>
  </si>
  <si>
    <t>便携式攻城锤</t>
  </si>
  <si>
    <t>你可以使用便携式攻城锤撞破一扇门。当你这么做时，你在力量检定上获得+4加值。其他一名角色可以协助你使用攻城锤，并使你这次检定具有优势。</t>
  </si>
  <si>
    <t>4GP</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</si>
  <si>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</si>
  <si>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</si>
  <si>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</si>
  <si>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</si>
  <si>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</si>
  <si>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</si>
  <si>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</si>
  <si>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</si>
  <si>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</si>
  <si>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</si>
  <si>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</si>
  <si>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</si>
  <si>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</si>
  <si>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</si>
  <si>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</si>
  <si>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</si>
  <si>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</si>
  <si>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</si>
  <si>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</si>
  <si>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</si>
  <si>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</si>
  <si>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</si>
  <si>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</si>
  <si>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</si>
  <si>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</si>
  <si>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</si>
  <si>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</si>
  <si>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</si>
  <si>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</si>
  <si>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</si>
  <si>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</si>
  <si>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</si>
  <si>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</si>
  <si>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</si>
  <si>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巧匠</t>
  </si>
  <si>
    <t>医疗师</t>
  </si>
  <si>
    <t>幸运</t>
  </si>
  <si>
    <t>音乐家</t>
  </si>
  <si>
    <t>凶蛮打手</t>
  </si>
  <si>
    <t>熟习</t>
  </si>
  <si>
    <t>酒馆斗殴者</t>
  </si>
  <si>
    <t>健壮</t>
  </si>
  <si>
    <t>心灵感应</t>
  </si>
  <si>
    <t>PHB</t>
  </si>
  <si>
    <t>职业</t>
  </si>
  <si>
    <r>
      <rPr>
        <sz val="11"/>
        <color theme="1"/>
        <rFont val="宋体"/>
        <family val="3"/>
        <charset val="134"/>
      </rPr>
      <t>等级</t>
    </r>
  </si>
  <si>
    <t>待选特性</t>
  </si>
  <si>
    <t>1d6</t>
  </si>
  <si>
    <t>野蛮人</t>
  </si>
  <si>
    <t>0v0?</t>
  </si>
  <si>
    <t>1d8</t>
  </si>
  <si>
    <t>增值</t>
  </si>
  <si>
    <t>武僧</t>
  </si>
  <si>
    <t>奇械师</t>
  </si>
  <si>
    <t>1d10</t>
  </si>
  <si>
    <t>龙族术法</t>
  </si>
  <si>
    <t>1d12</t>
  </si>
  <si>
    <t>豁免熟练</t>
  </si>
  <si>
    <t>武器熟练</t>
  </si>
  <si>
    <t>无</t>
  </si>
  <si>
    <t>护甲受训</t>
  </si>
  <si>
    <t>起始装备</t>
  </si>
  <si>
    <t>自然之怒</t>
  </si>
  <si>
    <t>伤害</t>
  </si>
  <si>
    <t>词条</t>
  </si>
  <si>
    <t>装备名称</t>
  </si>
  <si>
    <t>装备特性</t>
  </si>
  <si>
    <t>命中检定</t>
  </si>
  <si>
    <t>伤害加值</t>
  </si>
  <si>
    <t>徒手打击</t>
  </si>
  <si>
    <t>钝击</t>
  </si>
  <si>
    <t>短棒</t>
  </si>
  <si>
    <t>1d4</t>
  </si>
  <si>
    <t>轻型</t>
  </si>
  <si>
    <t>缓速</t>
  </si>
  <si>
    <t>1 SP</t>
  </si>
  <si>
    <t>匕首</t>
  </si>
  <si>
    <t>穿刺</t>
  </si>
  <si>
    <t>灵巧，轻型，投掷（射程 20/60）</t>
  </si>
  <si>
    <t>迅击</t>
  </si>
  <si>
    <t>2 GP</t>
  </si>
  <si>
    <t>巨棒</t>
  </si>
  <si>
    <t>双手</t>
  </si>
  <si>
    <t>推离</t>
  </si>
  <si>
    <t>2 SP</t>
  </si>
  <si>
    <t>手斧</t>
  </si>
  <si>
    <t>挥砍</t>
  </si>
  <si>
    <t>轻型，投掷（射程 20/60）</t>
  </si>
  <si>
    <t>侵扰</t>
  </si>
  <si>
    <t>5 GP</t>
  </si>
  <si>
    <t>标枪</t>
  </si>
  <si>
    <t>投掷（射程 30/120）</t>
  </si>
  <si>
    <t>5 SP</t>
  </si>
  <si>
    <t>轻锤</t>
  </si>
  <si>
    <t>全头</t>
  </si>
  <si>
    <t>硬头锤</t>
  </si>
  <si>
    <t>削弱</t>
  </si>
  <si>
    <t>头部</t>
  </si>
  <si>
    <t>长棍</t>
  </si>
  <si>
    <t>多用（1d8）</t>
  </si>
  <si>
    <t>失衡</t>
  </si>
  <si>
    <t>头发</t>
  </si>
  <si>
    <t>镰刀</t>
  </si>
  <si>
    <t>1 GP</t>
  </si>
  <si>
    <t>面部</t>
  </si>
  <si>
    <t>矛</t>
  </si>
  <si>
    <t>投掷（射程 20/60），多用（1d8）</t>
  </si>
  <si>
    <t>颈部</t>
  </si>
  <si>
    <t>飞镖</t>
  </si>
  <si>
    <t>灵巧，投掷（射程 20/60）</t>
  </si>
  <si>
    <t>5 CP</t>
  </si>
  <si>
    <t>身体</t>
  </si>
  <si>
    <t>轻弩</t>
  </si>
  <si>
    <t>弹药（射程 80/320；弩矢），装填，双手</t>
  </si>
  <si>
    <t>25 GP</t>
  </si>
  <si>
    <t>肩膀</t>
  </si>
  <si>
    <t>短弓</t>
  </si>
  <si>
    <t>弹药（射程 80/320；箭矢），双手</t>
  </si>
  <si>
    <t>胸前</t>
  </si>
  <si>
    <t>冷冻</t>
  </si>
  <si>
    <t>投石索</t>
  </si>
  <si>
    <t>弹药（射程 30/120；子弹）</t>
  </si>
  <si>
    <t>背后</t>
  </si>
  <si>
    <t>火焰</t>
  </si>
  <si>
    <t>战斧</t>
  </si>
  <si>
    <t>多用（1d10）</t>
  </si>
  <si>
    <t>10 GP</t>
  </si>
  <si>
    <t>腰部</t>
  </si>
  <si>
    <t>闪电</t>
  </si>
  <si>
    <t>链枷</t>
  </si>
  <si>
    <t>胯间</t>
  </si>
  <si>
    <t>力场</t>
  </si>
  <si>
    <t>长柄刀</t>
  </si>
  <si>
    <t>重型，触及，双手</t>
  </si>
  <si>
    <t>擦掠</t>
  </si>
  <si>
    <t>20 GP</t>
  </si>
  <si>
    <t>护甲名称</t>
  </si>
  <si>
    <t>护甲类型</t>
  </si>
  <si>
    <t>左脚</t>
  </si>
  <si>
    <t>光耀</t>
  </si>
  <si>
    <t>巨斧</t>
  </si>
  <si>
    <t>重型，双手</t>
  </si>
  <si>
    <t>横扫</t>
  </si>
  <si>
    <t>30 GP</t>
  </si>
  <si>
    <t>右脚</t>
  </si>
  <si>
    <t>√</t>
  </si>
  <si>
    <t>巨剑</t>
  </si>
  <si>
    <t>2d6</t>
  </si>
  <si>
    <t>50 GP</t>
  </si>
  <si>
    <t>法师护甲</t>
  </si>
  <si>
    <t>双脚</t>
  </si>
  <si>
    <t>毒素</t>
  </si>
  <si>
    <t>戟</t>
  </si>
  <si>
    <t>10+感知调整值+敏捷调整值</t>
  </si>
  <si>
    <t>左腿</t>
  </si>
  <si>
    <t>心灵</t>
  </si>
  <si>
    <t>骑枪</t>
  </si>
  <si>
    <t>重型，触及，双手（骑乘时除外）</t>
  </si>
  <si>
    <t>10+体质调整值+敏捷调整值</t>
  </si>
  <si>
    <t>右腿</t>
  </si>
  <si>
    <t>长剑</t>
  </si>
  <si>
    <t>15 GP</t>
  </si>
  <si>
    <t>舞蹈诗</t>
  </si>
  <si>
    <t>双腿</t>
  </si>
  <si>
    <t>巨锤</t>
  </si>
  <si>
    <t>左手</t>
  </si>
  <si>
    <t>钉头锤</t>
  </si>
  <si>
    <t>布甲</t>
  </si>
  <si>
    <t>隐匿劣势</t>
  </si>
  <si>
    <t>右手</t>
  </si>
  <si>
    <t>长矛</t>
  </si>
  <si>
    <t>皮甲</t>
  </si>
  <si>
    <t>刺剑</t>
  </si>
  <si>
    <t>灵巧</t>
  </si>
  <si>
    <t>镶钉皮甲</t>
  </si>
  <si>
    <t>左臂</t>
  </si>
  <si>
    <t>弯刀</t>
  </si>
  <si>
    <t>灵巧，轻型</t>
  </si>
  <si>
    <t>右臂</t>
  </si>
  <si>
    <t>短剑</t>
  </si>
  <si>
    <t>兽皮甲</t>
  </si>
  <si>
    <t>双臂</t>
  </si>
  <si>
    <t>三叉戟</t>
  </si>
  <si>
    <t>投掷（射程 20/60），多用（1d10）</t>
  </si>
  <si>
    <t>链甲衫</t>
  </si>
  <si>
    <t>全身</t>
  </si>
  <si>
    <t>战镐</t>
  </si>
  <si>
    <t>鳞甲</t>
  </si>
  <si>
    <t>战锤</t>
  </si>
  <si>
    <t>胸甲</t>
  </si>
  <si>
    <t>鞭</t>
  </si>
  <si>
    <t>灵巧，触及</t>
  </si>
  <si>
    <t>半身板甲</t>
  </si>
  <si>
    <t>弹药（射程 25/100；吹矢），装填</t>
  </si>
  <si>
    <t>手弩</t>
  </si>
  <si>
    <t>弹药（射程 30/120；弩矢），轻型，装填</t>
  </si>
  <si>
    <t>75 GP</t>
  </si>
  <si>
    <t>环甲</t>
  </si>
  <si>
    <t>重弩</t>
  </si>
  <si>
    <t>弹药（射程 100/400；弩矢），重型，装填，双手</t>
  </si>
  <si>
    <t>链甲</t>
  </si>
  <si>
    <t>隐匿劣势，力量需求13</t>
  </si>
  <si>
    <t>长弓</t>
  </si>
  <si>
    <t>弹药（射程 150/600；箭矢），重型，双手</t>
  </si>
  <si>
    <t>板条甲</t>
  </si>
  <si>
    <t>隐匿劣势，力量需求15</t>
  </si>
  <si>
    <t>火铳</t>
  </si>
  <si>
    <t>弹药（射程 40/120；子弹），装填，双手</t>
  </si>
  <si>
    <t>500 GP</t>
  </si>
  <si>
    <t>板甲</t>
  </si>
  <si>
    <t>手铳</t>
  </si>
  <si>
    <t>弹药（射程 30/90；子弹），装填</t>
  </si>
  <si>
    <t>250 GP</t>
  </si>
  <si>
    <t>行</t>
  </si>
  <si>
    <t>最小列</t>
  </si>
  <si>
    <t>最大列</t>
  </si>
  <si>
    <t>通用特性</t>
  </si>
  <si>
    <t>生物种类</t>
  </si>
  <si>
    <t>亚种选项</t>
  </si>
  <si>
    <t>已选特性</t>
  </si>
  <si>
    <t>阿斯莫</t>
  </si>
  <si>
    <t>类人</t>
  </si>
  <si>
    <t>中型(约4-7尺高)或小型(约2-4尺高)，在选择此种族时决定</t>
  </si>
  <si>
    <t>30尺</t>
  </si>
  <si>
    <t>龙裔</t>
  </si>
  <si>
    <t>中型(约5-7尺高)</t>
  </si>
  <si>
    <t>矮人</t>
  </si>
  <si>
    <t>中型(约4-5尺高)</t>
  </si>
  <si>
    <t>精灵</t>
  </si>
  <si>
    <t>中型(约5-6尺高)</t>
  </si>
  <si>
    <t>卓尔</t>
  </si>
  <si>
    <t>高等精灵</t>
  </si>
  <si>
    <t>木精灵</t>
  </si>
  <si>
    <t>序号</t>
  </si>
  <si>
    <t>侏儒</t>
  </si>
  <si>
    <t>小型(约3-4尺高)</t>
  </si>
  <si>
    <t>森林侏儒</t>
  </si>
  <si>
    <t>岩侏儒</t>
  </si>
  <si>
    <t>歌利亚</t>
  </si>
  <si>
    <t>中型(约7-8尺高)</t>
  </si>
  <si>
    <t>35尺</t>
  </si>
  <si>
    <t>云巨人</t>
  </si>
  <si>
    <t>火巨人</t>
  </si>
  <si>
    <t>霜巨人</t>
  </si>
  <si>
    <t>山丘巨人</t>
  </si>
  <si>
    <t>石巨人</t>
  </si>
  <si>
    <t>风暴巨人</t>
  </si>
  <si>
    <t>半身人</t>
  </si>
  <si>
    <t>小型(约2-3尺高)</t>
  </si>
  <si>
    <t>人类</t>
  </si>
  <si>
    <t>中型(约4-7尺高)或小型(约2-4英尺高)，在选择此种族时决定</t>
  </si>
  <si>
    <t>兽人</t>
  </si>
  <si>
    <t>中型(约6-7尺高)</t>
  </si>
  <si>
    <t>提夫林</t>
  </si>
  <si>
    <t>中型（约4-7尺高）或小型（约3-4尺高），在选择此种族时决定</t>
  </si>
  <si>
    <t>深渊</t>
  </si>
  <si>
    <t>幽冥</t>
  </si>
  <si>
    <t>炼狱</t>
  </si>
  <si>
    <t>亚种错误</t>
  </si>
  <si>
    <t>未选亚种</t>
  </si>
  <si>
    <t>黑暗视觉</t>
  </si>
  <si>
    <t>天界抗性</t>
  </si>
  <si>
    <t>治愈之手</t>
  </si>
  <si>
    <t>光辉掌者</t>
  </si>
  <si>
    <t>天启</t>
  </si>
  <si>
    <t>天堂飞翼</t>
  </si>
  <si>
    <t>内耀辉光</t>
  </si>
  <si>
    <t>死灵环绕</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</si>
  <si>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</si>
  <si>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</si>
  <si>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</si>
  <si>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</si>
  <si>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</si>
  <si>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</si>
  <si>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</si>
  <si>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</si>
  <si>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龙族血统</t>
  </si>
  <si>
    <t>吐息武器</t>
  </si>
  <si>
    <t>伤害抗性</t>
  </si>
  <si>
    <t>龙族飞翼</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</si>
  <si>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</si>
  <si>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</si>
  <si>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</si>
  <si>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</si>
  <si>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矮人体魄</t>
  </si>
  <si>
    <t>矮人刚毅</t>
  </si>
  <si>
    <t>石中精妙</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</si>
  <si>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</si>
  <si>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</si>
  <si>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</si>
  <si>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</si>
  <si>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精类血统</t>
  </si>
  <si>
    <t>敏锐感官</t>
  </si>
  <si>
    <t>出神</t>
  </si>
  <si>
    <t>精灵血系</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</si>
  <si>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</si>
  <si>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</si>
  <si>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</si>
  <si>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</si>
  <si>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</si>
  <si>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</si>
  <si>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</si>
  <si>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侏儒狡黠</t>
  </si>
  <si>
    <t>侏儒血系</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</si>
  <si>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</si>
  <si>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</si>
  <si>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</si>
  <si>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</si>
  <si>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大型形态</t>
  </si>
  <si>
    <t>身强力壮</t>
  </si>
  <si>
    <t>巨人先祖</t>
  </si>
  <si>
    <t>云之远迹</t>
  </si>
  <si>
    <t>火之燃烧</t>
  </si>
  <si>
    <t>霜之刺骨</t>
  </si>
  <si>
    <t>山之翻撞</t>
  </si>
  <si>
    <t>石之坚韧</t>
  </si>
  <si>
    <t>岚之暴鸣</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</si>
  <si>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</si>
  <si>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</si>
  <si>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</si>
  <si>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</si>
  <si>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</si>
  <si>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</si>
  <si>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</si>
  <si>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</si>
  <si>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</si>
  <si>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勇气</t>
  </si>
  <si>
    <t>半身人灵巧</t>
  </si>
  <si>
    <t>天生善匿</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</si>
  <si>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</si>
  <si>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</si>
  <si>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</si>
  <si>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</si>
  <si>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适应力</t>
  </si>
  <si>
    <t>多才多艺</t>
  </si>
  <si>
    <t>每当你完成长休时，你都会获得英雄激励。</t>
  </si>
  <si>
    <t>你获得一项自选的技能的熟练。</t>
  </si>
  <si>
    <t>你获得一项自选的起源专长。</t>
  </si>
  <si>
    <t>激昂冲锋</t>
  </si>
  <si>
    <t>坚韧不屈</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</si>
  <si>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</si>
  <si>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</si>
  <si>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异界存在</t>
  </si>
  <si>
    <t>邪魔遗赠</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</si>
  <si>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</si>
  <si>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</si>
  <si>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</si>
  <si>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</si>
  <si>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</si>
  <si>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背景名称</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</si>
  <si>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</si>
  <si>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</si>
  <si>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</si>
  <si>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</si>
  <si>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</si>
  <si>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</si>
  <si>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</si>
  <si>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</si>
  <si>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</si>
  <si>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</si>
  <si>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</si>
  <si>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</si>
  <si>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</si>
  <si>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</si>
  <si>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</si>
  <si>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</si>
  <si>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</si>
  <si>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</si>
  <si>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</si>
  <si>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</si>
  <si>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</si>
  <si>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</si>
  <si>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</si>
  <si>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</si>
  <si>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</si>
  <si>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</si>
  <si>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</si>
  <si>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</si>
  <si>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</si>
  <si>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</si>
  <si>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</si>
  <si>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</si>
  <si>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</si>
  <si>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</si>
  <si>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</si>
  <si>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</si>
  <si>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</si>
  <si>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</si>
  <si>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</si>
  <si>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</si>
  <si>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</si>
  <si>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</si>
  <si>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</si>
  <si>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</si>
  <si>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</si>
  <si>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</si>
  <si>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</si>
  <si>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</si>
  <si>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</si>
  <si>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</si>
  <si>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</si>
  <si>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</si>
  <si>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</si>
  <si>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</si>
  <si>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</si>
  <si>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</si>
  <si>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</si>
  <si>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</si>
  <si>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</si>
  <si>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</si>
  <si>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</si>
  <si>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</si>
  <si>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</si>
  <si>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</si>
  <si>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</si>
  <si>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</si>
  <si>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</si>
  <si>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</si>
  <si>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</si>
  <si>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</si>
  <si>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</si>
  <si>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</si>
  <si>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</si>
  <si>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</si>
  <si>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</si>
  <si>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</si>
  <si>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</si>
  <si>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</si>
  <si>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</si>
  <si>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</si>
  <si>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</si>
  <si>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</si>
  <si>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</si>
  <si>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</si>
  <si>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</si>
  <si>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</si>
  <si>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</si>
  <si>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背包 Inventory</t>
  </si>
  <si>
    <t>速查</t>
  </si>
  <si>
    <t>lb</t>
  </si>
  <si>
    <t>数量</t>
  </si>
  <si>
    <t>×</t>
  </si>
  <si>
    <t>次元袋重量</t>
  </si>
  <si>
    <t>次元袋负重（收纳）</t>
  </si>
  <si>
    <t>次元袋负重上限</t>
  </si>
  <si>
    <t>盟友 / 协力者 Sidekicks</t>
  </si>
  <si>
    <t>魔宠或宠物</t>
  </si>
  <si>
    <t>姓名</t>
  </si>
  <si>
    <t>名字</t>
  </si>
  <si>
    <t>关系</t>
  </si>
  <si>
    <t>相识地</t>
  </si>
  <si>
    <t>类型</t>
  </si>
  <si>
    <t>临时HP</t>
  </si>
  <si>
    <t>盟友画像 / 描述</t>
  </si>
  <si>
    <t>感官</t>
  </si>
  <si>
    <t>动作</t>
  </si>
  <si>
    <t>盟友故事</t>
  </si>
  <si>
    <t>据点名称</t>
  </si>
  <si>
    <t>据点位置</t>
  </si>
  <si>
    <t>据点描述</t>
  </si>
  <si>
    <t>法术查询↓</t>
  </si>
  <si>
    <t>法术列表↓</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</si>
  <si>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</si>
  <si>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</si>
  <si>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</si>
  <si>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</si>
  <si>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</si>
  <si>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</si>
  <si>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</si>
  <si>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</si>
  <si>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</si>
  <si>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</si>
  <si>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</si>
  <si>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</si>
  <si>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</si>
  <si>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</si>
  <si>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</si>
  <si>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</si>
  <si>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</si>
  <si>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</si>
  <si>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出处</t>
  </si>
  <si>
    <t>酸液飞溅</t>
  </si>
  <si>
    <t>塑能</t>
  </si>
  <si>
    <t>60尺</t>
  </si>
  <si>
    <t>V</t>
  </si>
  <si>
    <t>S</t>
  </si>
  <si>
    <t>立即</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</si>
  <si>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</si>
  <si>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</si>
  <si>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</si>
  <si>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</si>
  <si>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防护</t>
  </si>
  <si>
    <t>自身</t>
  </si>
  <si>
    <t>专注，至多1分钟</t>
  </si>
  <si>
    <t>在此法术结束前，每当有生物对你发动攻击检定，该生物的该次攻击检定都将承受1d4减值。</t>
  </si>
  <si>
    <t>Blade Ward</t>
  </si>
  <si>
    <t>颤栗之触</t>
  </si>
  <si>
    <t>死灵</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</si>
  <si>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</si>
  <si>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</si>
  <si>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</si>
  <si>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幻术</t>
  </si>
  <si>
    <t>120尺</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</si>
  <si>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</si>
  <si>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</si>
  <si>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</si>
  <si>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</si>
  <si>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</si>
  <si>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t>变化</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</si>
  <si>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</si>
  <si>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</si>
  <si>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</si>
  <si>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</si>
  <si>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</si>
  <si>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</si>
  <si>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</si>
  <si>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</si>
  <si>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</si>
  <si>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</si>
  <si>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</si>
  <si>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</si>
  <si>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惑控</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</si>
  <si>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</si>
  <si>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</si>
  <si>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</si>
  <si>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</si>
  <si>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</si>
  <si>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预言</t>
  </si>
  <si>
    <t>你触碰一名自愿生物并选择一项技能。直到法术结束为止，受术生物在进行使用到所选技能的任何属性检定时，该次检定具有1d4加值。</t>
  </si>
  <si>
    <t>Guidance</t>
  </si>
  <si>
    <t>1小时</t>
  </si>
  <si>
    <t>Light</t>
  </si>
  <si>
    <t>法师之手</t>
  </si>
  <si>
    <t>咒法</t>
  </si>
  <si>
    <t>1分钟</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</si>
  <si>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</si>
  <si>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</si>
  <si>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</si>
  <si>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</si>
  <si>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</si>
  <si>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</si>
  <si>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</si>
  <si>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</si>
  <si>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</si>
  <si>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</si>
  <si>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</si>
  <si>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1轮</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</si>
  <si>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</si>
  <si>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</si>
  <si>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</si>
  <si>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</si>
  <si>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</si>
  <si>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</si>
  <si>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</si>
  <si>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</si>
  <si>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</si>
  <si>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</si>
  <si>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</si>
  <si>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</si>
  <si>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</si>
  <si>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</si>
  <si>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附赠动作</t>
  </si>
  <si>
    <t>10分钟</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</si>
  <si>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</si>
  <si>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</si>
  <si>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</si>
  <si>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</si>
  <si>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</si>
  <si>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</si>
  <si>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</si>
  <si>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</si>
  <si>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</si>
  <si>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</si>
  <si>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</si>
  <si>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</si>
  <si>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</si>
  <si>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</si>
  <si>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</si>
  <si>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</si>
  <si>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</si>
  <si>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</si>
  <si>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</si>
  <si>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</si>
  <si>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</si>
  <si>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</si>
  <si>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15尺</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</si>
  <si>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</si>
  <si>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</si>
  <si>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</si>
  <si>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</si>
  <si>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</si>
  <si>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</si>
  <si>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</si>
  <si>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</si>
  <si>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</si>
  <si>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</si>
  <si>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</si>
  <si>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</si>
  <si>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</si>
  <si>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</si>
  <si>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</si>
  <si>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</si>
  <si>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</si>
  <si>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</si>
  <si>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</si>
  <si>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</si>
  <si>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</si>
  <si>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</si>
  <si>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</si>
  <si>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</si>
  <si>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</si>
  <si>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</si>
  <si>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</si>
  <si>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</si>
  <si>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</si>
  <si>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</si>
  <si>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</si>
  <si>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</si>
  <si>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t>8小时</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</si>
  <si>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</si>
  <si>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</si>
  <si>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</si>
  <si>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</si>
  <si>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24小时</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</si>
  <si>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</si>
  <si>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</si>
  <si>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</si>
  <si>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</si>
  <si>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</si>
  <si>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</si>
  <si>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</si>
  <si>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</si>
  <si>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</si>
  <si>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</si>
  <si>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</si>
  <si>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</si>
  <si>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</si>
  <si>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</si>
  <si>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</si>
  <si>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</si>
  <si>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</si>
  <si>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</si>
  <si>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</si>
  <si>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</si>
  <si>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</si>
  <si>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</si>
  <si>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</si>
  <si>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</si>
  <si>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90尺</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</si>
  <si>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</si>
  <si>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</si>
  <si>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</si>
  <si>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</si>
  <si>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</si>
  <si>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</si>
  <si>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</si>
  <si>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</si>
  <si>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</si>
  <si>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</si>
  <si>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</si>
  <si>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</si>
  <si>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</si>
  <si>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</si>
  <si>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动作或仪式</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</si>
  <si>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</si>
  <si>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</si>
  <si>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</si>
  <si>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</si>
  <si>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</si>
  <si>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</si>
  <si>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</si>
  <si>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</si>
  <si>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</si>
  <si>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</si>
  <si>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</si>
  <si>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专注，至多10分钟</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</si>
  <si>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</si>
  <si>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</si>
  <si>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</si>
  <si>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</si>
  <si>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</si>
  <si>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</si>
  <si>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</si>
  <si>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</si>
  <si>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</si>
  <si>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</si>
  <si>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</si>
  <si>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</si>
  <si>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</si>
  <si>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</si>
  <si>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</si>
  <si>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</si>
  <si>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</si>
  <si>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</si>
  <si>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</si>
  <si>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</si>
  <si>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</si>
  <si>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</si>
  <si>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</si>
  <si>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</si>
  <si>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</si>
  <si>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</si>
  <si>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</si>
  <si>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</si>
  <si>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</si>
  <si>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</si>
  <si>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</si>
  <si>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</si>
  <si>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</si>
  <si>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</si>
  <si>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</si>
  <si>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</si>
  <si>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</si>
  <si>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</si>
  <si>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</si>
  <si>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</si>
  <si>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</si>
  <si>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</si>
  <si>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</si>
  <si>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</si>
  <si>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</si>
  <si>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</si>
  <si>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r>
      <rPr>
        <sz val="11"/>
        <color theme="1"/>
        <rFont val="仿宋"/>
        <family val="3"/>
        <charset val="134"/>
      </rP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</si>
  <si>
    <t>Find Familiar</t>
  </si>
  <si>
    <t>云雾术</t>
  </si>
  <si>
    <t>专注，至多1小时</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</si>
  <si>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</si>
  <si>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</si>
  <si>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</si>
  <si>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</si>
  <si>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</si>
  <si>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</si>
  <si>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</si>
  <si>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</si>
  <si>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</si>
  <si>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</si>
  <si>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</si>
  <si>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</si>
  <si>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</si>
  <si>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</si>
  <si>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</si>
  <si>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</si>
  <si>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</si>
  <si>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</si>
  <si>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</si>
  <si>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</si>
  <si>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</si>
  <si>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</si>
  <si>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</si>
  <si>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</si>
  <si>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</si>
  <si>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</si>
  <si>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</si>
  <si>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</si>
  <si>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</si>
  <si>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</si>
  <si>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</si>
  <si>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</si>
  <si>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</si>
  <si>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</si>
  <si>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</si>
  <si>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</si>
  <si>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</si>
  <si>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</si>
  <si>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1分钟或仪式</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</si>
  <si>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</si>
  <si>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</si>
  <si>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</si>
  <si>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</si>
  <si>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</si>
  <si>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</si>
  <si>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</si>
  <si>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</si>
  <si>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</si>
  <si>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</si>
  <si>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</si>
  <si>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</si>
  <si>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</si>
  <si>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</si>
  <si>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</si>
  <si>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</si>
  <si>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</si>
  <si>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</si>
  <si>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</si>
  <si>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</si>
  <si>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</si>
  <si>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</si>
  <si>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</si>
  <si>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</si>
  <si>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</si>
  <si>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</si>
  <si>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</si>
  <si>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</si>
  <si>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</si>
  <si>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</si>
  <si>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</si>
  <si>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</si>
  <si>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</si>
  <si>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</si>
  <si>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</si>
  <si>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</si>
  <si>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</si>
  <si>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</si>
  <si>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</si>
  <si>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</si>
  <si>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</si>
  <si>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</si>
  <si>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</si>
  <si>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</si>
  <si>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</si>
  <si>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</si>
  <si>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</si>
  <si>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</si>
  <si>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</si>
  <si>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</si>
  <si>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</si>
  <si>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</si>
  <si>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</si>
  <si>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</si>
  <si>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</si>
  <si>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</si>
  <si>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</si>
  <si>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</si>
  <si>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</si>
  <si>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</si>
  <si>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</si>
  <si>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</si>
  <si>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</si>
  <si>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</si>
  <si>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</si>
  <si>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</si>
  <si>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</si>
  <si>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</si>
  <si>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</si>
  <si>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</si>
  <si>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</si>
  <si>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</si>
  <si>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</si>
  <si>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</si>
  <si>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</si>
  <si>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</si>
  <si>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</si>
  <si>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</si>
  <si>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</si>
  <si>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</si>
  <si>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</si>
  <si>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</si>
  <si>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</si>
  <si>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</si>
  <si>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</si>
  <si>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</si>
  <si>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</si>
  <si>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</si>
  <si>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</si>
  <si>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</si>
  <si>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</si>
  <si>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</si>
  <si>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</si>
  <si>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</si>
  <si>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</si>
  <si>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</si>
  <si>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</si>
  <si>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</si>
  <si>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</si>
  <si>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</si>
  <si>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</si>
  <si>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</si>
  <si>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</si>
  <si>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</si>
  <si>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</si>
  <si>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</si>
  <si>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</si>
  <si>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</si>
  <si>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</si>
  <si>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</si>
  <si>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</si>
  <si>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</si>
  <si>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</si>
  <si>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</si>
  <si>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</si>
  <si>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</si>
  <si>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</si>
  <si>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</si>
  <si>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</si>
  <si>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</si>
  <si>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</si>
  <si>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</si>
  <si>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</si>
  <si>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</si>
  <si>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</si>
  <si>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</si>
  <si>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</si>
  <si>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</si>
  <si>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</si>
  <si>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</si>
  <si>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</si>
  <si>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</si>
  <si>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</si>
  <si>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</si>
  <si>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</si>
  <si>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</si>
  <si>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</si>
  <si>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</si>
  <si>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</si>
  <si>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</si>
  <si>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</si>
  <si>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</si>
  <si>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</si>
  <si>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</si>
  <si>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</si>
  <si>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</si>
  <si>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</si>
  <si>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</si>
  <si>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</si>
  <si>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</si>
  <si>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</si>
  <si>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</si>
  <si>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</si>
  <si>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</si>
  <si>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</si>
  <si>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</si>
  <si>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</si>
  <si>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</si>
  <si>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</si>
  <si>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</si>
  <si>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</si>
  <si>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</si>
  <si>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</si>
  <si>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</si>
  <si>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</si>
  <si>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</si>
  <si>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</si>
  <si>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</si>
  <si>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</si>
  <si>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</si>
  <si>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</si>
  <si>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</si>
  <si>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</si>
  <si>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</si>
  <si>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</si>
  <si>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</si>
  <si>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</si>
  <si>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</si>
  <si>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</si>
  <si>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</si>
  <si>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</si>
  <si>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</si>
  <si>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</si>
  <si>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</si>
  <si>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</si>
  <si>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</si>
  <si>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</si>
  <si>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</si>
  <si>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</si>
  <si>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</si>
  <si>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</si>
  <si>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</si>
  <si>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</si>
  <si>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</si>
  <si>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</si>
  <si>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</si>
  <si>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</si>
  <si>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</si>
  <si>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</si>
  <si>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</si>
  <si>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</si>
  <si>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</si>
  <si>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</si>
  <si>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</si>
  <si>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</si>
  <si>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</si>
  <si>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</si>
  <si>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</si>
  <si>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</si>
  <si>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</si>
  <si>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</si>
  <si>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</si>
  <si>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</si>
  <si>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</si>
  <si>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</si>
  <si>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</si>
  <si>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</si>
  <si>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</si>
  <si>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</si>
  <si>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</si>
  <si>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</si>
  <si>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</si>
  <si>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</si>
  <si>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</si>
  <si>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</si>
  <si>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</si>
  <si>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</si>
  <si>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</si>
  <si>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</si>
  <si>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</si>
  <si>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</si>
  <si>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</si>
  <si>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</si>
  <si>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</si>
  <si>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</si>
  <si>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</si>
  <si>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</si>
  <si>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</si>
  <si>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</si>
  <si>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</si>
  <si>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</si>
  <si>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</si>
  <si>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</si>
  <si>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</si>
  <si>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</si>
  <si>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</si>
  <si>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</si>
  <si>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</si>
  <si>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</si>
  <si>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</si>
  <si>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</si>
  <si>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</si>
  <si>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</si>
  <si>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</si>
  <si>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</si>
  <si>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</si>
  <si>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</si>
  <si>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</si>
  <si>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</si>
  <si>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</si>
  <si>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</si>
  <si>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</si>
  <si>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</si>
  <si>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</si>
  <si>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</si>
  <si>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</si>
  <si>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</si>
  <si>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</si>
  <si>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</si>
  <si>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</si>
  <si>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</si>
  <si>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</si>
  <si>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</si>
  <si>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</si>
  <si>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</si>
  <si>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</si>
  <si>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</si>
  <si>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</si>
  <si>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</si>
  <si>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</si>
  <si>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</si>
  <si>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</si>
  <si>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</si>
  <si>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</si>
  <si>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</si>
  <si>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</si>
  <si>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</si>
  <si>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</si>
  <si>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</si>
  <si>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</si>
  <si>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150尺</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</si>
  <si>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</si>
  <si>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</si>
  <si>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</si>
  <si>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</si>
  <si>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</si>
  <si>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</si>
  <si>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</si>
  <si>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</si>
  <si>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</si>
  <si>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</si>
  <si>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</si>
  <si>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</si>
  <si>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</si>
  <si>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</si>
  <si>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</si>
  <si>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</si>
  <si>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</si>
  <si>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</si>
  <si>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</si>
  <si>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</si>
  <si>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</si>
  <si>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</si>
  <si>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</si>
  <si>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</si>
  <si>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</si>
  <si>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</si>
  <si>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</si>
  <si>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</si>
  <si>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</si>
  <si>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</si>
  <si>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</si>
  <si>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</si>
  <si>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</si>
  <si>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</si>
  <si>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</si>
  <si>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</si>
  <si>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</si>
  <si>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</si>
  <si>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</si>
  <si>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</si>
  <si>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</si>
  <si>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</si>
  <si>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</si>
  <si>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</si>
  <si>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</si>
  <si>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</si>
  <si>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</si>
  <si>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</si>
  <si>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</si>
  <si>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1里</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</si>
  <si>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</si>
  <si>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</si>
  <si>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</si>
  <si>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</si>
  <si>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</si>
  <si>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</si>
  <si>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</si>
  <si>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</si>
  <si>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</si>
  <si>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</si>
  <si>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</si>
  <si>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</si>
  <si>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</si>
  <si>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</si>
  <si>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</si>
  <si>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</si>
  <si>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</si>
  <si>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</si>
  <si>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</si>
  <si>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</si>
  <si>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</si>
  <si>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</si>
  <si>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</si>
  <si>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</si>
  <si>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</si>
  <si>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</si>
  <si>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</si>
  <si>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</si>
  <si>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</si>
  <si>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</si>
  <si>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</si>
  <si>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</si>
  <si>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</si>
  <si>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</si>
  <si>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</si>
  <si>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</si>
  <si>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</si>
  <si>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</si>
  <si>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</si>
  <si>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</si>
  <si>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</si>
  <si>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</si>
  <si>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</si>
  <si>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</si>
  <si>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</si>
  <si>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</si>
  <si>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</si>
  <si>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</si>
  <si>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</si>
  <si>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</si>
  <si>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</si>
  <si>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</si>
  <si>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</si>
  <si>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</si>
  <si>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</si>
  <si>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</si>
  <si>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</si>
  <si>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</si>
  <si>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</si>
  <si>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</si>
  <si>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</si>
  <si>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</si>
  <si>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</si>
  <si>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</si>
  <si>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</si>
  <si>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</si>
  <si>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</si>
  <si>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</si>
  <si>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</si>
  <si>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</si>
  <si>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</si>
  <si>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</si>
  <si>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</si>
  <si>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</si>
  <si>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</si>
  <si>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</si>
  <si>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</si>
  <si>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</si>
  <si>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</si>
  <si>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</si>
  <si>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</si>
  <si>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</si>
  <si>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</si>
  <si>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</si>
  <si>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</si>
  <si>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</si>
  <si>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</si>
  <si>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</si>
  <si>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</si>
  <si>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</si>
  <si>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</si>
  <si>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</si>
  <si>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</si>
  <si>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</si>
  <si>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</si>
  <si>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</si>
  <si>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</si>
  <si>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</si>
  <si>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</si>
  <si>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</si>
  <si>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</si>
  <si>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</si>
  <si>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</si>
  <si>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</si>
  <si>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</si>
  <si>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</si>
  <si>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</si>
  <si>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</si>
  <si>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</si>
  <si>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</si>
  <si>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</si>
  <si>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</si>
  <si>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</si>
  <si>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</si>
  <si>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</si>
  <si>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</si>
  <si>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</si>
  <si>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</si>
  <si>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</si>
  <si>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</si>
  <si>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</si>
  <si>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</si>
  <si>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</si>
  <si>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</si>
  <si>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</si>
  <si>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</si>
  <si>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</si>
  <si>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</si>
  <si>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</si>
  <si>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</si>
  <si>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</si>
  <si>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</si>
  <si>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</si>
  <si>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</si>
  <si>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</si>
  <si>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</si>
  <si>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</si>
  <si>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</si>
  <si>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</si>
  <si>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</si>
  <si>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</si>
  <si>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</si>
  <si>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</si>
  <si>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</si>
  <si>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</si>
  <si>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</si>
  <si>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</si>
  <si>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</si>
  <si>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</si>
  <si>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</si>
  <si>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</si>
  <si>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</si>
  <si>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</si>
  <si>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</si>
  <si>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</si>
  <si>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</si>
  <si>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</si>
  <si>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</si>
  <si>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</si>
  <si>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</si>
  <si>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</si>
  <si>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</si>
  <si>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</si>
  <si>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</si>
  <si>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</si>
  <si>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</si>
  <si>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</si>
  <si>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</si>
  <si>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</si>
  <si>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</si>
  <si>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</si>
  <si>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</si>
  <si>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</si>
  <si>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</si>
  <si>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</si>
  <si>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</si>
  <si>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</si>
  <si>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</si>
  <si>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</si>
  <si>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</si>
  <si>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</si>
  <si>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</si>
  <si>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</si>
  <si>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</si>
  <si>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</si>
  <si>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</si>
  <si>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</si>
  <si>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</si>
  <si>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</si>
  <si>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</si>
  <si>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</si>
  <si>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</si>
  <si>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</si>
  <si>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</si>
  <si>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</si>
  <si>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</si>
  <si>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</si>
  <si>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</si>
  <si>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</si>
  <si>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</si>
  <si>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</si>
  <si>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300尺</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</si>
  <si>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</si>
  <si>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</si>
  <si>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</si>
  <si>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</si>
  <si>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</si>
  <si>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</si>
  <si>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</si>
  <si>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</si>
  <si>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</si>
  <si>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</si>
  <si>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</si>
  <si>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</si>
  <si>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</si>
  <si>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</si>
  <si>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</si>
  <si>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</si>
  <si>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</si>
  <si>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</si>
  <si>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</si>
  <si>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</si>
  <si>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</si>
  <si>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</si>
  <si>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</si>
  <si>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</si>
  <si>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</si>
  <si>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</si>
  <si>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</si>
  <si>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</si>
  <si>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</si>
  <si>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</si>
  <si>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</si>
  <si>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</si>
  <si>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</si>
  <si>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</si>
  <si>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</si>
  <si>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</si>
  <si>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</si>
  <si>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</si>
  <si>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</si>
  <si>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</si>
  <si>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</si>
  <si>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</si>
  <si>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</si>
  <si>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</si>
  <si>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</si>
  <si>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</si>
  <si>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</si>
  <si>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</si>
  <si>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</si>
  <si>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</si>
  <si>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</si>
  <si>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</si>
  <si>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</si>
  <si>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</si>
  <si>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</si>
  <si>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</si>
  <si>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</si>
  <si>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</si>
  <si>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</si>
  <si>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</si>
  <si>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</si>
  <si>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</si>
  <si>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</si>
  <si>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</si>
  <si>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</si>
  <si>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</si>
  <si>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</si>
  <si>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</si>
  <si>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</si>
  <si>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</si>
  <si>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</si>
  <si>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</si>
  <si>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</si>
  <si>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</si>
  <si>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</si>
  <si>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</si>
  <si>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</si>
  <si>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</si>
  <si>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</si>
  <si>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</si>
  <si>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</si>
  <si>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</si>
  <si>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</si>
  <si>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</si>
  <si>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</si>
  <si>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</si>
  <si>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</si>
  <si>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</si>
  <si>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</si>
  <si>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</si>
  <si>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</si>
  <si>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</si>
  <si>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</si>
  <si>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</si>
  <si>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</si>
  <si>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</si>
  <si>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</si>
  <si>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</si>
  <si>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</si>
  <si>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</si>
  <si>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</si>
  <si>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</si>
  <si>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</si>
  <si>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</si>
  <si>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</si>
  <si>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</si>
  <si>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</si>
  <si>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</si>
  <si>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</si>
  <si>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</si>
  <si>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</si>
  <si>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</si>
  <si>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</si>
  <si>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</si>
  <si>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</si>
  <si>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</si>
  <si>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</si>
  <si>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</si>
  <si>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</si>
  <si>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</si>
  <si>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</si>
  <si>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</si>
  <si>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</si>
  <si>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</si>
  <si>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</si>
  <si>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</si>
  <si>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</si>
  <si>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</si>
  <si>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</si>
  <si>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</si>
  <si>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</si>
  <si>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</si>
  <si>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</si>
  <si>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</si>
  <si>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</si>
  <si>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</si>
  <si>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</si>
  <si>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</si>
  <si>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</si>
  <si>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</si>
  <si>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</si>
  <si>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</si>
  <si>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</si>
  <si>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</si>
  <si>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</si>
  <si>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</si>
  <si>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</si>
  <si>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</si>
  <si>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</si>
  <si>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</si>
  <si>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</si>
  <si>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</si>
  <si>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</si>
  <si>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</si>
  <si>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</si>
  <si>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</si>
  <si>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</si>
  <si>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7日</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</si>
  <si>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</si>
  <si>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</si>
  <si>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</si>
  <si>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</si>
  <si>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</si>
  <si>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</si>
  <si>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</si>
  <si>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</si>
  <si>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</si>
  <si>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</si>
  <si>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</si>
  <si>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</si>
  <si>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</si>
  <si>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</si>
  <si>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</si>
  <si>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</si>
  <si>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</si>
  <si>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</si>
  <si>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</si>
  <si>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</si>
  <si>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</si>
  <si>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</si>
  <si>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</si>
  <si>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</si>
  <si>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</si>
  <si>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</si>
  <si>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</si>
  <si>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</si>
  <si>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</si>
  <si>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</si>
  <si>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</si>
  <si>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</si>
  <si>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</si>
  <si>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</si>
  <si>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</si>
  <si>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</si>
  <si>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</si>
  <si>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</si>
  <si>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</si>
  <si>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</si>
  <si>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</si>
  <si>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</si>
  <si>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</si>
  <si>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</si>
  <si>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</si>
  <si>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</si>
  <si>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</si>
  <si>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</si>
  <si>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</si>
  <si>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</si>
  <si>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</si>
  <si>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</si>
  <si>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</si>
  <si>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</si>
  <si>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</si>
  <si>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</si>
  <si>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</si>
  <si>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</si>
  <si>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</si>
  <si>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</si>
  <si>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</si>
  <si>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</si>
  <si>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</si>
  <si>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</si>
  <si>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</si>
  <si>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</si>
  <si>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</si>
  <si>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</si>
  <si>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</si>
  <si>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</si>
  <si>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</si>
  <si>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</si>
  <si>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</si>
  <si>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</si>
  <si>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</si>
  <si>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</si>
  <si>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</si>
  <si>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</si>
  <si>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</si>
  <si>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</si>
  <si>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</si>
  <si>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</si>
  <si>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</si>
  <si>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</si>
  <si>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</si>
  <si>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</si>
  <si>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</si>
  <si>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</si>
  <si>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</si>
  <si>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</si>
  <si>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</si>
  <si>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</si>
  <si>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</si>
  <si>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</si>
  <si>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</si>
  <si>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</si>
  <si>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</si>
  <si>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</si>
  <si>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</si>
  <si>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</si>
  <si>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</si>
  <si>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</si>
  <si>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</si>
  <si>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</si>
  <si>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</si>
  <si>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</si>
  <si>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</si>
  <si>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</si>
  <si>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</si>
  <si>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传送法阵</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</si>
  <si>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</si>
  <si>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</si>
  <si>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</si>
  <si>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</si>
  <si>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</si>
  <si>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</si>
  <si>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</si>
  <si>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</si>
  <si>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</si>
  <si>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</si>
  <si>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</si>
  <si>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</si>
  <si>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</si>
  <si>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</si>
  <si>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</si>
  <si>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</si>
  <si>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</si>
  <si>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</si>
  <si>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</si>
  <si>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</si>
  <si>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</si>
  <si>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</si>
  <si>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</si>
  <si>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</si>
  <si>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</si>
  <si>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</si>
  <si>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</si>
  <si>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</si>
  <si>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</si>
  <si>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</si>
  <si>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</si>
  <si>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</si>
  <si>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</si>
  <si>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</si>
  <si>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</si>
  <si>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</si>
  <si>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</si>
  <si>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</si>
  <si>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</si>
  <si>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</si>
  <si>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</si>
  <si>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</si>
  <si>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</si>
  <si>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</si>
  <si>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</si>
  <si>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</si>
  <si>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</si>
  <si>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</si>
  <si>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</si>
  <si>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</si>
  <si>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</si>
  <si>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</si>
  <si>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</si>
  <si>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</si>
  <si>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</si>
  <si>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</si>
  <si>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</si>
  <si>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</si>
  <si>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</si>
  <si>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</si>
  <si>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</si>
  <si>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</si>
  <si>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</si>
  <si>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</si>
  <si>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</si>
  <si>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</si>
  <si>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</si>
  <si>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</si>
  <si>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</si>
  <si>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</si>
  <si>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</si>
  <si>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</si>
  <si>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</si>
  <si>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</si>
  <si>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</si>
  <si>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</si>
  <si>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</si>
  <si>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</si>
  <si>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</si>
  <si>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</si>
  <si>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</si>
  <si>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</si>
  <si>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</si>
  <si>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</si>
  <si>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</si>
  <si>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</si>
  <si>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</si>
  <si>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</si>
  <si>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</si>
  <si>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</si>
  <si>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</si>
  <si>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</si>
  <si>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</si>
  <si>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</si>
  <si>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</si>
  <si>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</si>
  <si>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</si>
  <si>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</si>
  <si>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</si>
  <si>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</si>
  <si>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</si>
  <si>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</si>
  <si>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</si>
  <si>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</si>
  <si>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</si>
  <si>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</si>
  <si>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</si>
  <si>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</si>
  <si>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</si>
  <si>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</si>
  <si>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</si>
  <si>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</si>
  <si>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</si>
  <si>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</si>
  <si>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</si>
  <si>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</si>
  <si>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</si>
  <si>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</si>
  <si>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</si>
  <si>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</si>
  <si>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</si>
  <si>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</si>
  <si>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</si>
  <si>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</si>
  <si>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</si>
  <si>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</si>
  <si>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</si>
  <si>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</si>
  <si>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</si>
  <si>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</si>
  <si>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</si>
  <si>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</si>
  <si>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</si>
  <si>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</si>
  <si>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</si>
  <si>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</si>
  <si>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</si>
  <si>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</si>
  <si>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</si>
  <si>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</si>
  <si>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</si>
  <si>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</si>
  <si>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</si>
  <si>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</si>
  <si>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</si>
  <si>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</si>
  <si>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</si>
  <si>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</si>
  <si>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</si>
  <si>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</si>
  <si>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</si>
  <si>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</si>
  <si>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</si>
  <si>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</si>
  <si>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</si>
  <si>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</si>
  <si>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</si>
  <si>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</si>
  <si>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</si>
  <si>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</si>
  <si>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</si>
  <si>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</si>
  <si>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</si>
  <si>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</si>
  <si>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</si>
  <si>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</si>
  <si>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</si>
  <si>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</si>
  <si>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</si>
  <si>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</si>
  <si>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</si>
  <si>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</si>
  <si>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</si>
  <si>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海市蜃楼</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</si>
  <si>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</si>
  <si>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</si>
  <si>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</si>
  <si>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</si>
  <si>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</si>
  <si>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</si>
  <si>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</si>
  <si>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</si>
  <si>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</si>
  <si>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</si>
  <si>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</si>
  <si>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</si>
  <si>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</si>
  <si>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</si>
  <si>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</si>
  <si>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</si>
  <si>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</si>
  <si>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</si>
  <si>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</si>
  <si>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</si>
  <si>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</si>
  <si>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</si>
  <si>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</si>
  <si>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</si>
  <si>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</si>
  <si>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</si>
  <si>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</si>
  <si>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</si>
  <si>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</si>
  <si>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</si>
  <si>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</si>
  <si>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</si>
  <si>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</si>
  <si>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</si>
  <si>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</si>
  <si>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</si>
  <si>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</si>
  <si>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</si>
  <si>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</si>
  <si>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</si>
  <si>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</si>
  <si>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</si>
  <si>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</si>
  <si>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</si>
  <si>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</si>
  <si>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</si>
  <si>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</si>
  <si>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</si>
  <si>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</si>
  <si>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</si>
  <si>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</si>
  <si>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</si>
  <si>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</si>
  <si>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</si>
  <si>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</si>
  <si>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</si>
  <si>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</si>
  <si>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</si>
  <si>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</si>
  <si>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</si>
  <si>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</si>
  <si>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</si>
  <si>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</si>
  <si>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</si>
  <si>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</si>
  <si>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</si>
  <si>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</si>
  <si>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</si>
  <si>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</si>
  <si>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</si>
  <si>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</si>
  <si>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</si>
  <si>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</si>
  <si>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</si>
  <si>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</si>
  <si>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</si>
  <si>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</si>
  <si>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</si>
  <si>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</si>
  <si>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半位面</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</si>
  <si>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</si>
  <si>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</si>
  <si>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</si>
  <si>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</si>
  <si>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</si>
  <si>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</si>
  <si>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</si>
  <si>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</si>
  <si>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</si>
  <si>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</si>
  <si>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</si>
  <si>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</si>
  <si>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</si>
  <si>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</si>
  <si>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</si>
  <si>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</si>
  <si>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</si>
  <si>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</si>
  <si>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</si>
  <si>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</si>
  <si>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</si>
  <si>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</si>
  <si>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</si>
  <si>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</si>
  <si>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</si>
  <si>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</si>
  <si>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</si>
  <si>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</si>
  <si>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</si>
  <si>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</si>
  <si>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</si>
  <si>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</si>
  <si>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</si>
  <si>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</si>
  <si>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</si>
  <si>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</si>
  <si>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</si>
  <si>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</si>
  <si>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</si>
  <si>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</si>
  <si>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</si>
  <si>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</si>
  <si>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</si>
  <si>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</si>
  <si>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</si>
  <si>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</si>
  <si>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</si>
  <si>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</si>
  <si>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</si>
  <si>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</si>
  <si>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</si>
  <si>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</si>
  <si>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</si>
  <si>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</si>
  <si>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</si>
  <si>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</si>
  <si>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</si>
  <si>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</si>
  <si>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</si>
  <si>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</si>
  <si>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</si>
  <si>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</si>
  <si>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</si>
  <si>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</si>
  <si>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</si>
  <si>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</si>
  <si>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</si>
  <si>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</si>
  <si>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</si>
  <si>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</si>
  <si>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</si>
  <si>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</si>
  <si>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</si>
  <si>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</si>
  <si>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</si>
  <si>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</si>
  <si>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</si>
  <si>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</si>
  <si>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</si>
  <si>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</si>
  <si>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</si>
  <si>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</si>
  <si>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</si>
  <si>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</si>
  <si>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</si>
  <si>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</si>
  <si>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</si>
  <si>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</si>
  <si>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</si>
  <si>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</si>
  <si>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</si>
  <si>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</si>
  <si>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</si>
  <si>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</si>
  <si>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</si>
  <si>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自身(30尺线状)</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</si>
  <si>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</si>
  <si>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</si>
  <si>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</si>
  <si>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</si>
  <si>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</si>
  <si>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</si>
  <si>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</si>
  <si>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</si>
  <si>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</si>
  <si>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</si>
  <si>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</si>
  <si>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</si>
  <si>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</si>
  <si>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</si>
  <si>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</si>
  <si>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</si>
  <si>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</si>
  <si>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</si>
  <si>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</si>
  <si>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</si>
  <si>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</si>
  <si>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</si>
  <si>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</si>
  <si>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</si>
  <si>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</si>
  <si>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</si>
  <si>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</si>
  <si>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</si>
  <si>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</si>
  <si>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剑湾冒险者指南</t>
  </si>
  <si>
    <t>剑刃爆发</t>
  </si>
  <si>
    <t>自身(5尺半径)</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</si>
  <si>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</si>
  <si>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</si>
  <si>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</si>
  <si>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</si>
  <si>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</si>
  <si>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</si>
  <si>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</si>
  <si>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</si>
  <si>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</si>
  <si>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</si>
  <si>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</si>
  <si>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</si>
  <si>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</si>
  <si>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珊娜萨的万事指南</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</si>
  <si>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</si>
  <si>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</si>
  <si>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</si>
  <si>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</si>
  <si>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</si>
  <si>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</si>
  <si>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</si>
  <si>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</si>
  <si>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</si>
  <si>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</si>
  <si>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</si>
  <si>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</si>
  <si>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</si>
  <si>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</si>
  <si>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触及</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</si>
  <si>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</si>
  <si>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</si>
  <si>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</si>
  <si>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</si>
  <si>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</si>
  <si>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</si>
  <si>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</si>
  <si>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</si>
  <si>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</si>
  <si>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</si>
  <si>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</si>
  <si>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</si>
  <si>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</si>
  <si>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</si>
  <si>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</si>
  <si>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</si>
  <si>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</si>
  <si>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</si>
  <si>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</si>
  <si>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</si>
  <si>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</si>
  <si>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</si>
  <si>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</si>
  <si>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</si>
  <si>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</si>
  <si>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</si>
  <si>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</si>
  <si>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</si>
  <si>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</si>
  <si>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</si>
  <si>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</si>
  <si>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</si>
  <si>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</si>
  <si>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</si>
  <si>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</si>
  <si>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</si>
  <si>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</si>
  <si>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</si>
  <si>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</si>
  <si>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</si>
  <si>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</si>
  <si>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</si>
  <si>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</si>
  <si>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</si>
  <si>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</si>
  <si>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</si>
  <si>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</si>
  <si>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</si>
  <si>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</si>
  <si>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</si>
  <si>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</si>
  <si>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</si>
  <si>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</si>
  <si>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</si>
  <si>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</si>
  <si>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</si>
  <si>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</si>
  <si>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</si>
  <si>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</si>
  <si>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</si>
  <si>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</si>
  <si>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</si>
  <si>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</si>
  <si>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</si>
  <si>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</si>
  <si>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</si>
  <si>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</si>
  <si>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</si>
  <si>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视野内</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</si>
  <si>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</si>
  <si>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</si>
  <si>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</si>
  <si>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</si>
  <si>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</si>
  <si>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</si>
  <si>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</si>
  <si>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</si>
  <si>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</si>
  <si>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</si>
  <si>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</si>
  <si>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</si>
  <si>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</si>
  <si>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</si>
  <si>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</si>
  <si>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</si>
  <si>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</si>
  <si>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</si>
  <si>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</si>
  <si>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</si>
  <si>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</si>
  <si>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</si>
  <si>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</si>
  <si>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</si>
  <si>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</si>
  <si>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</si>
  <si>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</si>
  <si>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</si>
  <si>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</si>
  <si>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</si>
  <si>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</si>
  <si>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</si>
  <si>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</si>
  <si>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</si>
  <si>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</si>
  <si>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</si>
  <si>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</si>
  <si>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</si>
  <si>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</si>
  <si>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</si>
  <si>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</si>
  <si>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</si>
  <si>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</si>
  <si>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</si>
  <si>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</si>
  <si>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</si>
  <si>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</si>
  <si>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</si>
  <si>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</si>
  <si>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</si>
  <si>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</si>
  <si>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</si>
  <si>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</si>
  <si>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</si>
  <si>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</si>
  <si>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</si>
  <si>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</si>
  <si>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</si>
  <si>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</si>
  <si>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</si>
  <si>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</si>
  <si>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</si>
  <si>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</si>
  <si>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</si>
  <si>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</si>
  <si>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</si>
  <si>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</si>
  <si>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</si>
  <si>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</si>
  <si>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</si>
  <si>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</si>
  <si>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</si>
  <si>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</si>
  <si>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</si>
  <si>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</si>
  <si>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</si>
  <si>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</si>
  <si>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</si>
  <si>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</si>
  <si>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</si>
  <si>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</si>
  <si>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</si>
  <si>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</si>
  <si>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</si>
  <si>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</si>
  <si>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</si>
  <si>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</si>
  <si>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</si>
  <si>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</si>
  <si>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</si>
  <si>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</si>
  <si>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</si>
  <si>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</si>
  <si>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</si>
  <si>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</si>
  <si>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</si>
  <si>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</si>
  <si>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</si>
  <si>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</si>
  <si>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</si>
  <si>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</si>
  <si>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</si>
  <si>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</si>
  <si>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</si>
  <si>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</si>
  <si>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</si>
  <si>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</si>
  <si>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</si>
  <si>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</si>
  <si>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</si>
  <si>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</si>
  <si>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</si>
  <si>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</si>
  <si>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</si>
  <si>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</si>
  <si>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</si>
  <si>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</si>
  <si>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</si>
  <si>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</si>
  <si>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</si>
  <si>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</si>
  <si>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</si>
  <si>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</si>
  <si>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</si>
  <si>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</si>
  <si>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</si>
  <si>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</si>
  <si>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</si>
  <si>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</si>
  <si>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</si>
  <si>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</si>
  <si>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</si>
  <si>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</si>
  <si>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</si>
  <si>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</si>
  <si>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</si>
  <si>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</si>
  <si>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</si>
  <si>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</si>
  <si>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</si>
  <si>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</si>
  <si>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</si>
  <si>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</si>
  <si>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</si>
  <si>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</si>
  <si>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</si>
  <si>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</si>
  <si>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</si>
  <si>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</si>
  <si>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</si>
  <si>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</si>
  <si>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</si>
  <si>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</si>
  <si>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</si>
  <si>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</si>
  <si>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</si>
  <si>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</si>
  <si>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</si>
  <si>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</si>
  <si>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</si>
  <si>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</si>
  <si>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</si>
  <si>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</si>
  <si>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</si>
  <si>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</si>
  <si>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</si>
  <si>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</si>
  <si>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</si>
  <si>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</si>
  <si>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</si>
  <si>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</si>
  <si>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</si>
  <si>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</si>
  <si>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</si>
  <si>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</si>
  <si>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</si>
  <si>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</si>
  <si>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</si>
  <si>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</si>
  <si>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</si>
  <si>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</si>
  <si>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</si>
  <si>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</si>
  <si>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</si>
  <si>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</si>
  <si>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</si>
  <si>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</si>
  <si>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</si>
  <si>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</si>
  <si>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</si>
  <si>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</si>
  <si>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</si>
  <si>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</si>
  <si>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</si>
  <si>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</si>
  <si>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</si>
  <si>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</si>
  <si>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</si>
  <si>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</si>
  <si>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</si>
  <si>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</si>
  <si>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</si>
  <si>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</si>
  <si>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</si>
  <si>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</si>
  <si>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</si>
  <si>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</si>
  <si>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</si>
  <si>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</si>
  <si>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</si>
  <si>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</si>
  <si>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</si>
  <si>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</si>
  <si>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</si>
  <si>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</si>
  <si>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</si>
  <si>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</si>
  <si>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</si>
  <si>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</si>
  <si>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</si>
  <si>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</si>
  <si>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</si>
  <si>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</si>
  <si>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</si>
  <si>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</si>
  <si>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</si>
  <si>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</si>
  <si>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</si>
  <si>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</si>
  <si>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自身(30尺锥状)</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</si>
  <si>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</si>
  <si>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</si>
  <si>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</si>
  <si>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</si>
  <si>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</si>
  <si>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</si>
  <si>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</si>
  <si>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</si>
  <si>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</si>
  <si>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</si>
  <si>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</si>
  <si>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</si>
  <si>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</si>
  <si>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</si>
  <si>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</si>
  <si>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</si>
  <si>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</si>
  <si>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</si>
  <si>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</si>
  <si>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</si>
  <si>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</si>
  <si>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</si>
  <si>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</si>
  <si>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</si>
  <si>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</si>
  <si>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</si>
  <si>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</si>
  <si>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</si>
  <si>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</si>
  <si>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</si>
  <si>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</si>
  <si>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</si>
  <si>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</si>
  <si>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</si>
  <si>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</si>
  <si>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</si>
  <si>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</si>
  <si>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</si>
  <si>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</si>
  <si>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</si>
  <si>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</si>
  <si>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</si>
  <si>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</si>
  <si>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</si>
  <si>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</si>
  <si>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</si>
  <si>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</si>
  <si>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</si>
  <si>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</si>
  <si>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</si>
  <si>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</si>
  <si>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</si>
  <si>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</si>
  <si>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</si>
  <si>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</si>
  <si>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</si>
  <si>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</si>
  <si>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</si>
  <si>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</si>
  <si>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</si>
  <si>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万象无常书</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</si>
  <si>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</si>
  <si>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</si>
  <si>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</si>
  <si>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</si>
  <si>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</si>
  <si>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</si>
  <si>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</si>
  <si>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</si>
  <si>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</si>
  <si>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</si>
  <si>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</si>
  <si>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</si>
  <si>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</si>
  <si>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</si>
  <si>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</si>
  <si>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</si>
  <si>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</si>
  <si>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</si>
  <si>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</si>
  <si>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</si>
  <si>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印记城与外域</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</si>
  <si>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</si>
  <si>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</si>
  <si>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</si>
  <si>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</si>
  <si>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 xml:space="preserve"> </t>
  </si>
  <si>
    <t>额外法术</t>
  </si>
  <si>
    <t>专注，至多1轮</t>
  </si>
  <si>
    <t>自身(30尺半径)</t>
  </si>
  <si>
    <t>自身(15尺立方)</t>
  </si>
  <si>
    <t>直至被解除或被触发</t>
  </si>
  <si>
    <t>直至被驱散</t>
  </si>
  <si>
    <t>人物卡导入，基本适合全部骰娘</t>
  </si>
  <si>
    <t>→</t>
  </si>
  <si>
    <t>适用于绝大部分骰娘包括：海豹、OlivaDice、Dice!、MDice、塔骰等体系的骰子。（应该除了梨骰都行）</t>
  </si>
  <si>
    <t>角色姓名导入</t>
  </si>
  <si>
    <t>“复制”下格发送给骰娘</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</si>
  <si>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</si>
  <si>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一本书会记载虚构或非虚构的内容。如果你在某些事物上参考了一本内容准确而非虚构的书，你在相关事物上的智力（奥秘、历史、自然或宗教）检定则获得+5的加值。</t>
    <phoneticPr fontId="68" type="noConversion"/>
  </si>
  <si>
    <t>D20</t>
    <phoneticPr fontId="68" type="noConversion"/>
  </si>
  <si>
    <t>O</t>
    <phoneticPr fontId="68" type="noConversion"/>
  </si>
  <si>
    <t>类型</t>
    <phoneticPr fontId="68" type="noConversion"/>
  </si>
  <si>
    <t>伤害骰</t>
    <phoneticPr fontId="68" type="noConversion"/>
  </si>
  <si>
    <t>攻击骰</t>
    <phoneticPr fontId="68" type="noConversion"/>
  </si>
  <si>
    <t>熟练</t>
    <phoneticPr fontId="68" type="noConversion"/>
  </si>
  <si>
    <t>精通</t>
    <phoneticPr fontId="68" type="noConversion"/>
  </si>
  <si>
    <t>一个扁瓶具有1品脱容量。</t>
    <phoneticPr fontId="68" type="noConversion"/>
  </si>
  <si>
    <t>奇械师</t>
    <phoneticPr fontId="68" type="noConversion"/>
  </si>
  <si>
    <t>伤害骰</t>
  </si>
  <si>
    <t>-</t>
    <phoneticPr fontId="68" type="noConversion"/>
  </si>
  <si>
    <t>使用属性</t>
  </si>
  <si>
    <t>大法师法袍</t>
    <phoneticPr fontId="68" type="noConversion"/>
  </si>
  <si>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</si>
  <si>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</si>
  <si>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</si>
  <si>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</si>
  <si>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</si>
  <si>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</si>
  <si>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</si>
  <si>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</si>
  <si>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</si>
  <si>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</si>
  <si>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</si>
  <si>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</si>
  <si>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</si>
  <si>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</si>
  <si>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</si>
  <si>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</si>
  <si>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</si>
  <si>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</si>
  <si>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</si>
  <si>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</si>
  <si>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</si>
  <si>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</si>
  <si>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</si>
  <si>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</si>
  <si>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</si>
  <si>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</si>
  <si>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</si>
  <si>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</si>
  <si>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</si>
  <si>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</si>
  <si>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</si>
  <si>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</si>
  <si>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</si>
  <si>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</si>
  <si>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</si>
  <si>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</si>
  <si>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</si>
  <si>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</si>
  <si>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</si>
  <si>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</si>
  <si>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</si>
  <si>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</si>
  <si>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</si>
  <si>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</si>
  <si>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</si>
  <si>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</si>
  <si>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</si>
  <si>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</si>
  <si>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</si>
  <si>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</si>
  <si>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</si>
  <si>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</si>
  <si>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</si>
  <si>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</si>
  <si>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</si>
  <si>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t>Time Ravage</t>
  </si>
  <si>
    <t>咒法</t>
    <phoneticPr fontId="68" type="noConversion"/>
  </si>
  <si>
    <t>1小时或仪式</t>
    <phoneticPr fontId="68" type="noConversion"/>
  </si>
  <si>
    <t>自身</t>
    <phoneticPr fontId="68" type="noConversion"/>
  </si>
  <si>
    <t>熟练工具</t>
    <phoneticPr fontId="68" type="noConversion"/>
  </si>
  <si>
    <t>语言</t>
    <phoneticPr fontId="68" type="noConversion"/>
  </si>
  <si>
    <t>着装</t>
    <phoneticPr fontId="68" type="noConversion"/>
  </si>
  <si>
    <t>否</t>
    <phoneticPr fontId="68" type="noConversion"/>
  </si>
  <si>
    <t>合计结余</t>
    <phoneticPr fontId="68" type="noConversion"/>
  </si>
  <si>
    <t>人工生命仆从</t>
    <phoneticPr fontId="68" type="noConversion"/>
  </si>
  <si>
    <t>√</t>
    <phoneticPr fontId="68" type="noConversion"/>
  </si>
  <si>
    <t>1小时或仪式</t>
    <phoneticPr fontId="68" type="noConversion"/>
  </si>
  <si>
    <t>10尺</t>
    <phoneticPr fontId="68" type="noConversion"/>
  </si>
  <si>
    <t>V</t>
    <phoneticPr fontId="68" type="noConversion"/>
  </si>
  <si>
    <t>Homunculus Servant</t>
    <phoneticPr fontId="68" type="noConversion"/>
  </si>
  <si>
    <t>·</t>
  </si>
  <si>
    <t>自身30尺类，如18级灵光</t>
  </si>
  <si>
    <t>自身15尺类，如灵体卫士，黑暗术</t>
  </si>
  <si>
    <t>源点20尺球类，如火球术</t>
  </si>
  <si>
    <t>巨型自身10尺类</t>
  </si>
  <si>
    <t>源点15尺球类，如黑暗术</t>
  </si>
  <si>
    <t>大型自身10尺类</t>
  </si>
  <si>
    <t>一律作图：DM裁定</t>
  </si>
  <si>
    <t>源点10尺球、柱类，如力场墙</t>
  </si>
  <si>
    <t>锥形类，如燃烧之手，龙息术</t>
  </si>
  <si>
    <t>以5-10-5移动力的方式计算范围</t>
  </si>
  <si>
    <t>直线类，如闪电束</t>
  </si>
  <si>
    <t>源点5尺球、柱类，如月华之光</t>
  </si>
  <si>
    <t>自身10尺类，如灵光，触及武器，守护之风</t>
  </si>
  <si>
    <t>15尺</t>
    <phoneticPr fontId="68" type="noConversion"/>
  </si>
  <si>
    <t>30尺</t>
    <phoneticPr fontId="68" type="noConversion"/>
  </si>
  <si>
    <t>45尺</t>
    <phoneticPr fontId="68" type="noConversion"/>
  </si>
  <si>
    <t>60尺</t>
    <phoneticPr fontId="68" type="noConversion"/>
  </si>
  <si>
    <t>75尺</t>
    <phoneticPr fontId="68" type="noConversion"/>
  </si>
  <si>
    <t>90尺</t>
    <phoneticPr fontId="68" type="noConversion"/>
  </si>
  <si>
    <t>附赠动作，在你使用远程武器命中一个生物时紧接可用</t>
  </si>
  <si>
    <t>惑控</t>
    <phoneticPr fontId="68" type="noConversion"/>
  </si>
  <si>
    <t>龙术</t>
    <phoneticPr fontId="68" type="noConversion"/>
  </si>
  <si>
    <t>10+魅力调整值+敏捷调整值</t>
    <phoneticPr fontId="68" type="noConversion"/>
  </si>
  <si>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phoneticPr fontId="68" type="noConversion"/>
  </si>
  <si>
    <t>驯兽</t>
    <phoneticPr fontId="68" type="noConversion"/>
  </si>
  <si>
    <t>医药</t>
    <phoneticPr fontId="68" type="noConversion"/>
  </si>
  <si>
    <t>欺瞒</t>
    <phoneticPr fontId="68" type="noConversion"/>
  </si>
  <si>
    <t>塑能</t>
    <phoneticPr fontId="68" type="noConversion"/>
  </si>
  <si>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phoneticPr fontId="68" type="noConversion"/>
  </si>
  <si>
    <t>灵能使</t>
    <phoneticPr fontId="68" type="noConversion"/>
  </si>
  <si>
    <t>120尺</t>
    <phoneticPr fontId="68" type="noConversion"/>
  </si>
  <si>
    <t>立即</t>
    <phoneticPr fontId="68" type="noConversion"/>
  </si>
  <si>
    <t>0v0?</t>
    <phoneticPr fontId="68" type="noConversion"/>
  </si>
  <si>
    <t>法术值</t>
    <phoneticPr fontId="68" type="noConversion"/>
  </si>
  <si>
    <t>敏捷</t>
    <phoneticPr fontId="68" type="noConversion"/>
  </si>
  <si>
    <t>暗影衍体召唤术</t>
    <phoneticPr fontId="68" type="noConversion"/>
  </si>
  <si>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</si>
  <si>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</si>
  <si>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</si>
  <si>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动作</t>
    <phoneticPr fontId="68" type="noConversion"/>
  </si>
  <si>
    <t>准备法术</t>
    <phoneticPr fontId="68" type="noConversion"/>
  </si>
  <si>
    <t>背包</t>
    <phoneticPr fontId="68" type="noConversion"/>
  </si>
  <si>
    <t>装备</t>
    <phoneticPr fontId="68" type="noConversion"/>
  </si>
  <si>
    <t>数量</t>
    <phoneticPr fontId="68" type="noConversion"/>
  </si>
  <si>
    <t>账本笔记</t>
    <phoneticPr fontId="68" type="noConversion"/>
  </si>
  <si>
    <t>明细</t>
    <phoneticPr fontId="68" type="noConversion"/>
  </si>
  <si>
    <t>资源及扩展</t>
    <phoneticPr fontId="68" type="noConversion"/>
  </si>
  <si>
    <t>悲灵</t>
    <phoneticPr fontId="68" type="noConversion"/>
  </si>
  <si>
    <t>规则扩展</t>
    <phoneticPr fontId="68" type="noConversion"/>
  </si>
  <si>
    <t>战役设定</t>
    <phoneticPr fontId="68" type="noConversion"/>
  </si>
  <si>
    <t>第三方及UA</t>
    <phoneticPr fontId="68" type="noConversion"/>
  </si>
  <si>
    <t>背景装备</t>
    <phoneticPr fontId="68" type="noConversion"/>
  </si>
  <si>
    <t>UA</t>
    <phoneticPr fontId="68" type="noConversion"/>
  </si>
  <si>
    <t>XGE</t>
    <phoneticPr fontId="68" type="noConversion"/>
  </si>
  <si>
    <t>TCE</t>
    <phoneticPr fontId="68" type="noConversion"/>
  </si>
  <si>
    <t>2+</t>
    <phoneticPr fontId="68" type="noConversion"/>
  </si>
  <si>
    <t>5+</t>
    <phoneticPr fontId="68" type="noConversion"/>
  </si>
  <si>
    <t>12+</t>
    <phoneticPr fontId="68" type="noConversion"/>
  </si>
  <si>
    <t>9+</t>
    <phoneticPr fontId="68" type="noConversion"/>
  </si>
  <si>
    <t>7+</t>
    <phoneticPr fontId="68" type="noConversion"/>
  </si>
  <si>
    <t>15+</t>
    <phoneticPr fontId="68" type="noConversion"/>
  </si>
  <si>
    <t>BGG</t>
    <phoneticPr fontId="68" type="noConversion"/>
  </si>
  <si>
    <t>FTD</t>
    <phoneticPr fontId="68" type="noConversion"/>
  </si>
  <si>
    <t>修正</t>
    <phoneticPr fontId="68" type="noConversion"/>
  </si>
  <si>
    <t>万事通</t>
    <phoneticPr fontId="68" type="noConversion"/>
  </si>
  <si>
    <t>VGR</t>
    <phoneticPr fontId="68" type="noConversion"/>
  </si>
  <si>
    <t>自选一项起源专长</t>
    <phoneticPr fontId="68" type="noConversion"/>
  </si>
  <si>
    <t>自选两个适合背景的技能</t>
    <phoneticPr fontId="68" type="noConversion"/>
  </si>
  <si>
    <t>见注释，或自选至多三项</t>
    <phoneticPr fontId="68" type="noConversion"/>
  </si>
  <si>
    <t>组合一套价值50GP的装备（购买完毕后多余的钱也会包含在其内）。不要将包含军用武器和护甲包含在背景给予的装备中，角色会从其职业中获得这两样装备。</t>
    <phoneticPr fontId="68" type="noConversion"/>
  </si>
  <si>
    <t>洞悉，察觉</t>
    <phoneticPr fontId="68" type="noConversion"/>
  </si>
  <si>
    <t>自定义背景</t>
    <phoneticPr fontId="68" type="noConversion"/>
  </si>
  <si>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phoneticPr fontId="68"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</si>
  <si>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68" type="noConversion"/>
  </si>
  <si>
    <t>一项你自选的乐器或赌具，可能是你故乡本土的东西</t>
    <phoneticPr fontId="68" type="noConversion"/>
  </si>
  <si>
    <t>一套旅行服装，一件你熟练的乐器或一套你熟练的赌具，来自你故乡的一张精密度很差的费伦地图（用以标记出你在何处），一小片价值10GP来自你家乡技艺制作的珠宝，以及一个装有5gp的小包。</t>
    <phoneticPr fontId="68" type="noConversion"/>
  </si>
  <si>
    <t>从欺瞒、洞悉、游说、隐匿中选择两项</t>
    <phoneticPr fontId="68" type="noConversion"/>
  </si>
  <si>
    <t>从一种赌具、一种乐器、盗贼工具这三项中选择两项</t>
    <phoneticPr fontId="68" type="noConversion"/>
  </si>
  <si>
    <t>一套适合你执勤用的一套服装，以及一个装着 20gp 的小包</t>
    <phoneticPr fontId="68"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</si>
  <si>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68" type="noConversion"/>
  </si>
  <si>
    <r>
      <rPr>
        <b/>
        <sz val="12"/>
        <color theme="0"/>
        <rFont val="宋体"/>
        <family val="3"/>
        <charset val="134"/>
      </rPr>
      <t>更新记录</t>
    </r>
    <phoneticPr fontId="68"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</si>
  <si>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68" type="noConversion"/>
  </si>
  <si>
    <t>一件你所在组织的标示你军衔的制服，一个用来召唤帮手的号角，一副手铐，以及一个装有10gp的小包</t>
    <phoneticPr fontId="68" type="noConversion"/>
  </si>
  <si>
    <t>运动，游说</t>
    <phoneticPr fontId="68" type="noConversion"/>
  </si>
  <si>
    <t>一种赌具，载具（陆运）</t>
    <phoneticPr fontId="68" type="noConversion"/>
  </si>
  <si>
    <t>一套所属佣兵团的制服（质量等同于旅行服装），一块对应你军阶的勋章，你自选的一套赌具，以及一个装着你的上次军饷的小包（10gp ）</t>
    <phoneticPr fontId="68" type="noConversion"/>
  </si>
  <si>
    <t>洞悉，游说</t>
    <phoneticPr fontId="68" type="noConversion"/>
  </si>
  <si>
    <t>一套华丽的服装和一个装有5gp的小包</t>
    <phoneticPr fontId="68"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</si>
  <si>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68"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</si>
  <si>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68" type="noConversion"/>
  </si>
  <si>
    <t>从赌具或乐器中选择一个</t>
    <phoneticPr fontId="68" type="noConversion"/>
  </si>
  <si>
    <t>你的继承遗产，一套旅行服装，一件你通过这个背景而获得熟练项的工具，外加一个装着 15gp的小包。</t>
    <phoneticPr fontId="68"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</si>
  <si>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68"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</si>
  <si>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68" type="noConversion"/>
  </si>
  <si>
    <t>游说，外加从奥秘、历史和宗教中适合你骑士团的技能选择一个</t>
    <phoneticPr fontId="68" type="noConversion"/>
  </si>
  <si>
    <t>一种赌具，或一种乐器</t>
    <phoneticPr fontId="68" type="noConversion"/>
  </si>
  <si>
    <t>一件旅行衣服，一个代表你骑士团或是骑士团等级的徽记、旗帜、或印章，以及一个装有10gp的小包。</t>
    <phoneticPr fontId="68"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</si>
  <si>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68" type="noConversion"/>
  </si>
  <si>
    <t>洞悉，外加一个你自选的适合你组织的智力、感知、魅力技能</t>
    <phoneticPr fontId="68"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</si>
  <si>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68" type="noConversion"/>
  </si>
  <si>
    <t>历史，游说</t>
    <phoneticPr fontId="68" type="noConversion"/>
  </si>
  <si>
    <t>一种赌具或一种乐器</t>
    <phoneticPr fontId="68" type="noConversion"/>
  </si>
  <si>
    <t>一套高档服装，一枚玺戒或胸针，一份家系族谱，一袋的高档 兹沙酒zzar 或红酒，以及一个装有 20gp 的小包</t>
    <phoneticPr fontId="68"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</si>
  <si>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68" type="noConversion"/>
  </si>
  <si>
    <t>一种乐器，或一种工匠工具</t>
    <phoneticPr fontId="68" type="noConversion"/>
  </si>
  <si>
    <t>一个狩猎陷阱，标志你忠于乌特加和你部族之图腾的图腾标志或一组纹身，一套旅行服装和一个装着 10gp 的小袋。</t>
    <phoneticPr fontId="68"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</si>
  <si>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68" type="noConversion"/>
  </si>
  <si>
    <t>历史，外加从奥秘、自然、宗教之中你选择的一项</t>
    <phoneticPr fontId="68" type="noConversion"/>
  </si>
  <si>
    <t>代表你学院的学者长袍，一份书写工具（一个装着羽毛笔，墨水，折叠起来的羊皮纸，一把小拆信刀），一本从学院中借出阅读的书籍，以及一个装着10gp的小包。</t>
    <phoneticPr fontId="68" type="noConversion"/>
  </si>
  <si>
    <t>历史，洞悉</t>
    <phoneticPr fontId="68" type="noConversion"/>
  </si>
  <si>
    <t>一种自选的工匠工具</t>
    <phoneticPr fontId="68" type="noConversion"/>
  </si>
  <si>
    <t>一套你所熟练的工匠工具，一个用来标示出你是从哪个宗族学习何种手工技艺的作者徽记，一套旅行服装，以及一个有5gp的小包和一块价值10gp的宝石。</t>
    <phoneticPr fontId="68" type="noConversion"/>
  </si>
  <si>
    <t>一个标示你所属组织的徽章或标志，一份你们组织文件的手抄本（或一份你们组织使用的密文本），一套普通服装，以及一个装有15gp的小包</t>
    <phoneticPr fontId="68"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</si>
  <si>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68"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</si>
  <si>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68" type="noConversion"/>
  </si>
  <si>
    <t>洞悉，威吓</t>
    <phoneticPr fontId="68" type="noConversion"/>
  </si>
  <si>
    <t>一枚俄佐立徽记，一支记载着对你来说非常重要的法律条文的卷轴，一瓶蓝色墨水，一支笔，一套做工精细的衣物，以及一只装有10gp的钱袋（俄佐立发行的1齐诺硬币）</t>
    <phoneticPr fontId="68"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</si>
  <si>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68" type="noConversion"/>
  </si>
  <si>
    <t>运动，恐吓</t>
    <phoneticPr fontId="68" type="noConversion"/>
  </si>
  <si>
    <t>一枚波洛斯徽章，一枚天使的羽毛，一片破碎的波洛斯战旗（一次著名战役中留下来的纪念品），一套便装，以及一个装有2gp的钱袋（两枚波洛斯发行的1齐诺硬币）</t>
    <phoneticPr fontId="68" type="noConversion"/>
  </si>
  <si>
    <t>一种赌具</t>
    <phoneticPr fontId="68" type="noConversion"/>
  </si>
  <si>
    <t>欺瞒，隐匿</t>
    <phoneticPr fontId="68" type="noConversion"/>
  </si>
  <si>
    <t>一枚底密尔徽章，三把小刀，一套黑色的普通衣物，以及这一章里你的第二公会的背景里所描述的初始装备。</t>
    <phoneticPr fontId="68" type="noConversion"/>
  </si>
  <si>
    <t>易容工具</t>
    <phoneticPr fontId="68"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</si>
  <si>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68" type="noConversion"/>
  </si>
  <si>
    <t>毒药工具</t>
    <phoneticPr fontId="68" type="noConversion"/>
  </si>
  <si>
    <t>一个葛加理徽章，一套毒药工具，一只宠物甲虫or蜘蛛，一套普通衣物，一个装满了各种钱币总价为10gp的腰包。</t>
    <phoneticPr fontId="68"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</si>
  <si>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68"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</si>
  <si>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68" type="noConversion"/>
  </si>
  <si>
    <t>驯兽，运动</t>
    <phoneticPr fontId="68" type="noConversion"/>
  </si>
  <si>
    <t>草药工具</t>
    <phoneticPr fontId="68" type="noConversion"/>
  </si>
  <si>
    <t>奥秘，调查</t>
    <phoneticPr fontId="68" type="noConversion"/>
  </si>
  <si>
    <t>任选一种工匠工具</t>
    <phoneticPr fontId="68" type="noConversion"/>
  </si>
  <si>
    <t>一枚伊捷徽章，一套工匠工具，源自一次失败实验的烧焦扭曲的遗骸，一把铁锤，一套滑轮组，一套普通衣物，以及一个装有5gp的钱袋（俄佐立发行的1基诺硬币）。</t>
    <phoneticPr fontId="68"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</si>
  <si>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68"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</si>
  <si>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68" type="noConversion"/>
  </si>
  <si>
    <t>威吓，宗教</t>
    <phoneticPr fontId="68" type="noConversion"/>
  </si>
  <si>
    <t>一枚欧佐夫的徽章，一根由十枚金币组成的一英尺长的链子、法袍、一套精美的衣服，和一个装有1PP(一种欧佐夫铸造价值10锌币)的腰包。</t>
    <phoneticPr fontId="68"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</si>
  <si>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68" type="noConversion"/>
  </si>
  <si>
    <t>特技，表演</t>
  </si>
  <si>
    <t>特技，表演</t>
    <phoneticPr fontId="68" type="noConversion"/>
  </si>
  <si>
    <t>一种乐器</t>
    <phoneticPr fontId="68" type="noConversion"/>
  </si>
  <si>
    <t>一个拉铎司徽章，一把乐器（你选择的），一套戏服，一个由铸铁制成的灯罩，10尺长的满是钉刺的链条一盒火柴，10个火把，一套普通的衣服，一个包含10gp的腰带（俄佐立1-zion硬币），一瓶红色的甜果汁。</t>
    <phoneticPr fontId="68" type="noConversion"/>
  </si>
  <si>
    <t>一个古鲁徽章，一个打猎陷阱，一套草药工具，一个野猪颅骨，一件兽皮斗篷，一套旅行者衣服，一个包含10gp的腰带（俄佐立1-zion硬币）</t>
    <phoneticPr fontId="68"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</si>
  <si>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68" type="noConversion"/>
  </si>
  <si>
    <t>自然，游说</t>
    <phoneticPr fontId="68" type="noConversion"/>
  </si>
  <si>
    <t>一种工匠工具或是乐器</t>
    <phoneticPr fontId="68" type="noConversion"/>
  </si>
  <si>
    <t>一枚瑟雷尼亚徽记，一套医疗包，长袍，一套便装，以及一个装有5GP（俄佐立发型的1齐诺硬币）的钱袋。</t>
    <phoneticPr fontId="68" type="noConversion"/>
  </si>
  <si>
    <t>奥秘，医疗</t>
    <phoneticPr fontId="68" type="noConversion"/>
  </si>
  <si>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68" type="noConversion"/>
  </si>
  <si>
    <t>调查，游说</t>
    <phoneticPr fontId="68" type="noConversion"/>
  </si>
  <si>
    <t>欺瞒，洞悉</t>
    <phoneticPr fontId="68" type="noConversion"/>
  </si>
  <si>
    <t>一种工匠工具</t>
  </si>
  <si>
    <t>一种工匠工具</t>
    <phoneticPr fontId="68" type="noConversion"/>
  </si>
  <si>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68" type="noConversion"/>
  </si>
  <si>
    <t>察觉，表演</t>
    <phoneticPr fontId="68" type="noConversion"/>
  </si>
  <si>
    <t>历史，调查</t>
    <phoneticPr fontId="68" type="noConversion"/>
  </si>
  <si>
    <t>医药，游说</t>
    <phoneticPr fontId="68" type="noConversion"/>
  </si>
  <si>
    <t>特技，运动</t>
    <phoneticPr fontId="68" type="noConversion"/>
  </si>
  <si>
    <t>载具（陆运）</t>
    <phoneticPr fontId="68" type="noConversion"/>
  </si>
  <si>
    <t>一个青铜铁饼或皮球，一件幸运护身符或过去的奖杯，一套旅行服装，以及一个装有10金币的钱袋</t>
    <phoneticPr fontId="68"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</si>
  <si>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68"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</si>
  <si>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68" type="noConversion"/>
  </si>
  <si>
    <t>易容工具，盗贼工具</t>
    <phoneticPr fontId="68" type="noConversion"/>
  </si>
  <si>
    <t>一个放大镜，过去案例中的证据(从后文中的恐怖饰品列表中选择或随机投掷一个)，一套普通服装，以及10GP</t>
    <phoneticPr fontId="68" type="noConversion"/>
  </si>
  <si>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phoneticPr fontId="68" type="noConversion"/>
  </si>
  <si>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</si>
  <si>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</si>
  <si>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</si>
  <si>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一枚析米克徽章，一套平民服饰，一本研究笔记，一支钢笔，一瓶乌贼墨汁，一瓶油(由鲸脂制成)，一瓶酸(从消化液中提取)，一瓶鱼鳞，一瓶海藻，一瓶水母刺，一瓶不明黏液，一个装有10gp(或俄佐立发行的1基诺zino硬币)的袋子。</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</si>
  <si>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</si>
  <si>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</si>
  <si>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</si>
  <si>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</si>
  <si>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易容工具，一套高级服装和一个30gp的腰包</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</si>
  <si>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</si>
  <si>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</si>
  <si>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</si>
  <si>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</si>
  <si>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从洞悉,调查，或察觉中选择两项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</si>
  <si>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</si>
  <si>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</si>
  <si>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一种乐器或一种工匠工具</t>
  </si>
  <si>
    <t>一瓶黑色墨水，一根钢笔，一套工匠工具或一件乐器（由你选择的），一套校服，一个装有10gp的包。</t>
  </si>
  <si>
    <t>历史，宗教</t>
  </si>
  <si>
    <t>一瓶黑色墨水，一根钢笔，一把锤子，一盏带盖罩的提灯，一个火绒盒，一本历史册，一套校服，一个装有15gp的包。</t>
  </si>
  <si>
    <t>奥秘，自然</t>
  </si>
  <si>
    <t>一瓶黑色墨水，一根钢笔，一把算盘，一本奥秘原理书籍，一套校服，一个装有15gp的包。</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</si>
  <si>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</si>
  <si>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</si>
  <si>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</si>
  <si>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</si>
  <si>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</si>
  <si>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魔法学徒（牧师）</t>
    <phoneticPr fontId="68" type="noConversion"/>
  </si>
  <si>
    <t>健壮</t>
    <phoneticPr fontId="68"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</si>
  <si>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68" type="noConversion"/>
  </si>
  <si>
    <t>斯翠海文学徒专长（粹丽）</t>
    <phoneticPr fontId="68" type="noConversion"/>
  </si>
  <si>
    <t>斯翠海文学徒专长（衡鉴）</t>
    <phoneticPr fontId="68" type="noConversion"/>
  </si>
  <si>
    <t>斯翠海文学徒专长（量析）</t>
    <phoneticPr fontId="68" type="noConversion"/>
  </si>
  <si>
    <t>斯翠海文学徒专长（靡华）</t>
    <phoneticPr fontId="68" type="noConversion"/>
  </si>
  <si>
    <t>斯翠海文学徒专长（银毫）</t>
    <phoneticPr fontId="68" type="noConversion"/>
  </si>
  <si>
    <t>求生，外加从奥秘，历史，宗教中选择一个</t>
  </si>
  <si>
    <t>运动，求生</t>
  </si>
  <si>
    <t>自然，求生</t>
  </si>
  <si>
    <t>从奥秘、调查、宗教或求生中选择两项</t>
  </si>
  <si>
    <t>威吓，求生</t>
  </si>
  <si>
    <t>一个背包，一套旅行服装，一块可以令你回忆起家乡的小石头或小树枝，以及一个装有10gp的小包</t>
    <phoneticPr fontId="68" type="noConversion"/>
  </si>
  <si>
    <t>巨人打击</t>
    <phoneticPr fontId="68" type="noConversion"/>
  </si>
  <si>
    <t>历史，察觉</t>
    <phoneticPr fontId="68"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</si>
  <si>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68" type="noConversion"/>
  </si>
  <si>
    <t>一套工匠工具</t>
    <phoneticPr fontId="68" type="noConversion"/>
  </si>
  <si>
    <t>一套工匠工具（由你选择的一套），一把小刀，一块打磨石，一套普通服装，以及一个装有10gp的小包</t>
    <phoneticPr fontId="68" type="noConversion"/>
  </si>
  <si>
    <t>符文塑形者</t>
    <phoneticPr fontId="68"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</si>
  <si>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68" type="noConversion"/>
  </si>
  <si>
    <t>游说，求生</t>
    <phoneticPr fontId="68" type="noConversion"/>
  </si>
  <si>
    <t>一轮不知道对应什么锁的钥匙串，一本空白的书籍，一根墨水笔或羽毛笔，一瓶黑墨水，一套旅行服装，以及一个装有10gp的小包。</t>
    <phoneticPr fontId="68" type="noConversion"/>
  </si>
  <si>
    <t>外层位面后裔</t>
    <phoneticPr fontId="68" type="noConversion"/>
  </si>
  <si>
    <t>奥秘，与你的派系有关的一项技能（见下方印记城派系偏好表）或你自选的一项技能</t>
    <phoneticPr fontId="68"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</si>
  <si>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68"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</si>
  <si>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68"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</si>
  <si>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68" type="noConversion"/>
  </si>
  <si>
    <t>一套你自选的赌具（比如纸牌或三龙牌）</t>
    <phoneticPr fontId="68" type="noConversion"/>
  </si>
  <si>
    <t>一瓶黑色墨水，一支墨水笔，五卷纸，一套赌具（与你所选熟练项一致），一个玺戒，一套高档服装，以及一个装着18gp的小包</t>
    <phoneticPr fontId="68"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</si>
  <si>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</si>
  <si>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</si>
  <si>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</si>
  <si>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</si>
  <si>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</si>
  <si>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</si>
  <si>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幸运，魔法学徒，或者熟习</t>
    <phoneticPr fontId="68" type="noConversion"/>
  </si>
  <si>
    <t>隐匿，求生</t>
    <phoneticPr fontId="68"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</si>
  <si>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68" type="noConversion"/>
  </si>
  <si>
    <t>一个有裂缝的沙漏，一副生锈的镣铐，一个半空的玻璃瓶，一套狩猎陷阱，一套赌具（与你所选熟练项一致），一套旅行服装，以及一个装着13gp的小包</t>
    <phoneticPr fontId="68" type="noConversion"/>
  </si>
  <si>
    <t>警觉，熟习或健壮</t>
    <phoneticPr fontId="68" type="noConversion"/>
  </si>
  <si>
    <t>自定义背景</t>
  </si>
  <si>
    <t>运动，洞悉</t>
    <phoneticPr fontId="68" type="noConversion"/>
  </si>
  <si>
    <t>√</t>
    <phoneticPr fontId="68" type="noConversion"/>
  </si>
  <si>
    <r>
      <rPr>
        <sz val="11"/>
        <color theme="1"/>
        <rFont val="宋体"/>
        <family val="3"/>
        <charset val="134"/>
      </rPr>
      <t>专长</t>
    </r>
  </si>
  <si>
    <r>
      <rPr>
        <sz val="11"/>
        <color theme="1"/>
        <rFont val="宋体"/>
        <family val="3"/>
        <charset val="134"/>
      </rPr>
      <t>描述</t>
    </r>
  </si>
  <si>
    <t>12+体质调整值</t>
    <phoneticPr fontId="68" type="noConversion"/>
  </si>
  <si>
    <t>13+敏捷调整值</t>
    <phoneticPr fontId="68" type="noConversion"/>
  </si>
  <si>
    <t>火炬光下的克苏鲁</t>
  </si>
  <si>
    <t>象族</t>
  </si>
  <si>
    <t>析米克混生体</t>
  </si>
  <si>
    <t>维多肯</t>
  </si>
  <si>
    <t>战俑</t>
  </si>
  <si>
    <t>离梦人</t>
  </si>
  <si>
    <t>佛丹人</t>
  </si>
  <si>
    <t>狮族</t>
  </si>
  <si>
    <t>枭人</t>
  </si>
  <si>
    <t>鸟羽人</t>
  </si>
  <si>
    <t>熊地精</t>
  </si>
  <si>
    <t>人马</t>
  </si>
  <si>
    <t>幻身灵</t>
  </si>
  <si>
    <t>地底侏儒</t>
  </si>
  <si>
    <t>灰矮人</t>
  </si>
  <si>
    <t>雅灵</t>
  </si>
  <si>
    <t>仙灵</t>
  </si>
  <si>
    <t>费尔伯格人</t>
  </si>
  <si>
    <t>元素裔</t>
  </si>
  <si>
    <t>气元素裔</t>
  </si>
  <si>
    <t>土元素裔</t>
  </si>
  <si>
    <t>火元素裔</t>
  </si>
  <si>
    <t>水元素裔</t>
  </si>
  <si>
    <t>吉斯洋基人</t>
  </si>
  <si>
    <t>吉斯泽莱人</t>
  </si>
  <si>
    <t>地精</t>
  </si>
  <si>
    <t>兔人</t>
  </si>
  <si>
    <t>大地精</t>
  </si>
  <si>
    <t>天狗</t>
  </si>
  <si>
    <t>狗头人</t>
  </si>
  <si>
    <t>蜥蜴人</t>
  </si>
  <si>
    <t>牛头人</t>
  </si>
  <si>
    <t>半羊人</t>
  </si>
  <si>
    <t>海精灵</t>
  </si>
  <si>
    <t>影灵</t>
  </si>
  <si>
    <t>化兽者</t>
  </si>
  <si>
    <t>兽皮</t>
  </si>
  <si>
    <t>长牙</t>
  </si>
  <si>
    <t>迅捷</t>
  </si>
  <si>
    <t>猎食</t>
  </si>
  <si>
    <t>斑猫人</t>
  </si>
  <si>
    <t>龟人</t>
  </si>
  <si>
    <t>梭螺鱼人</t>
  </si>
  <si>
    <t>原体蛇人</t>
  </si>
  <si>
    <t>星界精灵</t>
  </si>
  <si>
    <t>自动侏儒</t>
  </si>
  <si>
    <t>诘弗人</t>
  </si>
  <si>
    <t>鼯猴人</t>
  </si>
  <si>
    <t>流浆体</t>
  </si>
  <si>
    <t>螳螂人</t>
  </si>
  <si>
    <t>类人</t>
    <phoneticPr fontId="68" type="noConversion"/>
  </si>
  <si>
    <t>妖精</t>
    <phoneticPr fontId="68" type="noConversion"/>
  </si>
  <si>
    <t>40尺</t>
  </si>
  <si>
    <t>你是类人生物。如果有任何前提或效果需要你作为一个侏儒（Gnome），你也被视作侏儒。</t>
  </si>
  <si>
    <t>你是类人生物。如果有任何前提或效果需要你作为一个矮人（Dwarf），你也被视作矮人。</t>
  </si>
  <si>
    <t>你是类人生物。如果有任何前提或效果需要你作为一个精灵（Elf），你也被视作精灵。</t>
    <phoneticPr fontId="68" type="noConversion"/>
  </si>
  <si>
    <t>异怪</t>
    <phoneticPr fontId="68" type="noConversion"/>
  </si>
  <si>
    <t>你是类人生物。如果有任何前提或效果需要你作为一个精灵（Elf），你也被视作精灵。</t>
  </si>
  <si>
    <t xml:space="preserve">你是类人生物。当任何效果的前提需要你是精灵时，你同时也被视作一位精灵。 </t>
  </si>
  <si>
    <t>构装生物</t>
    <phoneticPr fontId="68" type="noConversion"/>
  </si>
  <si>
    <t>泥怪</t>
    <phoneticPr fontId="68" type="noConversion"/>
  </si>
  <si>
    <t>怪兽</t>
    <phoneticPr fontId="68" type="noConversion"/>
  </si>
  <si>
    <t>元素裔</t>
    <phoneticPr fontId="66" type="noConversion"/>
  </si>
  <si>
    <t>气元素裔</t>
    <phoneticPr fontId="66" type="noConversion"/>
  </si>
  <si>
    <t>土元素裔</t>
    <phoneticPr fontId="66" type="noConversion"/>
  </si>
  <si>
    <t>火元素裔</t>
    <phoneticPr fontId="66" type="noConversion"/>
  </si>
  <si>
    <t>水元素裔</t>
    <phoneticPr fontId="66" type="noConversion"/>
  </si>
  <si>
    <t>地精</t>
    <phoneticPr fontId="66" type="noConversion"/>
  </si>
  <si>
    <t>兽皮</t>
    <phoneticPr fontId="68" type="noConversion"/>
  </si>
  <si>
    <t>长牙</t>
    <phoneticPr fontId="68" type="noConversion"/>
  </si>
  <si>
    <t>迅捷</t>
    <phoneticPr fontId="68" type="noConversion"/>
  </si>
  <si>
    <t>猎食</t>
    <phoneticPr fontId="68" type="noConversion"/>
  </si>
  <si>
    <t>半血裔</t>
    <phoneticPr fontId="68" type="noConversion"/>
  </si>
  <si>
    <t>象之宁静</t>
  </si>
  <si>
    <t>天生护甲</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</si>
  <si>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</si>
  <si>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</si>
  <si>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</si>
  <si>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</si>
  <si>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</si>
  <si>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</si>
  <si>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</si>
  <si>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动物强化</t>
  </si>
  <si>
    <t>蝠鲼滑翔</t>
  </si>
  <si>
    <t>灵活攀登</t>
  </si>
  <si>
    <t>水下适应</t>
  </si>
  <si>
    <t>斗殴附件</t>
  </si>
  <si>
    <t>甲壳</t>
  </si>
  <si>
    <t>酸液喷吐</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</si>
  <si>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phoneticPr fontId="68" type="noConversion"/>
  </si>
  <si>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</si>
  <si>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</si>
  <si>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</si>
  <si>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</si>
  <si>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</si>
  <si>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</si>
  <si>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</si>
  <si>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</si>
  <si>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</si>
  <si>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</si>
  <si>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</si>
  <si>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哨兵式休息</t>
  </si>
  <si>
    <t>专业设计</t>
  </si>
  <si>
    <t>你对心灵伤害具有抗性。</t>
  </si>
  <si>
    <t>黑血疗愈</t>
  </si>
  <si>
    <t>有限心灵感应</t>
  </si>
  <si>
    <t>说服力</t>
  </si>
  <si>
    <t>心灵感应洞悉</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</si>
  <si>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</si>
  <si>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</si>
  <si>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</si>
  <si>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</si>
  <si>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</si>
  <si>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</si>
  <si>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</si>
  <si>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</si>
  <si>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</si>
  <si>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</si>
  <si>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飞行</t>
  </si>
  <si>
    <t>无声羽毛</t>
  </si>
  <si>
    <t>得益于你的翅膀，你拥有等同于你步行速度的飞行速度。当你穿着中甲或重甲时，你无法使用该飞行速度。</t>
  </si>
  <si>
    <t>你拥有隐匿技能的熟练项。</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</si>
  <si>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</si>
  <si>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</si>
  <si>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</si>
  <si>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</si>
  <si>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</si>
  <si>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妖精血统</t>
  </si>
  <si>
    <t>长肢</t>
  </si>
  <si>
    <t>隐秘</t>
  </si>
  <si>
    <t>突袭攻击</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</si>
  <si>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</si>
  <si>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</si>
  <si>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</si>
  <si>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</si>
  <si>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</si>
  <si>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</si>
  <si>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</si>
  <si>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</si>
  <si>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</si>
  <si>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</si>
  <si>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</si>
  <si>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</si>
  <si>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</si>
  <si>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斯涅布力赠礼</t>
  </si>
  <si>
    <t>侏儒魔法抗性</t>
  </si>
  <si>
    <t>斯涅布力伪装</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</si>
  <si>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</si>
  <si>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</si>
  <si>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</si>
  <si>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灰矮人魔法</t>
  </si>
  <si>
    <t>矮人抗性</t>
  </si>
  <si>
    <t>灵能坚韧</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</si>
  <si>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</si>
  <si>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</si>
  <si>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</si>
  <si>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妖精步</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</si>
  <si>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</si>
  <si>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</si>
  <si>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</si>
  <si>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仙灵魔法</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</si>
  <si>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</si>
  <si>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</si>
  <si>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费尔伯格人魔法</t>
  </si>
  <si>
    <t>神隐步</t>
  </si>
  <si>
    <t>兽与叶之语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</si>
  <si>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</si>
  <si>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</si>
  <si>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</si>
  <si>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魔息</t>
  </si>
  <si>
    <t>闪电抗性</t>
  </si>
  <si>
    <t>融入清风</t>
  </si>
  <si>
    <t>土行</t>
  </si>
  <si>
    <t>混入大地</t>
  </si>
  <si>
    <t>火焰抗性</t>
  </si>
  <si>
    <t>烈焰之触</t>
  </si>
  <si>
    <t>强酸抗性</t>
  </si>
  <si>
    <t>水陆两栖</t>
  </si>
  <si>
    <t>呼唤波浪</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</si>
  <si>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</si>
  <si>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</si>
  <si>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</si>
  <si>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</si>
  <si>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</si>
  <si>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</si>
  <si>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</si>
  <si>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</si>
  <si>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</si>
  <si>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</si>
  <si>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星界知识</t>
  </si>
  <si>
    <t>吉斯洋基灵能</t>
  </si>
  <si>
    <t>心灵抗性</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</si>
  <si>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</si>
  <si>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</si>
  <si>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</si>
  <si>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吉斯泽莱灵能</t>
  </si>
  <si>
    <t>精神灵术</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</si>
  <si>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</si>
  <si>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</si>
  <si>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小型生物的怒火</t>
  </si>
  <si>
    <t>迅捷逃生</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</si>
  <si>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</si>
  <si>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</si>
  <si>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</si>
  <si>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</si>
  <si>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</si>
  <si>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</si>
  <si>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</si>
  <si>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</si>
  <si>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</si>
  <si>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妖精赠礼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</si>
  <si>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</si>
  <si>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</si>
  <si>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</si>
  <si>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</si>
  <si>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</si>
  <si>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</si>
  <si>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</si>
  <si>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</si>
  <si>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</si>
  <si>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龙吼</t>
  </si>
  <si>
    <t>狡猾</t>
  </si>
  <si>
    <t>反抗</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</si>
  <si>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</si>
  <si>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</si>
  <si>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</si>
  <si>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</si>
  <si>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啃咬</t>
  </si>
  <si>
    <t>屏息</t>
  </si>
  <si>
    <t>饥渴之喉</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</si>
  <si>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</si>
  <si>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</si>
  <si>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</si>
  <si>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</si>
  <si>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</si>
  <si>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</si>
  <si>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</si>
  <si>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</si>
  <si>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</si>
  <si>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</si>
  <si>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</si>
  <si>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</si>
  <si>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</si>
  <si>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</si>
  <si>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顶撞</t>
  </si>
  <si>
    <t>魔法抗性</t>
  </si>
  <si>
    <t>欢喜之跃</t>
  </si>
  <si>
    <t>贪欢者</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</si>
  <si>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</si>
  <si>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</si>
  <si>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</si>
  <si>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</si>
  <si>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海之子</t>
  </si>
  <si>
    <t>海之友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</si>
  <si>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</si>
  <si>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</si>
  <si>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</si>
  <si>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鸦后的祝福</t>
  </si>
  <si>
    <t>暗蚀抗性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</si>
  <si>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</si>
  <si>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</si>
  <si>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由于和内在兽性的联系，你拥有以下一项自选技能的熟练项：特技，运动，威吓，或求生。</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</si>
  <si>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</si>
  <si>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</si>
  <si>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</si>
  <si>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</si>
  <si>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</si>
  <si>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</si>
  <si>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利爪</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</si>
  <si>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</si>
  <si>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</si>
  <si>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</si>
  <si>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</si>
  <si>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</si>
  <si>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</si>
  <si>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</si>
  <si>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</si>
  <si>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</si>
  <si>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</si>
  <si>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</si>
  <si>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</si>
  <si>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</si>
  <si>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</si>
  <si>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毒素抗性</t>
  </si>
  <si>
    <t>毒蛇魔法</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</si>
  <si>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</si>
  <si>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</si>
  <si>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星界之火</t>
  </si>
  <si>
    <t>星光步</t>
  </si>
  <si>
    <t>星界出神</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</si>
  <si>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</si>
  <si>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</si>
  <si>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</si>
  <si>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</si>
  <si>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</si>
  <si>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</si>
  <si>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</si>
  <si>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</si>
  <si>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</si>
  <si>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</si>
  <si>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</si>
  <si>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</si>
  <si>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</si>
  <si>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</si>
  <si>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</si>
  <si>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</si>
  <si>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</si>
  <si>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</si>
  <si>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</si>
  <si>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</si>
  <si>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</si>
  <si>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</si>
  <si>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</si>
  <si>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</si>
  <si>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</si>
  <si>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</si>
  <si>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</si>
  <si>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</si>
  <si>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</si>
  <si>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</si>
  <si>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</si>
  <si>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</si>
  <si>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</si>
  <si>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</si>
  <si>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</si>
  <si>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</si>
  <si>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</si>
  <si>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</si>
  <si>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</si>
  <si>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</si>
  <si>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</si>
  <si>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先祖遗赠</t>
  </si>
  <si>
    <t>亡灵本质</t>
  </si>
  <si>
    <t>蛛行</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</si>
  <si>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</si>
  <si>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</si>
  <si>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</si>
  <si>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</si>
  <si>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</si>
  <si>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</si>
  <si>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</si>
  <si>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</si>
  <si>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</si>
  <si>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</si>
  <si>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</si>
  <si>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</si>
  <si>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</si>
  <si>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</si>
  <si>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</si>
  <si>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</si>
  <si>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</si>
  <si>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种族备选</t>
    <phoneticPr fontId="68" type="noConversion"/>
  </si>
  <si>
    <t>CBT</t>
    <phoneticPr fontId="68" type="noConversion"/>
  </si>
  <si>
    <r>
      <rPr>
        <sz val="10"/>
        <color theme="1"/>
        <rFont val="宋体"/>
        <family val="3"/>
        <charset val="134"/>
      </rPr>
      <t>主职业</t>
    </r>
  </si>
  <si>
    <r>
      <rPr>
        <sz val="10"/>
        <color theme="1"/>
        <rFont val="宋体"/>
        <family val="3"/>
        <charset val="134"/>
      </rPr>
      <t>筛选</t>
    </r>
    <phoneticPr fontId="68" type="noConversion"/>
  </si>
  <si>
    <r>
      <rPr>
        <sz val="10"/>
        <color theme="1"/>
        <rFont val="宋体"/>
        <family val="3"/>
        <charset val="134"/>
      </rPr>
      <t>兼职</t>
    </r>
    <r>
      <rPr>
        <sz val="10"/>
        <color theme="1"/>
        <rFont val="Times New Roman"/>
        <family val="1"/>
      </rPr>
      <t>1</t>
    </r>
  </si>
  <si>
    <r>
      <rPr>
        <sz val="10"/>
        <color theme="1"/>
        <rFont val="宋体"/>
        <family val="3"/>
        <charset val="134"/>
      </rPr>
      <t>兼职</t>
    </r>
    <r>
      <rPr>
        <sz val="10"/>
        <color theme="1"/>
        <rFont val="Times New Roman"/>
        <family val="1"/>
      </rPr>
      <t>2</t>
    </r>
  </si>
  <si>
    <r>
      <rPr>
        <sz val="10"/>
        <color theme="1"/>
        <rFont val="宋体"/>
        <family val="3"/>
        <charset val="134"/>
      </rPr>
      <t>筛选</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</si>
  <si>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</si>
  <si>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</si>
  <si>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</si>
  <si>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</si>
  <si>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</si>
  <si>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</si>
  <si>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</si>
  <si>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</si>
  <si>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</si>
  <si>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t>1</t>
    </r>
    <r>
      <rPr>
        <sz val="11"/>
        <color theme="1"/>
        <rFont val="宋体"/>
        <family val="3"/>
        <charset val="134"/>
      </rPr>
      <t>环</t>
    </r>
  </si>
  <si>
    <r>
      <t>2</t>
    </r>
    <r>
      <rPr>
        <sz val="11"/>
        <color theme="1"/>
        <rFont val="宋体"/>
        <family val="3"/>
        <charset val="134"/>
      </rPr>
      <t>环</t>
    </r>
  </si>
  <si>
    <r>
      <t>3</t>
    </r>
    <r>
      <rPr>
        <sz val="11"/>
        <color theme="1"/>
        <rFont val="宋体"/>
        <family val="3"/>
        <charset val="134"/>
      </rPr>
      <t>环</t>
    </r>
  </si>
  <si>
    <r>
      <t>4</t>
    </r>
    <r>
      <rPr>
        <sz val="11"/>
        <color theme="1"/>
        <rFont val="宋体"/>
        <family val="3"/>
        <charset val="134"/>
      </rPr>
      <t>环</t>
    </r>
  </si>
  <si>
    <r>
      <t>5</t>
    </r>
    <r>
      <rPr>
        <sz val="11"/>
        <color theme="1"/>
        <rFont val="宋体"/>
        <family val="3"/>
        <charset val="134"/>
      </rPr>
      <t>环</t>
    </r>
  </si>
  <si>
    <r>
      <t>6</t>
    </r>
    <r>
      <rPr>
        <sz val="11"/>
        <color theme="1"/>
        <rFont val="宋体"/>
        <family val="3"/>
        <charset val="134"/>
      </rPr>
      <t>环</t>
    </r>
  </si>
  <si>
    <r>
      <t>7</t>
    </r>
    <r>
      <rPr>
        <sz val="11"/>
        <color theme="1"/>
        <rFont val="宋体"/>
        <family val="3"/>
        <charset val="134"/>
      </rPr>
      <t>环</t>
    </r>
  </si>
  <si>
    <r>
      <t>8</t>
    </r>
    <r>
      <rPr>
        <sz val="11"/>
        <color theme="1"/>
        <rFont val="宋体"/>
        <family val="3"/>
        <charset val="134"/>
      </rPr>
      <t>环</t>
    </r>
  </si>
  <si>
    <r>
      <t>9</t>
    </r>
    <r>
      <rPr>
        <sz val="11"/>
        <color theme="1"/>
        <rFont val="宋体"/>
        <family val="3"/>
        <charset val="134"/>
      </rPr>
      <t>环</t>
    </r>
  </si>
  <si>
    <r>
      <rPr>
        <sz val="11"/>
        <color theme="1"/>
        <rFont val="宋体"/>
        <family val="3"/>
        <charset val="134"/>
      </rPr>
      <t>法术值</t>
    </r>
  </si>
  <si>
    <r>
      <rPr>
        <sz val="10"/>
        <color theme="1"/>
        <rFont val="宋体"/>
        <family val="3"/>
        <charset val="134"/>
      </rPr>
      <t>名称</t>
    </r>
  </si>
  <si>
    <r>
      <rPr>
        <sz val="10"/>
        <color theme="1"/>
        <rFont val="宋体"/>
        <family val="3"/>
        <charset val="134"/>
      </rPr>
      <t>描述</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</si>
  <si>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</si>
  <si>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</si>
  <si>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</si>
  <si>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</si>
  <si>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</si>
  <si>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</si>
  <si>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r>
      <rPr>
        <sz val="10"/>
        <color theme="1"/>
        <rFont val="宋体"/>
        <family val="3"/>
        <charset val="134"/>
      </rPr>
      <t>野蛮人</t>
    </r>
  </si>
  <si>
    <r>
      <rPr>
        <sz val="10"/>
        <color theme="1"/>
        <rFont val="宋体"/>
        <family val="3"/>
        <charset val="134"/>
      </rPr>
      <t>狂战士道途</t>
    </r>
  </si>
  <si>
    <r>
      <rPr>
        <sz val="10"/>
        <color theme="1"/>
        <rFont val="宋体"/>
        <family val="3"/>
        <charset val="134"/>
      </rPr>
      <t>兽心道途</t>
    </r>
  </si>
  <si>
    <r>
      <rPr>
        <sz val="10"/>
        <color theme="1"/>
        <rFont val="宋体"/>
        <family val="3"/>
        <charset val="134"/>
      </rPr>
      <t>世界树道途</t>
    </r>
  </si>
  <si>
    <r>
      <rPr>
        <sz val="10"/>
        <color theme="1"/>
        <rFont val="宋体"/>
        <family val="3"/>
        <charset val="134"/>
      </rPr>
      <t>狂热者道途</t>
    </r>
  </si>
  <si>
    <r>
      <rPr>
        <sz val="11"/>
        <rFont val="宋体"/>
        <family val="3"/>
        <charset val="134"/>
      </rPr>
      <t>术士</t>
    </r>
  </si>
  <si>
    <r>
      <rPr>
        <sz val="10"/>
        <color theme="1"/>
        <rFont val="宋体"/>
        <family val="3"/>
        <charset val="134"/>
      </rPr>
      <t>吟游诗人</t>
    </r>
  </si>
  <si>
    <r>
      <rPr>
        <sz val="10"/>
        <color theme="1"/>
        <rFont val="宋体"/>
        <family val="3"/>
        <charset val="134"/>
      </rPr>
      <t>舞蹈学院</t>
    </r>
  </si>
  <si>
    <r>
      <rPr>
        <sz val="10"/>
        <color theme="1"/>
        <rFont val="宋体"/>
        <family val="3"/>
        <charset val="134"/>
      </rPr>
      <t>魅心学院</t>
    </r>
  </si>
  <si>
    <r>
      <rPr>
        <sz val="10"/>
        <color theme="1"/>
        <rFont val="宋体"/>
        <family val="3"/>
        <charset val="134"/>
      </rPr>
      <t>逸闻学院</t>
    </r>
  </si>
  <si>
    <r>
      <rPr>
        <sz val="10"/>
        <color theme="1"/>
        <rFont val="宋体"/>
        <family val="3"/>
        <charset val="134"/>
      </rPr>
      <t>勇气学院</t>
    </r>
  </si>
  <si>
    <r>
      <rPr>
        <sz val="11"/>
        <rFont val="宋体"/>
        <family val="3"/>
        <charset val="134"/>
      </rPr>
      <t>灵能使</t>
    </r>
    <phoneticPr fontId="68" type="noConversion"/>
  </si>
  <si>
    <r>
      <rPr>
        <sz val="10"/>
        <color theme="1"/>
        <rFont val="宋体"/>
        <family val="3"/>
        <charset val="134"/>
      </rPr>
      <t>牧师</t>
    </r>
  </si>
  <si>
    <r>
      <rPr>
        <sz val="10"/>
        <color theme="1"/>
        <rFont val="宋体"/>
        <family val="3"/>
        <charset val="134"/>
      </rPr>
      <t>生命领域</t>
    </r>
  </si>
  <si>
    <r>
      <rPr>
        <sz val="10"/>
        <color theme="1"/>
        <rFont val="宋体"/>
        <family val="3"/>
        <charset val="134"/>
      </rPr>
      <t>光明领域</t>
    </r>
  </si>
  <si>
    <r>
      <rPr>
        <sz val="10"/>
        <color theme="1"/>
        <rFont val="宋体"/>
        <family val="3"/>
        <charset val="134"/>
      </rPr>
      <t>诡术领域</t>
    </r>
  </si>
  <si>
    <r>
      <rPr>
        <sz val="10"/>
        <color theme="1"/>
        <rFont val="宋体"/>
        <family val="3"/>
        <charset val="134"/>
      </rPr>
      <t>战争领域</t>
    </r>
  </si>
  <si>
    <r>
      <rPr>
        <sz val="11"/>
        <rFont val="宋体"/>
        <family val="3"/>
        <charset val="134"/>
      </rPr>
      <t>吟游诗人</t>
    </r>
  </si>
  <si>
    <r>
      <rPr>
        <sz val="10"/>
        <color theme="1"/>
        <rFont val="宋体"/>
        <family val="3"/>
        <charset val="134"/>
      </rPr>
      <t>德鲁伊</t>
    </r>
  </si>
  <si>
    <r>
      <rPr>
        <sz val="10"/>
        <color theme="1"/>
        <rFont val="宋体"/>
        <family val="3"/>
        <charset val="134"/>
      </rPr>
      <t>增值</t>
    </r>
  </si>
  <si>
    <r>
      <rPr>
        <sz val="10"/>
        <color theme="1"/>
        <rFont val="宋体"/>
        <family val="3"/>
        <charset val="134"/>
      </rPr>
      <t>大地结社</t>
    </r>
  </si>
  <si>
    <r>
      <rPr>
        <sz val="10"/>
        <color theme="1"/>
        <rFont val="宋体"/>
        <family val="3"/>
        <charset val="134"/>
      </rPr>
      <t>月亮结社</t>
    </r>
  </si>
  <si>
    <r>
      <rPr>
        <sz val="10"/>
        <color theme="1"/>
        <rFont val="宋体"/>
        <family val="3"/>
        <charset val="134"/>
      </rPr>
      <t>海洋结社</t>
    </r>
  </si>
  <si>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</si>
  <si>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</si>
  <si>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</si>
  <si>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宋体"/>
        <family val="3"/>
        <charset val="134"/>
      </rPr>
      <t>战士</t>
    </r>
  </si>
  <si>
    <r>
      <rPr>
        <sz val="10"/>
        <color theme="1"/>
        <rFont val="宋体"/>
        <family val="3"/>
        <charset val="134"/>
      </rPr>
      <t>奥法骑士</t>
    </r>
  </si>
  <si>
    <r>
      <rPr>
        <sz val="10"/>
        <color theme="1"/>
        <rFont val="宋体"/>
        <family val="3"/>
        <charset val="134"/>
      </rPr>
      <t>战斗大师</t>
    </r>
  </si>
  <si>
    <r>
      <rPr>
        <sz val="10"/>
        <color theme="1"/>
        <rFont val="宋体"/>
        <family val="3"/>
        <charset val="134"/>
      </rPr>
      <t>勇士</t>
    </r>
  </si>
  <si>
    <r>
      <rPr>
        <sz val="10"/>
        <color theme="1"/>
        <rFont val="宋体"/>
        <family val="3"/>
        <charset val="134"/>
      </rPr>
      <t>灵能武士</t>
    </r>
  </si>
  <si>
    <r>
      <rPr>
        <sz val="11"/>
        <rFont val="宋体"/>
        <family val="3"/>
        <charset val="134"/>
      </rPr>
      <t>德鲁伊</t>
    </r>
  </si>
  <si>
    <r>
      <rPr>
        <sz val="11"/>
        <color rgb="FF00B050"/>
        <rFont val="宋体"/>
        <family val="3"/>
        <charset val="134"/>
      </rPr>
      <t>首级</t>
    </r>
  </si>
  <si>
    <r>
      <rPr>
        <sz val="10"/>
        <color theme="1"/>
        <rFont val="宋体"/>
        <family val="3"/>
        <charset val="134"/>
      </rPr>
      <t>武僧</t>
    </r>
  </si>
  <si>
    <r>
      <rPr>
        <sz val="10"/>
        <color theme="1"/>
        <rFont val="宋体"/>
        <family val="3"/>
        <charset val="134"/>
      </rPr>
      <t>诡术师</t>
    </r>
  </si>
  <si>
    <r>
      <rPr>
        <sz val="10"/>
        <color theme="1"/>
        <rFont val="宋体"/>
        <family val="3"/>
        <charset val="134"/>
      </rPr>
      <t>命流武者</t>
    </r>
  </si>
  <si>
    <r>
      <rPr>
        <sz val="10"/>
        <color theme="1"/>
        <rFont val="宋体"/>
        <family val="3"/>
        <charset val="134"/>
      </rPr>
      <t>暗影武者</t>
    </r>
  </si>
  <si>
    <r>
      <rPr>
        <sz val="10"/>
        <color theme="1"/>
        <rFont val="宋体"/>
        <family val="3"/>
        <charset val="134"/>
      </rPr>
      <t>四象武者</t>
    </r>
  </si>
  <si>
    <r>
      <rPr>
        <sz val="10"/>
        <color theme="1"/>
        <rFont val="宋体"/>
        <family val="3"/>
        <charset val="134"/>
      </rPr>
      <t>散打武者</t>
    </r>
  </si>
  <si>
    <r>
      <rPr>
        <sz val="11"/>
        <rFont val="宋体"/>
        <family val="3"/>
        <charset val="134"/>
      </rPr>
      <t>武僧</t>
    </r>
  </si>
  <si>
    <r>
      <rPr>
        <sz val="10"/>
        <color theme="1"/>
        <rFont val="宋体"/>
        <family val="3"/>
        <charset val="134"/>
      </rPr>
      <t>圣武士</t>
    </r>
  </si>
  <si>
    <r>
      <rPr>
        <sz val="10"/>
        <color theme="1"/>
        <rFont val="宋体"/>
        <family val="3"/>
        <charset val="134"/>
      </rPr>
      <t>奉献之誓</t>
    </r>
  </si>
  <si>
    <r>
      <rPr>
        <sz val="10"/>
        <color theme="1"/>
        <rFont val="宋体"/>
        <family val="3"/>
        <charset val="134"/>
      </rPr>
      <t>荣耀之誓</t>
    </r>
  </si>
  <si>
    <r>
      <rPr>
        <sz val="10"/>
        <color theme="1"/>
        <rFont val="宋体"/>
        <family val="3"/>
        <charset val="134"/>
      </rPr>
      <t>古贤之誓</t>
    </r>
  </si>
  <si>
    <r>
      <rPr>
        <sz val="10"/>
        <color theme="1"/>
        <rFont val="宋体"/>
        <family val="3"/>
        <charset val="134"/>
      </rPr>
      <t>复仇之誓</t>
    </r>
  </si>
  <si>
    <r>
      <rPr>
        <sz val="11"/>
        <rFont val="宋体"/>
        <family val="3"/>
        <charset val="134"/>
      </rPr>
      <t>游荡者</t>
    </r>
  </si>
  <si>
    <r>
      <rPr>
        <sz val="10"/>
        <color theme="1"/>
        <rFont val="宋体"/>
        <family val="3"/>
        <charset val="134"/>
      </rPr>
      <t>全施法者</t>
    </r>
    <phoneticPr fontId="68" type="noConversion"/>
  </si>
  <si>
    <r>
      <rPr>
        <sz val="10"/>
        <color theme="1"/>
        <rFont val="宋体"/>
        <family val="3"/>
        <charset val="134"/>
      </rPr>
      <t>游侠</t>
    </r>
  </si>
  <si>
    <r>
      <rPr>
        <sz val="10"/>
        <color theme="1"/>
        <rFont val="宋体"/>
        <family val="3"/>
        <charset val="134"/>
      </rPr>
      <t>驯兽师</t>
    </r>
  </si>
  <si>
    <r>
      <rPr>
        <sz val="10"/>
        <color theme="1"/>
        <rFont val="宋体"/>
        <family val="3"/>
        <charset val="134"/>
      </rPr>
      <t>妖精漫游者</t>
    </r>
  </si>
  <si>
    <r>
      <rPr>
        <sz val="10"/>
        <color theme="1"/>
        <rFont val="宋体"/>
        <family val="3"/>
        <charset val="134"/>
      </rPr>
      <t>幽域追踪者</t>
    </r>
  </si>
  <si>
    <r>
      <rPr>
        <sz val="10"/>
        <color theme="1"/>
        <rFont val="宋体"/>
        <family val="3"/>
        <charset val="134"/>
      </rPr>
      <t>猎人</t>
    </r>
  </si>
  <si>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</si>
  <si>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</si>
  <si>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</si>
  <si>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r>
      <rPr>
        <sz val="10"/>
        <color theme="1"/>
        <rFont val="宋体"/>
        <family val="3"/>
        <charset val="134"/>
      </rPr>
      <t>刺客</t>
    </r>
  </si>
  <si>
    <r>
      <rPr>
        <sz val="10"/>
        <color theme="1"/>
        <rFont val="宋体"/>
        <family val="3"/>
        <charset val="134"/>
      </rPr>
      <t>魂刃</t>
    </r>
  </si>
  <si>
    <r>
      <rPr>
        <sz val="10"/>
        <color theme="1"/>
        <rFont val="宋体"/>
        <family val="3"/>
        <charset val="134"/>
      </rPr>
      <t>盗贼</t>
    </r>
  </si>
  <si>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</si>
  <si>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</si>
  <si>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术士</t>
    </r>
  </si>
  <si>
    <r>
      <rPr>
        <sz val="10"/>
        <color theme="1"/>
        <rFont val="宋体"/>
        <family val="3"/>
        <charset val="134"/>
      </rPr>
      <t>畸变术法</t>
    </r>
  </si>
  <si>
    <r>
      <rPr>
        <sz val="10"/>
        <color theme="1"/>
        <rFont val="宋体"/>
        <family val="3"/>
        <charset val="134"/>
      </rPr>
      <t>时械术法</t>
    </r>
  </si>
  <si>
    <r>
      <rPr>
        <sz val="10"/>
        <color theme="1"/>
        <rFont val="宋体"/>
        <family val="3"/>
        <charset val="134"/>
      </rPr>
      <t>龙族术法</t>
    </r>
  </si>
  <si>
    <r>
      <rPr>
        <sz val="10"/>
        <color theme="1"/>
        <rFont val="宋体"/>
        <family val="3"/>
        <charset val="134"/>
      </rPr>
      <t>狂野术法</t>
    </r>
  </si>
  <si>
    <r>
      <rPr>
        <sz val="11"/>
        <rFont val="宋体"/>
        <family val="3"/>
        <charset val="134"/>
      </rPr>
      <t>战士</t>
    </r>
  </si>
  <si>
    <r>
      <t>1</t>
    </r>
    <r>
      <rPr>
        <sz val="10"/>
        <color theme="1"/>
        <rFont val="宋体"/>
        <family val="3"/>
        <charset val="134"/>
      </rPr>
      <t>环</t>
    </r>
  </si>
  <si>
    <r>
      <rPr>
        <sz val="10"/>
        <color theme="1"/>
        <rFont val="宋体"/>
        <family val="3"/>
        <charset val="134"/>
      </rPr>
      <t>魔契师</t>
    </r>
  </si>
  <si>
    <r>
      <rPr>
        <sz val="10"/>
        <color theme="1"/>
        <rFont val="宋体"/>
        <family val="3"/>
        <charset val="134"/>
      </rPr>
      <t>至高妖精宗主</t>
    </r>
  </si>
  <si>
    <r>
      <rPr>
        <sz val="10"/>
        <color theme="1"/>
        <rFont val="宋体"/>
        <family val="3"/>
        <charset val="134"/>
      </rPr>
      <t>天界宗主</t>
    </r>
  </si>
  <si>
    <r>
      <rPr>
        <sz val="10"/>
        <color theme="1"/>
        <rFont val="宋体"/>
        <family val="3"/>
        <charset val="134"/>
      </rPr>
      <t>邪魔宗主</t>
    </r>
  </si>
  <si>
    <r>
      <rPr>
        <sz val="10"/>
        <color theme="1"/>
        <rFont val="宋体"/>
        <family val="3"/>
        <charset val="134"/>
      </rPr>
      <t>旧日支配者宗主</t>
    </r>
  </si>
  <si>
    <r>
      <rPr>
        <sz val="11"/>
        <rFont val="宋体"/>
        <family val="3"/>
        <charset val="134"/>
      </rPr>
      <t>圣武士</t>
    </r>
  </si>
  <si>
    <r>
      <t>2</t>
    </r>
    <r>
      <rPr>
        <sz val="10"/>
        <color theme="1"/>
        <rFont val="宋体"/>
        <family val="3"/>
        <charset val="134"/>
      </rPr>
      <t>环</t>
    </r>
  </si>
  <si>
    <r>
      <rPr>
        <sz val="10"/>
        <color theme="1"/>
        <rFont val="宋体"/>
        <family val="3"/>
        <charset val="134"/>
      </rPr>
      <t>法师</t>
    </r>
    <phoneticPr fontId="68" type="noConversion"/>
  </si>
  <si>
    <r>
      <rPr>
        <sz val="10"/>
        <color theme="1"/>
        <rFont val="宋体"/>
        <family val="3"/>
        <charset val="134"/>
      </rPr>
      <t>法师</t>
    </r>
  </si>
  <si>
    <r>
      <rPr>
        <sz val="10"/>
        <color theme="1"/>
        <rFont val="宋体"/>
        <family val="3"/>
        <charset val="134"/>
      </rPr>
      <t>防护师</t>
    </r>
  </si>
  <si>
    <r>
      <rPr>
        <sz val="10"/>
        <color theme="1"/>
        <rFont val="宋体"/>
        <family val="3"/>
        <charset val="134"/>
      </rPr>
      <t>预言师</t>
    </r>
  </si>
  <si>
    <r>
      <rPr>
        <sz val="10"/>
        <color theme="1"/>
        <rFont val="宋体"/>
        <family val="3"/>
        <charset val="134"/>
      </rPr>
      <t>塑能师</t>
    </r>
  </si>
  <si>
    <r>
      <rPr>
        <sz val="10"/>
        <color theme="1"/>
        <rFont val="宋体"/>
        <family val="3"/>
        <charset val="134"/>
      </rPr>
      <t>幻术师</t>
    </r>
  </si>
  <si>
    <r>
      <rPr>
        <sz val="11"/>
        <rFont val="宋体"/>
        <family val="3"/>
        <charset val="134"/>
      </rPr>
      <t>游侠</t>
    </r>
  </si>
  <si>
    <r>
      <t>3</t>
    </r>
    <r>
      <rPr>
        <sz val="10"/>
        <color theme="1"/>
        <rFont val="宋体"/>
        <family val="3"/>
        <charset val="134"/>
      </rPr>
      <t>环</t>
    </r>
  </si>
  <si>
    <r>
      <rPr>
        <sz val="10"/>
        <color theme="1"/>
        <rFont val="宋体"/>
        <family val="3"/>
        <charset val="134"/>
      </rPr>
      <t>奇械师</t>
    </r>
    <phoneticPr fontId="68" type="noConversion"/>
  </si>
  <si>
    <r>
      <rPr>
        <sz val="10"/>
        <color theme="1"/>
        <rFont val="宋体"/>
        <family val="3"/>
        <charset val="134"/>
      </rPr>
      <t>炼金师</t>
    </r>
  </si>
  <si>
    <r>
      <rPr>
        <sz val="11"/>
        <rFont val="宋体"/>
        <family val="3"/>
        <charset val="134"/>
      </rPr>
      <t>野蛮人</t>
    </r>
  </si>
  <si>
    <r>
      <t>4</t>
    </r>
    <r>
      <rPr>
        <sz val="10"/>
        <color theme="1"/>
        <rFont val="宋体"/>
        <family val="3"/>
        <charset val="134"/>
      </rPr>
      <t>环</t>
    </r>
  </si>
  <si>
    <r>
      <rPr>
        <sz val="10"/>
        <color theme="1"/>
        <rFont val="宋体"/>
        <family val="3"/>
        <charset val="134"/>
      </rPr>
      <t>灵能使</t>
    </r>
    <phoneticPr fontId="68" type="noConversion"/>
  </si>
  <si>
    <r>
      <rPr>
        <sz val="10"/>
        <color theme="1"/>
        <rFont val="宋体"/>
        <family val="3"/>
        <charset val="134"/>
      </rPr>
      <t>最小数据</t>
    </r>
  </si>
  <si>
    <r>
      <rPr>
        <sz val="10"/>
        <color theme="1"/>
        <rFont val="宋体"/>
        <family val="3"/>
        <charset val="134"/>
      </rPr>
      <t>最大数据</t>
    </r>
  </si>
  <si>
    <r>
      <rPr>
        <sz val="10"/>
        <color theme="1"/>
        <rFont val="宋体"/>
        <family val="3"/>
        <charset val="134"/>
      </rPr>
      <t>蜕变使</t>
    </r>
  </si>
  <si>
    <r>
      <rPr>
        <sz val="10"/>
        <color theme="1"/>
        <rFont val="宋体"/>
        <family val="3"/>
        <charset val="134"/>
      </rPr>
      <t>念动使</t>
    </r>
  </si>
  <si>
    <r>
      <rPr>
        <sz val="10"/>
        <color theme="1"/>
        <rFont val="宋体"/>
        <family val="3"/>
        <charset val="134"/>
      </rPr>
      <t>传心使</t>
    </r>
  </si>
  <si>
    <r>
      <t>5</t>
    </r>
    <r>
      <rPr>
        <sz val="10"/>
        <color theme="1"/>
        <rFont val="宋体"/>
        <family val="3"/>
        <charset val="134"/>
      </rPr>
      <t>环</t>
    </r>
  </si>
  <si>
    <r>
      <t>6</t>
    </r>
    <r>
      <rPr>
        <sz val="10"/>
        <color theme="1"/>
        <rFont val="宋体"/>
        <family val="3"/>
        <charset val="134"/>
      </rPr>
      <t>环</t>
    </r>
  </si>
  <si>
    <r>
      <t>7</t>
    </r>
    <r>
      <rPr>
        <sz val="10"/>
        <color theme="1"/>
        <rFont val="宋体"/>
        <family val="3"/>
        <charset val="134"/>
      </rPr>
      <t>环</t>
    </r>
  </si>
  <si>
    <r>
      <t>8</t>
    </r>
    <r>
      <rPr>
        <sz val="10"/>
        <color theme="1"/>
        <rFont val="宋体"/>
        <family val="3"/>
        <charset val="134"/>
      </rPr>
      <t>环</t>
    </r>
  </si>
  <si>
    <r>
      <t>9</t>
    </r>
    <r>
      <rPr>
        <sz val="10"/>
        <color theme="1"/>
        <rFont val="宋体"/>
        <family val="3"/>
        <charset val="134"/>
      </rPr>
      <t>环</t>
    </r>
  </si>
  <si>
    <r>
      <rPr>
        <sz val="10"/>
        <color theme="1"/>
        <rFont val="宋体"/>
        <family val="3"/>
        <charset val="134"/>
      </rPr>
      <t>法术值</t>
    </r>
  </si>
  <si>
    <r>
      <rPr>
        <sz val="10"/>
        <color theme="1"/>
        <rFont val="宋体"/>
        <family val="3"/>
        <charset val="134"/>
      </rPr>
      <t>奇械师</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</si>
  <si>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</si>
  <si>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</si>
  <si>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</si>
  <si>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</si>
  <si>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</si>
  <si>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</si>
  <si>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</si>
  <si>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</si>
  <si>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phoneticPr fontId="68" type="noConversion"/>
  </si>
  <si>
    <r>
      <rPr>
        <sz val="10"/>
        <color theme="1"/>
        <rFont val="宋体"/>
        <family val="3"/>
        <charset val="134"/>
      </rPr>
      <t>智力与感知</t>
    </r>
    <phoneticPr fontId="68" type="noConversion"/>
  </si>
  <si>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</si>
  <si>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</si>
  <si>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</si>
  <si>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</si>
  <si>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</si>
  <si>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</si>
  <si>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</si>
  <si>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</si>
  <si>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</si>
  <si>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</si>
  <si>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</si>
  <si>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</si>
  <si>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</si>
  <si>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</si>
  <si>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</si>
  <si>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</si>
  <si>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</si>
  <si>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</si>
  <si>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t>
    </r>
    <phoneticPr fontId="68" type="noConversion"/>
  </si>
  <si>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</si>
  <si>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</si>
  <si>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</si>
  <si>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</si>
  <si>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</si>
  <si>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</si>
  <si>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phoneticPr fontId="68" type="noConversion"/>
  </si>
  <si>
    <r>
      <rPr>
        <sz val="10"/>
        <color theme="1"/>
        <rFont val="宋体"/>
        <family val="3"/>
        <charset val="134"/>
      </rPr>
      <t>无</t>
    </r>
    <phoneticPr fontId="68" type="noConversion"/>
  </si>
  <si>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</si>
  <si>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</si>
  <si>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</si>
  <si>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</si>
  <si>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</si>
  <si>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phoneticPr fontId="68" type="noConversion"/>
  </si>
  <si>
    <r>
      <rPr>
        <sz val="10"/>
        <color theme="1"/>
        <rFont val="宋体"/>
        <family val="3"/>
        <charset val="134"/>
      </rPr>
      <t>先祖守卫道途</t>
    </r>
    <phoneticPr fontId="68" type="noConversion"/>
  </si>
  <si>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</si>
  <si>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</si>
  <si>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</si>
  <si>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</si>
  <si>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</si>
  <si>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</si>
  <si>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</si>
  <si>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</si>
  <si>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</si>
  <si>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</si>
  <si>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</si>
  <si>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</si>
  <si>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</si>
  <si>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phoneticPr fontId="68" type="noConversion"/>
  </si>
  <si>
    <r>
      <rPr>
        <sz val="10"/>
        <color theme="1"/>
        <rFont val="宋体"/>
        <family val="3"/>
        <charset val="134"/>
      </rPr>
      <t>风暴先驱道途</t>
    </r>
    <phoneticPr fontId="68" type="noConversion"/>
  </si>
  <si>
    <r>
      <rPr>
        <sz val="10"/>
        <color theme="1"/>
        <rFont val="宋体"/>
        <family val="3"/>
        <charset val="134"/>
      </rPr>
      <t>狂暴</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</si>
  <si>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</si>
  <si>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</si>
  <si>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</si>
  <si>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</si>
  <si>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</si>
  <si>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</si>
  <si>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</si>
  <si>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</si>
  <si>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</si>
  <si>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</si>
  <si>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</si>
  <si>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</si>
  <si>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</si>
  <si>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</si>
  <si>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</si>
  <si>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</si>
  <si>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</si>
  <si>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</si>
  <si>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phoneticPr fontId="68" type="noConversion"/>
  </si>
  <si>
    <r>
      <rPr>
        <sz val="10"/>
        <color theme="1"/>
        <rFont val="宋体"/>
        <family val="3"/>
        <charset val="134"/>
      </rPr>
      <t>狂野魔法道途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</si>
  <si>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</si>
  <si>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</si>
  <si>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</si>
  <si>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</si>
  <si>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phoneticPr fontId="68" type="noConversion"/>
  </si>
  <si>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</si>
  <si>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</si>
  <si>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</si>
  <si>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</si>
  <si>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</si>
  <si>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</si>
  <si>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</si>
  <si>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</si>
  <si>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</si>
  <si>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</si>
  <si>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</si>
  <si>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</si>
  <si>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</si>
  <si>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phoneticPr fontId="68" type="noConversion"/>
  </si>
  <si>
    <r>
      <rPr>
        <sz val="10"/>
        <color theme="1"/>
        <rFont val="宋体"/>
        <family val="3"/>
        <charset val="134"/>
      </rPr>
      <t>野兽道途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</si>
  <si>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</si>
  <si>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</si>
  <si>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</si>
  <si>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</si>
  <si>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</si>
  <si>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</si>
  <si>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</si>
  <si>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</si>
  <si>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</si>
  <si>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</si>
  <si>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</si>
  <si>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</si>
  <si>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</si>
  <si>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</si>
  <si>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</si>
  <si>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</si>
  <si>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</si>
  <si>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</si>
  <si>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</si>
  <si>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phoneticPr fontId="68" type="noConversion"/>
  </si>
  <si>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phoneticPr fontId="68" type="noConversion"/>
  </si>
  <si>
    <r>
      <rPr>
        <sz val="10"/>
        <color theme="1"/>
        <rFont val="宋体"/>
        <family val="3"/>
        <charset val="134"/>
      </rPr>
      <t>巨人道途</t>
    </r>
    <phoneticPr fontId="68" type="noConversion"/>
  </si>
  <si>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</si>
  <si>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</si>
  <si>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</si>
  <si>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</si>
  <si>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</si>
  <si>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</si>
  <si>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</si>
  <si>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</si>
  <si>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</si>
  <si>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</si>
  <si>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</si>
  <si>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</si>
  <si>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</si>
  <si>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</si>
  <si>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</si>
  <si>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phoneticPr fontId="68" type="noConversion"/>
  </si>
  <si>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</si>
  <si>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</si>
  <si>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蔑法道途</t>
    </r>
  </si>
  <si>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</si>
  <si>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</si>
  <si>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</si>
  <si>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</si>
  <si>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</si>
  <si>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</si>
  <si>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</si>
  <si>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</si>
  <si>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</si>
  <si>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</si>
  <si>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</si>
  <si>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</si>
  <si>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</si>
  <si>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</si>
  <si>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</si>
  <si>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</si>
  <si>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</si>
  <si>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phoneticPr fontId="68" type="noConversion"/>
  </si>
  <si>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phoneticPr fontId="68" type="noConversion"/>
  </si>
  <si>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</si>
  <si>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</si>
  <si>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</si>
  <si>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</si>
  <si>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</si>
  <si>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</si>
  <si>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</si>
  <si>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</si>
  <si>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</si>
  <si>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</si>
  <si>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</si>
  <si>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</si>
  <si>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</si>
  <si>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</si>
  <si>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</si>
  <si>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</si>
  <si>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</si>
  <si>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</si>
  <si>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</si>
  <si>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phoneticPr fontId="68" type="noConversion"/>
  </si>
  <si>
    <r>
      <rPr>
        <sz val="10"/>
        <color theme="1"/>
        <rFont val="宋体"/>
        <family val="3"/>
        <charset val="134"/>
      </rPr>
      <t>你灵能使法术的施法属性是智力。</t>
    </r>
    <r>
      <rPr>
        <sz val="10"/>
        <color theme="1"/>
        <rFont val="Times New Roman"/>
        <family val="1"/>
      </rPr>
      <t xml:space="preserve"> </t>
    </r>
    <phoneticPr fontId="68" type="noConversion"/>
  </si>
  <si>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</si>
  <si>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</si>
  <si>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</si>
  <si>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</si>
  <si>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</si>
  <si>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</si>
  <si>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</si>
  <si>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</si>
  <si>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</si>
  <si>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</si>
  <si>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</si>
  <si>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</si>
  <si>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</si>
  <si>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</si>
  <si>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</si>
  <si>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phoneticPr fontId="68" type="noConversion"/>
  </si>
  <si>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</si>
  <si>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</si>
  <si>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phoneticPr fontId="68" type="noConversion"/>
  </si>
  <si>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</si>
  <si>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phoneticPr fontId="68" type="noConversion"/>
  </si>
  <si>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</si>
  <si>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</si>
  <si>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</si>
  <si>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</si>
  <si>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</si>
  <si>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</si>
  <si>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</si>
  <si>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</si>
  <si>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</si>
  <si>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</si>
  <si>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</si>
  <si>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</si>
  <si>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</si>
  <si>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</si>
  <si>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phoneticPr fontId="68" type="noConversion"/>
  </si>
  <si>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</si>
  <si>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phoneticPr fontId="68" type="noConversion"/>
  </si>
  <si>
    <r>
      <rPr>
        <sz val="10"/>
        <color theme="1"/>
        <rFont val="宋体"/>
        <family val="3"/>
        <charset val="134"/>
      </rPr>
      <t>灵能力量</t>
    </r>
  </si>
  <si>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</si>
  <si>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</si>
  <si>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</si>
  <si>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</si>
  <si>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</si>
  <si>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</si>
  <si>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</si>
  <si>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</si>
  <si>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</si>
  <si>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</si>
  <si>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</si>
  <si>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</si>
  <si>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</si>
  <si>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</si>
  <si>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</si>
  <si>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</si>
  <si>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</si>
  <si>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phoneticPr fontId="68" type="noConversion"/>
  </si>
  <si>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</si>
  <si>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</si>
  <si>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</si>
  <si>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phoneticPr fontId="68" type="noConversion"/>
  </si>
  <si>
    <r>
      <rPr>
        <sz val="10"/>
        <color theme="1"/>
        <rFont val="宋体"/>
        <family val="3"/>
        <charset val="134"/>
      </rPr>
      <t>精妙念力</t>
    </r>
  </si>
  <si>
    <r>
      <rPr>
        <sz val="10"/>
        <color theme="1"/>
        <rFont val="宋体"/>
        <family val="3"/>
        <charset val="134"/>
      </rPr>
      <t>剑舞学院</t>
    </r>
    <phoneticPr fontId="68" type="noConversion"/>
  </si>
  <si>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</si>
  <si>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</si>
  <si>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</si>
  <si>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</si>
  <si>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</si>
  <si>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</si>
  <si>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</si>
  <si>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</si>
  <si>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</si>
  <si>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</si>
  <si>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</si>
  <si>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</si>
  <si>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</si>
  <si>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</si>
  <si>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</si>
  <si>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</si>
  <si>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phoneticPr fontId="68" type="noConversion"/>
  </si>
  <si>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</si>
  <si>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</si>
  <si>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</si>
  <si>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灵能才赋</t>
    </r>
  </si>
  <si>
    <r>
      <rPr>
        <sz val="10"/>
        <color theme="1"/>
        <rFont val="宋体"/>
        <family val="3"/>
        <charset val="134"/>
      </rPr>
      <t>低语学院</t>
    </r>
    <phoneticPr fontId="68" type="noConversion"/>
  </si>
  <si>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</si>
  <si>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</si>
  <si>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</si>
  <si>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</si>
  <si>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</si>
  <si>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</si>
  <si>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</si>
  <si>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</si>
  <si>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</si>
  <si>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</si>
  <si>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</si>
  <si>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</si>
  <si>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</si>
  <si>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</si>
  <si>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</si>
  <si>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</si>
  <si>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</si>
  <si>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</si>
  <si>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</si>
  <si>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phoneticPr fontId="68" type="noConversion"/>
  </si>
  <si>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</si>
  <si>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</si>
  <si>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</si>
  <si>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创造学院</t>
    </r>
  </si>
  <si>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</si>
  <si>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</si>
  <si>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</si>
  <si>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</si>
  <si>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</si>
  <si>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</si>
  <si>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</si>
  <si>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</si>
  <si>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</si>
  <si>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</si>
  <si>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</si>
  <si>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</si>
  <si>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</si>
  <si>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</si>
  <si>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</si>
  <si>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</si>
  <si>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</si>
  <si>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</si>
  <si>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</si>
  <si>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</si>
  <si>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</si>
  <si>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</si>
  <si>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</si>
  <si>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灵能使子职业</t>
    </r>
  </si>
  <si>
    <r>
      <rPr>
        <sz val="10"/>
        <color theme="1"/>
        <rFont val="宋体"/>
        <family val="3"/>
        <charset val="134"/>
      </rPr>
      <t>雄辩学院</t>
    </r>
  </si>
  <si>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</si>
  <si>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</si>
  <si>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</si>
  <si>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</si>
  <si>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</si>
  <si>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</si>
  <si>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</si>
  <si>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</si>
  <si>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</si>
  <si>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</si>
  <si>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</si>
  <si>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</si>
  <si>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</si>
  <si>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</si>
  <si>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</si>
  <si>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</si>
  <si>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</si>
  <si>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</si>
  <si>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</si>
  <si>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</si>
  <si>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精魂学院</t>
    </r>
    <phoneticPr fontId="68" type="noConversion"/>
  </si>
  <si>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</si>
  <si>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</si>
  <si>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</si>
  <si>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</si>
  <si>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</si>
  <si>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</si>
  <si>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</si>
  <si>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</si>
  <si>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</si>
  <si>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</si>
  <si>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</si>
  <si>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</si>
  <si>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</si>
  <si>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</si>
  <si>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</si>
  <si>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</si>
  <si>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</si>
  <si>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</si>
  <si>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</si>
  <si>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</si>
  <si>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</si>
  <si>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</si>
  <si>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</si>
  <si>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灵能复原</t>
    </r>
  </si>
  <si>
    <r>
      <rPr>
        <sz val="10"/>
        <color theme="1"/>
        <rFont val="宋体"/>
        <family val="3"/>
        <charset val="134"/>
      </rPr>
      <t>戏剧学院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</si>
  <si>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</si>
  <si>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</si>
  <si>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</si>
  <si>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</si>
  <si>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</si>
  <si>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</si>
  <si>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</si>
  <si>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</si>
  <si>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</si>
  <si>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</si>
  <si>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</si>
  <si>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</si>
  <si>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</si>
  <si>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</si>
  <si>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</si>
  <si>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</si>
  <si>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</si>
  <si>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</si>
  <si>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</si>
  <si>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</si>
  <si>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</si>
  <si>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</si>
  <si>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灵能浪潮</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</si>
  <si>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</si>
  <si>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</si>
  <si>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</si>
  <si>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</si>
  <si>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</si>
  <si>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</si>
  <si>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</si>
  <si>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</si>
  <si>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</si>
  <si>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</si>
  <si>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</si>
  <si>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</si>
  <si>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</si>
  <si>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</si>
  <si>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</si>
  <si>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</si>
  <si>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</si>
  <si>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</si>
  <si>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</si>
  <si>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</si>
  <si>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</si>
  <si>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</si>
  <si>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</si>
  <si>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</si>
  <si>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</si>
  <si>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</si>
  <si>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</si>
  <si>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</si>
  <si>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</si>
  <si>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</si>
  <si>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</si>
  <si>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</si>
  <si>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</si>
  <si>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</si>
  <si>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</si>
  <si>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</si>
  <si>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</si>
  <si>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</si>
  <si>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</si>
  <si>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</si>
  <si>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</si>
  <si>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</si>
  <si>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</si>
  <si>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命源过载</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</si>
  <si>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</si>
  <si>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</si>
  <si>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</si>
  <si>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</si>
  <si>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</si>
  <si>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</si>
  <si>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</si>
  <si>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</si>
  <si>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</si>
  <si>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</si>
  <si>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</si>
  <si>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</si>
  <si>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</si>
  <si>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</si>
  <si>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</si>
  <si>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</si>
  <si>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</si>
  <si>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</si>
  <si>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phoneticPr fontId="68" type="noConversion"/>
  </si>
  <si>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</si>
  <si>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</si>
  <si>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</si>
  <si>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</si>
  <si>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蜕变使法术</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</si>
  <si>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</si>
  <si>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</si>
  <si>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</si>
  <si>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</si>
  <si>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</si>
  <si>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</si>
  <si>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</si>
  <si>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</si>
  <si>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</si>
  <si>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</si>
  <si>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</si>
  <si>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</si>
  <si>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</si>
  <si>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</si>
  <si>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</si>
  <si>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</si>
  <si>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</si>
  <si>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</si>
  <si>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</si>
  <si>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</si>
  <si>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</si>
  <si>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锻造领域</t>
    </r>
    <phoneticPr fontId="68" type="noConversion"/>
  </si>
  <si>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</si>
  <si>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</si>
  <si>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</si>
  <si>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</si>
  <si>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</si>
  <si>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</si>
  <si>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</si>
  <si>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</si>
  <si>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</si>
  <si>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</si>
  <si>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</si>
  <si>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</si>
  <si>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</si>
  <si>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</si>
  <si>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</si>
  <si>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</si>
  <si>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</si>
  <si>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</si>
  <si>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</si>
  <si>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</si>
  <si>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</si>
  <si>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</si>
  <si>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</si>
  <si>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</si>
  <si>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坟墓领域</t>
    </r>
    <phoneticPr fontId="68" type="noConversion"/>
  </si>
  <si>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</si>
  <si>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</si>
  <si>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</si>
  <si>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</si>
  <si>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</si>
  <si>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phoneticPr fontId="68" type="noConversion"/>
  </si>
  <si>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</si>
  <si>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</si>
  <si>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</si>
  <si>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</si>
  <si>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</si>
  <si>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</si>
  <si>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</si>
  <si>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</si>
  <si>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</si>
  <si>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</si>
  <si>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</si>
  <si>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</si>
  <si>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</si>
  <si>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</si>
  <si>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</si>
  <si>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秩序领域</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</si>
  <si>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</si>
  <si>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</si>
  <si>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</si>
  <si>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</si>
  <si>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</si>
  <si>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</si>
  <si>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</si>
  <si>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</si>
  <si>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</si>
  <si>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</si>
  <si>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</si>
  <si>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</si>
  <si>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</si>
  <si>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</si>
  <si>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</si>
  <si>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</si>
  <si>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</si>
  <si>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</si>
  <si>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</si>
  <si>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</si>
  <si>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</si>
  <si>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phoneticPr fontId="68" type="noConversion"/>
  </si>
  <si>
    <r>
      <rPr>
        <sz val="10"/>
        <color theme="1"/>
        <rFont val="宋体"/>
        <family val="3"/>
        <charset val="134"/>
      </rPr>
      <t>和平领域</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</si>
  <si>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</si>
  <si>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</si>
  <si>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</si>
  <si>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</si>
  <si>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</si>
  <si>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</si>
  <si>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</si>
  <si>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</si>
  <si>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</si>
  <si>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</si>
  <si>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</si>
  <si>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</si>
  <si>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</si>
  <si>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</si>
  <si>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</si>
  <si>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</si>
  <si>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</si>
  <si>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</si>
  <si>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</si>
  <si>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</si>
  <si>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</si>
  <si>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</si>
  <si>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</si>
  <si>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暮光领域</t>
    </r>
  </si>
  <si>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</si>
  <si>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</si>
  <si>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</si>
  <si>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</si>
  <si>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</si>
  <si>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</si>
  <si>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</si>
  <si>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</si>
  <si>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</si>
  <si>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</si>
  <si>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</si>
  <si>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</si>
  <si>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</si>
  <si>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</si>
  <si>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</si>
  <si>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</si>
  <si>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</si>
  <si>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</si>
  <si>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</si>
  <si>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</si>
  <si>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</si>
  <si>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</si>
  <si>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曲命武器</t>
    </r>
  </si>
  <si>
    <r>
      <rPr>
        <sz val="10"/>
        <color theme="1"/>
        <rFont val="宋体"/>
        <family val="3"/>
        <charset val="134"/>
      </rPr>
      <t>天启领域</t>
    </r>
  </si>
  <si>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</si>
  <si>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</si>
  <si>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</si>
  <si>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</si>
  <si>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</si>
  <si>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</si>
  <si>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</si>
  <si>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</si>
  <si>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</si>
  <si>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</si>
  <si>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</si>
  <si>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</si>
  <si>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</si>
  <si>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</si>
  <si>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</si>
  <si>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</si>
  <si>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</si>
  <si>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</si>
  <si>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</si>
  <si>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</si>
  <si>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</si>
  <si>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</si>
  <si>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</si>
  <si>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</si>
  <si>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</si>
  <si>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</si>
  <si>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</si>
  <si>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</si>
  <si>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</si>
  <si>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</si>
  <si>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</si>
  <si>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</si>
  <si>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</si>
  <si>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</si>
  <si>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</si>
  <si>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</si>
  <si>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</si>
  <si>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</si>
  <si>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</si>
  <si>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</si>
  <si>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</si>
  <si>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</si>
  <si>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</si>
  <si>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</si>
  <si>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</si>
  <si>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</si>
  <si>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</si>
  <si>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</si>
  <si>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</si>
  <si>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</si>
  <si>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</si>
  <si>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</si>
  <si>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</si>
  <si>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</si>
  <si>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</si>
  <si>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</si>
  <si>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</si>
  <si>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</si>
  <si>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</si>
  <si>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</si>
  <si>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</si>
  <si>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</si>
  <si>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</si>
  <si>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</si>
  <si>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</si>
  <si>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</si>
  <si>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</si>
  <si>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</si>
  <si>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</si>
  <si>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</si>
  <si>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</si>
  <si>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</si>
  <si>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</si>
  <si>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</si>
  <si>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</si>
  <si>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</si>
  <si>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</si>
  <si>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</si>
  <si>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</si>
  <si>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</si>
  <si>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</si>
  <si>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</si>
  <si>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</si>
  <si>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</si>
  <si>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</si>
  <si>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</si>
  <si>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</si>
  <si>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</si>
  <si>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</si>
  <si>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</si>
  <si>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</si>
  <si>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</si>
  <si>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</si>
  <si>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</si>
  <si>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</si>
  <si>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</si>
  <si>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</si>
  <si>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星辰结社</t>
    </r>
  </si>
  <si>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</si>
  <si>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</si>
  <si>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</si>
  <si>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</si>
  <si>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</si>
  <si>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</si>
  <si>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</si>
  <si>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</si>
  <si>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</si>
  <si>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</si>
  <si>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</si>
  <si>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</si>
  <si>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</si>
  <si>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</si>
  <si>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</si>
  <si>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</si>
  <si>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</si>
  <si>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</si>
  <si>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</si>
  <si>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</si>
  <si>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phoneticPr fontId="68" type="noConversion"/>
  </si>
  <si>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</si>
  <si>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</si>
  <si>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</si>
  <si>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梦境结社</t>
    </r>
    <phoneticPr fontId="68" type="noConversion"/>
  </si>
  <si>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</si>
  <si>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</si>
  <si>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</si>
  <si>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</si>
  <si>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</si>
  <si>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</si>
  <si>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</si>
  <si>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</si>
  <si>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</si>
  <si>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</si>
  <si>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</si>
  <si>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</si>
  <si>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</si>
  <si>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</si>
  <si>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</si>
  <si>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</si>
  <si>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</si>
  <si>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</si>
  <si>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</si>
  <si>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</si>
  <si>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phoneticPr fontId="68" type="noConversion"/>
  </si>
  <si>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</si>
  <si>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</si>
  <si>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牧人结社</t>
    </r>
    <phoneticPr fontId="68" type="noConversion"/>
  </si>
  <si>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</si>
  <si>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</si>
  <si>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</si>
  <si>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</si>
  <si>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</si>
  <si>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</si>
  <si>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</si>
  <si>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</si>
  <si>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</si>
  <si>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</si>
  <si>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</si>
  <si>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</si>
  <si>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</si>
  <si>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</si>
  <si>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</si>
  <si>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</si>
  <si>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</si>
  <si>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</si>
  <si>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</si>
  <si>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</si>
  <si>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</si>
  <si>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</si>
  <si>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</si>
  <si>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</si>
  <si>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孢子结社</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</si>
  <si>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</si>
  <si>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</si>
  <si>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</si>
  <si>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</si>
  <si>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</si>
  <si>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</si>
  <si>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</si>
  <si>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</si>
  <si>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</si>
  <si>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</si>
  <si>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</si>
  <si>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</si>
  <si>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</si>
  <si>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</si>
  <si>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</si>
  <si>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</si>
  <si>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</si>
  <si>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</si>
  <si>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</si>
  <si>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</si>
  <si>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</si>
  <si>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</si>
  <si>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</si>
  <si>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</si>
  <si>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念动使法术</t>
    </r>
  </si>
  <si>
    <r>
      <rPr>
        <sz val="10"/>
        <color theme="1"/>
        <rFont val="宋体"/>
        <family val="3"/>
        <charset val="134"/>
      </rPr>
      <t>野火结社</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</si>
  <si>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</si>
  <si>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</si>
  <si>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</si>
  <si>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</si>
  <si>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</si>
  <si>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</si>
  <si>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</si>
  <si>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</si>
  <si>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</si>
  <si>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</si>
  <si>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</si>
  <si>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</si>
  <si>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</si>
  <si>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</si>
  <si>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</si>
  <si>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</si>
  <si>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</si>
  <si>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</si>
  <si>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</si>
  <si>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</si>
  <si>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</si>
  <si>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</si>
  <si>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</si>
  <si>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</si>
  <si>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念力技巧</t>
    </r>
  </si>
  <si>
    <r>
      <rPr>
        <sz val="10"/>
        <color theme="1"/>
        <rFont val="宋体"/>
        <family val="3"/>
        <charset val="134"/>
      </rPr>
      <t>共生结社</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</si>
  <si>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</si>
  <si>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</si>
  <si>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</si>
  <si>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</si>
  <si>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</si>
  <si>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</si>
  <si>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</si>
  <si>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</si>
  <si>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</si>
  <si>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</si>
  <si>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</si>
  <si>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</si>
  <si>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</si>
  <si>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</si>
  <si>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</si>
  <si>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</si>
  <si>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</si>
  <si>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</si>
  <si>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</si>
  <si>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</si>
  <si>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</si>
  <si>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</si>
  <si>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</si>
  <si>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</si>
  <si>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</si>
  <si>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</si>
  <si>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</si>
  <si>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phoneticPr fontId="68" type="noConversion"/>
  </si>
  <si>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</si>
  <si>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</si>
  <si>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</si>
  <si>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</si>
  <si>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</si>
  <si>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</si>
  <si>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</si>
  <si>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</si>
  <si>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</si>
  <si>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</si>
  <si>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</si>
  <si>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</si>
  <si>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</si>
  <si>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</si>
  <si>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</si>
  <si>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</si>
  <si>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</si>
  <si>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</si>
  <si>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</si>
  <si>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反弹力场</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</si>
  <si>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</si>
  <si>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</si>
  <si>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phoneticPr fontId="68" type="noConversion"/>
  </si>
  <si>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</si>
  <si>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phoneticPr fontId="68" type="noConversion"/>
  </si>
  <si>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</si>
  <si>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</si>
  <si>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</si>
  <si>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</si>
  <si>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</si>
  <si>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</si>
  <si>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</si>
  <si>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</si>
  <si>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</si>
  <si>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</si>
  <si>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</si>
  <si>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</si>
  <si>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</si>
  <si>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</si>
  <si>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</si>
  <si>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</si>
  <si>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</si>
  <si>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</si>
  <si>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强化念力碾压</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</si>
  <si>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</si>
  <si>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</si>
  <si>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</si>
  <si>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phoneticPr fontId="68" type="noConversion"/>
  </si>
  <si>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</si>
  <si>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</si>
  <si>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</si>
  <si>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</si>
  <si>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</si>
  <si>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</si>
  <si>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</si>
  <si>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</si>
  <si>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</si>
  <si>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</si>
  <si>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</si>
  <si>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</si>
  <si>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</si>
  <si>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</si>
  <si>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</si>
  <si>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</si>
  <si>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</si>
  <si>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</si>
  <si>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</si>
  <si>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</si>
  <si>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</si>
  <si>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</si>
  <si>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</si>
  <si>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</si>
  <si>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phoneticPr fontId="68" type="noConversion"/>
  </si>
  <si>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</si>
  <si>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</si>
  <si>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</si>
  <si>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</si>
  <si>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</si>
  <si>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</si>
  <si>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</si>
  <si>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</si>
  <si>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</si>
  <si>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</si>
  <si>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</si>
  <si>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</si>
  <si>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</si>
  <si>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</si>
  <si>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</si>
  <si>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</si>
  <si>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</si>
  <si>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</si>
  <si>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</si>
  <si>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</si>
  <si>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传心使法术</t>
    </r>
  </si>
  <si>
    <r>
      <rPr>
        <sz val="10"/>
        <color theme="1"/>
        <rFont val="宋体"/>
        <family val="3"/>
        <charset val="134"/>
      </rPr>
      <t>魔射手</t>
    </r>
    <phoneticPr fontId="68" type="noConversion"/>
  </si>
  <si>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</si>
  <si>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phoneticPr fontId="68" type="noConversion"/>
  </si>
  <si>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</si>
  <si>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phoneticPr fontId="68" type="noConversion"/>
  </si>
  <si>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</si>
  <si>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</si>
  <si>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</si>
  <si>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</si>
  <si>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</si>
  <si>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</si>
  <si>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</si>
  <si>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</si>
  <si>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</si>
  <si>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</si>
  <si>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</si>
  <si>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</si>
  <si>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</si>
  <si>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</si>
  <si>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</si>
  <si>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</si>
  <si>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</si>
  <si>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</si>
  <si>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</si>
  <si>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</si>
  <si>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</si>
  <si>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心智渗透</t>
    </r>
  </si>
  <si>
    <r>
      <rPr>
        <sz val="10"/>
        <color theme="1"/>
        <rFont val="宋体"/>
        <family val="3"/>
        <charset val="134"/>
      </rPr>
      <t>骑兵</t>
    </r>
    <phoneticPr fontId="68" type="noConversion"/>
  </si>
  <si>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</si>
  <si>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phoneticPr fontId="68" type="noConversion"/>
  </si>
  <si>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</si>
  <si>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phoneticPr fontId="68" type="noConversion"/>
  </si>
  <si>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</si>
  <si>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</si>
  <si>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</si>
  <si>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</si>
  <si>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</si>
  <si>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</si>
  <si>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</si>
  <si>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</si>
  <si>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</si>
  <si>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</si>
  <si>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</si>
  <si>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</si>
  <si>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</si>
  <si>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</si>
  <si>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</si>
  <si>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</si>
  <si>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</si>
  <si>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</si>
  <si>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</si>
  <si>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</si>
  <si>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武士</t>
    </r>
    <phoneticPr fontId="68" type="noConversion"/>
  </si>
  <si>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</si>
  <si>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phoneticPr fontId="68" type="noConversion"/>
  </si>
  <si>
    <r>
      <rPr>
        <sz val="10"/>
        <color theme="1"/>
        <rFont val="宋体"/>
        <family val="3"/>
        <charset val="134"/>
      </rPr>
      <t>惊骇之语</t>
    </r>
    <phoneticPr fontId="68" type="noConversion"/>
  </si>
  <si>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phoneticPr fontId="68" type="noConversion"/>
  </si>
  <si>
    <r>
      <rPr>
        <sz val="10"/>
        <color theme="1"/>
        <rFont val="宋体"/>
        <family val="3"/>
        <charset val="134"/>
      </rPr>
      <t>你获得重甲熟练和铁匠工具熟练。</t>
    </r>
    <phoneticPr fontId="68" type="noConversion"/>
  </si>
  <si>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</si>
  <si>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</si>
  <si>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</si>
  <si>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</si>
  <si>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</si>
  <si>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</si>
  <si>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</si>
  <si>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</si>
  <si>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</si>
  <si>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</si>
  <si>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</si>
  <si>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</si>
  <si>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</si>
  <si>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</si>
  <si>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</si>
  <si>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</si>
  <si>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phoneticPr fontId="68" type="noConversion"/>
  </si>
  <si>
    <r>
      <rPr>
        <sz val="10"/>
        <color theme="1"/>
        <rFont val="宋体"/>
        <family val="3"/>
        <charset val="134"/>
      </rPr>
      <t>符文骑士</t>
    </r>
  </si>
  <si>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</si>
  <si>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phoneticPr fontId="68" type="noConversion"/>
  </si>
  <si>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</si>
  <si>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phoneticPr fontId="68" type="noConversion"/>
  </si>
  <si>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</si>
  <si>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phoneticPr fontId="68" type="noConversion"/>
  </si>
  <si>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</si>
  <si>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</si>
  <si>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</si>
  <si>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</si>
  <si>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</si>
  <si>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phoneticPr fontId="68" type="noConversion"/>
  </si>
  <si>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</si>
  <si>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</si>
  <si>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</si>
  <si>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</si>
  <si>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</si>
  <si>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</si>
  <si>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</si>
  <si>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</si>
  <si>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</si>
  <si>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你对于战略格局的急速把控让你能在战斗中快速的反应。
你在先攻检定中获得等于你智力调整值的加值。</t>
    </r>
    <phoneticPr fontId="68" type="noConversion"/>
  </si>
  <si>
    <r>
      <rPr>
        <sz val="10"/>
        <color theme="1"/>
        <rFont val="宋体"/>
        <family val="3"/>
        <charset val="134"/>
      </rPr>
      <t>魔能炮台</t>
    </r>
  </si>
  <si>
    <r>
      <rPr>
        <sz val="10"/>
        <color theme="1"/>
        <rFont val="宋体"/>
        <family val="3"/>
        <charset val="134"/>
      </rPr>
      <t>思维潜能</t>
    </r>
  </si>
  <si>
    <r>
      <rPr>
        <sz val="10"/>
        <color theme="1"/>
        <rFont val="宋体"/>
        <family val="3"/>
        <charset val="134"/>
      </rPr>
      <t>英雄</t>
    </r>
  </si>
  <si>
    <r>
      <rPr>
        <sz val="10"/>
        <color theme="1"/>
        <rFont val="宋体"/>
        <family val="3"/>
        <charset val="134"/>
      </rPr>
      <t>风暴灵光</t>
    </r>
    <phoneticPr fontId="68" type="noConversion"/>
  </si>
  <si>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phoneticPr fontId="68" type="noConversion"/>
  </si>
  <si>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</si>
  <si>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</si>
  <si>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</si>
  <si>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phoneticPr fontId="68" type="noConversion"/>
  </si>
  <si>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</si>
  <si>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</si>
  <si>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</si>
  <si>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</si>
  <si>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</si>
  <si>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phoneticPr fontId="68" type="noConversion"/>
  </si>
  <si>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</si>
  <si>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</si>
  <si>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</si>
  <si>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</si>
  <si>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</si>
  <si>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</si>
  <si>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</si>
  <si>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</si>
  <si>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</si>
  <si>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</si>
  <si>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phoneticPr fontId="68" type="noConversion"/>
  </si>
  <si>
    <r>
      <rPr>
        <sz val="10"/>
        <color theme="1"/>
        <rFont val="宋体"/>
        <family val="3"/>
        <charset val="134"/>
      </rPr>
      <t>心感援护</t>
    </r>
  </si>
  <si>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</si>
  <si>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phoneticPr fontId="68" type="noConversion"/>
  </si>
  <si>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</si>
  <si>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phoneticPr fontId="68" type="noConversion"/>
  </si>
  <si>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</si>
  <si>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8" type="noConversion"/>
  </si>
  <si>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</si>
  <si>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phoneticPr fontId="68" type="noConversion"/>
  </si>
  <si>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</si>
  <si>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</si>
  <si>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</si>
  <si>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phoneticPr fontId="68" type="noConversion"/>
  </si>
  <si>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</si>
  <si>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</si>
  <si>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</si>
  <si>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phoneticPr fontId="68" type="noConversion"/>
  </si>
  <si>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</si>
  <si>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</si>
  <si>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</si>
  <si>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</si>
  <si>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phoneticPr fontId="68" type="noConversion"/>
  </si>
  <si>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</si>
  <si>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phoneticPr fontId="68" type="noConversion"/>
  </si>
  <si>
    <r>
      <rPr>
        <sz val="10"/>
        <color theme="1"/>
        <rFont val="宋体"/>
        <family val="3"/>
        <charset val="134"/>
      </rPr>
      <t>奥法火器</t>
    </r>
  </si>
  <si>
    <r>
      <rPr>
        <sz val="10"/>
        <color theme="1"/>
        <rFont val="宋体"/>
        <family val="3"/>
        <charset val="134"/>
      </rPr>
      <t>扰乱心智</t>
    </r>
  </si>
  <si>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</si>
  <si>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phoneticPr fontId="68" type="noConversion"/>
  </si>
  <si>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</si>
  <si>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phoneticPr fontId="68" type="noConversion"/>
  </si>
  <si>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</si>
  <si>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phoneticPr fontId="68" type="noConversion"/>
  </si>
  <si>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</si>
  <si>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phoneticPr fontId="68" type="noConversion"/>
  </si>
  <si>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</si>
  <si>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</si>
  <si>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</si>
  <si>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phoneticPr fontId="68" type="noConversion"/>
  </si>
  <si>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</si>
  <si>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</si>
  <si>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</si>
  <si>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phoneticPr fontId="68" type="noConversion"/>
  </si>
  <si>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</si>
  <si>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phoneticPr fontId="68" type="noConversion"/>
  </si>
  <si>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</si>
  <si>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</si>
  <si>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永恒奴役</t>
    </r>
    <phoneticPr fontId="68" type="noConversion"/>
  </si>
  <si>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phoneticPr fontId="68" type="noConversion"/>
  </si>
  <si>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</si>
  <si>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phoneticPr fontId="68" type="noConversion"/>
  </si>
  <si>
    <r>
      <rPr>
        <sz val="10"/>
        <color theme="1"/>
        <rFont val="宋体"/>
        <family val="3"/>
        <charset val="134"/>
      </rPr>
      <t>高爆炮台</t>
    </r>
  </si>
  <si>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</si>
  <si>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phoneticPr fontId="68" type="noConversion"/>
  </si>
  <si>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</si>
  <si>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phoneticPr fontId="68" type="noConversion"/>
  </si>
  <si>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</si>
  <si>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</si>
  <si>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</si>
  <si>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phoneticPr fontId="68" type="noConversion"/>
  </si>
  <si>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</si>
  <si>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</si>
  <si>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</si>
  <si>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</si>
  <si>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</si>
  <si>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phoneticPr fontId="68" type="noConversion"/>
  </si>
  <si>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</si>
  <si>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</si>
  <si>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</si>
  <si>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phoneticPr fontId="68" type="noConversion"/>
  </si>
  <si>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</si>
  <si>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</si>
  <si>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</si>
  <si>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</si>
  <si>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要塞阵地</t>
    </r>
  </si>
  <si>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</si>
  <si>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phoneticPr fontId="68" type="noConversion"/>
  </si>
  <si>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</si>
  <si>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phoneticPr fontId="68" type="noConversion"/>
  </si>
  <si>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</si>
  <si>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phoneticPr fontId="68" type="noConversion"/>
  </si>
  <si>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</si>
  <si>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phoneticPr fontId="68" type="noConversion"/>
  </si>
  <si>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</si>
  <si>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</si>
  <si>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</si>
  <si>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phoneticPr fontId="68" type="noConversion"/>
  </si>
  <si>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</si>
  <si>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</si>
  <si>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</si>
  <si>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phoneticPr fontId="68" type="noConversion"/>
  </si>
  <si>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</si>
  <si>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phoneticPr fontId="68" type="noConversion"/>
  </si>
  <si>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</si>
  <si>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</si>
  <si>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</si>
  <si>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醉拳宗</t>
    </r>
    <phoneticPr fontId="68" type="noConversion"/>
  </si>
  <si>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</si>
  <si>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phoneticPr fontId="68" type="noConversion"/>
  </si>
  <si>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</si>
  <si>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phoneticPr fontId="68" type="noConversion"/>
  </si>
  <si>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</si>
  <si>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phoneticPr fontId="68" type="noConversion"/>
  </si>
  <si>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</si>
  <si>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phoneticPr fontId="68" type="noConversion"/>
  </si>
  <si>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</si>
  <si>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</si>
  <si>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phoneticPr fontId="68" type="noConversion"/>
  </si>
  <si>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</si>
  <si>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phoneticPr fontId="68" type="noConversion"/>
  </si>
  <si>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</si>
  <si>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phoneticPr fontId="68" type="noConversion"/>
  </si>
  <si>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</si>
  <si>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phoneticPr fontId="68" type="noConversion"/>
  </si>
  <si>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</si>
  <si>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</si>
  <si>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</si>
  <si>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剑圣宗</t>
    </r>
    <phoneticPr fontId="68" type="noConversion"/>
  </si>
  <si>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</si>
  <si>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phoneticPr fontId="68" type="noConversion"/>
  </si>
  <si>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</si>
  <si>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</si>
  <si>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</si>
  <si>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phoneticPr fontId="68" type="noConversion"/>
  </si>
  <si>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</si>
  <si>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phoneticPr fontId="68" type="noConversion"/>
  </si>
  <si>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</si>
  <si>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</si>
  <si>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phoneticPr fontId="68" type="noConversion"/>
  </si>
  <si>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</si>
  <si>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phoneticPr fontId="68" type="noConversion"/>
  </si>
  <si>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</si>
  <si>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phoneticPr fontId="68" type="noConversion"/>
  </si>
  <si>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</si>
  <si>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phoneticPr fontId="68" type="noConversion"/>
  </si>
  <si>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</si>
  <si>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phoneticPr fontId="68" type="noConversion"/>
  </si>
  <si>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</si>
  <si>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战斗准备</t>
    </r>
  </si>
  <si>
    <r>
      <rPr>
        <sz val="10"/>
        <color theme="1"/>
        <rFont val="宋体"/>
        <family val="3"/>
        <charset val="134"/>
      </rPr>
      <t>日魂宗</t>
    </r>
    <phoneticPr fontId="68" type="noConversion"/>
  </si>
  <si>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</si>
  <si>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phoneticPr fontId="68" type="noConversion"/>
  </si>
  <si>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</si>
  <si>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phoneticPr fontId="68" type="noConversion"/>
  </si>
  <si>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</si>
  <si>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phoneticPr fontId="68" type="noConversion"/>
  </si>
  <si>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</si>
  <si>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phoneticPr fontId="68" type="noConversion"/>
  </si>
  <si>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</si>
  <si>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</si>
  <si>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phoneticPr fontId="68" type="noConversion"/>
  </si>
  <si>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</si>
  <si>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</si>
  <si>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</si>
  <si>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phoneticPr fontId="68" type="noConversion"/>
  </si>
  <si>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</si>
  <si>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phoneticPr fontId="68" type="noConversion"/>
  </si>
  <si>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</si>
  <si>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phoneticPr fontId="68" type="noConversion"/>
  </si>
  <si>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phoneticPr fontId="68" type="noConversion"/>
  </si>
  <si>
    <r>
      <rPr>
        <sz val="10"/>
        <color theme="1"/>
        <rFont val="宋体"/>
        <family val="3"/>
        <charset val="134"/>
      </rPr>
      <t>钢铁守卫</t>
    </r>
  </si>
  <si>
    <r>
      <rPr>
        <sz val="10"/>
        <color theme="1"/>
        <rFont val="宋体"/>
        <family val="3"/>
        <charset val="134"/>
      </rPr>
      <t>星我宗</t>
    </r>
  </si>
  <si>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</si>
  <si>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phoneticPr fontId="68" type="noConversion"/>
  </si>
  <si>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</si>
  <si>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phoneticPr fontId="68" type="noConversion"/>
  </si>
  <si>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</si>
  <si>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phoneticPr fontId="68" type="noConversion"/>
  </si>
  <si>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</si>
  <si>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phoneticPr fontId="68" type="noConversion"/>
  </si>
  <si>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</si>
  <si>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</si>
  <si>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</si>
  <si>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</si>
  <si>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phoneticPr fontId="68" type="noConversion"/>
  </si>
  <si>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</si>
  <si>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phoneticPr fontId="68" type="noConversion"/>
  </si>
  <si>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</si>
  <si>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phoneticPr fontId="68" type="noConversion"/>
  </si>
  <si>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</si>
  <si>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phoneticPr fontId="68" type="noConversion"/>
  </si>
  <si>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</si>
  <si>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</si>
  <si>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</si>
  <si>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phoneticPr fontId="68" type="noConversion"/>
  </si>
  <si>
    <r>
      <rPr>
        <sz val="10"/>
        <color theme="1"/>
        <rFont val="宋体"/>
        <family val="3"/>
        <charset val="134"/>
      </rPr>
      <t>神龙宗</t>
    </r>
    <phoneticPr fontId="68" type="noConversion"/>
  </si>
  <si>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</si>
  <si>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</si>
  <si>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</si>
  <si>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phoneticPr fontId="68" type="noConversion"/>
  </si>
  <si>
    <r>
      <rPr>
        <sz val="10"/>
        <color theme="1"/>
        <rFont val="宋体"/>
        <family val="3"/>
        <charset val="134"/>
      </rPr>
      <t>秩序领域法术</t>
    </r>
  </si>
  <si>
    <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</si>
  <si>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</si>
  <si>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phoneticPr fontId="68" type="noConversion"/>
  </si>
  <si>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</si>
  <si>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</si>
  <si>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phoneticPr fontId="68" type="noConversion"/>
  </si>
  <si>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</si>
  <si>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</si>
  <si>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</si>
  <si>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phoneticPr fontId="68" type="noConversion"/>
  </si>
  <si>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</si>
  <si>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phoneticPr fontId="68" type="noConversion"/>
  </si>
  <si>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</si>
  <si>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phoneticPr fontId="68" type="noConversion"/>
  </si>
  <si>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</si>
  <si>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</si>
  <si>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</si>
  <si>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phoneticPr fontId="68" type="noConversion"/>
  </si>
  <si>
    <r>
      <rPr>
        <sz val="10"/>
        <color theme="1"/>
        <rFont val="宋体"/>
        <family val="3"/>
        <charset val="134"/>
      </rPr>
      <t>奥能震荡</t>
    </r>
  </si>
  <si>
    <r>
      <rPr>
        <sz val="10"/>
        <color theme="1"/>
        <rFont val="宋体"/>
        <family val="3"/>
        <charset val="134"/>
      </rPr>
      <t>天衡武者</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</si>
  <si>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</si>
  <si>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phoneticPr fontId="68" type="noConversion"/>
  </si>
  <si>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</si>
  <si>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</si>
  <si>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你获得重甲的熟练项。你还获得威吓、或游说技能的熟练项（由你选择）。</t>
    </r>
    <phoneticPr fontId="68" type="noConversion"/>
  </si>
  <si>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</si>
  <si>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</si>
  <si>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</si>
  <si>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phoneticPr fontId="68" type="noConversion"/>
  </si>
  <si>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</si>
  <si>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phoneticPr fontId="68" type="noConversion"/>
  </si>
  <si>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</si>
  <si>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phoneticPr fontId="68" type="noConversion"/>
  </si>
  <si>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</si>
  <si>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phoneticPr fontId="68" type="noConversion"/>
  </si>
  <si>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</si>
  <si>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phoneticPr fontId="68" type="noConversion"/>
  </si>
  <si>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</si>
  <si>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</si>
  <si>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</si>
  <si>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phoneticPr fontId="68" type="noConversion"/>
  </si>
  <si>
    <r>
      <rPr>
        <sz val="10"/>
        <color theme="1"/>
        <rFont val="宋体"/>
        <family val="3"/>
        <charset val="134"/>
      </rPr>
      <t>改良守卫</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</si>
  <si>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</si>
  <si>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phoneticPr fontId="68" type="noConversion"/>
  </si>
  <si>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</si>
  <si>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phoneticPr fontId="68" type="noConversion"/>
  </si>
  <si>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</si>
  <si>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phoneticPr fontId="68" type="noConversion"/>
  </si>
  <si>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</si>
  <si>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phoneticPr fontId="68" type="noConversion"/>
  </si>
  <si>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</si>
  <si>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</si>
  <si>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phoneticPr fontId="68" type="noConversion"/>
  </si>
  <si>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</si>
  <si>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phoneticPr fontId="68" type="noConversion"/>
  </si>
  <si>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</si>
  <si>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phoneticPr fontId="68" type="noConversion"/>
  </si>
  <si>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</si>
  <si>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phoneticPr fontId="68" type="noConversion"/>
  </si>
  <si>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</si>
  <si>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phoneticPr fontId="68" type="noConversion"/>
  </si>
  <si>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</si>
  <si>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</si>
  <si>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</si>
  <si>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phoneticPr fontId="68" type="noConversion"/>
  </si>
  <si>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</si>
  <si>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phoneticPr fontId="68" type="noConversion"/>
  </si>
  <si>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</si>
  <si>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phoneticPr fontId="68" type="noConversion"/>
  </si>
  <si>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</si>
  <si>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phoneticPr fontId="68" type="noConversion"/>
  </si>
  <si>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</si>
  <si>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phoneticPr fontId="68" type="noConversion"/>
  </si>
  <si>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</si>
  <si>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</si>
  <si>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</si>
  <si>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phoneticPr fontId="68" type="noConversion"/>
  </si>
  <si>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</si>
  <si>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</si>
  <si>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</si>
  <si>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phoneticPr fontId="68" type="noConversion"/>
  </si>
  <si>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</si>
  <si>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phoneticPr fontId="68" type="noConversion"/>
  </si>
  <si>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</si>
  <si>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phoneticPr fontId="68" type="noConversion"/>
  </si>
  <si>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phoneticPr fontId="68" type="noConversion"/>
  </si>
  <si>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</si>
  <si>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phoneticPr fontId="68" type="noConversion"/>
  </si>
  <si>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</si>
  <si>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phoneticPr fontId="68" type="noConversion"/>
  </si>
  <si>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</si>
  <si>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</si>
  <si>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</si>
  <si>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phoneticPr fontId="68" type="noConversion"/>
  </si>
  <si>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</si>
  <si>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phoneticPr fontId="68" type="noConversion"/>
  </si>
  <si>
    <r>
      <rPr>
        <sz val="10"/>
        <color theme="1"/>
        <rFont val="宋体"/>
        <family val="3"/>
        <charset val="134"/>
      </rPr>
      <t>战争魔法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</si>
  <si>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</si>
  <si>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</si>
  <si>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</si>
  <si>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phoneticPr fontId="68" type="noConversion"/>
  </si>
  <si>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</si>
  <si>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</si>
  <si>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</si>
  <si>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phoneticPr fontId="68" type="noConversion"/>
  </si>
  <si>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</si>
  <si>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phoneticPr fontId="68" type="noConversion"/>
  </si>
  <si>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</si>
  <si>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</si>
  <si>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</si>
  <si>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</si>
  <si>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</si>
  <si>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phoneticPr fontId="68" type="noConversion"/>
  </si>
  <si>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</si>
  <si>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phoneticPr fontId="68" type="noConversion"/>
  </si>
  <si>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</si>
  <si>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phoneticPr fontId="68" type="noConversion"/>
  </si>
  <si>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</si>
  <si>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phoneticPr fontId="68" type="noConversion"/>
  </si>
  <si>
    <r>
      <rPr>
        <sz val="10"/>
        <color theme="1"/>
        <rFont val="宋体"/>
        <family val="3"/>
        <charset val="134"/>
      </rPr>
      <t>奥法打击</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</si>
  <si>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</si>
  <si>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phoneticPr fontId="68" type="noConversion"/>
  </si>
  <si>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</si>
  <si>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phoneticPr fontId="68" type="noConversion"/>
  </si>
  <si>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</si>
  <si>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phoneticPr fontId="68" type="noConversion"/>
  </si>
  <si>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</si>
  <si>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phoneticPr fontId="68" type="noConversion"/>
  </si>
  <si>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</si>
  <si>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phoneticPr fontId="68" type="noConversion"/>
  </si>
  <si>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</si>
  <si>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</si>
  <si>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</si>
  <si>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</si>
  <si>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征服之誓</t>
    </r>
    <phoneticPr fontId="68" type="noConversion"/>
  </si>
  <si>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</si>
  <si>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phoneticPr fontId="68" type="noConversion"/>
  </si>
  <si>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</si>
  <si>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phoneticPr fontId="68" type="noConversion"/>
  </si>
  <si>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</si>
  <si>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</si>
  <si>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</si>
  <si>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phoneticPr fontId="68" type="noConversion"/>
  </si>
  <si>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</si>
  <si>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</si>
  <si>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</si>
  <si>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phoneticPr fontId="68" type="noConversion"/>
  </si>
  <si>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</si>
  <si>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</si>
  <si>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</si>
  <si>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phoneticPr fontId="68" type="noConversion"/>
  </si>
  <si>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</si>
  <si>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phoneticPr fontId="68" type="noConversion"/>
  </si>
  <si>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</si>
  <si>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phoneticPr fontId="68" type="noConversion"/>
  </si>
  <si>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phoneticPr fontId="68" type="noConversion"/>
  </si>
  <si>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</si>
  <si>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</si>
  <si>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救赎之誓</t>
    </r>
    <phoneticPr fontId="68" type="noConversion"/>
  </si>
  <si>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</si>
  <si>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phoneticPr fontId="68" type="noConversion"/>
  </si>
  <si>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</si>
  <si>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</si>
  <si>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</si>
  <si>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phoneticPr fontId="68" type="noConversion"/>
  </si>
  <si>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</si>
  <si>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phoneticPr fontId="68" type="noConversion"/>
  </si>
  <si>
    <r>
      <rPr>
        <sz val="10"/>
        <color theme="1"/>
        <rFont val="宋体"/>
        <family val="3"/>
        <charset val="134"/>
      </rPr>
      <t>精通战争魔法</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</si>
  <si>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</si>
  <si>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</si>
  <si>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</si>
  <si>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phoneticPr fontId="68" type="noConversion"/>
  </si>
  <si>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</si>
  <si>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phoneticPr fontId="68" type="noConversion"/>
  </si>
  <si>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</si>
  <si>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phoneticPr fontId="68" type="noConversion"/>
  </si>
  <si>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</si>
  <si>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phoneticPr fontId="68" type="noConversion"/>
  </si>
  <si>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</si>
  <si>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</si>
  <si>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</si>
  <si>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</si>
  <si>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</si>
  <si>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守望之誓</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</si>
  <si>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</si>
  <si>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phoneticPr fontId="68" type="noConversion"/>
  </si>
  <si>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</si>
  <si>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</si>
  <si>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</si>
  <si>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phoneticPr fontId="68" type="noConversion"/>
  </si>
  <si>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</si>
  <si>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phoneticPr fontId="68" type="noConversion"/>
  </si>
  <si>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</si>
  <si>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</si>
  <si>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phoneticPr fontId="68" type="noConversion"/>
  </si>
  <si>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</si>
  <si>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</si>
  <si>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</si>
  <si>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phoneticPr fontId="68" type="noConversion"/>
  </si>
  <si>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</si>
  <si>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phoneticPr fontId="68" type="noConversion"/>
  </si>
  <si>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</si>
  <si>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phoneticPr fontId="68" type="noConversion"/>
  </si>
  <si>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phoneticPr fontId="68" type="noConversion"/>
  </si>
  <si>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</si>
  <si>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</si>
  <si>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</si>
  <si>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守护之誓</t>
    </r>
  </si>
  <si>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</si>
  <si>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phoneticPr fontId="68" type="noConversion"/>
  </si>
  <si>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</si>
  <si>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</si>
  <si>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</si>
  <si>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phoneticPr fontId="68" type="noConversion"/>
  </si>
  <si>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</si>
  <si>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phoneticPr fontId="68" type="noConversion"/>
  </si>
  <si>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</si>
  <si>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</si>
  <si>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</si>
  <si>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phoneticPr fontId="68" type="noConversion"/>
  </si>
  <si>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</si>
  <si>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</si>
  <si>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</si>
  <si>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</si>
  <si>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</si>
  <si>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phoneticPr fontId="68" type="noConversion"/>
  </si>
  <si>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</si>
  <si>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phoneticPr fontId="68" type="noConversion"/>
  </si>
  <si>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</si>
  <si>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</si>
  <si>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</si>
  <si>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</si>
  <si>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</si>
  <si>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</si>
  <si>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phoneticPr fontId="68" type="noConversion"/>
  </si>
  <si>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</si>
  <si>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phoneticPr fontId="68" type="noConversion"/>
  </si>
  <si>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</si>
  <si>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</si>
  <si>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</si>
  <si>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phoneticPr fontId="68" type="noConversion"/>
  </si>
  <si>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</si>
  <si>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</si>
  <si>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</si>
  <si>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phoneticPr fontId="68" type="noConversion"/>
  </si>
  <si>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</si>
  <si>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phoneticPr fontId="68" type="noConversion"/>
  </si>
  <si>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</si>
  <si>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phoneticPr fontId="68" type="noConversion"/>
  </si>
  <si>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</si>
  <si>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</si>
  <si>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</si>
  <si>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</si>
  <si>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</si>
  <si>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</si>
  <si>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</si>
  <si>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phoneticPr fontId="68" type="noConversion"/>
  </si>
  <si>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</si>
  <si>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phoneticPr fontId="68" type="noConversion"/>
  </si>
  <si>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</si>
  <si>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</si>
  <si>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</si>
  <si>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phoneticPr fontId="68" type="noConversion"/>
  </si>
  <si>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</si>
  <si>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</si>
  <si>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</si>
  <si>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phoneticPr fontId="68" type="noConversion"/>
  </si>
  <si>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</si>
  <si>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phoneticPr fontId="68" type="noConversion"/>
  </si>
  <si>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</si>
  <si>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phoneticPr fontId="68" type="noConversion"/>
  </si>
  <si>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</si>
  <si>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</si>
  <si>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</si>
  <si>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</si>
  <si>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</si>
  <si>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</si>
  <si>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</si>
  <si>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</si>
  <si>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</si>
  <si>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</si>
  <si>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</si>
  <si>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phoneticPr fontId="68" type="noConversion"/>
  </si>
  <si>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</si>
  <si>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</si>
  <si>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</si>
  <si>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phoneticPr fontId="68" type="noConversion"/>
  </si>
  <si>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</si>
  <si>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phoneticPr fontId="68" type="noConversion"/>
  </si>
  <si>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</si>
  <si>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</si>
  <si>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</si>
  <si>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</si>
  <si>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r>
      <rPr>
        <sz val="10"/>
        <color theme="1"/>
        <rFont val="宋体"/>
        <family val="3"/>
        <charset val="134"/>
      </rPr>
      <t>你获得军用武器和重甲的熟练项。</t>
    </r>
    <phoneticPr fontId="68" type="noConversion"/>
  </si>
  <si>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</si>
  <si>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</si>
  <si>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</si>
  <si>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phoneticPr fontId="68" type="noConversion"/>
  </si>
  <si>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</si>
  <si>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</si>
  <si>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</si>
  <si>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</si>
  <si>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</si>
  <si>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phoneticPr fontId="68" type="noConversion"/>
  </si>
  <si>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</si>
  <si>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phoneticPr fontId="68" type="noConversion"/>
  </si>
  <si>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</si>
  <si>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</si>
  <si>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边界行者</t>
    </r>
    <phoneticPr fontId="68" type="noConversion"/>
  </si>
  <si>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</si>
  <si>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</si>
  <si>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</si>
  <si>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phoneticPr fontId="68" type="noConversion"/>
  </si>
  <si>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</si>
  <si>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</si>
  <si>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</si>
  <si>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phoneticPr fontId="68" type="noConversion"/>
  </si>
  <si>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</si>
  <si>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</si>
  <si>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</si>
  <si>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</si>
  <si>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</si>
  <si>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phoneticPr fontId="68" type="noConversion"/>
  </si>
  <si>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</si>
  <si>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phoneticPr fontId="68" type="noConversion"/>
  </si>
  <si>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</si>
  <si>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</si>
  <si>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r>
      <rPr>
        <sz val="10"/>
        <color theme="1"/>
        <rFont val="宋体"/>
        <family val="3"/>
        <charset val="134"/>
      </rPr>
      <t>怪物杀手</t>
    </r>
    <phoneticPr fontId="68" type="noConversion"/>
  </si>
  <si>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</si>
  <si>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</si>
  <si>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</si>
  <si>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phoneticPr fontId="68" type="noConversion"/>
  </si>
  <si>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</si>
  <si>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</si>
  <si>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</si>
  <si>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</si>
  <si>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</si>
  <si>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</si>
  <si>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</si>
  <si>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</si>
  <si>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</si>
  <si>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phoneticPr fontId="68" type="noConversion"/>
  </si>
  <si>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</si>
  <si>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</si>
  <si>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r>
      <rPr>
        <sz val="10"/>
        <color theme="1"/>
        <rFont val="宋体"/>
        <family val="3"/>
        <charset val="134"/>
      </rPr>
      <t>集群牧者</t>
    </r>
  </si>
  <si>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</si>
  <si>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phoneticPr fontId="68" type="noConversion"/>
  </si>
  <si>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</si>
  <si>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</si>
  <si>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</si>
  <si>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</si>
  <si>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</si>
  <si>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</si>
  <si>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</si>
  <si>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</si>
  <si>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</si>
  <si>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phoneticPr fontId="68" type="noConversion"/>
  </si>
  <si>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</si>
  <si>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</si>
  <si>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r>
      <rPr>
        <sz val="10"/>
        <color theme="1"/>
        <rFont val="宋体"/>
        <family val="3"/>
        <charset val="134"/>
      </rPr>
      <t>龙兽守卫</t>
    </r>
    <phoneticPr fontId="68" type="noConversion"/>
  </si>
  <si>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</si>
  <si>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phoneticPr fontId="68" type="noConversion"/>
  </si>
  <si>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</si>
  <si>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</si>
  <si>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</si>
  <si>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</si>
  <si>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</si>
  <si>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</si>
  <si>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</si>
  <si>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phoneticPr fontId="68" type="noConversion"/>
  </si>
  <si>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</si>
  <si>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</si>
  <si>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r>
      <rPr>
        <sz val="10"/>
        <color theme="1"/>
        <rFont val="宋体"/>
        <family val="3"/>
        <charset val="134"/>
      </rPr>
      <t>荒径守护者</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</si>
  <si>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</si>
  <si>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phoneticPr fontId="68" type="noConversion"/>
  </si>
  <si>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</si>
  <si>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</si>
  <si>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</si>
  <si>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</si>
  <si>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</si>
  <si>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phoneticPr fontId="68" type="noConversion"/>
  </si>
  <si>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</si>
  <si>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</si>
  <si>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</si>
  <si>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</si>
  <si>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</si>
  <si>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</si>
  <si>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</si>
  <si>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</si>
  <si>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</si>
  <si>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</si>
  <si>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</si>
  <si>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</si>
  <si>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</si>
  <si>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</si>
  <si>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</si>
  <si>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</si>
  <si>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</si>
  <si>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</si>
  <si>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</si>
  <si>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</si>
  <si>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</si>
  <si>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</si>
  <si>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</si>
  <si>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</si>
  <si>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</si>
  <si>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</si>
  <si>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</si>
  <si>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</si>
  <si>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</si>
  <si>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</si>
  <si>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</si>
  <si>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</si>
  <si>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</si>
  <si>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</si>
  <si>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</si>
  <si>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</si>
  <si>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</si>
  <si>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</si>
  <si>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r>
      <rPr>
        <sz val="10"/>
        <color theme="1"/>
        <rFont val="宋体"/>
        <family val="3"/>
        <charset val="134"/>
      </rPr>
      <t>调查员</t>
    </r>
  </si>
  <si>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</si>
  <si>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</si>
  <si>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</si>
  <si>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phoneticPr fontId="68" type="noConversion"/>
  </si>
  <si>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</si>
  <si>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</si>
  <si>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</si>
  <si>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</si>
  <si>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r>
      <rPr>
        <sz val="10"/>
        <color theme="1"/>
        <rFont val="宋体"/>
        <family val="3"/>
        <charset val="134"/>
      </rPr>
      <t>策士</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</si>
  <si>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</si>
  <si>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phoneticPr fontId="68" type="noConversion"/>
  </si>
  <si>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</si>
  <si>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</si>
  <si>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r>
      <rPr>
        <sz val="10"/>
        <color theme="1"/>
        <rFont val="宋体"/>
        <family val="3"/>
        <charset val="134"/>
      </rPr>
      <t>斥候</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</si>
  <si>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</si>
  <si>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phoneticPr fontId="68" type="noConversion"/>
  </si>
  <si>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</si>
  <si>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</si>
  <si>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r>
      <rPr>
        <sz val="10"/>
        <color theme="1"/>
        <rFont val="宋体"/>
        <family val="3"/>
        <charset val="134"/>
      </rPr>
      <t>游荡剑客</t>
    </r>
  </si>
  <si>
    <r>
      <rPr>
        <sz val="10"/>
        <color theme="1"/>
        <rFont val="宋体"/>
        <family val="3"/>
        <charset val="134"/>
      </rPr>
      <t>你选择以下技能中的一个并获得其熟练：动物驯服，历史，洞察，表演和劝说。
或者，你学会一门你选择的语言。</t>
    </r>
    <phoneticPr fontId="68" type="noConversion"/>
  </si>
  <si>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</si>
  <si>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</si>
  <si>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鬼魅</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</si>
  <si>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</si>
  <si>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phoneticPr fontId="68" type="noConversion"/>
  </si>
  <si>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</si>
  <si>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</si>
  <si>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r>
      <rPr>
        <sz val="10"/>
        <color theme="1"/>
        <rFont val="宋体"/>
        <family val="3"/>
        <charset val="134"/>
      </rPr>
      <t>暗影潜行者</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</si>
  <si>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</si>
  <si>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phoneticPr fontId="68" type="noConversion"/>
  </si>
  <si>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</si>
  <si>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</si>
  <si>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</si>
  <si>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phoneticPr fontId="68" type="noConversion"/>
  </si>
  <si>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</si>
  <si>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</si>
  <si>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</si>
  <si>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phoneticPr fontId="68" type="noConversion"/>
  </si>
  <si>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</si>
  <si>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</si>
  <si>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</si>
  <si>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phoneticPr fontId="68" type="noConversion"/>
  </si>
  <si>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</si>
  <si>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</si>
  <si>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</si>
  <si>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phoneticPr fontId="68" type="noConversion"/>
  </si>
  <si>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</si>
  <si>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</si>
  <si>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r>
      <rPr>
        <sz val="10"/>
        <color theme="1"/>
        <rFont val="宋体"/>
        <family val="3"/>
        <charset val="134"/>
      </rPr>
      <t>神圣之魂</t>
    </r>
    <phoneticPr fontId="68" type="noConversion"/>
  </si>
  <si>
    <r>
      <rPr>
        <sz val="10"/>
        <color theme="1"/>
        <rFont val="宋体"/>
        <family val="3"/>
        <charset val="134"/>
      </rPr>
      <t>你获得以下你选择的技能熟练：历史、洞察、表演和劝说。
或者，你学会一门你选择的语言。</t>
    </r>
    <phoneticPr fontId="68" type="noConversion"/>
  </si>
  <si>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</si>
  <si>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</si>
  <si>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r>
      <rPr>
        <sz val="10"/>
        <color theme="1"/>
        <rFont val="宋体"/>
        <family val="3"/>
        <charset val="134"/>
      </rPr>
      <t>幽影魔法</t>
    </r>
    <phoneticPr fontId="68" type="noConversion"/>
  </si>
  <si>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</si>
  <si>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phoneticPr fontId="68" type="noConversion"/>
  </si>
  <si>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</si>
  <si>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phoneticPr fontId="68" type="noConversion"/>
  </si>
  <si>
    <r>
      <rPr>
        <sz val="10"/>
        <color theme="1"/>
        <rFont val="宋体"/>
        <family val="3"/>
        <charset val="134"/>
      </rPr>
      <t>风暴术法</t>
    </r>
    <phoneticPr fontId="68" type="noConversion"/>
  </si>
  <si>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</si>
  <si>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phoneticPr fontId="68" type="noConversion"/>
  </si>
  <si>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</si>
  <si>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phoneticPr fontId="68" type="noConversion"/>
  </si>
  <si>
    <r>
      <rPr>
        <sz val="10"/>
        <color theme="1"/>
        <rFont val="宋体"/>
        <family val="3"/>
        <charset val="134"/>
      </rPr>
      <t>不懈</t>
    </r>
  </si>
  <si>
    <r>
      <rPr>
        <sz val="10"/>
        <color theme="1"/>
        <rFont val="宋体"/>
        <family val="3"/>
        <charset val="134"/>
      </rPr>
      <t>当你投先攻且没有剩余的战意使用次数时，你重新获得一次使用机会。</t>
    </r>
    <phoneticPr fontId="68" type="noConversion"/>
  </si>
  <si>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</si>
  <si>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phoneticPr fontId="68" type="noConversion"/>
  </si>
  <si>
    <r>
      <rPr>
        <sz val="10"/>
        <color theme="1"/>
        <rFont val="宋体"/>
        <family val="3"/>
        <charset val="134"/>
      </rPr>
      <t>饥欲之暗</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</si>
  <si>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</si>
  <si>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phoneticPr fontId="68" type="noConversion"/>
  </si>
  <si>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</si>
  <si>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phoneticPr fontId="68" type="noConversion"/>
  </si>
  <si>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</si>
  <si>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phoneticPr fontId="68" type="noConversion"/>
  </si>
  <si>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</si>
  <si>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phoneticPr fontId="68" type="noConversion"/>
  </si>
  <si>
    <r>
      <rPr>
        <sz val="10"/>
        <color theme="1"/>
        <rFont val="宋体"/>
        <family val="3"/>
        <charset val="134"/>
      </rPr>
      <t>额外熟练项</t>
    </r>
  </si>
  <si>
    <r>
      <rPr>
        <sz val="10"/>
        <color theme="1"/>
        <rFont val="宋体"/>
        <family val="3"/>
        <charset val="134"/>
      </rPr>
      <t>你获得对于铁匠工具的熟练项，并且你学会了说、读和写巨人语。</t>
    </r>
    <phoneticPr fontId="68" type="noConversion"/>
  </si>
  <si>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</si>
  <si>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</si>
  <si>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</si>
  <si>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8" type="noConversion"/>
  </si>
  <si>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</si>
  <si>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</si>
  <si>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</si>
  <si>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</si>
  <si>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</si>
  <si>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phoneticPr fontId="68" type="noConversion"/>
  </si>
  <si>
    <r>
      <rPr>
        <sz val="10"/>
        <color theme="1"/>
        <rFont val="宋体"/>
        <family val="3"/>
        <charset val="134"/>
      </rPr>
      <t>咒剑</t>
    </r>
    <phoneticPr fontId="68" type="noConversion"/>
  </si>
  <si>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</si>
  <si>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</si>
  <si>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</si>
  <si>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</si>
  <si>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</si>
  <si>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</si>
  <si>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</si>
  <si>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</si>
  <si>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r>
      <rPr>
        <sz val="10"/>
        <color theme="1"/>
        <rFont val="宋体"/>
        <family val="3"/>
        <charset val="134"/>
      </rPr>
      <t>深海意志</t>
    </r>
    <phoneticPr fontId="68" type="noConversion"/>
  </si>
  <si>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</si>
  <si>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</si>
  <si>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</si>
  <si>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phoneticPr fontId="68" type="noConversion"/>
  </si>
  <si>
    <r>
      <rPr>
        <sz val="10"/>
        <color theme="1"/>
        <rFont val="宋体"/>
        <family val="3"/>
        <charset val="134"/>
      </rPr>
      <t>死灵宗主</t>
    </r>
    <phoneticPr fontId="68" type="noConversion"/>
  </si>
  <si>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phoneticPr fontId="68" type="noConversion"/>
  </si>
  <si>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</si>
  <si>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phoneticPr fontId="68" type="noConversion"/>
  </si>
  <si>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</si>
  <si>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phoneticPr fontId="68" type="noConversion"/>
  </si>
  <si>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</si>
  <si>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phoneticPr fontId="68" type="noConversion"/>
  </si>
  <si>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</si>
  <si>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</si>
  <si>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</si>
  <si>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</si>
  <si>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</si>
  <si>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</si>
  <si>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</si>
  <si>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</si>
  <si>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</si>
  <si>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phoneticPr fontId="68" type="noConversion"/>
  </si>
  <si>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</si>
  <si>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phoneticPr fontId="68" type="noConversion"/>
  </si>
  <si>
    <r>
      <rPr>
        <sz val="10"/>
        <color theme="1"/>
        <rFont val="宋体"/>
        <family val="3"/>
        <charset val="134"/>
      </rPr>
      <t>战争魔法</t>
    </r>
    <phoneticPr fontId="68" type="noConversion"/>
  </si>
  <si>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</si>
  <si>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phoneticPr fontId="68" type="noConversion"/>
  </si>
  <si>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</si>
  <si>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phoneticPr fontId="68" type="noConversion"/>
  </si>
  <si>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</si>
  <si>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</si>
  <si>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</si>
  <si>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phoneticPr fontId="68" type="noConversion"/>
  </si>
  <si>
    <r>
      <rPr>
        <sz val="10"/>
        <color theme="1"/>
        <rFont val="宋体"/>
        <family val="3"/>
        <charset val="134"/>
      </rPr>
      <t>书士会</t>
    </r>
    <phoneticPr fontId="68" type="noConversion"/>
  </si>
  <si>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</si>
  <si>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</si>
  <si>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</si>
  <si>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</si>
  <si>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</si>
  <si>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</si>
  <si>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</si>
  <si>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phoneticPr fontId="68" type="noConversion"/>
  </si>
  <si>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</si>
  <si>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</si>
  <si>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</si>
  <si>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phoneticPr fontId="68" type="noConversion"/>
  </si>
  <si>
    <r>
      <rPr>
        <sz val="10"/>
        <color theme="1"/>
        <rFont val="宋体"/>
        <family val="3"/>
        <charset val="134"/>
      </rPr>
      <t>装甲师</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</si>
  <si>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</si>
  <si>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</si>
  <si>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</si>
  <si>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8" type="noConversion"/>
  </si>
  <si>
    <r>
      <rPr>
        <sz val="10"/>
        <color theme="1"/>
        <rFont val="宋体"/>
        <family val="3"/>
        <charset val="134"/>
      </rPr>
      <t>魔炮师</t>
    </r>
  </si>
  <si>
    <r>
      <rPr>
        <sz val="10"/>
        <color theme="1"/>
        <rFont val="宋体"/>
        <family val="3"/>
        <charset val="134"/>
      </rPr>
      <t>坚韧之仪</t>
    </r>
  </si>
  <si>
    <r>
      <rPr>
        <sz val="10"/>
        <color theme="1"/>
        <rFont val="宋体"/>
        <family val="3"/>
        <charset val="134"/>
      </rPr>
      <t>你在完成一次短休或长休后重新获得所有激励之仪的使用次数。</t>
    </r>
  </si>
  <si>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</si>
  <si>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phoneticPr fontId="68" type="noConversion"/>
  </si>
  <si>
    <r>
      <rPr>
        <sz val="10"/>
        <color theme="1"/>
        <rFont val="宋体"/>
        <family val="3"/>
        <charset val="134"/>
      </rPr>
      <t>超凡壮举</t>
    </r>
  </si>
  <si>
    <r>
      <rPr>
        <sz val="10"/>
        <color theme="1"/>
        <rFont val="宋体"/>
        <family val="3"/>
        <charset val="134"/>
      </rPr>
      <t>当你使用英雄壮举特性时，你可以指定至多两个生物为目标，而非一个。</t>
    </r>
  </si>
  <si>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</si>
  <si>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phoneticPr fontId="68" type="noConversion"/>
  </si>
  <si>
    <r>
      <rPr>
        <sz val="10"/>
        <color theme="1"/>
        <rFont val="宋体"/>
        <family val="3"/>
        <charset val="134"/>
      </rPr>
      <t>制图师</t>
    </r>
  </si>
  <si>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</si>
  <si>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phoneticPr fontId="68" type="noConversion"/>
  </si>
  <si>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</si>
  <si>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phoneticPr fontId="68" type="noConversion"/>
  </si>
  <si>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</si>
  <si>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</si>
  <si>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</si>
  <si>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</si>
  <si>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</si>
  <si>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</si>
  <si>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</si>
  <si>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</si>
  <si>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</si>
  <si>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</si>
  <si>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</si>
  <si>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</si>
  <si>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t>见注释，或自选至多三项</t>
  </si>
  <si>
    <t>自选一项起源专长</t>
  </si>
  <si>
    <t>自选任意两项</t>
  </si>
  <si>
    <t>一种自选的工匠工具</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</si>
  <si>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</si>
  <si>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智力</t>
    <phoneticPr fontId="68" type="noConversion"/>
  </si>
  <si>
    <t>25GP</t>
    <phoneticPr fontId="68" type="noConversion"/>
  </si>
  <si>
    <t>15GP</t>
    <phoneticPr fontId="68" type="noConversion"/>
  </si>
  <si>
    <t>这套工具能让你采集物件上留下的指纹细节，并将其与另一生物的指纹进行比对。它包括一个印台、羊皮纸以及滑石粉。</t>
    <phoneticPr fontId="68" type="noConversion"/>
  </si>
  <si>
    <t>显现物件上留下的指纹并描摹其副本（DC20），或将描摹的指纹副本与一个类人生物的指纹进行比对（DC15）。</t>
    <phoneticPr fontId="68" type="noConversion"/>
  </si>
  <si>
    <t>魅力</t>
    <phoneticPr fontId="68" type="noConversion"/>
  </si>
  <si>
    <t>通灵板是一块写满字母的木板，通常是通用语字母，但也有适用于不同文字的版本。你可以用它来联络以太位面生物，与之进行有限的交流。</t>
    <phoneticPr fontId="68" type="noConversion"/>
  </si>
  <si>
    <t>与30尺内的一个以太位面生物交换最多10个单词的信息（DC15）。</t>
    <phoneticPr fontId="68" type="noConversion"/>
  </si>
  <si>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</si>
  <si>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</si>
  <si>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</si>
  <si>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</si>
  <si>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</si>
  <si>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</si>
  <si>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</si>
  <si>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</si>
  <si>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</si>
  <si>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</si>
  <si>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</si>
  <si>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</si>
  <si>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</si>
  <si>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</si>
  <si>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</si>
  <si>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</si>
  <si>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</si>
  <si>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</si>
  <si>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</si>
  <si>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</si>
  <si>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</si>
  <si>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</si>
  <si>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</si>
  <si>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</si>
  <si>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</si>
  <si>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</si>
  <si>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</si>
  <si>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</si>
  <si>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</si>
  <si>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</si>
  <si>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</si>
  <si>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</si>
  <si>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</si>
  <si>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</si>
  <si>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</si>
  <si>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</si>
  <si>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</si>
  <si>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</si>
  <si>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</si>
  <si>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</si>
  <si>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</si>
  <si>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</si>
  <si>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</si>
  <si>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</si>
  <si>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</si>
  <si>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</si>
  <si>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</si>
  <si>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</si>
  <si>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</si>
  <si>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</si>
  <si>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</si>
  <si>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</si>
  <si>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</si>
  <si>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</si>
  <si>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</si>
  <si>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</si>
  <si>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</si>
  <si>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</si>
  <si>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</si>
  <si>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</si>
  <si>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</si>
  <si>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</si>
  <si>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</si>
  <si>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</si>
  <si>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</si>
  <si>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</si>
  <si>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</si>
  <si>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</si>
  <si>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</si>
  <si>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</si>
  <si>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</si>
  <si>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</si>
  <si>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</si>
  <si>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</si>
  <si>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</si>
  <si>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</si>
  <si>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</si>
  <si>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</si>
  <si>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phoneticPr fontId="68" type="noConversion"/>
  </si>
  <si>
    <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phoneticPr fontId="68" type="noConversion"/>
  </si>
  <si>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</si>
  <si>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t>18+</t>
    <phoneticPr fontId="68" type="noConversion"/>
  </si>
  <si>
    <t>11+</t>
    <phoneticPr fontId="68" type="noConversion"/>
  </si>
  <si>
    <t>3+</t>
    <phoneticPr fontId="68" type="noConversion"/>
  </si>
  <si>
    <r>
      <rPr>
        <sz val="10"/>
        <color theme="1"/>
        <rFont val="宋体"/>
        <family val="3"/>
        <charset val="134"/>
      </rPr>
      <t>渎魂圣约</t>
    </r>
    <phoneticPr fontId="68" type="noConversion"/>
  </si>
  <si>
    <r>
      <rPr>
        <sz val="11"/>
        <rFont val="宋体"/>
        <family val="3"/>
        <charset val="134"/>
      </rPr>
      <t>血猎手</t>
    </r>
    <phoneticPr fontId="68" type="noConversion"/>
  </si>
  <si>
    <r>
      <rPr>
        <sz val="10"/>
        <color theme="1"/>
        <rFont val="宋体"/>
        <family val="3"/>
        <charset val="134"/>
      </rPr>
      <t>血猎手</t>
    </r>
    <phoneticPr fontId="68" type="noConversion"/>
  </si>
  <si>
    <r>
      <rPr>
        <sz val="10"/>
        <color theme="1"/>
        <rFont val="宋体"/>
        <family val="3"/>
        <charset val="134"/>
      </rPr>
      <t>敏捷与智力</t>
    </r>
    <phoneticPr fontId="68" type="noConversion"/>
  </si>
  <si>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phoneticPr fontId="68" type="noConversion"/>
  </si>
  <si>
    <r>
      <rPr>
        <sz val="10"/>
        <color theme="1"/>
        <rFont val="宋体"/>
        <family val="3"/>
        <charset val="134"/>
      </rPr>
      <t>简易和军用武器</t>
    </r>
    <phoneticPr fontId="68" type="noConversion"/>
  </si>
  <si>
    <r>
      <rPr>
        <sz val="10"/>
        <color theme="1"/>
        <rFont val="宋体"/>
        <family val="3"/>
        <charset val="134"/>
      </rPr>
      <t>炼金工具</t>
    </r>
    <phoneticPr fontId="68" type="noConversion"/>
  </si>
  <si>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phoneticPr fontId="68" type="noConversion"/>
  </si>
  <si>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</si>
  <si>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phoneticPr fontId="68" type="noConversion"/>
  </si>
  <si>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</si>
  <si>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phoneticPr fontId="68" type="noConversion"/>
  </si>
  <si>
    <r>
      <rPr>
        <sz val="10"/>
        <color theme="1"/>
        <rFont val="宋体"/>
        <family val="3"/>
        <charset val="134"/>
      </rPr>
      <t>焦虑血咒</t>
    </r>
    <phoneticPr fontId="68" type="noConversion"/>
  </si>
  <si>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phoneticPr fontId="68" type="noConversion"/>
  </si>
  <si>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phoneticPr fontId="68" type="noConversion"/>
  </si>
  <si>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</si>
  <si>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phoneticPr fontId="68" type="noConversion"/>
  </si>
  <si>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</si>
  <si>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phoneticPr fontId="68" type="noConversion"/>
  </si>
  <si>
    <r>
      <rPr>
        <sz val="10"/>
        <color theme="1"/>
        <rFont val="宋体"/>
        <family val="3"/>
        <charset val="134"/>
      </rPr>
      <t>施法属性</t>
    </r>
    <phoneticPr fontId="68" type="noConversion"/>
  </si>
  <si>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</si>
  <si>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phoneticPr fontId="68" type="noConversion"/>
  </si>
  <si>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</si>
  <si>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phoneticPr fontId="68" type="noConversion"/>
  </si>
  <si>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</si>
  <si>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</si>
  <si>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你获得一项战斗风格专长（见第五章）。</t>
    </r>
    <phoneticPr fontId="68" type="noConversion"/>
  </si>
  <si>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</si>
  <si>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phoneticPr fontId="68" type="noConversion"/>
  </si>
  <si>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</si>
  <si>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phoneticPr fontId="68" type="noConversion"/>
  </si>
  <si>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phoneticPr fontId="68" type="noConversion"/>
  </si>
  <si>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</si>
  <si>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phoneticPr fontId="68" type="noConversion"/>
  </si>
  <si>
    <r>
      <rPr>
        <sz val="10"/>
        <color theme="1"/>
        <rFont val="宋体"/>
        <family val="3"/>
        <charset val="134"/>
      </rPr>
      <t>烈焰血仪</t>
    </r>
    <phoneticPr fontId="68" type="noConversion"/>
  </si>
  <si>
    <r>
      <rPr>
        <sz val="10"/>
        <color theme="1"/>
        <rFont val="宋体"/>
        <family val="3"/>
        <charset val="134"/>
      </rPr>
      <t>猩红仪式造成的额外伤害是火焰伤害。</t>
    </r>
    <phoneticPr fontId="68" type="noConversion"/>
  </si>
  <si>
    <r>
      <rPr>
        <sz val="10"/>
        <color theme="1"/>
        <rFont val="宋体"/>
        <family val="3"/>
        <charset val="134"/>
      </rPr>
      <t>冻结血仪</t>
    </r>
    <phoneticPr fontId="68" type="noConversion"/>
  </si>
  <si>
    <r>
      <rPr>
        <sz val="10"/>
        <color theme="1"/>
        <rFont val="宋体"/>
        <family val="3"/>
        <charset val="134"/>
      </rPr>
      <t>猩红仪式造成的额外伤害是寒冷伤害。</t>
    </r>
    <phoneticPr fontId="68" type="noConversion"/>
  </si>
  <si>
    <r>
      <rPr>
        <sz val="10"/>
        <color theme="1"/>
        <rFont val="宋体"/>
        <family val="3"/>
        <charset val="134"/>
      </rPr>
      <t>风暴血仪</t>
    </r>
    <phoneticPr fontId="68" type="noConversion"/>
  </si>
  <si>
    <r>
      <rPr>
        <sz val="10"/>
        <color theme="1"/>
        <rFont val="宋体"/>
        <family val="3"/>
        <charset val="134"/>
      </rPr>
      <t>猩红仪式造成的额外伤害是闪电伤害。</t>
    </r>
    <phoneticPr fontId="68" type="noConversion"/>
  </si>
  <si>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</si>
  <si>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phoneticPr fontId="68" type="noConversion"/>
  </si>
  <si>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</si>
  <si>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</si>
  <si>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phoneticPr fontId="68" type="noConversion"/>
  </si>
  <si>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</si>
  <si>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phoneticPr fontId="68" type="noConversion"/>
  </si>
  <si>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</si>
  <si>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</si>
  <si>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</si>
  <si>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phoneticPr fontId="68" type="noConversion"/>
  </si>
  <si>
    <r>
      <rPr>
        <sz val="10"/>
        <color theme="1"/>
        <rFont val="宋体"/>
        <family val="3"/>
        <charset val="134"/>
      </rPr>
      <t>刚毅灵魂</t>
    </r>
  </si>
  <si>
    <r>
      <rPr>
        <sz val="10"/>
        <color theme="1"/>
        <rFont val="宋体"/>
        <family val="3"/>
        <charset val="134"/>
      </rPr>
      <t>你在对抗魅惑或恐惧的豁免检定中具有优势。</t>
    </r>
    <phoneticPr fontId="68" type="noConversion"/>
  </si>
  <si>
    <r>
      <rPr>
        <sz val="10"/>
        <color theme="1"/>
        <rFont val="宋体"/>
        <family val="3"/>
        <charset val="134"/>
      </rPr>
      <t>死亡血仪</t>
    </r>
    <phoneticPr fontId="68" type="noConversion"/>
  </si>
  <si>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</si>
  <si>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神谕血仪</t>
    </r>
    <phoneticPr fontId="68" type="noConversion"/>
  </si>
  <si>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</si>
  <si>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轰鸣血仪</t>
    </r>
    <phoneticPr fontId="68" type="noConversion"/>
  </si>
  <si>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</si>
  <si>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</si>
  <si>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phoneticPr fontId="68" type="noConversion"/>
  </si>
  <si>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</si>
  <si>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phoneticPr fontId="68" type="noConversion"/>
  </si>
  <si>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</si>
  <si>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phoneticPr fontId="68" type="noConversion"/>
  </si>
  <si>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</si>
  <si>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phoneticPr fontId="68" type="noConversion"/>
  </si>
  <si>
    <r>
      <rPr>
        <sz val="10"/>
        <color theme="1"/>
        <rFont val="宋体"/>
        <family val="3"/>
        <charset val="134"/>
      </rPr>
      <t>你获得一项传奇恩惠专长或其他一项你选择的适用的专长。</t>
    </r>
    <phoneticPr fontId="68" type="noConversion"/>
  </si>
  <si>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</si>
  <si>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phoneticPr fontId="68" type="noConversion"/>
  </si>
  <si>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</si>
  <si>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phoneticPr fontId="68" type="noConversion"/>
  </si>
  <si>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</si>
  <si>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phoneticPr fontId="68" type="noConversion"/>
  </si>
  <si>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</si>
  <si>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phoneticPr fontId="68" type="noConversion"/>
  </si>
  <si>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</si>
  <si>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phoneticPr fontId="68" type="noConversion"/>
  </si>
  <si>
    <r>
      <rPr>
        <sz val="10"/>
        <color theme="1"/>
        <rFont val="宋体"/>
        <family val="3"/>
        <charset val="134"/>
      </rPr>
      <t>你磨练了你的鲜血秘法，可以以其撕碎你同伴身上的邪恶影响，并惩罚渗透他们身体与意志的存在。你学会驱魔血咒，且不计入你的已知血咒数量。</t>
    </r>
    <phoneticPr fontId="68" type="noConversion"/>
  </si>
  <si>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</si>
  <si>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phoneticPr fontId="68" type="noConversion"/>
  </si>
  <si>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</si>
  <si>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phoneticPr fontId="68" type="noConversion"/>
  </si>
  <si>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</si>
  <si>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phoneticPr fontId="68" type="noConversion"/>
  </si>
  <si>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</si>
  <si>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phoneticPr fontId="68" type="noConversion"/>
  </si>
  <si>
    <r>
      <rPr>
        <sz val="10"/>
        <color theme="1"/>
        <rFont val="宋体"/>
        <family val="3"/>
        <charset val="134"/>
      </rPr>
      <t>混种变形特性</t>
    </r>
    <phoneticPr fontId="68" type="noConversion"/>
  </si>
  <si>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phoneticPr fontId="68" type="noConversion"/>
  </si>
  <si>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</si>
  <si>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phoneticPr fontId="68" type="noConversion"/>
  </si>
  <si>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</si>
  <si>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phoneticPr fontId="68" type="noConversion"/>
  </si>
  <si>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</si>
  <si>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phoneticPr fontId="68" type="noConversion"/>
  </si>
  <si>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</si>
  <si>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phoneticPr fontId="68" type="noConversion"/>
  </si>
  <si>
    <r>
      <rPr>
        <sz val="10"/>
        <color theme="1"/>
        <rFont val="宋体"/>
        <family val="3"/>
        <charset val="134"/>
      </rPr>
      <t>诱变技艺</t>
    </r>
    <phoneticPr fontId="68" type="noConversion"/>
  </si>
  <si>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phoneticPr fontId="68" type="noConversion"/>
  </si>
  <si>
    <r>
      <rPr>
        <sz val="10"/>
        <color theme="1"/>
        <rFont val="宋体"/>
        <family val="3"/>
        <charset val="134"/>
      </rPr>
      <t>炼金公式</t>
    </r>
    <phoneticPr fontId="68" type="noConversion"/>
  </si>
  <si>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phoneticPr fontId="68" type="noConversion"/>
  </si>
  <si>
    <r>
      <rPr>
        <sz val="10"/>
        <color theme="1"/>
        <rFont val="宋体"/>
        <family val="3"/>
        <charset val="134"/>
      </rPr>
      <t>诱变剂</t>
    </r>
    <phoneticPr fontId="68" type="noConversion"/>
  </si>
  <si>
    <r>
      <rPr>
        <sz val="10"/>
        <color theme="1"/>
        <rFont val="宋体"/>
        <family val="3"/>
        <charset val="134"/>
      </rPr>
      <t>突变剂是你鲜血秘法的一部分。你可以在满足先决条件的同时学习诱变剂。</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</si>
  <si>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</si>
  <si>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</si>
  <si>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</si>
  <si>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</si>
  <si>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</si>
  <si>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</si>
  <si>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</si>
  <si>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</si>
  <si>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</si>
  <si>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</si>
  <si>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</si>
  <si>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</si>
  <si>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</si>
  <si>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</si>
  <si>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</si>
  <si>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</si>
  <si>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</si>
  <si>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</si>
  <si>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</si>
  <si>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</si>
  <si>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</si>
  <si>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</si>
  <si>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</si>
  <si>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</si>
  <si>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</si>
  <si>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</si>
  <si>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</si>
  <si>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</si>
  <si>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</si>
  <si>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</si>
  <si>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奇异代谢</t>
    </r>
    <phoneticPr fontId="68" type="noConversion"/>
  </si>
  <si>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</si>
  <si>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</si>
  <si>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</si>
  <si>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真理烙印</t>
    </r>
    <phoneticPr fontId="68" type="noConversion"/>
  </si>
  <si>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</si>
  <si>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</si>
  <si>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</si>
  <si>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</si>
  <si>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</si>
  <si>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</si>
  <si>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</si>
  <si>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腐蚀血咒</t>
    </r>
    <phoneticPr fontId="68" type="noConversion"/>
  </si>
  <si>
    <r>
      <rPr>
        <sz val="10"/>
        <color theme="1"/>
        <rFont val="宋体"/>
        <family val="3"/>
        <charset val="134"/>
      </rPr>
      <t>你的血咒可以用骇人的毒素折磨生物的身体。你学会腐蚀血咒，且不计入你的已知血咒数量。</t>
    </r>
    <phoneticPr fontId="68" type="noConversion"/>
  </si>
  <si>
    <r>
      <rPr>
        <sz val="10"/>
        <color theme="1"/>
        <rFont val="宋体"/>
        <family val="3"/>
        <charset val="134"/>
      </rPr>
      <t>高等突变</t>
    </r>
    <phoneticPr fontId="68" type="noConversion"/>
  </si>
  <si>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phoneticPr fontId="68" type="noConversion"/>
  </si>
  <si>
    <r>
      <rPr>
        <sz val="10"/>
        <color theme="1"/>
        <rFont val="宋体"/>
        <family val="3"/>
        <charset val="134"/>
      </rPr>
      <t>异界宗主</t>
    </r>
    <phoneticPr fontId="68" type="noConversion"/>
  </si>
  <si>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phoneticPr fontId="68" type="noConversion"/>
  </si>
  <si>
    <r>
      <rPr>
        <sz val="10"/>
        <color theme="1"/>
        <rFont val="宋体"/>
        <family val="3"/>
        <charset val="134"/>
      </rPr>
      <t>契约魔法</t>
    </r>
    <phoneticPr fontId="68" type="noConversion"/>
  </si>
  <si>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phoneticPr fontId="68" type="noConversion"/>
  </si>
  <si>
    <r>
      <rPr>
        <sz val="10"/>
        <color theme="1"/>
        <rFont val="宋体"/>
        <family val="3"/>
        <charset val="134"/>
      </rPr>
      <t>戏法</t>
    </r>
    <phoneticPr fontId="68" type="noConversion"/>
  </si>
  <si>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phoneticPr fontId="68" type="noConversion"/>
  </si>
  <si>
    <r>
      <rPr>
        <sz val="10"/>
        <color theme="1"/>
        <rFont val="宋体"/>
        <family val="3"/>
        <charset val="134"/>
      </rPr>
      <t>法术位</t>
    </r>
    <phoneticPr fontId="68" type="noConversion"/>
  </si>
  <si>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phoneticPr fontId="68" type="noConversion"/>
  </si>
  <si>
    <r>
      <t xml:space="preserve">1 </t>
    </r>
    <r>
      <rPr>
        <sz val="10"/>
        <color theme="1"/>
        <rFont val="宋体"/>
        <family val="3"/>
        <charset val="134"/>
      </rPr>
      <t>环及更高环阶的已知法术</t>
    </r>
    <phoneticPr fontId="68" type="noConversion"/>
  </si>
  <si>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phoneticPr fontId="68" type="noConversion"/>
  </si>
  <si>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phoneticPr fontId="68" type="noConversion"/>
  </si>
  <si>
    <r>
      <rPr>
        <sz val="10"/>
        <color theme="1"/>
        <rFont val="宋体"/>
        <family val="3"/>
        <charset val="134"/>
      </rPr>
      <t>崇高猫猫庭</t>
    </r>
  </si>
  <si>
    <r>
      <rPr>
        <sz val="10"/>
        <color theme="1"/>
        <rFont val="宋体"/>
        <family val="3"/>
        <charset val="134"/>
      </rPr>
      <t>司书</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</si>
  <si>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</si>
  <si>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</si>
  <si>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</si>
  <si>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渎魂圣约</t>
    </r>
  </si>
  <si>
    <t>EGtW</t>
    <phoneticPr fontId="68" type="noConversion"/>
  </si>
  <si>
    <t>欺瞒，表演</t>
    <phoneticPr fontId="68" type="noConversion"/>
  </si>
  <si>
    <t>一种乐器、盗贼工具</t>
    <phoneticPr fontId="68" type="noConversion"/>
  </si>
  <si>
    <t>高档服装、易容工具、一件任选乐器、绘有笑面图案的镀金戒指、以及一个装有15GP的小包</t>
    <phoneticPr fontId="68" type="noConversion"/>
  </si>
  <si>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phoneticPr fontId="68" type="noConversion"/>
  </si>
  <si>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phoneticPr fontId="68" type="noConversion"/>
  </si>
  <si>
    <t>制毒工具</t>
    <phoneticPr fontId="68" type="noConversion"/>
  </si>
  <si>
    <t>普通服装、制毒工具、带兜帽的黑色斗篷、以及一个装有10GP的小包</t>
    <phoneticPr fontId="68" type="noConversion"/>
  </si>
  <si>
    <t>血猎手职业</t>
  </si>
  <si>
    <t>塔莎的万事坩埚</t>
  </si>
  <si>
    <t>荒州冒险家指南</t>
  </si>
  <si>
    <t>魔邓肯巨献：多元宇宙的怪物</t>
  </si>
  <si>
    <t>塔尔多雷重制版</t>
  </si>
  <si>
    <t>费资本的巨龙宝库</t>
  </si>
  <si>
    <t>鬼魅幽谷</t>
  </si>
  <si>
    <t>毕格比巨献：巨人之荣耀</t>
  </si>
  <si>
    <t>谦卑林</t>
  </si>
  <si>
    <t>暗潮之书</t>
  </si>
  <si>
    <t>邪狱使</t>
  </si>
  <si>
    <t>拉尼卡公会长指南</t>
  </si>
  <si>
    <t>艾伯伦：从终末战争中崛起</t>
  </si>
  <si>
    <t>胧忆岛：蒿野物语</t>
  </si>
  <si>
    <t>瓦尔达的秘密尖塔</t>
  </si>
  <si>
    <t>塞洛斯之神话奥德赛</t>
  </si>
  <si>
    <t>歪曲之月</t>
  </si>
  <si>
    <t>范·里希腾的鸦阁指南</t>
  </si>
  <si>
    <t>斯翠海文：混沌研习</t>
  </si>
  <si>
    <t>星界冒险者指南</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</si>
  <si>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phoneticPr fontId="68" type="noConversion"/>
  </si>
  <si>
    <t>X</t>
    <phoneticPr fontId="68" type="noConversion"/>
  </si>
  <si>
    <t>德拉肯海姆</t>
    <phoneticPr fontId="68" type="noConversion"/>
  </si>
  <si>
    <t>从说服、运动、历史、威吓中选择两项。</t>
    <phoneticPr fontId="68" type="noConversion"/>
  </si>
  <si>
    <t>从奥秘、欺瞒、调查、察觉中选择两项</t>
    <phoneticPr fontId="68" type="noConversion"/>
  </si>
  <si>
    <t>从历史、宗教、奥秘、自然中选择两项</t>
    <phoneticPr fontId="68" type="noConversion"/>
  </si>
  <si>
    <t>从察觉、求生、隐匿、运动中选择两项</t>
    <phoneticPr fontId="68" type="noConversion"/>
  </si>
  <si>
    <t>调查，以及从隐匿、洞悉、察觉中选择一项</t>
    <phoneticPr fontId="68" type="noConversion"/>
  </si>
  <si>
    <t>书法工具或炼金工具</t>
    <phoneticPr fontId="68" type="noConversion"/>
  </si>
  <si>
    <t>厨师工具，和另外一种你自选的工匠工具。</t>
    <phoneticPr fontId="68" type="noConversion"/>
  </si>
  <si>
    <t>盗贼工具、制图工具</t>
    <phoneticPr fontId="68" type="noConversion"/>
  </si>
  <si>
    <t>玺戒或一个印有你家族纹章的胸针，一件以你家族颜色为主的披风，一套高档服装以及一个装有20gp的小包。</t>
    <phoneticPr fontId="68" type="noConversion"/>
  </si>
  <si>
    <t>一根由木头制成的扭曲魔杖，一件长外套，一个材料包，一个对你来说重要的护身符或其他小饰品</t>
    <phoneticPr fontId="68" type="noConversion"/>
  </si>
  <si>
    <t>一套淡色长袍，玻璃封装的一小块妄质，一根拐杖，一个镶有你所选择神明标志的护身符，一本宗教文本小册子。</t>
    <phoneticPr fontId="68" type="noConversion"/>
  </si>
  <si>
    <t>厨师用具、攀爬工具、一把铲子、一双厚手套、一件带兜帽的斗篷。</t>
    <phoneticPr fontId="68" type="noConversion"/>
  </si>
  <si>
    <t>盗贼工具、一套带有兜帽和面部遮挡物的黑色的衣物、一枚伪造贵族的玺戒、一份伪造身份证明、一套灌了铅的骰子和一副扑克牌。</t>
    <phoneticPr fontId="68" type="noConversion"/>
  </si>
  <si>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phoneticPr fontId="68" type="noConversion"/>
  </si>
  <si>
    <t>在德拉肯海姆遭毁灭之后的几年中，灾难和不幸毁灭了你的家族，而你是唯一在世的继承人，身无分文，也没有领地。你来到德拉肯海姆，希望能重建家业。</t>
    <phoneticPr fontId="68" type="noConversion"/>
  </si>
  <si>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phoneticPr fontId="68" type="noConversion"/>
  </si>
  <si>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phoneticPr fontId="68" type="noConversion"/>
  </si>
  <si>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phoneticPr fontId="68" type="noConversion"/>
  </si>
  <si>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phoneticPr fontId="68" type="noConversion"/>
  </si>
  <si>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phoneticPr fontId="68" type="noConversion"/>
  </si>
  <si>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phoneticPr fontId="68" type="noConversion"/>
  </si>
  <si>
    <t>你被失落的财宝和珍贵的文物吸引来到了德拉肯海姆。也许是因为赚取比你一生花费更多的金币的前景太过诱人，或许你是为了寻求那些具有历史或宗教意义的物品。</t>
    <phoneticPr fontId="68" type="noConversion"/>
  </si>
  <si>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phoneticPr fontId="68" type="noConversion"/>
  </si>
  <si>
    <t>药剂师</t>
    <phoneticPr fontId="68" type="noConversion"/>
  </si>
  <si>
    <t>施法</t>
  </si>
  <si>
    <t>无甲防御</t>
  </si>
  <si>
    <t>准备法术</t>
  </si>
  <si>
    <t>改变你的准备法术</t>
  </si>
  <si>
    <t>施法属性</t>
  </si>
  <si>
    <t>施法法器</t>
  </si>
  <si>
    <t>在你施展一道施法时间为一动作的法术后，你能够以一个附赠动作，使用一把武器发动一次攻击。</t>
  </si>
  <si>
    <r>
      <rPr>
        <sz val="11"/>
        <rFont val="宋体"/>
        <family val="3"/>
        <charset val="134"/>
      </rPr>
      <t>药剂师</t>
    </r>
    <phoneticPr fontId="68" type="noConversion"/>
  </si>
  <si>
    <r>
      <rPr>
        <sz val="10"/>
        <color theme="1"/>
        <rFont val="宋体"/>
        <family val="3"/>
        <charset val="134"/>
      </rPr>
      <t>药剂师</t>
    </r>
    <phoneticPr fontId="68" type="noConversion"/>
  </si>
  <si>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</si>
  <si>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</si>
  <si>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</si>
  <si>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</si>
  <si>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</si>
  <si>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</si>
  <si>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phoneticPr fontId="68" type="noConversion"/>
  </si>
  <si>
    <r>
      <rPr>
        <sz val="10"/>
        <color theme="1"/>
        <rFont val="宋体"/>
        <family val="3"/>
        <charset val="134"/>
      </rPr>
      <t>简易武器、短剑、手弩</t>
    </r>
    <phoneticPr fontId="68" type="noConversion"/>
  </si>
  <si>
    <r>
      <rPr>
        <sz val="10"/>
        <color theme="1"/>
        <rFont val="宋体"/>
        <family val="3"/>
        <charset val="134"/>
      </rPr>
      <t>任何一种工具熟练，再加上从以下工具中选择的一种：制毒工具，草药工具或炼金工具。</t>
    </r>
    <phoneticPr fontId="68" type="noConversion"/>
  </si>
  <si>
    <r>
      <rPr>
        <sz val="10"/>
        <color theme="1"/>
        <rFont val="宋体"/>
        <family val="3"/>
        <charset val="134"/>
      </rPr>
      <t>轻甲、中甲</t>
    </r>
    <phoneticPr fontId="68" type="noConversion"/>
  </si>
  <si>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phoneticPr fontId="68" type="noConversion"/>
  </si>
  <si>
    <r>
      <rPr>
        <sz val="10"/>
        <color theme="1"/>
        <rFont val="宋体"/>
        <family val="3"/>
        <charset val="134"/>
      </rPr>
      <t>药剂师施法</t>
    </r>
    <phoneticPr fontId="68" type="noConversion"/>
  </si>
  <si>
    <r>
      <rPr>
        <sz val="10"/>
        <color theme="1"/>
        <rFont val="宋体"/>
        <family val="3"/>
        <charset val="134"/>
      </rPr>
      <t>你的奥术研究使你能熟练地施展魔法。关于施法规则请查阅核心规则，关于药剂师法术列表请参阅本书中的法术清单。</t>
    </r>
    <phoneticPr fontId="68" type="noConversion"/>
  </si>
  <si>
    <r>
      <rPr>
        <sz val="10"/>
        <color theme="1"/>
        <rFont val="宋体"/>
        <family val="3"/>
        <charset val="134"/>
      </rPr>
      <t>你从药剂师法术列表中选择三个戏法并掌握之。你可以在更高等级学会更多你所选的戏法，如药剂师职业表中已知戏法所展示的那样。</t>
    </r>
    <phoneticPr fontId="68" type="noConversion"/>
  </si>
  <si>
    <r>
      <rPr>
        <sz val="10"/>
        <color theme="1"/>
        <rFont val="宋体"/>
        <family val="3"/>
        <charset val="134"/>
      </rPr>
      <t>初级重组</t>
    </r>
    <phoneticPr fontId="68" type="noConversion"/>
  </si>
  <si>
    <r>
      <rPr>
        <sz val="10"/>
        <color theme="1"/>
        <rFont val="宋体"/>
        <family val="3"/>
        <charset val="134"/>
      </rPr>
      <t>当你完成一次长休并查阅了你的公式书时，你可以将一个你已知的药剂师戏法和药剂师法术列表中的另一个戏法替换。</t>
    </r>
    <phoneticPr fontId="68" type="noConversion"/>
  </si>
  <si>
    <r>
      <rPr>
        <sz val="10"/>
        <color theme="1"/>
        <rFont val="宋体"/>
        <family val="3"/>
        <charset val="134"/>
      </rPr>
      <t>公式书</t>
    </r>
    <phoneticPr fontId="68" type="noConversion"/>
  </si>
  <si>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phoneticPr fontId="68" type="noConversion"/>
  </si>
  <si>
    <r>
      <rPr>
        <sz val="10"/>
        <color theme="1"/>
        <rFont val="宋体"/>
        <family val="3"/>
        <charset val="134"/>
      </rPr>
      <t>法术的准备和施展</t>
    </r>
    <phoneticPr fontId="68" type="noConversion"/>
  </si>
  <si>
    <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phoneticPr fontId="68" type="noConversion"/>
  </si>
  <si>
    <r>
      <rPr>
        <sz val="10"/>
        <color theme="1"/>
        <rFont val="宋体"/>
        <family val="3"/>
        <charset val="134"/>
      </rPr>
      <t>药剂师法术的施法属性是智力。</t>
    </r>
    <phoneticPr fontId="68" type="noConversion"/>
  </si>
  <si>
    <r>
      <rPr>
        <sz val="10"/>
        <color theme="1"/>
        <rFont val="宋体"/>
        <family val="3"/>
        <charset val="134"/>
      </rPr>
      <t>法器</t>
    </r>
    <phoneticPr fontId="68" type="noConversion"/>
  </si>
  <si>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phoneticPr fontId="68" type="noConversion"/>
  </si>
  <si>
    <r>
      <rPr>
        <sz val="10"/>
        <color theme="1"/>
        <rFont val="宋体"/>
        <family val="3"/>
        <charset val="134"/>
      </rPr>
      <t>隐秘理论</t>
    </r>
    <phoneticPr fontId="68" type="noConversion"/>
  </si>
  <si>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phoneticPr fontId="68" type="noConversion"/>
  </si>
  <si>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</si>
  <si>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</si>
  <si>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</si>
  <si>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</si>
  <si>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</si>
  <si>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</si>
  <si>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</si>
  <si>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</si>
  <si>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</si>
  <si>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</si>
  <si>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r>
      <rPr>
        <sz val="10"/>
        <color theme="1"/>
        <rFont val="宋体"/>
        <family val="3"/>
        <charset val="134"/>
      </rPr>
      <t>医护兵</t>
    </r>
  </si>
  <si>
    <r>
      <rPr>
        <sz val="10"/>
        <color theme="1"/>
        <rFont val="宋体"/>
        <family val="3"/>
        <charset val="134"/>
      </rPr>
      <t>你获得军用武器和盾牌的熟练。</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</si>
  <si>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</si>
  <si>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</si>
  <si>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r>
      <rPr>
        <sz val="10"/>
        <color theme="1"/>
        <rFont val="宋体"/>
        <family val="3"/>
        <charset val="134"/>
      </rPr>
      <t>诊病断灶</t>
    </r>
  </si>
  <si>
    <r>
      <rPr>
        <sz val="10"/>
        <color theme="1"/>
        <rFont val="宋体"/>
        <family val="3"/>
        <charset val="134"/>
      </rPr>
      <t>在你的回合内，你可以以一个附赠动作执行协助动作。</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</si>
  <si>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</si>
  <si>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</si>
  <si>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</si>
  <si>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</si>
  <si>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</si>
  <si>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</si>
  <si>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</si>
  <si>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</si>
  <si>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</si>
  <si>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</si>
  <si>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</si>
  <si>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</si>
  <si>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</si>
  <si>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phoneticPr fontId="68" type="noConversion"/>
  </si>
  <si>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</si>
  <si>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</si>
  <si>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</si>
  <si>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</si>
  <si>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</si>
  <si>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</si>
  <si>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</si>
  <si>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</si>
  <si>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r>
      <rPr>
        <sz val="10"/>
        <color theme="1"/>
        <rFont val="宋体"/>
        <family val="3"/>
        <charset val="134"/>
      </rPr>
      <t>玄奥实践</t>
    </r>
    <phoneticPr fontId="68" type="noConversion"/>
  </si>
  <si>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phoneticPr fontId="68" type="noConversion"/>
  </si>
  <si>
    <r>
      <rPr>
        <sz val="10"/>
        <color theme="1"/>
        <rFont val="宋体"/>
        <family val="3"/>
        <charset val="134"/>
      </rPr>
      <t>属性值提升</t>
    </r>
    <phoneticPr fontId="68" type="noConversion"/>
  </si>
  <si>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</si>
  <si>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</si>
  <si>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phoneticPr fontId="68" type="noConversion"/>
  </si>
  <si>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</si>
  <si>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phoneticPr fontId="68" type="noConversion"/>
  </si>
  <si>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</si>
  <si>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phoneticPr fontId="68" type="noConversion"/>
  </si>
  <si>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</si>
  <si>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phoneticPr fontId="68" type="noConversion"/>
  </si>
  <si>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</si>
  <si>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phoneticPr fontId="68" type="noConversion"/>
  </si>
  <si>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</si>
  <si>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phoneticPr fontId="68" type="noConversion"/>
  </si>
  <si>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</si>
  <si>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phoneticPr fontId="68" type="noConversion"/>
  </si>
  <si>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</si>
  <si>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phoneticPr fontId="68" type="noConversion"/>
  </si>
  <si>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</si>
  <si>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phoneticPr fontId="68" type="noConversion"/>
  </si>
  <si>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</si>
  <si>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phoneticPr fontId="68" type="noConversion"/>
  </si>
  <si>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</si>
  <si>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phoneticPr fontId="68" type="noConversion"/>
  </si>
  <si>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</si>
  <si>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phoneticPr fontId="68" type="noConversion"/>
  </si>
  <si>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</si>
  <si>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phoneticPr fontId="68" type="noConversion"/>
  </si>
  <si>
    <r>
      <rPr>
        <sz val="10"/>
        <color theme="1"/>
        <rFont val="宋体"/>
        <family val="3"/>
        <charset val="134"/>
      </rPr>
      <t>回音骑士</t>
    </r>
    <phoneticPr fontId="68" type="noConversion"/>
  </si>
  <si>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</si>
  <si>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phoneticPr fontId="68" type="noConversion"/>
  </si>
  <si>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</si>
  <si>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phoneticPr fontId="68" type="noConversion"/>
  </si>
  <si>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</si>
  <si>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phoneticPr fontId="68" type="noConversion"/>
  </si>
  <si>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</si>
  <si>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phoneticPr fontId="68" type="noConversion"/>
  </si>
  <si>
    <r>
      <rPr>
        <sz val="10"/>
        <color theme="1"/>
        <rFont val="宋体"/>
        <family val="3"/>
        <charset val="134"/>
      </rPr>
      <t>大公式</t>
    </r>
    <phoneticPr fontId="68" type="noConversion"/>
  </si>
  <si>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phoneticPr fontId="68" type="noConversion"/>
  </si>
  <si>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</si>
  <si>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phoneticPr fontId="68" type="noConversion"/>
  </si>
  <si>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</si>
  <si>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phoneticPr fontId="68" type="noConversion"/>
  </si>
  <si>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</si>
  <si>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phoneticPr fontId="68" type="noConversion"/>
  </si>
  <si>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</si>
  <si>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phoneticPr fontId="68" type="noConversion"/>
  </si>
  <si>
    <r>
      <rPr>
        <sz val="10"/>
        <color theme="1"/>
        <rFont val="宋体"/>
        <family val="3"/>
        <charset val="134"/>
      </rPr>
      <t>奇迹疗愈力</t>
    </r>
    <phoneticPr fontId="68" type="noConversion"/>
  </si>
  <si>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phoneticPr fontId="68" type="noConversion"/>
  </si>
  <si>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</si>
  <si>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</si>
  <si>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</si>
  <si>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phoneticPr fontId="68" type="noConversion"/>
  </si>
  <si>
    <r>
      <rPr>
        <sz val="10"/>
        <color theme="1"/>
        <rFont val="宋体"/>
        <family val="3"/>
        <charset val="134"/>
      </rPr>
      <t>精神控制力</t>
    </r>
    <phoneticPr fontId="68" type="noConversion"/>
  </si>
  <si>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phoneticPr fontId="68" type="noConversion"/>
  </si>
  <si>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</si>
  <si>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</si>
  <si>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</si>
  <si>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</si>
  <si>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</si>
  <si>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phoneticPr fontId="68" type="noConversion"/>
  </si>
  <si>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</si>
  <si>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phoneticPr fontId="68" type="noConversion"/>
  </si>
  <si>
    <r>
      <rPr>
        <sz val="10"/>
        <color theme="1"/>
        <rFont val="宋体"/>
        <family val="3"/>
        <charset val="134"/>
      </rPr>
      <t>时间变幻</t>
    </r>
    <phoneticPr fontId="68" type="noConversion"/>
  </si>
  <si>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phoneticPr fontId="68" type="noConversion"/>
  </si>
  <si>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</si>
  <si>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phoneticPr fontId="68" type="noConversion"/>
  </si>
  <si>
    <r>
      <rPr>
        <sz val="10"/>
        <color theme="1"/>
        <rFont val="宋体"/>
        <family val="3"/>
        <charset val="134"/>
      </rPr>
      <t>现世感知</t>
    </r>
    <phoneticPr fontId="68" type="noConversion"/>
  </si>
  <si>
    <r>
      <rPr>
        <sz val="10"/>
        <color theme="1"/>
        <rFont val="宋体"/>
        <family val="3"/>
        <charset val="134"/>
      </rPr>
      <t>你的先攻检定获得等同于你智力调整值的加值。</t>
    </r>
    <phoneticPr fontId="68" type="noConversion"/>
  </si>
  <si>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</si>
  <si>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</si>
  <si>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r>
      <rPr>
        <sz val="10"/>
        <color theme="1"/>
        <rFont val="宋体"/>
        <family val="3"/>
        <charset val="134"/>
      </rPr>
      <t>瞬时静止</t>
    </r>
    <phoneticPr fontId="68" type="noConversion"/>
  </si>
  <si>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</si>
  <si>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</si>
  <si>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phoneticPr fontId="68" type="noConversion"/>
  </si>
  <si>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</si>
  <si>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</si>
  <si>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奥法暂滞</t>
    </r>
    <phoneticPr fontId="68" type="noConversion"/>
  </si>
  <si>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phoneticPr fontId="68" type="noConversion"/>
  </si>
  <si>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</si>
  <si>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</si>
  <si>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</si>
  <si>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</si>
  <si>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收束未来</t>
    </r>
    <phoneticPr fontId="68" type="noConversion"/>
  </si>
  <si>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phoneticPr fontId="68" type="noConversion"/>
  </si>
  <si>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</si>
  <si>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</si>
  <si>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</si>
  <si>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</si>
  <si>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调节密度</t>
    </r>
    <phoneticPr fontId="68" type="noConversion"/>
  </si>
  <si>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phoneticPr fontId="68" type="noConversion"/>
  </si>
  <si>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</si>
  <si>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</si>
  <si>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</si>
  <si>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</si>
  <si>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重力井</t>
    </r>
    <phoneticPr fontId="68" type="noConversion"/>
  </si>
  <si>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phoneticPr fontId="68" type="noConversion"/>
  </si>
  <si>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</si>
  <si>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</si>
  <si>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</si>
  <si>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</si>
  <si>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狂暴牵引</t>
    </r>
    <phoneticPr fontId="68" type="noConversion"/>
  </si>
  <si>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phoneticPr fontId="68" type="noConversion"/>
  </si>
  <si>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</si>
  <si>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</si>
  <si>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r>
      <rPr>
        <sz val="10"/>
        <color theme="1"/>
        <rFont val="宋体"/>
        <family val="3"/>
        <charset val="134"/>
      </rPr>
      <t>事件视界</t>
    </r>
    <phoneticPr fontId="68" type="noConversion"/>
  </si>
  <si>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phoneticPr fontId="68" type="noConversion"/>
  </si>
  <si>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</si>
  <si>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</si>
  <si>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</si>
  <si>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</si>
  <si>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</si>
  <si>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phoneticPr fontId="68" type="noConversion"/>
  </si>
  <si>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</si>
  <si>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phoneticPr fontId="68" type="noConversion"/>
  </si>
  <si>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</si>
  <si>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</si>
  <si>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</si>
  <si>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</si>
  <si>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</si>
  <si>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</si>
  <si>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</si>
  <si>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phoneticPr fontId="68" type="noConversion"/>
  </si>
  <si>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</si>
  <si>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</si>
  <si>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</si>
  <si>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phoneticPr fontId="68" type="noConversion"/>
  </si>
  <si>
    <r>
      <rPr>
        <sz val="10"/>
        <color theme="1"/>
        <rFont val="宋体"/>
        <family val="3"/>
        <charset val="134"/>
      </rPr>
      <t>血仪法器</t>
    </r>
    <phoneticPr fontId="68" type="noConversion"/>
  </si>
  <si>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phoneticPr fontId="68" type="noConversion"/>
  </si>
  <si>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</si>
  <si>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phoneticPr fontId="68" type="noConversion"/>
  </si>
  <si>
    <r>
      <rPr>
        <sz val="10"/>
        <color theme="1"/>
        <rFont val="宋体"/>
        <family val="3"/>
        <charset val="134"/>
      </rPr>
      <t>神秘狂乱</t>
    </r>
    <phoneticPr fontId="68" type="noConversion"/>
  </si>
  <si>
    <r>
      <rPr>
        <sz val="10"/>
        <color theme="1"/>
        <rFont val="宋体"/>
        <family val="3"/>
        <charset val="134"/>
      </rPr>
      <t>当你以动作施法一个戏法后，你可以立即以一个附赠动作发动一次武器攻击。</t>
    </r>
    <phoneticPr fontId="68" type="noConversion"/>
  </si>
  <si>
    <r>
      <rPr>
        <sz val="10"/>
        <color theme="1"/>
        <rFont val="宋体"/>
        <family val="3"/>
        <charset val="134"/>
      </rPr>
      <t>你在自己回合内执行攻击动作时可以发动两次攻击而非一次。</t>
    </r>
  </si>
  <si>
    <r>
      <rPr>
        <sz val="10"/>
        <color theme="1"/>
        <rFont val="宋体"/>
        <family val="3"/>
        <charset val="134"/>
      </rPr>
      <t>奥秘揭示</t>
    </r>
    <phoneticPr fontId="68" type="noConversion"/>
  </si>
  <si>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phoneticPr fontId="68" type="noConversion"/>
  </si>
  <si>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</si>
  <si>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phoneticPr fontId="68" type="noConversion"/>
  </si>
  <si>
    <r>
      <rPr>
        <sz val="10"/>
        <color theme="1"/>
        <rFont val="宋体"/>
        <family val="3"/>
        <charset val="134"/>
      </rPr>
      <t>痂痕烙印</t>
    </r>
    <phoneticPr fontId="68" type="noConversion"/>
  </si>
  <si>
    <r>
      <rPr>
        <sz val="10"/>
        <color theme="1"/>
        <rFont val="宋体"/>
        <family val="3"/>
        <charset val="134"/>
      </rPr>
      <t>你的惩戒烙印特性现在会在目标上挖出黑暗的奥术伤痕，留下对你的魔法的弱点。被你烙印的生物在对抗你的魔契师法术时，豁免具有劣势。</t>
    </r>
    <phoneticPr fontId="68" type="noConversion"/>
  </si>
  <si>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</si>
  <si>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phoneticPr fontId="68" type="noConversion"/>
  </si>
  <si>
    <r>
      <rPr>
        <sz val="10"/>
        <color theme="1"/>
        <rFont val="宋体"/>
        <family val="3"/>
        <charset val="134"/>
      </rPr>
      <t>奥秘展露</t>
    </r>
    <phoneticPr fontId="68" type="noConversion"/>
  </si>
  <si>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phoneticPr fontId="68" type="noConversion"/>
  </si>
  <si>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</si>
  <si>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phoneticPr fontId="68" type="noConversion"/>
  </si>
  <si>
    <r>
      <rPr>
        <sz val="10"/>
        <color theme="1"/>
        <rFont val="宋体"/>
        <family val="3"/>
        <charset val="134"/>
      </rPr>
      <t>噬魂血咒</t>
    </r>
    <phoneticPr fontId="68" type="noConversion"/>
  </si>
  <si>
    <r>
      <rPr>
        <sz val="10"/>
        <color theme="1"/>
        <rFont val="宋体"/>
        <family val="3"/>
        <charset val="134"/>
      </rPr>
      <t>你学会从倒下的猎物吸收灵魂。你学会噬魂血咒，且不计入你的已知血咒数量。</t>
    </r>
    <phoneticPr fontId="68" type="noConversion"/>
  </si>
  <si>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</si>
  <si>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phoneticPr fontId="68" type="noConversion"/>
  </si>
  <si>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</si>
  <si>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</si>
  <si>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</si>
  <si>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phoneticPr fontId="68" type="noConversion"/>
  </si>
  <si>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</si>
  <si>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phoneticPr fontId="68" type="noConversion"/>
  </si>
  <si>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</si>
  <si>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phoneticPr fontId="68" type="noConversion"/>
  </si>
  <si>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</si>
  <si>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</si>
  <si>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</si>
  <si>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</si>
  <si>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</si>
  <si>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</si>
  <si>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</si>
  <si>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</si>
  <si>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</si>
  <si>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</si>
  <si>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</si>
  <si>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</si>
  <si>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巨灵宗主</t>
    </r>
    <phoneticPr fontId="68" type="noConversion"/>
  </si>
  <si>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</si>
  <si>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phoneticPr fontId="68" type="noConversion"/>
  </si>
  <si>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</si>
  <si>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phoneticPr fontId="68" type="noConversion"/>
  </si>
  <si>
    <r>
      <rPr>
        <sz val="10"/>
        <color theme="1"/>
        <rFont val="宋体"/>
        <family val="3"/>
        <charset val="134"/>
      </rPr>
      <t>尸锻生物数据</t>
    </r>
    <phoneticPr fontId="68" type="noConversion"/>
  </si>
  <si>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phoneticPr fontId="68" type="noConversion"/>
  </si>
  <si>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</si>
  <si>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phoneticPr fontId="68" type="noConversion"/>
  </si>
  <si>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</si>
  <si>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phoneticPr fontId="68" type="noConversion"/>
  </si>
  <si>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</si>
  <si>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phoneticPr fontId="68" type="noConversion"/>
  </si>
  <si>
    <r>
      <rPr>
        <sz val="10"/>
        <color theme="1"/>
        <rFont val="宋体"/>
        <family val="3"/>
        <charset val="134"/>
      </rPr>
      <t>狂暴之怒</t>
    </r>
  </si>
  <si>
    <r>
      <rPr>
        <sz val="10"/>
        <color theme="1"/>
        <rFont val="宋体"/>
        <family val="3"/>
        <charset val="134"/>
      </rPr>
      <t>当你指挥你的尸锻生物进行攻击动作时，该生物可以进行两次攻击。</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</si>
  <si>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</si>
  <si>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phoneticPr fontId="68" type="noConversion"/>
  </si>
  <si>
    <r>
      <rPr>
        <sz val="10"/>
        <color theme="1"/>
        <rFont val="宋体"/>
        <family val="3"/>
        <charset val="134"/>
      </rPr>
      <t>时间魔法</t>
    </r>
    <phoneticPr fontId="68" type="noConversion"/>
  </si>
  <si>
    <r>
      <rPr>
        <sz val="10"/>
        <color theme="1"/>
        <rFont val="宋体"/>
        <family val="3"/>
        <charset val="134"/>
      </rPr>
      <t>重力魔法</t>
    </r>
    <phoneticPr fontId="68" type="noConversion"/>
  </si>
  <si>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</si>
  <si>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phoneticPr fontId="68" type="noConversion"/>
  </si>
  <si>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</si>
  <si>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</si>
  <si>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</si>
  <si>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phoneticPr fontId="68" type="noConversion"/>
  </si>
  <si>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</si>
  <si>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phoneticPr fontId="68" type="noConversion"/>
  </si>
  <si>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</si>
  <si>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</si>
  <si>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</si>
  <si>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phoneticPr fontId="68" type="noConversion"/>
  </si>
  <si>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</si>
  <si>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</si>
  <si>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</si>
  <si>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</si>
  <si>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</si>
  <si>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t>残暴蛮力</t>
    <phoneticPr fontId="68" type="noConversion"/>
  </si>
  <si>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phoneticPr fontId="68" type="noConversion"/>
  </si>
  <si>
    <t>神力灌注</t>
    <phoneticPr fontId="68" type="noConversion"/>
  </si>
  <si>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phoneticPr fontId="68" type="noConversion"/>
  </si>
  <si>
    <t>身经百战</t>
    <phoneticPr fontId="68" type="noConversion"/>
  </si>
  <si>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phoneticPr fontId="68" type="noConversion"/>
  </si>
  <si>
    <t>强健体格</t>
    <phoneticPr fontId="68" type="noConversion"/>
  </si>
  <si>
    <t>每当你在自己的回合内开启狂暴或自主结束狂暴时，你可以消耗生命骰并回复生命值，就如同你完成一次短休一般。</t>
    <phoneticPr fontId="68" type="noConversion"/>
  </si>
  <si>
    <t>残暴屠戮</t>
    <phoneticPr fontId="68" type="noConversion"/>
  </si>
  <si>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phoneticPr fontId="68" type="noConversion"/>
  </si>
  <si>
    <t>古神之赐</t>
    <phoneticPr fontId="68" type="noConversion"/>
  </si>
  <si>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phoneticPr fontId="68" type="noConversion"/>
  </si>
  <si>
    <t>污浊狂怒</t>
    <phoneticPr fontId="68" type="noConversion"/>
  </si>
  <si>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phoneticPr fontId="68" type="noConversion"/>
  </si>
  <si>
    <t>腐败耐受</t>
    <phoneticPr fontId="68" type="noConversion"/>
  </si>
  <si>
    <t>如果某个法术，例如祛除污染Purge Contamination，的唯一效果是移除你身上的污染等级，那么施法者在对你进行施法时不需要材料成分。此外，如果该法术在一般情况下会使你增加力竭等级，你也不会因为该法术而力竭。</t>
    <phoneticPr fontId="68" type="noConversion"/>
  </si>
  <si>
    <t>八虹之血</t>
    <phoneticPr fontId="68" type="noConversion"/>
  </si>
  <si>
    <t>你获得对暗蚀、毒素、心灵和光耀伤害的抗性，且你的生命值上限不会被降低。</t>
    <phoneticPr fontId="68" type="noConversion"/>
  </si>
  <si>
    <t>吾即怪物</t>
    <phoneticPr fontId="68" type="noConversion"/>
  </si>
  <si>
    <t>狂暴期间，你忽略你具有的任何污染等级带来的影响，怪诞转变Monstrous Transformation除外。
每当你因污染而发生变异时，你可以掷两次骰子，然后选择获得哪种变异。</t>
    <phoneticPr fontId="68" type="noConversion"/>
  </si>
  <si>
    <t>脑中呓语</t>
    <phoneticPr fontId="68" type="noConversion"/>
  </si>
  <si>
    <t>每天你都可以施放一次异界探知contact other plane法术。如果你在法术的智力豁免中失败，你可以选择免受错乱状态的影响，取而代之获得1级污染。</t>
    <phoneticPr fontId="68" type="noConversion"/>
  </si>
  <si>
    <t>与雾同行</t>
    <phoneticPr fontId="68" type="noConversion"/>
  </si>
  <si>
    <t>你可以对自己施放气化形体gaseous form法术。该特性的使用次数等于你的熟练加值。你在一次长休后重新获得已消耗的使用次数。</t>
    <phoneticPr fontId="68" type="noConversion"/>
  </si>
  <si>
    <t>污霭之息</t>
    <phoneticPr fontId="68" type="noConversion"/>
  </si>
  <si>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phoneticPr fontId="68" type="noConversion"/>
  </si>
  <si>
    <t>终末临近</t>
  </si>
  <si>
    <t>对于那些倾听末谕者，你的一词一句皆能直击他的内心，在他们心灵深处植入恐惧。当你进行魅力（威吓）检定时，你可以将骰出的9以下（包括9）的骰值视为10。</t>
  </si>
  <si>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</si>
  <si>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</si>
  <si>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</si>
  <si>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</si>
  <si>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t>真谕信徒</t>
  </si>
  <si>
    <t>如果一个生物 恐慌Frightened 于你，且你能够看见它，那么该生物所进行一切豁免检定都将具有劣势。</t>
  </si>
  <si>
    <t>危在旦夕</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</si>
  <si>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</si>
  <si>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</si>
  <si>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附赠戏法</t>
  </si>
  <si>
    <t>你习得戏法：冻寒之触chill touch和次级幻影minor illusion。这些戏法对你而言视作牧师法术，且不计入你的已知牧师戏法上限。</t>
  </si>
  <si>
    <t>暗影视界</t>
  </si>
  <si>
    <t>你获得长达300尺的黑暗视觉，不论该黑暗是否由魔法造成。</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</si>
  <si>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</si>
  <si>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</si>
  <si>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</si>
  <si>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</si>
  <si>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</si>
  <si>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</si>
  <si>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</si>
  <si>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</si>
  <si>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</si>
  <si>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</si>
  <si>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t>破坏化身</t>
  </si>
  <si>
    <t>你获得对毒素和黯蚀伤害的抗性。</t>
  </si>
  <si>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</si>
  <si>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</si>
  <si>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t>汲取腐化</t>
  </si>
  <si>
    <t>你获得将污染引到你的身体之中，并以此增强你的魔法的能力。每回合一次，以一个附赠动作，你获得一级污染等级。如果你这么做，你回复一次荒野变形特性使用次数。</t>
  </si>
  <si>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</si>
  <si>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</si>
  <si>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</si>
  <si>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</si>
  <si>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t>领袖修行</t>
  </si>
  <si>
    <t>你获得历史和游说技能的专精。</t>
  </si>
  <si>
    <t>战斗指令</t>
  </si>
  <si>
    <t>无畏司令</t>
  </si>
  <si>
    <t>你获得感知豁免的熟练项。且你对抗使你魅惑或恐慌的效应时进行的豁免检定具有优势。</t>
  </si>
  <si>
    <t>协同指令</t>
  </si>
  <si>
    <t>当你在你的回合下达战斗指令时，你可以指定两个目标而非一个。你可以给每个盟友下达同样或不同的指令。两个目标都必须位于你的120尺内。</t>
  </si>
  <si>
    <t>适应策略</t>
  </si>
  <si>
    <t>当你下达战斗指令时，目标在你下个回合结束前的下一次攻击或豁免检定具有优势。</t>
  </si>
  <si>
    <t>号召行动</t>
  </si>
  <si>
    <t>当你使用动作如潮特性时，你可以改为使你可见的一个盟友在你结束此回合后进行一个额外的回合，而非执行一个额外的动作。</t>
  </si>
  <si>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</si>
  <si>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</si>
  <si>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</si>
  <si>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</si>
  <si>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</si>
  <si>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</si>
  <si>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</si>
  <si>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</si>
  <si>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化蛟</t>
  </si>
  <si>
    <t>当你使用灵蛇姿时，你可以同时使用两种灵蛇姿态，并同时获得两种架势效果的益处。</t>
  </si>
  <si>
    <t>饱学之士</t>
  </si>
  <si>
    <t>你获得奥秘技能熟练项。每当你进行智力属性检定时，你获得等于你感知调整值的检定加值（至少+1）。</t>
  </si>
  <si>
    <t>你从法师法术列表习得两个戏法。第10级时，你再额外习得一个法师戏法。</t>
  </si>
  <si>
    <t>“织法宗施法能力”表中列出了你用以施展你法师法术的1环及更高环阶法术位数量。施展这些法术时，你必须同时消耗一个不低于该法术环阶的法术位。而已消耗的法术位可以通过完成以此长休进行恢复。</t>
  </si>
  <si>
    <t>你习得三个自选的1环法师法术。
表格“织法宗施法能力”中“已知法术”一栏记录了你获得更多已知法术时的相应等级。例如，如果你在本职业达到第7级，则可以学习一个新的1环法术或2环法术。</t>
  </si>
  <si>
    <t>每当你获得一个武僧等级时，你就可以将你准备列表上的一道法术替换为另一道法师法术，你必须拥有替换后法术对应环阶的法术位才可以替换。</t>
  </si>
  <si>
    <t>你法师法术的施法属性是感知。</t>
  </si>
  <si>
    <t>你可以使用一把武僧武器作为你施法时的奥术法器。</t>
  </si>
  <si>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</si>
  <si>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</si>
  <si>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洗濯魔淬</t>
  </si>
  <si>
    <t>当你专注于一个法术时，你在你的徒手打击和武僧武器所做的攻击伤害中加入两倍于该法术环阶的额外伤害。</t>
  </si>
  <si>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</si>
  <si>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</si>
  <si>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法术坚韧</t>
  </si>
  <si>
    <t>你在对抗法术和魔法效应所做的豁免中具有优势。此外，你对法术和魔法效应造成的伤害具有抗性。</t>
  </si>
  <si>
    <t>术法自行</t>
  </si>
  <si>
    <t>当你施放一个施法时间为1动作的专注法术时，你可以消耗等于此法术环阶的功力来修塑法术，使其不再需要你的专注。此法术将会持续至多1分钟，或是其最大持续时间，取决于哪个时长更短。</t>
  </si>
  <si>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</si>
  <si>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</si>
  <si>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</si>
  <si>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</si>
  <si>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</si>
  <si>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</si>
  <si>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t>逆转命运</t>
  </si>
  <si>
    <t>每当一个生物对你造成重击时，下一次你用攻击命中该生物时，该攻击自动成为重击。</t>
  </si>
  <si>
    <t>死亡邪术</t>
  </si>
  <si>
    <t>被你的邪术诅咒或折磨诅咒影响的生物对所有伤害都具有易伤。</t>
  </si>
  <si>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</si>
  <si>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</si>
  <si>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</si>
  <si>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</si>
  <si>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t>有利射界</t>
  </si>
  <si>
    <t>当你对一个生物进行一次远程武器攻击时，如果目标5尺内没有其他生物，或者你的位置高于它20尺及以上且目标不受到掩护，你的攻击具有优势。</t>
  </si>
  <si>
    <t>屋顶机动</t>
  </si>
  <si>
    <t>你的速度增加10尺，并且在你的回合内，你能以附赠动作执行疾走dash。此外，你已经掌握了在移动和攀登时辗转腾挪的方法，当你使用疾走dash动作时，你的跳跃距离会随移动速度一样增加。</t>
  </si>
  <si>
    <t>完美位置</t>
  </si>
  <si>
    <t>当你对一个生物发动攻击受益于你的有利射界特性时，你对该目标额外造成2d6伤害，并且当骰出19-20时便造成重击。</t>
  </si>
  <si>
    <t>视若羔羊</t>
  </si>
  <si>
    <t>每个你的回合内一次，当你以远程武器攻击命中一个上回合没有进行移动的生物时，这次攻击自动变为重击。</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</si>
  <si>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</si>
  <si>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</si>
  <si>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</si>
  <si>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</si>
  <si>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藏叶于林</t>
  </si>
  <si>
    <t>即使你只被两个或以上的非敌对生物所遮蔽，你也可以尝试进行躲藏。这些生物必须位于彼此的5尺之内，且体型和你相同或更大。</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</si>
  <si>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</si>
  <si>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</si>
  <si>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</si>
  <si>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</si>
  <si>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</si>
  <si>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</si>
  <si>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</si>
  <si>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</si>
  <si>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t>变异迹象</t>
  </si>
  <si>
    <t xml:space="preserve">当你完成一次长休息时，你可以在变异表上（见第231页）掷骰两次，并必须选择其中一个结果。直到你完成下一次长休为止，你获得那个变异，即使你当前没有任何污染等级。
</t>
  </si>
  <si>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</si>
  <si>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</si>
  <si>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</si>
  <si>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</si>
  <si>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</si>
  <si>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</si>
  <si>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</si>
  <si>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</si>
  <si>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t>流星</t>
  </si>
  <si>
    <t>你习得戏法魔能爆如果你尚未习得，它不计入你的邪术师可知戏法总数中。当你施展魔能爆时，你可以令其造成光耀伤害而非力场伤害。</t>
  </si>
  <si>
    <t>宇宙指南</t>
  </si>
  <si>
    <t>你可以说、读、写天界语和深潜语。此外，你习得戏法神导术，它不计入你的邪术师可知戏法总数中。
你还可以施展一次卜筮术而不用消耗法术位。你在完成一次长休后才能再次以此法施展此法术。</t>
  </si>
  <si>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</si>
  <si>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</si>
  <si>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t>流星冲击</t>
  </si>
  <si>
    <t>每回合一次，当你使用魔能爆命中一个生物时，你可以使射线爆炸。目标周围10尺的每个生物都必须通过一个敏捷豁免检定，否则受到3d6火焰伤害。
这个伤害在14级时变为4d6，在17级时变为5d6。</t>
  </si>
  <si>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</si>
  <si>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</si>
  <si>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</si>
  <si>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</si>
  <si>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当你未着装任何护甲也没持用盾牌时，你的AC值等于10＋你的敏捷调整值＋你的体质调整值。</t>
  </si>
  <si>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</si>
  <si>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</si>
  <si>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</si>
  <si>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</si>
  <si>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</si>
  <si>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</si>
  <si>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t>不可名状之恐怖</t>
  </si>
  <si>
    <t>当你执行血肉改造时，你可以同时执行三个选项。此外，如果你愿意，你可以免疫任何可以改变其形态的法术或效应。</t>
  </si>
  <si>
    <t>禁忌研究</t>
  </si>
  <si>
    <t>当你获得一个法师等级时，你可以向你的法术书中添加一个污染法术。这是你通常升级学习的两个法师法术之外的额外法术。
你无需事先研习或发现这个法术，而是通过自己的研究开发该法术。</t>
  </si>
  <si>
    <t>骇人潜能</t>
  </si>
  <si>
    <t>如果你经历了一次怪物转变Monstrous Transformation，由GM选择的形态必须具有至少等于你等级一半的挑战等级（向下取整），但不能超过你的等级。</t>
  </si>
  <si>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</si>
  <si>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</si>
  <si>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</si>
  <si>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</si>
  <si>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t>驱除污染</t>
  </si>
  <si>
    <t>你发现了一种奥术方法，可以安全地排出你自己体内的魔能污染。每当你完成一次长休时，你可以将你的污染等级减少一半的熟练加值（向下取整）。</t>
  </si>
  <si>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</si>
  <si>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</si>
  <si>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t>稳态专注</t>
  </si>
  <si>
    <t>当你专注于一道法术时，你忽视任何污染症状，除了怪物转变Monstrous Transformation。</t>
  </si>
  <si>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</si>
  <si>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</si>
  <si>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t>古神道途</t>
  </si>
  <si>
    <t>污霭狂怒者道途</t>
  </si>
  <si>
    <t>末谕学院</t>
    <phoneticPr fontId="68" type="noConversion"/>
  </si>
  <si>
    <t>秽染结社</t>
    <phoneticPr fontId="68" type="noConversion"/>
  </si>
  <si>
    <t>指挥官</t>
    <phoneticPr fontId="68" type="noConversion"/>
  </si>
  <si>
    <t>盘蛇宗</t>
    <phoneticPr fontId="68" type="noConversion"/>
  </si>
  <si>
    <t>织法宗</t>
    <phoneticPr fontId="68" type="noConversion"/>
  </si>
  <si>
    <t>巫咒之誓</t>
    <phoneticPr fontId="68" type="noConversion"/>
  </si>
  <si>
    <t>城市游侠</t>
    <phoneticPr fontId="68" type="noConversion"/>
  </si>
  <si>
    <t>走私者</t>
    <phoneticPr fontId="68" type="noConversion"/>
  </si>
  <si>
    <t>妄质之魂</t>
    <phoneticPr fontId="68" type="noConversion"/>
  </si>
  <si>
    <t>域外天魔</t>
    <phoneticPr fontId="68" type="noConversion"/>
  </si>
  <si>
    <t>畸变血肉</t>
    <phoneticPr fontId="68" type="noConversion"/>
  </si>
  <si>
    <t>叛道法师</t>
    <phoneticPr fontId="68" type="noConversion"/>
  </si>
  <si>
    <t>酸蚀灼烧</t>
  </si>
  <si>
    <t>S</t>
    <phoneticPr fontId="68" type="noConversion"/>
  </si>
  <si>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phoneticPr fontId="68" type="noConversion"/>
  </si>
  <si>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</si>
  <si>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</si>
  <si>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</si>
  <si>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phoneticPr fontId="68" type="noConversion"/>
  </si>
  <si>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</si>
  <si>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</si>
  <si>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</si>
  <si>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phoneticPr fontId="68" type="noConversion"/>
  </si>
  <si>
    <t>Poison Needle</t>
  </si>
  <si>
    <t>强酸球</t>
  </si>
  <si>
    <t>M</t>
    <phoneticPr fontId="68" type="noConversion"/>
  </si>
  <si>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</si>
  <si>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phoneticPr fontId="68" type="noConversion"/>
  </si>
  <si>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</si>
  <si>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</si>
  <si>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</si>
  <si>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phoneticPr fontId="68" type="noConversion"/>
  </si>
  <si>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</si>
  <si>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</si>
  <si>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</si>
  <si>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phoneticPr fontId="68" type="noConversion"/>
  </si>
  <si>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</si>
  <si>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</si>
  <si>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phoneticPr fontId="68" type="noConversion"/>
  </si>
  <si>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</si>
  <si>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</si>
  <si>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</si>
  <si>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phoneticPr fontId="68" type="noConversion"/>
  </si>
  <si>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</si>
  <si>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</si>
  <si>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</si>
  <si>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phoneticPr fontId="68" type="noConversion"/>
  </si>
  <si>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</si>
  <si>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</si>
  <si>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phoneticPr fontId="68" type="noConversion"/>
  </si>
  <si>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</si>
  <si>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</si>
  <si>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</si>
  <si>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phoneticPr fontId="68" type="noConversion"/>
  </si>
  <si>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</si>
  <si>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</si>
  <si>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</si>
  <si>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</si>
  <si>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phoneticPr fontId="68" type="noConversion"/>
  </si>
  <si>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</si>
  <si>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</si>
  <si>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phoneticPr fontId="68" type="noConversion"/>
  </si>
  <si>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</si>
  <si>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</si>
  <si>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</si>
  <si>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phoneticPr fontId="68" type="noConversion"/>
  </si>
  <si>
    <t>Corrosive Blast</t>
  </si>
  <si>
    <t>恶毒剑</t>
  </si>
  <si>
    <t>附赠动作</t>
    <phoneticPr fontId="68" type="noConversion"/>
  </si>
  <si>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</si>
  <si>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</si>
  <si>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phoneticPr fontId="68" type="noConversion"/>
  </si>
  <si>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</si>
  <si>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</si>
  <si>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</si>
  <si>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phoneticPr fontId="68" type="noConversion"/>
  </si>
  <si>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</si>
  <si>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</si>
  <si>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phoneticPr fontId="68" type="noConversion"/>
  </si>
  <si>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</si>
  <si>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</si>
  <si>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</si>
  <si>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</si>
  <si>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phoneticPr fontId="68" type="noConversion"/>
  </si>
  <si>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</si>
  <si>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</si>
  <si>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</si>
  <si>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phoneticPr fontId="68" type="noConversion"/>
  </si>
  <si>
    <t>Blood Worm</t>
  </si>
  <si>
    <t>尸爆</t>
  </si>
  <si>
    <t>反应，当120尺范围内你能看到的一个生物死亡时</t>
    <phoneticPr fontId="68" type="noConversion"/>
  </si>
  <si>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phoneticPr fontId="68" type="noConversion"/>
  </si>
  <si>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</si>
  <si>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</si>
  <si>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</si>
  <si>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phoneticPr fontId="68" type="noConversion"/>
  </si>
  <si>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</si>
  <si>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</si>
  <si>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</si>
  <si>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phoneticPr fontId="68" type="noConversion"/>
  </si>
  <si>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</si>
  <si>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</si>
  <si>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</si>
  <si>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phoneticPr fontId="68" type="noConversion"/>
  </si>
  <si>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</si>
  <si>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</si>
  <si>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</si>
  <si>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phoneticPr fontId="68" type="noConversion"/>
  </si>
  <si>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</si>
  <si>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</si>
  <si>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</si>
  <si>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phoneticPr fontId="68" type="noConversion"/>
  </si>
  <si>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</si>
  <si>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</si>
  <si>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</si>
  <si>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phoneticPr fontId="68" type="noConversion"/>
  </si>
  <si>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</si>
  <si>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</si>
  <si>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</si>
  <si>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phoneticPr fontId="68" type="noConversion"/>
  </si>
  <si>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</si>
  <si>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</si>
  <si>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</si>
  <si>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phoneticPr fontId="68" type="noConversion"/>
  </si>
  <si>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</si>
  <si>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</si>
  <si>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</si>
  <si>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phoneticPr fontId="68" type="noConversion"/>
  </si>
  <si>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</si>
  <si>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</si>
  <si>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</si>
  <si>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phoneticPr fontId="68" type="noConversion"/>
  </si>
  <si>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</si>
  <si>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</si>
  <si>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</si>
  <si>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phoneticPr fontId="68" type="noConversion"/>
  </si>
  <si>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</si>
  <si>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</si>
  <si>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</si>
  <si>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phoneticPr fontId="68" type="noConversion"/>
  </si>
  <si>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</si>
  <si>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</si>
  <si>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</si>
  <si>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</si>
  <si>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phoneticPr fontId="68" type="noConversion"/>
  </si>
  <si>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</si>
  <si>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</si>
  <si>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</si>
  <si>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phoneticPr fontId="68" type="noConversion"/>
  </si>
  <si>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</si>
  <si>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</si>
  <si>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</si>
  <si>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phoneticPr fontId="68" type="noConversion"/>
  </si>
  <si>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</si>
  <si>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</si>
  <si>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</si>
  <si>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phoneticPr fontId="68" type="noConversion"/>
  </si>
  <si>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</si>
  <si>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</si>
  <si>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</si>
  <si>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phoneticPr fontId="68" type="noConversion"/>
  </si>
  <si>
    <t>Touch of Death</t>
  </si>
  <si>
    <t>药剂师</t>
    <phoneticPr fontId="68" type="noConversion"/>
  </si>
  <si>
    <t>名称</t>
    <phoneticPr fontId="68" type="noConversion"/>
  </si>
  <si>
    <t>效果</t>
    <phoneticPr fontId="68" type="noConversion"/>
  </si>
  <si>
    <r>
      <rPr>
        <b/>
        <sz val="12"/>
        <color theme="0"/>
        <rFont val="宋体"/>
        <family val="3"/>
        <charset val="134"/>
      </rPr>
      <t>武器工坊</t>
    </r>
  </si>
  <si>
    <r>
      <rPr>
        <b/>
        <sz val="12"/>
        <color theme="0"/>
        <rFont val="宋体"/>
        <family val="3"/>
        <charset val="134"/>
      </rPr>
      <t>专长与战风</t>
    </r>
    <phoneticPr fontId="68" type="noConversion"/>
  </si>
  <si>
    <r>
      <rPr>
        <b/>
        <sz val="12"/>
        <color theme="0"/>
        <rFont val="宋体"/>
        <family val="3"/>
        <charset val="134"/>
      </rPr>
      <t>背景</t>
    </r>
    <phoneticPr fontId="68" type="noConversion"/>
  </si>
  <si>
    <t>自定义背景1</t>
    <phoneticPr fontId="68" type="noConversion"/>
  </si>
  <si>
    <r>
      <rPr>
        <sz val="10"/>
        <color theme="1"/>
        <rFont val="宋体"/>
        <family val="3"/>
        <charset val="134"/>
      </rPr>
      <t>自定义武器</t>
    </r>
    <r>
      <rPr>
        <sz val="10"/>
        <color theme="1"/>
        <rFont val="Times New Roman"/>
        <family val="1"/>
      </rPr>
      <t>1</t>
    </r>
    <phoneticPr fontId="68" type="noConversion"/>
  </si>
  <si>
    <r>
      <rPr>
        <sz val="10"/>
        <color theme="1"/>
        <rFont val="宋体"/>
        <family val="3"/>
        <charset val="134"/>
      </rPr>
      <t>自定义武器</t>
    </r>
    <r>
      <rPr>
        <sz val="10"/>
        <color theme="1"/>
        <rFont val="Times New Roman"/>
        <family val="1"/>
      </rPr>
      <t>2</t>
    </r>
    <phoneticPr fontId="68" type="noConversion"/>
  </si>
  <si>
    <r>
      <rPr>
        <sz val="10"/>
        <color theme="1"/>
        <rFont val="宋体"/>
        <family val="3"/>
        <charset val="134"/>
      </rPr>
      <t>自定义武器</t>
    </r>
    <r>
      <rPr>
        <sz val="10"/>
        <color theme="1"/>
        <rFont val="Times New Roman"/>
        <family val="1"/>
      </rPr>
      <t>3</t>
    </r>
    <phoneticPr fontId="68" type="noConversion"/>
  </si>
  <si>
    <r>
      <rPr>
        <sz val="10"/>
        <color theme="1"/>
        <rFont val="宋体"/>
        <family val="3"/>
        <charset val="134"/>
      </rPr>
      <t>自定义专长</t>
    </r>
    <r>
      <rPr>
        <sz val="10"/>
        <color theme="1"/>
        <rFont val="Times New Roman"/>
        <family val="1"/>
      </rPr>
      <t>1</t>
    </r>
    <phoneticPr fontId="68" type="noConversion"/>
  </si>
  <si>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</si>
  <si>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</si>
  <si>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phoneticPr fontId="68" type="noConversion"/>
  </si>
  <si>
    <r>
      <rPr>
        <sz val="10"/>
        <color theme="1"/>
        <rFont val="宋体"/>
        <family val="3"/>
        <charset val="134"/>
      </rPr>
      <t>自定义战风</t>
    </r>
    <r>
      <rPr>
        <sz val="10"/>
        <color theme="1"/>
        <rFont val="Times New Roman"/>
        <family val="1"/>
      </rPr>
      <t>2</t>
    </r>
  </si>
  <si>
    <t>选择一个工具，它与该背景有关，或是经常被该背景的人使用</t>
    <phoneticPr fontId="68" type="noConversion"/>
  </si>
  <si>
    <r>
      <rPr>
        <sz val="10"/>
        <color theme="1"/>
        <rFont val="宋体"/>
        <family val="1"/>
        <charset val="134"/>
      </rPr>
      <t>组合一套价值</t>
    </r>
    <r>
      <rPr>
        <sz val="10"/>
        <color theme="1"/>
        <rFont val="Times New Roman"/>
        <family val="1"/>
      </rPr>
      <t>50GP</t>
    </r>
    <r>
      <rPr>
        <sz val="10"/>
        <color theme="1"/>
        <rFont val="宋体"/>
        <family val="1"/>
        <charset val="134"/>
      </rPr>
      <t>的装备（购买完毕后多余的钱也会包含在其内）。不要将包含军用武器和护甲包含在背景给予的装备中，角色会从其职业中获得这两样装备。</t>
    </r>
    <phoneticPr fontId="68" type="noConversion"/>
  </si>
  <si>
    <t>自定义背景2</t>
    <phoneticPr fontId="68" type="noConversion"/>
  </si>
  <si>
    <r>
      <rPr>
        <b/>
        <sz val="11"/>
        <color theme="0"/>
        <rFont val="宋体"/>
        <family val="3"/>
        <charset val="134"/>
      </rPr>
      <t>修订者</t>
    </r>
  </si>
  <si>
    <r>
      <t>5E2014</t>
    </r>
    <r>
      <rPr>
        <b/>
        <sz val="11"/>
        <color theme="0"/>
        <rFont val="宋体"/>
        <family val="3"/>
        <charset val="134"/>
      </rPr>
      <t>更新记录</t>
    </r>
  </si>
  <si>
    <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</si>
  <si>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</si>
  <si>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</si>
  <si>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1"/>
        <color theme="1"/>
        <rFont val="宋体"/>
        <family val="3"/>
        <charset val="134"/>
      </rPr>
      <t>似雨悲灵</t>
    </r>
  </si>
  <si>
    <t>自然，再加上奥秘或生存自选其一</t>
    <phoneticPr fontId="68" type="noConversion"/>
  </si>
  <si>
    <t>一套旅行服装，一根刻有你部族标志的手杖，一套草药工具，以及一个装着10gp的腰包。</t>
    <phoneticPr fontId="68" type="noConversion"/>
  </si>
  <si>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phoneticPr fontId="68" type="noConversion"/>
  </si>
  <si>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phoneticPr fontId="68" type="noConversion"/>
  </si>
  <si>
    <t>欺瞒，再加上巧手或隐匿自选其一</t>
    <phoneticPr fontId="68" type="noConversion"/>
  </si>
  <si>
    <t>易容工具，文书伪造工具，或者盗贼工具（自选其一）</t>
    <phoneticPr fontId="68" type="noConversion"/>
  </si>
  <si>
    <t>一套不显眼的普通服装，一套你熟练的工具，以及一个装着10gp的腰包。</t>
    <phoneticPr fontId="68" type="noConversion"/>
  </si>
  <si>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phoneticPr fontId="68" type="noConversion"/>
  </si>
  <si>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phoneticPr fontId="68" type="noConversion"/>
  </si>
  <si>
    <t xml:space="preserve">从奥秘、历史与游说中选择两项 </t>
    <phoneticPr fontId="68" type="noConversion"/>
  </si>
  <si>
    <t>一套高档服装，一套学生制服，书写工具*（装有墨水、一支羽毛笔、一叠羊皮纸及一把削笔刀的小包），以及一个装有10gp的腰包</t>
    <phoneticPr fontId="68" type="noConversion"/>
  </si>
  <si>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phoneticPr fontId="68" type="noConversion"/>
  </si>
  <si>
    <t>从运动、察觉与生存中选择两项</t>
    <phoneticPr fontId="68" type="noConversion"/>
  </si>
  <si>
    <t>从一支火铳musket或一把手铳pistol中选择一件；一套普通服装，一个装有10gp的小包</t>
    <phoneticPr fontId="68" type="noConversion"/>
  </si>
  <si>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phoneticPr fontId="68" type="noConversion"/>
  </si>
  <si>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phoneticPr fontId="68" type="noConversion"/>
  </si>
  <si>
    <t>欺瞒，宗教</t>
    <phoneticPr fontId="68" type="noConversion"/>
  </si>
  <si>
    <t xml:space="preserve">来自以前教派的一枚圣徽，一套祭袍，一套普通服装，以及一个装着15 gp的小包。 </t>
    <phoneticPr fontId="68" type="noConversion"/>
  </si>
  <si>
    <t>浪之自由</t>
    <phoneticPr fontId="68" type="noConversion"/>
  </si>
  <si>
    <t>一簇浸湿的头发</t>
    <phoneticPr fontId="68" type="noConversion"/>
  </si>
  <si>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phoneticPr fontId="68" type="noConversion"/>
  </si>
  <si>
    <t>Freedom of the Wave</t>
    <phoneticPr fontId="68" type="noConversion"/>
  </si>
  <si>
    <t>塔尔多雷战役设定集：重制版</t>
    <phoneticPr fontId="68" type="noConversion"/>
  </si>
  <si>
    <t>风之自由</t>
    <phoneticPr fontId="68" type="noConversion"/>
  </si>
  <si>
    <t>防护</t>
    <phoneticPr fontId="68" type="noConversion"/>
  </si>
  <si>
    <t>一小块破帆布</t>
    <phoneticPr fontId="68" type="noConversion"/>
  </si>
  <si>
    <t>专注，至多10分钟</t>
    <phoneticPr fontId="68" type="noConversion"/>
  </si>
  <si>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phoneticPr fontId="68" type="noConversion"/>
  </si>
  <si>
    <t>Freedom of the Wind</t>
    <phoneticPr fontId="68" type="noConversion"/>
  </si>
  <si>
    <t>DoDk</t>
    <phoneticPr fontId="68" type="noConversion"/>
  </si>
  <si>
    <t>TCSR</t>
    <phoneticPr fontId="68" type="noConversion"/>
  </si>
  <si>
    <t>雷鸣猛推</t>
  </si>
  <si>
    <t>高山之魂</t>
  </si>
  <si>
    <t>摧枯拉朽</t>
  </si>
  <si>
    <t>坚不可移</t>
  </si>
  <si>
    <t>旋风打击</t>
  </si>
  <si>
    <t>势不可挡</t>
  </si>
  <si>
    <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</si>
  <si>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phoneticPr fontId="68" type="noConversion"/>
  </si>
  <si>
    <r>
      <t>你的近战武器攻击对构装生物额外造成</t>
    </r>
    <r>
      <rPr>
        <sz val="10"/>
        <color theme="1"/>
        <rFont val="Times New Roman"/>
        <family val="1"/>
      </rPr>
      <t>1d8</t>
    </r>
    <r>
      <rPr>
        <sz val="10"/>
        <color theme="1"/>
        <rFont val="宋体"/>
        <family val="3"/>
        <charset val="134"/>
      </rPr>
      <t>伤害，对物件和建筑物造成双倍伤害。</t>
    </r>
    <phoneticPr fontId="68" type="noConversion"/>
  </si>
  <si>
    <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phoneticPr fontId="68" type="noConversion"/>
  </si>
  <si>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phoneticPr fontId="68" type="noConversion"/>
  </si>
  <si>
    <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phoneticPr fontId="68" type="noConversion"/>
  </si>
  <si>
    <t>巨像道途</t>
    <phoneticPr fontId="68" type="noConversion"/>
  </si>
  <si>
    <t>惨中取意</t>
  </si>
  <si>
    <t>多舛命运</t>
  </si>
  <si>
    <t>盛极必衰</t>
  </si>
  <si>
    <t>临头厄运</t>
  </si>
  <si>
    <t>悲怆光轮</t>
  </si>
  <si>
    <r>
      <t>在你加入悲剧学院后，你习得了如何驾驭失败中的美感，在最可怕的命运挫折中寻找灵感。当你或一位</t>
    </r>
    <r>
      <rPr>
        <sz val="10"/>
        <color theme="1"/>
        <rFont val="宋体"/>
        <family val="1"/>
        <charset val="134"/>
      </rPr>
      <t>30</t>
    </r>
    <r>
      <rPr>
        <sz val="10"/>
        <color theme="1"/>
        <rFont val="宋体"/>
        <family val="3"/>
        <charset val="134"/>
      </rPr>
      <t>尺内的盟友在一次攻击检定、属性检定、或豁免检定中投出</t>
    </r>
    <r>
      <rPr>
        <sz val="10"/>
        <color theme="1"/>
        <rFont val="宋体"/>
        <family val="1"/>
        <charset val="134"/>
      </rPr>
      <t>1</t>
    </r>
    <r>
      <rPr>
        <sz val="10"/>
        <color theme="1"/>
        <rFont val="宋体"/>
        <family val="3"/>
        <charset val="134"/>
      </rPr>
      <t>时，你能以你的反应来为其配上一次独白。此时，你将恢复一次已消耗的</t>
    </r>
    <r>
      <rPr>
        <sz val="10"/>
        <color theme="1"/>
        <rFont val="宋体"/>
        <family val="1"/>
        <charset val="134"/>
      </rPr>
      <t xml:space="preserve"> </t>
    </r>
    <r>
      <rPr>
        <sz val="10"/>
        <color theme="1"/>
        <rFont val="宋体"/>
        <family val="3"/>
        <charset val="134"/>
      </rPr>
      <t>吟游诗人激励</t>
    </r>
    <r>
      <rPr>
        <sz val="10"/>
        <color theme="1"/>
        <rFont val="宋体"/>
        <family val="1"/>
        <charset val="134"/>
      </rPr>
      <t xml:space="preserve">Bardic Inspiration </t>
    </r>
    <r>
      <rPr>
        <sz val="10"/>
        <color theme="1"/>
        <rFont val="宋体"/>
        <family val="3"/>
        <charset val="134"/>
      </rPr>
      <t>特性使用次数。</t>
    </r>
    <phoneticPr fontId="68" type="noConversion"/>
  </si>
  <si>
    <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phoneticPr fontId="68" type="noConversion"/>
  </si>
  <si>
    <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phoneticPr fontId="68" type="noConversion"/>
  </si>
  <si>
    <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phoneticPr fontId="68" type="noConversion"/>
  </si>
  <si>
    <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1"/>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1"/>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1"/>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1"/>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phoneticPr fontId="68" type="noConversion"/>
  </si>
  <si>
    <t>悲剧学院</t>
    <phoneticPr fontId="68" type="noConversion"/>
  </si>
  <si>
    <t>月亮领域法术</t>
  </si>
  <si>
    <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</si>
  <si>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银月明光</t>
  </si>
  <si>
    <t>引导神力：满月祝福</t>
  </si>
  <si>
    <t>引导神力：双月同心</t>
  </si>
  <si>
    <t>月蚀恶兆</t>
  </si>
  <si>
    <r>
      <t>在选择该领域时，你学会了如何在你想守护之人的心智最危险的时候向其映射光亮，并用这光亮化作护盾保护他们。当你身边</t>
    </r>
    <r>
      <rPr>
        <sz val="10"/>
        <color theme="1"/>
        <rFont val="宋体"/>
        <family val="1"/>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phoneticPr fontId="68" type="noConversion"/>
  </si>
  <si>
    <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phoneticPr fontId="68" type="noConversion"/>
  </si>
  <si>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phoneticPr fontId="68" type="noConversion"/>
  </si>
  <si>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phoneticPr fontId="68" type="noConversion"/>
  </si>
  <si>
    <t>领域法术</t>
  </si>
  <si>
    <r>
      <t>你在鲜血领域法术表格中的牧师等级获得领域法术。_x000D_
鲜血领域法术</t>
    </r>
    <r>
      <rPr>
        <sz val="10"/>
        <color theme="1"/>
        <rFont val="Times New Roman"/>
        <family val="3"/>
        <charset val="134"/>
      </rPr>
      <t xml:space="preserve"> </t>
    </r>
    <r>
      <rPr>
        <sz val="10"/>
        <color theme="1"/>
        <rFont val="宋体"/>
        <family val="3"/>
        <charset val="134"/>
      </rPr>
      <t>牧师等级</t>
    </r>
    <r>
      <rPr>
        <sz val="10"/>
        <color theme="1"/>
        <rFont val="Times New Roman"/>
        <family val="3"/>
        <charset val="134"/>
      </rPr>
      <t xml:space="preserve">  </t>
    </r>
    <r>
      <rPr>
        <sz val="10"/>
        <color theme="1"/>
        <rFont val="宋体"/>
        <family val="3"/>
        <charset val="134"/>
      </rPr>
      <t>法术</t>
    </r>
    <r>
      <rPr>
        <sz val="10"/>
        <color theme="1"/>
        <rFont val="Times New Roman"/>
        <family val="3"/>
        <charset val="134"/>
      </rPr>
      <t xml:space="preserve">  _x000D_
1st </t>
    </r>
    <r>
      <rPr>
        <sz val="10"/>
        <color theme="1"/>
        <rFont val="宋体"/>
        <family val="3"/>
        <charset val="134"/>
      </rPr>
      <t>虚假生命</t>
    </r>
    <r>
      <rPr>
        <sz val="10"/>
        <color theme="1"/>
        <rFont val="Times New Roman"/>
        <family val="3"/>
        <charset val="134"/>
      </rPr>
      <t>false life</t>
    </r>
    <r>
      <rPr>
        <sz val="10"/>
        <color theme="1"/>
        <rFont val="宋体"/>
        <family val="3"/>
        <charset val="134"/>
      </rPr>
      <t>，睡眠术</t>
    </r>
    <r>
      <rPr>
        <sz val="10"/>
        <color theme="1"/>
        <rFont val="Times New Roman"/>
        <family val="3"/>
        <charset val="134"/>
      </rPr>
      <t xml:space="preserve">sleep _x000D_
3rd </t>
    </r>
    <r>
      <rPr>
        <sz val="10"/>
        <color theme="1"/>
        <rFont val="宋体"/>
        <family val="3"/>
        <charset val="134"/>
      </rPr>
      <t>定身类人</t>
    </r>
    <r>
      <rPr>
        <sz val="10"/>
        <color theme="1"/>
        <rFont val="Times New Roman"/>
        <family val="3"/>
        <charset val="134"/>
      </rPr>
      <t>hold person</t>
    </r>
    <r>
      <rPr>
        <sz val="10"/>
        <color theme="1"/>
        <rFont val="宋体"/>
        <family val="3"/>
        <charset val="134"/>
      </rPr>
      <t>，衰弱射线</t>
    </r>
    <r>
      <rPr>
        <sz val="10"/>
        <color theme="1"/>
        <rFont val="Times New Roman"/>
        <family val="3"/>
        <charset val="134"/>
      </rPr>
      <t xml:space="preserve">ray of enfeeblement _x000D_
5th </t>
    </r>
    <r>
      <rPr>
        <sz val="10"/>
        <color theme="1"/>
        <rFont val="宋体"/>
        <family val="3"/>
        <charset val="134"/>
      </rPr>
      <t>加速术</t>
    </r>
    <r>
      <rPr>
        <sz val="10"/>
        <color theme="1"/>
        <rFont val="Times New Roman"/>
        <family val="3"/>
        <charset val="134"/>
      </rPr>
      <t>haste</t>
    </r>
    <r>
      <rPr>
        <sz val="10"/>
        <color theme="1"/>
        <rFont val="宋体"/>
        <family val="3"/>
        <charset val="134"/>
      </rPr>
      <t>，缓慢术</t>
    </r>
    <r>
      <rPr>
        <sz val="10"/>
        <color theme="1"/>
        <rFont val="Times New Roman"/>
        <family val="3"/>
        <charset val="134"/>
      </rPr>
      <t xml:space="preserve">slow _x000D_
7th </t>
    </r>
    <r>
      <rPr>
        <sz val="10"/>
        <color theme="1"/>
        <rFont val="宋体"/>
        <family val="3"/>
        <charset val="134"/>
      </rPr>
      <t>枯萎术</t>
    </r>
    <r>
      <rPr>
        <sz val="10"/>
        <color theme="1"/>
        <rFont val="Times New Roman"/>
        <family val="3"/>
        <charset val="134"/>
      </rPr>
      <t>blight</t>
    </r>
    <r>
      <rPr>
        <sz val="10"/>
        <color theme="1"/>
        <rFont val="宋体"/>
        <family val="3"/>
        <charset val="134"/>
      </rPr>
      <t>，石肤术</t>
    </r>
    <r>
      <rPr>
        <sz val="10"/>
        <color theme="1"/>
        <rFont val="Times New Roman"/>
        <family val="3"/>
        <charset val="134"/>
      </rPr>
      <t xml:space="preserve">stoneskin _x000D_
9th </t>
    </r>
    <r>
      <rPr>
        <sz val="10"/>
        <color theme="1"/>
        <rFont val="宋体"/>
        <family val="3"/>
        <charset val="134"/>
      </rPr>
      <t>支配类人</t>
    </r>
    <r>
      <rPr>
        <sz val="10"/>
        <color theme="1"/>
        <rFont val="Times New Roman"/>
        <family val="3"/>
        <charset val="134"/>
      </rPr>
      <t>dominate person</t>
    </r>
    <r>
      <rPr>
        <sz val="10"/>
        <color theme="1"/>
        <rFont val="宋体"/>
        <family val="3"/>
        <charset val="134"/>
      </rPr>
      <t>，定身怪物</t>
    </r>
    <r>
      <rPr>
        <sz val="10"/>
        <color theme="1"/>
        <rFont val="Times New Roman"/>
        <family val="3"/>
        <charset val="134"/>
      </rPr>
      <t xml:space="preserve">hold monster  </t>
    </r>
  </si>
  <si>
    <t>附赠熟练项</t>
  </si>
  <si>
    <t>失血凝集</t>
  </si>
  <si>
    <t>引导神力：猩红连结</t>
  </si>
  <si>
    <t>引导神力：缚血傀戏</t>
  </si>
  <si>
    <t>殷红回想</t>
  </si>
  <si>
    <t>血裂灵光</t>
  </si>
  <si>
    <t>在选择该领域时，你获得军用武器的熟练项。</t>
    <phoneticPr fontId="68" type="noConversion"/>
  </si>
  <si>
    <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phoneticPr fontId="68" type="noConversion"/>
  </si>
  <si>
    <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phoneticPr fontId="68" type="noConversion"/>
  </si>
  <si>
    <r>
      <t>你可以用你的引导神力短暂的操纵一个生物的行动</t>
    </r>
    <r>
      <rPr>
        <sz val="10"/>
        <color theme="1"/>
        <rFont val="宋体"/>
        <family val="1"/>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phoneticPr fontId="68" type="noConversion"/>
  </si>
  <si>
    <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phoneticPr fontId="68" type="noConversion"/>
  </si>
  <si>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phoneticPr fontId="68" type="noConversion"/>
  </si>
  <si>
    <t>月亮领域</t>
    <phoneticPr fontId="68" type="noConversion"/>
  </si>
  <si>
    <t>鲜血领域</t>
    <phoneticPr fontId="68" type="noConversion"/>
  </si>
  <si>
    <t>枯朽结社</t>
    <phoneticPr fontId="68" type="noConversion"/>
  </si>
  <si>
    <t>钴魂宗</t>
    <phoneticPr fontId="68" type="noConversion"/>
  </si>
  <si>
    <t>远洋之誓</t>
    <phoneticPr fontId="68" type="noConversion"/>
  </si>
  <si>
    <t>符文之子</t>
    <phoneticPr fontId="68" type="noConversion"/>
  </si>
  <si>
    <t>污化土地</t>
  </si>
  <si>
    <t>枯败之形</t>
  </si>
  <si>
    <t>阴影之种的呼唤</t>
  </si>
  <si>
    <t>污秽召唤</t>
  </si>
  <si>
    <t>腐败化身</t>
  </si>
  <si>
    <r>
      <t>自你选择这一结社起，你获得以一个附赠动作腐化一片土地或水体的能力。指定你</t>
    </r>
    <r>
      <rPr>
        <sz val="10"/>
        <color theme="1"/>
        <rFont val="宋体"/>
        <family val="1"/>
        <charset val="134"/>
      </rPr>
      <t>60</t>
    </r>
    <r>
      <rPr>
        <sz val="10"/>
        <color theme="1"/>
        <rFont val="宋体"/>
        <family val="3"/>
        <charset val="134"/>
      </rPr>
      <t>尺内的一点，以那一点为中心</t>
    </r>
    <r>
      <rPr>
        <sz val="10"/>
        <color theme="1"/>
        <rFont val="宋体"/>
        <family val="1"/>
        <charset val="134"/>
      </rPr>
      <t>10</t>
    </r>
    <r>
      <rPr>
        <sz val="10"/>
        <color theme="1"/>
        <rFont val="宋体"/>
        <family val="3"/>
        <charset val="134"/>
      </rPr>
      <t>尺半径内的土地或水体将被腐化</t>
    </r>
    <r>
      <rPr>
        <sz val="10"/>
        <color theme="1"/>
        <rFont val="宋体"/>
        <family val="1"/>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1"/>
        <charset val="134"/>
      </rPr>
      <t>1d4</t>
    </r>
    <r>
      <rPr>
        <sz val="10"/>
        <color theme="1"/>
        <rFont val="宋体"/>
        <family val="3"/>
        <charset val="134"/>
      </rPr>
      <t>点暗蚀伤害。你能以一个附赠动作将腐化区域移动最多</t>
    </r>
    <r>
      <rPr>
        <sz val="10"/>
        <color theme="1"/>
        <rFont val="宋体"/>
        <family val="1"/>
        <charset val="134"/>
      </rPr>
      <t>30</t>
    </r>
    <r>
      <rPr>
        <sz val="10"/>
        <color theme="1"/>
        <rFont val="宋体"/>
        <family val="3"/>
        <charset val="134"/>
      </rPr>
      <t>尺距离。飞行中的生物不会受腐化影响。
从</t>
    </r>
    <r>
      <rPr>
        <sz val="10"/>
        <color theme="1"/>
        <rFont val="宋体"/>
        <family val="1"/>
        <charset val="134"/>
      </rPr>
      <t>10</t>
    </r>
    <r>
      <rPr>
        <sz val="10"/>
        <color theme="1"/>
        <rFont val="宋体"/>
        <family val="3"/>
        <charset val="134"/>
      </rPr>
      <t>级起，你所污化的区域半径增加到</t>
    </r>
    <r>
      <rPr>
        <sz val="10"/>
        <color theme="1"/>
        <rFont val="宋体"/>
        <family val="1"/>
        <charset val="134"/>
      </rPr>
      <t>20</t>
    </r>
    <r>
      <rPr>
        <sz val="10"/>
        <color theme="1"/>
        <rFont val="宋体"/>
        <family val="3"/>
        <charset val="134"/>
      </rPr>
      <t>尺半径。此外，你的污染区域造成的额外伤害在你达到</t>
    </r>
    <r>
      <rPr>
        <sz val="10"/>
        <color theme="1"/>
        <rFont val="宋体"/>
        <family val="1"/>
        <charset val="134"/>
      </rPr>
      <t>10</t>
    </r>
    <r>
      <rPr>
        <sz val="10"/>
        <color theme="1"/>
        <rFont val="宋体"/>
        <family val="3"/>
        <charset val="134"/>
      </rPr>
      <t>级时候增长为</t>
    </r>
    <r>
      <rPr>
        <sz val="10"/>
        <color theme="1"/>
        <rFont val="宋体"/>
        <family val="1"/>
        <charset val="134"/>
      </rPr>
      <t>1d6</t>
    </r>
    <r>
      <rPr>
        <sz val="10"/>
        <color theme="1"/>
        <rFont val="宋体"/>
        <family val="3"/>
        <charset val="134"/>
      </rPr>
      <t>，在</t>
    </r>
    <r>
      <rPr>
        <sz val="10"/>
        <color theme="1"/>
        <rFont val="宋体"/>
        <family val="1"/>
        <charset val="134"/>
      </rPr>
      <t>14</t>
    </r>
    <r>
      <rPr>
        <sz val="10"/>
        <color theme="1"/>
        <rFont val="宋体"/>
        <family val="3"/>
        <charset val="134"/>
      </rPr>
      <t>级时增长为</t>
    </r>
    <r>
      <rPr>
        <sz val="10"/>
        <color theme="1"/>
        <rFont val="宋体"/>
        <family val="1"/>
        <charset val="134"/>
      </rPr>
      <t>1d8</t>
    </r>
    <r>
      <rPr>
        <sz val="10"/>
        <color theme="1"/>
        <rFont val="宋体"/>
        <family val="3"/>
        <charset val="134"/>
      </rPr>
      <t>。
一旦你使用了这一特性，直到你完成一次短休或长休为止你都不能再次使用它。</t>
    </r>
    <phoneticPr fontId="68" type="noConversion"/>
  </si>
  <si>
    <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phoneticPr fontId="68" type="noConversion"/>
  </si>
  <si>
    <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1"/>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phoneticPr fontId="68" type="noConversion"/>
  </si>
  <si>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phoneticPr fontId="68" type="noConversion"/>
  </si>
  <si>
    <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phoneticPr fontId="68" type="noConversion"/>
  </si>
  <si>
    <t>血魔法</t>
    <phoneticPr fontId="68" type="noConversion"/>
  </si>
  <si>
    <t>鲜血传导</t>
    <phoneticPr fontId="68" type="noConversion"/>
  </si>
  <si>
    <r>
      <rPr>
        <sz val="10"/>
        <color theme="1"/>
        <rFont val="微软雅黑"/>
        <family val="1"/>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1"/>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1"/>
        <charset val="134"/>
      </rPr>
      <t>就需要受到</t>
    </r>
    <r>
      <rPr>
        <sz val="10"/>
        <color theme="1"/>
        <rFont val="Times New Roman"/>
        <family val="1"/>
      </rPr>
      <t>1d10</t>
    </r>
    <r>
      <rPr>
        <sz val="10"/>
        <color theme="1"/>
        <rFont val="微软雅黑"/>
        <family val="1"/>
        <charset val="134"/>
      </rPr>
      <t>点无法被任何方式减免的暗蚀伤害（至少</t>
    </r>
    <r>
      <rPr>
        <sz val="10"/>
        <color theme="1"/>
        <rFont val="Times New Roman"/>
        <family val="1"/>
      </rPr>
      <t>1d10</t>
    </r>
    <r>
      <rPr>
        <sz val="10"/>
        <color theme="1"/>
        <rFont val="微软雅黑"/>
        <family val="1"/>
        <charset val="134"/>
      </rPr>
      <t>）。如果这一伤害将你的生命值降为了</t>
    </r>
    <r>
      <rPr>
        <sz val="10"/>
        <color theme="1"/>
        <rFont val="Times New Roman"/>
        <family val="1"/>
      </rPr>
      <t>0</t>
    </r>
    <r>
      <rPr>
        <sz val="10"/>
        <color theme="1"/>
        <rFont val="微软雅黑"/>
        <family val="1"/>
        <charset val="134"/>
      </rPr>
      <t>，法术会失败，但法术位不会被消耗。</t>
    </r>
    <phoneticPr fontId="68" type="noConversion"/>
  </si>
  <si>
    <t>绯红爆发</t>
    <phoneticPr fontId="68" type="noConversion"/>
  </si>
  <si>
    <r>
      <rPr>
        <sz val="10"/>
        <color theme="1"/>
        <rFont val="微软雅黑"/>
        <family val="1"/>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1"/>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1"/>
        <charset val="134"/>
      </rPr>
      <t>）枚伤害骰。这一伤害无法被任何方式减少，且你必须采用新的结果。</t>
    </r>
    <phoneticPr fontId="68" type="noConversion"/>
  </si>
  <si>
    <t>共苦之缚</t>
    <phoneticPr fontId="68" type="noConversion"/>
  </si>
  <si>
    <r>
      <rPr>
        <sz val="10"/>
        <color theme="1"/>
        <rFont val="微软雅黑"/>
        <family val="1"/>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1"/>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1"/>
        <charset val="134"/>
      </rPr>
      <t>级起，你能在休息之间使用此特性两次。</t>
    </r>
    <phoneticPr fontId="68" type="noConversion"/>
  </si>
  <si>
    <t>操血刻印</t>
    <phoneticPr fontId="68" type="noConversion"/>
  </si>
  <si>
    <r>
      <rPr>
        <sz val="10"/>
        <color theme="1"/>
        <rFont val="微软雅黑"/>
        <family val="1"/>
        <charset val="134"/>
      </rPr>
      <t>当</t>
    </r>
    <r>
      <rPr>
        <sz val="10"/>
        <color theme="1"/>
        <rFont val="宋体"/>
        <family val="1"/>
        <charset val="134"/>
      </rPr>
      <t>你</t>
    </r>
    <r>
      <rPr>
        <sz val="10"/>
        <color theme="1"/>
        <rFont val="微软雅黑"/>
        <family val="1"/>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1"/>
        <charset val="134"/>
      </rPr>
      <t>点暗蚀伤害。该生物可以在每次自己回合结束时进行一次对抗你法术豁免</t>
    </r>
    <r>
      <rPr>
        <sz val="10"/>
        <color theme="1"/>
        <rFont val="Times New Roman"/>
        <family val="1"/>
      </rPr>
      <t>DC</t>
    </r>
    <r>
      <rPr>
        <sz val="10"/>
        <color theme="1"/>
        <rFont val="微软雅黑"/>
        <family val="1"/>
        <charset val="134"/>
      </rPr>
      <t>的体质豁免，豁免成功则诅咒提前结束。</t>
    </r>
    <r>
      <rPr>
        <sz val="10"/>
        <color theme="1"/>
        <rFont val="Times New Roman"/>
        <family val="1"/>
      </rPr>
      <t xml:space="preserve">
</t>
    </r>
    <r>
      <rPr>
        <sz val="10"/>
        <color theme="1"/>
        <rFont val="微软雅黑"/>
        <family val="1"/>
        <charset val="134"/>
      </rPr>
      <t>你无法对构装或亡灵生物使用这一特性。一旦你使用了此特性，直到你完成一次短休或长休前你都不能再次使用它。</t>
    </r>
    <phoneticPr fontId="68" type="noConversion"/>
  </si>
  <si>
    <t>血浓于水</t>
    <phoneticPr fontId="68" type="noConversion"/>
  </si>
  <si>
    <r>
      <rPr>
        <sz val="10"/>
        <color theme="1"/>
        <rFont val="宋体"/>
        <family val="1"/>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1"/>
        <charset val="134"/>
      </rPr>
      <t>此外，当你专注一个法术时，你获得对非魔法攻击造成的钝击、穿刺、和挥砍伤害的抗性。</t>
    </r>
    <phoneticPr fontId="68" type="noConversion"/>
  </si>
  <si>
    <t>问诊详情</t>
  </si>
  <si>
    <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</si>
  <si>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勒问真相</t>
  </si>
  <si>
    <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</si>
  <si>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神秘博学</t>
  </si>
  <si>
    <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</si>
  <si>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水银之心</t>
  </si>
  <si>
    <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</si>
  <si>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衰弱连击</t>
  </si>
  <si>
    <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</si>
  <si>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远洋之誓法术</t>
    <phoneticPr fontId="68" type="noConversion"/>
  </si>
  <si>
    <r>
      <rPr>
        <sz val="10"/>
        <color theme="1"/>
        <rFont val="宋体"/>
        <family val="1"/>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1"/>
        <charset val="134"/>
      </rPr>
      <t>远洋之誓圣誓法术</t>
    </r>
    <r>
      <rPr>
        <sz val="10"/>
        <color theme="1"/>
        <rFont val="Times New Roman"/>
        <family val="1"/>
      </rPr>
      <t xml:space="preserve">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造水术</t>
    </r>
    <r>
      <rPr>
        <sz val="10"/>
        <color theme="1"/>
        <rFont val="Times New Roman"/>
        <family val="1"/>
      </rPr>
      <t>/</t>
    </r>
    <r>
      <rPr>
        <sz val="10"/>
        <color theme="1"/>
        <rFont val="宋体"/>
        <family val="1"/>
        <charset val="134"/>
      </rPr>
      <t>枯水术</t>
    </r>
    <r>
      <rPr>
        <sz val="10"/>
        <color theme="1"/>
        <rFont val="Times New Roman"/>
        <family val="1"/>
      </rPr>
      <t>create or destroy water</t>
    </r>
    <r>
      <rPr>
        <sz val="10"/>
        <color theme="1"/>
        <rFont val="宋体"/>
        <family val="1"/>
        <charset val="134"/>
      </rPr>
      <t>，脚底抹油</t>
    </r>
    <r>
      <rPr>
        <sz val="10"/>
        <color theme="1"/>
        <rFont val="Times New Roman"/>
        <family val="1"/>
      </rPr>
      <t xml:space="preserve">expeditious retreat 
5th </t>
    </r>
    <r>
      <rPr>
        <sz val="10"/>
        <color theme="1"/>
        <rFont val="宋体"/>
        <family val="1"/>
        <charset val="134"/>
      </rPr>
      <t>卜筮术</t>
    </r>
    <r>
      <rPr>
        <sz val="10"/>
        <color theme="1"/>
        <rFont val="Times New Roman"/>
        <family val="1"/>
      </rPr>
      <t>augury</t>
    </r>
    <r>
      <rPr>
        <sz val="10"/>
        <color theme="1"/>
        <rFont val="宋体"/>
        <family val="1"/>
        <charset val="134"/>
      </rPr>
      <t>，迷踪步</t>
    </r>
    <r>
      <rPr>
        <sz val="10"/>
        <color theme="1"/>
        <rFont val="Times New Roman"/>
        <family val="1"/>
      </rPr>
      <t xml:space="preserve">misty step 
9th </t>
    </r>
    <r>
      <rPr>
        <sz val="10"/>
        <color theme="1"/>
        <rFont val="宋体"/>
        <family val="1"/>
        <charset val="134"/>
      </rPr>
      <t>召雷术</t>
    </r>
    <r>
      <rPr>
        <sz val="10"/>
        <color theme="1"/>
        <rFont val="Times New Roman"/>
        <family val="1"/>
      </rPr>
      <t>call lightning</t>
    </r>
    <r>
      <rPr>
        <sz val="10"/>
        <color theme="1"/>
        <rFont val="宋体"/>
        <family val="1"/>
        <charset val="134"/>
      </rPr>
      <t>，浪之自由</t>
    </r>
    <r>
      <rPr>
        <sz val="10"/>
        <color theme="1"/>
        <rFont val="Times New Roman"/>
        <family val="1"/>
      </rPr>
      <t xml:space="preserve">freedom of the waves*  
13th </t>
    </r>
    <r>
      <rPr>
        <sz val="10"/>
        <color theme="1"/>
        <rFont val="宋体"/>
        <family val="1"/>
        <charset val="134"/>
      </rPr>
      <t>控制水体</t>
    </r>
    <r>
      <rPr>
        <sz val="10"/>
        <color theme="1"/>
        <rFont val="Times New Roman"/>
        <family val="1"/>
      </rPr>
      <t>control water</t>
    </r>
    <r>
      <rPr>
        <sz val="10"/>
        <color theme="1"/>
        <rFont val="宋体"/>
        <family val="1"/>
        <charset val="134"/>
      </rPr>
      <t>，行动自如</t>
    </r>
    <r>
      <rPr>
        <sz val="10"/>
        <color theme="1"/>
        <rFont val="Times New Roman"/>
        <family val="1"/>
      </rPr>
      <t xml:space="preserve">freedom of movement 
17th </t>
    </r>
    <r>
      <rPr>
        <sz val="10"/>
        <color theme="1"/>
        <rFont val="宋体"/>
        <family val="1"/>
        <charset val="134"/>
      </rPr>
      <t>问道自然</t>
    </r>
    <r>
      <rPr>
        <sz val="10"/>
        <color theme="1"/>
        <rFont val="Times New Roman"/>
        <family val="1"/>
      </rPr>
      <t>commune with nature</t>
    </r>
    <r>
      <rPr>
        <sz val="10"/>
        <color theme="1"/>
        <rFont val="宋体"/>
        <family val="1"/>
        <charset val="134"/>
      </rPr>
      <t>，风之自由</t>
    </r>
    <r>
      <rPr>
        <sz val="10"/>
        <color theme="1"/>
        <rFont val="Times New Roman"/>
        <family val="1"/>
      </rPr>
      <t>freedom of the winds*</t>
    </r>
    <phoneticPr fontId="68" type="noConversion"/>
  </si>
  <si>
    <r>
      <rPr>
        <sz val="10"/>
        <color theme="1"/>
        <rFont val="宋体"/>
        <family val="1"/>
        <charset val="134"/>
      </rPr>
      <t>你的身体开始以皮肤表面符文的形式释放出你天生的魔法。最初，你具有</t>
    </r>
    <r>
      <rPr>
        <sz val="10"/>
        <color theme="1"/>
        <rFont val="Times New Roman"/>
        <family val="1"/>
      </rPr>
      <t>1</t>
    </r>
    <r>
      <rPr>
        <sz val="10"/>
        <color theme="1"/>
        <rFont val="宋体"/>
        <family val="1"/>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1"/>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1"/>
        <charset val="134"/>
      </rPr>
      <t>如果你没有术法点也没有蓄能符文，你可以以一个动作让一个符文蓄能。</t>
    </r>
    <r>
      <rPr>
        <sz val="10"/>
        <color theme="1"/>
        <rFont val="Times New Roman"/>
        <family val="1"/>
      </rPr>
      <t xml:space="preserve">
</t>
    </r>
    <r>
      <rPr>
        <sz val="10"/>
        <color theme="1"/>
        <rFont val="宋体"/>
        <family val="1"/>
        <charset val="134"/>
      </rPr>
      <t>如果你具有</t>
    </r>
    <r>
      <rPr>
        <sz val="10"/>
        <color theme="1"/>
        <rFont val="Times New Roman"/>
        <family val="1"/>
      </rPr>
      <t>5</t>
    </r>
    <r>
      <rPr>
        <sz val="10"/>
        <color theme="1"/>
        <rFont val="宋体"/>
        <family val="1"/>
        <charset val="134"/>
      </rPr>
      <t>个或更多的蓄能符文，你会发出</t>
    </r>
    <r>
      <rPr>
        <sz val="10"/>
        <color theme="1"/>
        <rFont val="Times New Roman"/>
        <family val="1"/>
      </rPr>
      <t>5</t>
    </r>
    <r>
      <rPr>
        <sz val="10"/>
        <color theme="1"/>
        <rFont val="宋体"/>
        <family val="1"/>
        <charset val="134"/>
      </rPr>
      <t>尺半径的明亮光照以及那之外的</t>
    </r>
    <r>
      <rPr>
        <sz val="10"/>
        <color theme="1"/>
        <rFont val="Times New Roman"/>
        <family val="1"/>
      </rPr>
      <t>5</t>
    </r>
    <r>
      <rPr>
        <sz val="10"/>
        <color theme="1"/>
        <rFont val="宋体"/>
        <family val="1"/>
        <charset val="134"/>
      </rPr>
      <t>尺的微光光照。</t>
    </r>
    <r>
      <rPr>
        <sz val="10"/>
        <color theme="1"/>
        <rFont val="Times New Roman"/>
        <family val="1"/>
      </rPr>
      <t xml:space="preserve">
</t>
    </r>
    <r>
      <rPr>
        <sz val="10"/>
        <color theme="1"/>
        <rFont val="宋体"/>
        <family val="1"/>
        <charset val="134"/>
      </rPr>
      <t>如果你消耗一个蓄能符文来使用你的符文之子特性，这个本源符文会变回失活状态。在你结束一次长休后，所有蓄能符文都会变回失活状态。</t>
    </r>
    <phoneticPr fontId="68" type="noConversion"/>
  </si>
  <si>
    <t>本源符文</t>
    <phoneticPr fontId="68" type="noConversion"/>
  </si>
  <si>
    <t>符文魔法</t>
    <phoneticPr fontId="68" type="noConversion"/>
  </si>
  <si>
    <r>
      <rPr>
        <sz val="10"/>
        <color theme="1"/>
        <rFont val="宋体"/>
        <family val="1"/>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1"/>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大步奔行</t>
    </r>
    <r>
      <rPr>
        <sz val="10"/>
        <color theme="1"/>
        <rFont val="Times New Roman"/>
        <family val="1"/>
      </rPr>
      <t>longstrider</t>
    </r>
    <r>
      <rPr>
        <sz val="10"/>
        <color theme="1"/>
        <rFont val="宋体"/>
        <family val="1"/>
        <charset val="134"/>
      </rPr>
      <t>，防护善恶</t>
    </r>
    <r>
      <rPr>
        <sz val="10"/>
        <color theme="1"/>
        <rFont val="Times New Roman"/>
        <family val="1"/>
      </rPr>
      <t xml:space="preserve">protection from evil and good 
3rd </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 xml:space="preserve">protection from poison 
5th </t>
    </r>
    <r>
      <rPr>
        <sz val="10"/>
        <color theme="1"/>
        <rFont val="宋体"/>
        <family val="1"/>
        <charset val="134"/>
      </rPr>
      <t>守卫刻文</t>
    </r>
    <r>
      <rPr>
        <sz val="10"/>
        <color theme="1"/>
        <rFont val="Times New Roman"/>
        <family val="1"/>
      </rPr>
      <t>glyph of warding</t>
    </r>
    <r>
      <rPr>
        <sz val="10"/>
        <color theme="1"/>
        <rFont val="宋体"/>
        <family val="1"/>
        <charset val="134"/>
      </rPr>
      <t>，防护法阵</t>
    </r>
    <r>
      <rPr>
        <sz val="10"/>
        <color theme="1"/>
        <rFont val="Times New Roman"/>
        <family val="1"/>
      </rPr>
      <t xml:space="preserve">magic circle  
7th </t>
    </r>
    <r>
      <rPr>
        <sz val="10"/>
        <color theme="1"/>
        <rFont val="宋体"/>
        <family val="1"/>
        <charset val="134"/>
      </rPr>
      <t>防死结界</t>
    </r>
    <r>
      <rPr>
        <sz val="10"/>
        <color theme="1"/>
        <rFont val="Times New Roman"/>
        <family val="1"/>
      </rPr>
      <t>death ward</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高等复原术</t>
    </r>
    <r>
      <rPr>
        <sz val="10"/>
        <color theme="1"/>
        <rFont val="Times New Roman"/>
        <family val="1"/>
      </rPr>
      <t xml:space="preserve">greater restoration, </t>
    </r>
    <r>
      <rPr>
        <sz val="10"/>
        <color theme="1"/>
        <rFont val="宋体"/>
        <family val="1"/>
        <charset val="134"/>
      </rPr>
      <t>心灵遥控</t>
    </r>
    <r>
      <rPr>
        <sz val="10"/>
        <color theme="1"/>
        <rFont val="Times New Roman"/>
        <family val="1"/>
      </rPr>
      <t xml:space="preserve">telekinesis </t>
    </r>
    <phoneticPr fontId="68" type="noConversion"/>
  </si>
  <si>
    <t>坚盾刻文</t>
    <phoneticPr fontId="68" type="noConversion"/>
  </si>
  <si>
    <r>
      <rPr>
        <sz val="10"/>
        <color theme="1"/>
        <rFont val="宋体"/>
        <family val="1"/>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1"/>
        <charset val="134"/>
      </rPr>
      <t>骰，从伤害中减去骰值之和点。</t>
    </r>
    <r>
      <rPr>
        <sz val="10"/>
        <color theme="1"/>
        <rFont val="Times New Roman"/>
        <family val="1"/>
      </rPr>
      <t xml:space="preserve">
</t>
    </r>
    <r>
      <rPr>
        <sz val="10"/>
        <color theme="1"/>
        <rFont val="宋体"/>
        <family val="1"/>
        <charset val="134"/>
      </rPr>
      <t>当你达到</t>
    </r>
    <r>
      <rPr>
        <sz val="10"/>
        <color theme="1"/>
        <rFont val="Times New Roman"/>
        <family val="1"/>
      </rPr>
      <t>6</t>
    </r>
    <r>
      <rPr>
        <sz val="10"/>
        <color theme="1"/>
        <rFont val="宋体"/>
        <family val="1"/>
        <charset val="134"/>
      </rPr>
      <t>级后，你能以一个动作触碰一个生物并消耗至多</t>
    </r>
    <r>
      <rPr>
        <sz val="10"/>
        <color theme="1"/>
        <rFont val="Times New Roman"/>
        <family val="1"/>
      </rPr>
      <t>3</t>
    </r>
    <r>
      <rPr>
        <sz val="10"/>
        <color theme="1"/>
        <rFont val="宋体"/>
        <family val="1"/>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1"/>
        <charset val="134"/>
      </rPr>
      <t>骰并减少等于骰值之和点的伤害。你无法将这一力量传递给已经在</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保护下的生物。</t>
    </r>
    <r>
      <rPr>
        <sz val="10"/>
        <color theme="1"/>
        <rFont val="Times New Roman"/>
        <family val="1"/>
      </rPr>
      <t xml:space="preserve">
</t>
    </r>
    <r>
      <rPr>
        <sz val="10"/>
        <color theme="1"/>
        <rFont val="宋体"/>
        <family val="1"/>
        <charset val="134"/>
      </rPr>
      <t>你</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的骰子在</t>
    </r>
    <r>
      <rPr>
        <sz val="10"/>
        <color theme="1"/>
        <rFont val="Times New Roman"/>
        <family val="1"/>
      </rPr>
      <t>14</t>
    </r>
    <r>
      <rPr>
        <sz val="10"/>
        <color theme="1"/>
        <rFont val="宋体"/>
        <family val="1"/>
        <charset val="134"/>
      </rPr>
      <t>级时变为</t>
    </r>
    <r>
      <rPr>
        <sz val="10"/>
        <color theme="1"/>
        <rFont val="Times New Roman"/>
        <family val="1"/>
      </rPr>
      <t>d8</t>
    </r>
    <r>
      <rPr>
        <sz val="10"/>
        <color theme="1"/>
        <rFont val="宋体"/>
        <family val="1"/>
        <charset val="134"/>
      </rPr>
      <t>。</t>
    </r>
    <phoneticPr fontId="68" type="noConversion"/>
  </si>
  <si>
    <t>引导神力</t>
  </si>
  <si>
    <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</si>
  <si>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解放灵光</t>
  </si>
  <si>
    <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</si>
  <si>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潮汐汹涌</t>
  </si>
  <si>
    <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</si>
  <si>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神话浪客</t>
  </si>
  <si>
    <t>符印强化</t>
    <phoneticPr fontId="68" type="noConversion"/>
  </si>
  <si>
    <r>
      <rPr>
        <sz val="10"/>
        <color theme="1"/>
        <rFont val="宋体"/>
        <family val="1"/>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1"/>
        <charset val="134"/>
      </rPr>
      <t>此外，当你被迫进行一次力量、敏捷、或体质豁免时，你同样能用反应来消耗一枚蓄能符文来使本次豁免具有优势。不过一旦你在豁免上使用了本特性，直到你完成一次长休前你都无法再次在豁免上这么做。</t>
    </r>
    <phoneticPr fontId="68" type="noConversion"/>
  </si>
  <si>
    <t>显现刻印</t>
    <phoneticPr fontId="68" type="noConversion"/>
  </si>
  <si>
    <r>
      <rPr>
        <sz val="10"/>
        <color theme="1"/>
        <rFont val="宋体"/>
        <family val="1"/>
        <charset val="134"/>
      </rPr>
      <t>你能揭露周围隐藏的符号和魔法。以一个动作，你消耗一枚蓄能符文来揭露你周围</t>
    </r>
    <r>
      <rPr>
        <sz val="10"/>
        <color theme="1"/>
        <rFont val="Times New Roman"/>
        <family val="1"/>
      </rPr>
      <t>60</t>
    </r>
    <r>
      <rPr>
        <sz val="10"/>
        <color theme="1"/>
        <rFont val="宋体"/>
        <family val="1"/>
        <charset val="134"/>
      </rPr>
      <t>尺内隐藏或隐性的陷阱、伪装、符文、结界、探知器或刻文等。接下来的一分钟内，它们将散发出</t>
    </r>
    <r>
      <rPr>
        <sz val="10"/>
        <color theme="1"/>
        <rFont val="Times New Roman"/>
        <family val="1"/>
      </rPr>
      <t>5</t>
    </r>
    <r>
      <rPr>
        <sz val="10"/>
        <color theme="1"/>
        <rFont val="宋体"/>
        <family val="1"/>
        <charset val="134"/>
      </rPr>
      <t>尺半径的微弱光芒。</t>
    </r>
    <r>
      <rPr>
        <sz val="10"/>
        <color theme="1"/>
        <rFont val="Times New Roman"/>
        <family val="1"/>
      </rPr>
      <t xml:space="preserve">
</t>
    </r>
    <r>
      <rPr>
        <sz val="10"/>
        <color theme="1"/>
        <rFont val="宋体"/>
        <family val="1"/>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phoneticPr fontId="68" type="noConversion"/>
  </si>
  <si>
    <t>符文涌流</t>
    <phoneticPr fontId="68" type="noConversion"/>
  </si>
  <si>
    <r>
      <rPr>
        <sz val="10"/>
        <color theme="1"/>
        <rFont val="宋体"/>
        <family val="1"/>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1"/>
        <charset val="134"/>
      </rPr>
      <t>等同于你法术豁免</t>
    </r>
    <r>
      <rPr>
        <sz val="10"/>
        <color theme="1"/>
        <rFont val="Times New Roman"/>
        <family val="1"/>
      </rPr>
      <t>DC</t>
    </r>
    <r>
      <rPr>
        <sz val="10"/>
        <color theme="1"/>
        <rFont val="宋体"/>
        <family val="1"/>
        <charset val="134"/>
      </rPr>
      <t>的力量豁免，否则将应击</t>
    </r>
    <r>
      <rPr>
        <sz val="10"/>
        <color theme="1"/>
        <rFont val="Times New Roman"/>
        <family val="1"/>
      </rPr>
      <t xml:space="preserve"> </t>
    </r>
    <r>
      <rPr>
        <sz val="10"/>
        <color theme="1"/>
        <rFont val="宋体"/>
        <family val="1"/>
        <charset val="134"/>
      </rPr>
      <t>倒地</t>
    </r>
    <r>
      <rPr>
        <sz val="10"/>
        <color theme="1"/>
        <rFont val="Times New Roman"/>
        <family val="1"/>
      </rPr>
      <t xml:space="preserve">Prone </t>
    </r>
    <r>
      <rPr>
        <sz val="10"/>
        <color theme="1"/>
        <rFont val="宋体"/>
        <family val="1"/>
        <charset val="134"/>
      </rPr>
      <t>或被推离法术源点最多</t>
    </r>
    <r>
      <rPr>
        <sz val="10"/>
        <color theme="1"/>
        <rFont val="Times New Roman"/>
        <family val="1"/>
      </rPr>
      <t>15</t>
    </r>
    <r>
      <rPr>
        <sz val="10"/>
        <color theme="1"/>
        <rFont val="宋体"/>
        <family val="1"/>
        <charset val="134"/>
      </rPr>
      <t>尺（由你选择）。</t>
    </r>
    <r>
      <rPr>
        <sz val="10"/>
        <color theme="1"/>
        <rFont val="Times New Roman"/>
        <family val="1"/>
      </rPr>
      <t xml:space="preserve">
</t>
    </r>
    <r>
      <rPr>
        <sz val="10"/>
        <color theme="1"/>
        <rFont val="宋体"/>
        <family val="1"/>
        <charset val="134"/>
      </rPr>
      <t>一旦你使用了此特性，直到你完成一次短休或长休前你都无法再次使用它。</t>
    </r>
    <phoneticPr fontId="68" type="noConversion"/>
  </si>
  <si>
    <t>奥法化身</t>
    <phoneticPr fontId="68" type="noConversion"/>
  </si>
  <si>
    <r>
      <rPr>
        <sz val="10"/>
        <color theme="1"/>
        <rFont val="宋体"/>
        <family val="1"/>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1"/>
        <charset val="134"/>
      </rPr>
      <t>你获得</t>
    </r>
    <r>
      <rPr>
        <sz val="10"/>
        <color theme="1"/>
        <rFont val="Times New Roman"/>
        <family val="1"/>
      </rPr>
      <t>60</t>
    </r>
    <r>
      <rPr>
        <sz val="10"/>
        <color theme="1"/>
        <rFont val="宋体"/>
        <family val="1"/>
        <charset val="134"/>
      </rPr>
      <t>尺飞行速度。</t>
    </r>
    <r>
      <rPr>
        <sz val="10"/>
        <color theme="1"/>
        <rFont val="Times New Roman"/>
        <family val="1"/>
      </rPr>
      <t xml:space="preserve">
·</t>
    </r>
    <r>
      <rPr>
        <sz val="10"/>
        <color theme="1"/>
        <rFont val="宋体"/>
        <family val="1"/>
        <charset val="134"/>
      </rPr>
      <t>生物为对抗你的术士法术所做的豁免检定具有劣势。</t>
    </r>
    <r>
      <rPr>
        <sz val="10"/>
        <color theme="1"/>
        <rFont val="Times New Roman"/>
        <family val="1"/>
      </rPr>
      <t xml:space="preserve">
·</t>
    </r>
    <r>
      <rPr>
        <sz val="10"/>
        <color theme="1"/>
        <rFont val="宋体"/>
        <family val="1"/>
        <charset val="134"/>
      </rPr>
      <t>你对法术造成的伤害具有抗性。</t>
    </r>
    <r>
      <rPr>
        <sz val="10"/>
        <color theme="1"/>
        <rFont val="Times New Roman"/>
        <family val="1"/>
      </rPr>
      <t xml:space="preserve">
·</t>
    </r>
    <r>
      <rPr>
        <sz val="10"/>
        <color theme="1"/>
        <rFont val="宋体"/>
        <family val="1"/>
        <charset val="134"/>
      </rPr>
      <t>当你施展一个</t>
    </r>
    <r>
      <rPr>
        <sz val="10"/>
        <color theme="1"/>
        <rFont val="Times New Roman"/>
        <family val="1"/>
      </rPr>
      <t>1</t>
    </r>
    <r>
      <rPr>
        <sz val="10"/>
        <color theme="1"/>
        <rFont val="宋体"/>
        <family val="1"/>
        <charset val="134"/>
      </rPr>
      <t>环或更高的法术时，你恢复等同于该法术环位点的生命值。</t>
    </r>
    <r>
      <rPr>
        <sz val="10"/>
        <color theme="1"/>
        <rFont val="Times New Roman"/>
        <family val="1"/>
      </rPr>
      <t xml:space="preserve">
</t>
    </r>
    <r>
      <rPr>
        <sz val="10"/>
        <color theme="1"/>
        <rFont val="宋体"/>
        <family val="1"/>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1"/>
        <charset val="134"/>
      </rPr>
      <t>一旦你使用了此特性，直到你完成一次长休前你都无法再次使用它。</t>
    </r>
    <phoneticPr fontId="68" type="noConversion"/>
  </si>
  <si>
    <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phoneticPr fontId="68" type="noConversion"/>
  </si>
  <si>
    <t>价格</t>
    <phoneticPr fontId="68" type="noConversion"/>
  </si>
  <si>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phoneticPr fontId="68" type="noConversion"/>
  </si>
  <si>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phoneticPr fontId="68" type="noConversion"/>
  </si>
  <si>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phoneticPr fontId="68" type="noConversion"/>
  </si>
  <si>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phoneticPr fontId="68" type="noConversion"/>
  </si>
  <si>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</si>
  <si>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</si>
  <si>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</si>
  <si>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</si>
  <si>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</si>
  <si>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</si>
  <si>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</si>
  <si>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</si>
  <si>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起源专长
你专门训练过如何做出更具破坏性的进攻。每回合一次，当你使用武器命中目标时，你可以掷两次武器的伤害骰，并自选其中一次应用在目标上。</t>
  </si>
  <si>
    <t>起源专长
你获得共计三项自选的技能和工具熟练。
复选Repeatable。你可多次选择本专长。</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</si>
  <si>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</si>
  <si>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起源专长
获得该专长时，你的生命值上限增加你当前角色等级两倍的数值。并且在你随后每次升级时，你的生命值上限都会额外增加2点。</t>
  </si>
  <si>
    <t>属性值提升</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</si>
  <si>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</si>
  <si>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</si>
  <si>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</si>
  <si>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</si>
  <si>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</si>
  <si>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</si>
  <si>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</si>
  <si>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</si>
  <si>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</si>
  <si>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</si>
  <si>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</si>
  <si>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</si>
  <si>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</si>
  <si>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</si>
  <si>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</si>
  <si>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</si>
  <si>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</si>
  <si>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</si>
  <si>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</si>
  <si>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</si>
  <si>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</si>
  <si>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</si>
  <si>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</si>
  <si>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</si>
  <si>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</si>
  <si>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</si>
  <si>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</si>
  <si>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</si>
  <si>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</si>
  <si>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</si>
  <si>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</si>
  <si>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</si>
  <si>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</si>
  <si>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</si>
  <si>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</si>
  <si>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</si>
  <si>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</si>
  <si>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</si>
  <si>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</si>
  <si>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</si>
  <si>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</si>
  <si>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</si>
  <si>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</si>
  <si>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</si>
  <si>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</si>
  <si>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</si>
  <si>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</si>
  <si>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</si>
  <si>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</si>
  <si>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</si>
  <si>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</si>
  <si>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</si>
  <si>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</si>
  <si>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</si>
  <si>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</si>
  <si>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</si>
  <si>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</si>
  <si>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</si>
  <si>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</si>
  <si>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</si>
  <si>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</si>
  <si>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</si>
  <si>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</si>
  <si>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</si>
  <si>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</si>
  <si>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</si>
  <si>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</si>
  <si>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</si>
  <si>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</si>
  <si>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</si>
  <si>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</si>
  <si>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</si>
  <si>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</si>
  <si>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</si>
  <si>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</si>
  <si>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</si>
  <si>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</si>
  <si>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</si>
  <si>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</si>
  <si>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</si>
  <si>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</si>
  <si>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</si>
  <si>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</si>
  <si>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</si>
  <si>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68" type="noConversion"/>
  </si>
  <si>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phoneticPr fontId="68" type="noConversion"/>
  </si>
  <si>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phoneticPr fontId="68" type="noConversion"/>
  </si>
  <si>
    <t>你持枪时的手快眼明使你获得了以下增益：
· 你的敏捷提升1，上限为20。
· 你获得枪械的熟练（见城主指南的“枪械”栏目）。
· 你忽略枪械的装填词条。
· 你在敌对生物5尺内进行远程攻击检定时，不会因此而具有劣势。</t>
    <phoneticPr fontId="68" type="noConversion"/>
  </si>
  <si>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phoneticPr fontId="68" type="noConversion"/>
  </si>
  <si>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</si>
  <si>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</si>
  <si>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</si>
  <si>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</si>
  <si>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</si>
  <si>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</si>
  <si>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</si>
  <si>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</si>
  <si>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</si>
  <si>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</si>
  <si>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</si>
  <si>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</si>
  <si>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phoneticPr fontId="68" type="noConversion"/>
  </si>
  <si>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phoneticPr fontId="68" type="noConversion"/>
  </si>
  <si>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phoneticPr fontId="68" type="noConversion"/>
  </si>
  <si>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68" type="noConversion"/>
  </si>
  <si>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68" type="noConversion"/>
  </si>
  <si>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phoneticPr fontId="68" type="noConversion"/>
  </si>
  <si>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phoneticPr fontId="68" type="noConversion"/>
  </si>
  <si>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phoneticPr fontId="68" type="noConversion"/>
  </si>
  <si>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phoneticPr fontId="68" type="noConversion"/>
  </si>
  <si>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phoneticPr fontId="68" type="noConversion"/>
  </si>
  <si>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phoneticPr fontId="68" type="noConversion"/>
  </si>
  <si>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phoneticPr fontId="68" type="noConversion"/>
  </si>
  <si>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phoneticPr fontId="68" type="noConversion"/>
  </si>
  <si>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phoneticPr fontId="68" type="noConversion"/>
  </si>
  <si>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68"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</si>
  <si>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</si>
  <si>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</si>
  <si>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</si>
  <si>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</si>
  <si>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</si>
  <si>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</si>
  <si>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</si>
  <si>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</si>
  <si>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</si>
  <si>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</si>
  <si>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</si>
  <si>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</si>
  <si>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</si>
  <si>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</si>
  <si>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</si>
  <si>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68"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</si>
  <si>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68"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</si>
  <si>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68"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</si>
  <si>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68" type="noConversion"/>
  </si>
  <si>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</si>
  <si>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</si>
  <si>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</si>
  <si>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</si>
  <si>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</si>
  <si>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phoneticPr fontId="68" type="noConversion"/>
  </si>
  <si>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phoneticPr fontId="68" type="noConversion"/>
  </si>
  <si>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phoneticPr fontId="68" type="noConversion"/>
  </si>
  <si>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phoneticPr fontId="68" type="noConversion"/>
  </si>
  <si>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phoneticPr fontId="68" type="noConversion"/>
  </si>
  <si>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phoneticPr fontId="68" type="noConversion"/>
  </si>
  <si>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</si>
  <si>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</si>
  <si>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</si>
  <si>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phoneticPr fontId="68" type="noConversion"/>
  </si>
  <si>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phoneticPr fontId="68" type="noConversion"/>
  </si>
  <si>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phoneticPr fontId="68" type="noConversion"/>
  </si>
  <si>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phoneticPr fontId="68" type="noConversion"/>
  </si>
  <si>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phoneticPr fontId="68" type="noConversion"/>
  </si>
  <si>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phoneticPr fontId="68" type="noConversion"/>
  </si>
  <si>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phoneticPr fontId="68" type="noConversion"/>
  </si>
  <si>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phoneticPr fontId="68" type="noConversion"/>
  </si>
  <si>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phoneticPr fontId="68" type="noConversion"/>
  </si>
  <si>
    <t>通用专长（先决：等级4+）
你获得以下增益：
属性值提升Ability Score Increase。 你的力量或敏捷提升1，至多提升至20。
强化重击Improved Critical。 你使用武器和徒手打击进行的攻击检定，在d20骰出19或20时即可造成重击。</t>
    <phoneticPr fontId="68" type="noConversion"/>
  </si>
  <si>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phoneticPr fontId="68" type="noConversion"/>
  </si>
  <si>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phoneticPr fontId="68" type="noConversion"/>
  </si>
  <si>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phoneticPr fontId="68" type="noConversion"/>
  </si>
  <si>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phoneticPr fontId="68" type="noConversion"/>
  </si>
  <si>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phoneticPr fontId="68" type="noConversion"/>
  </si>
  <si>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phoneticPr fontId="68" type="noConversion"/>
  </si>
  <si>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phoneticPr fontId="68" type="noConversion"/>
  </si>
  <si>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phoneticPr fontId="68" type="noConversion"/>
  </si>
  <si>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phoneticPr fontId="68" type="noConversion"/>
  </si>
  <si>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phoneticPr fontId="68" type="noConversion"/>
  </si>
  <si>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phoneticPr fontId="68" type="noConversion"/>
  </si>
  <si>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phoneticPr fontId="68" type="noConversion"/>
  </si>
  <si>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phoneticPr fontId="68" type="noConversion"/>
  </si>
  <si>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phoneticPr fontId="68" type="noConversion"/>
  </si>
  <si>
    <t>先决：你必须是速递队的成员
作为速递队的一员，你经受过严格训练。你获得以下增益：
你的体质或感知增加1点，最高不超过20。
你获得运动和求生技能的熟练。
力竭状态不会让你的属性检定具有劣势。</t>
    <phoneticPr fontId="68" type="noConversion"/>
  </si>
  <si>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phoneticPr fontId="68" type="noConversion"/>
  </si>
  <si>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phoneticPr fontId="68" type="noConversion"/>
  </si>
  <si>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phoneticPr fontId="68" type="noConversion"/>
  </si>
  <si>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phoneticPr fontId="68" type="noConversion"/>
  </si>
  <si>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</si>
  <si>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</si>
  <si>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</si>
  <si>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</si>
  <si>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phoneticPr fontId="68" type="noConversion"/>
  </si>
  <si>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phoneticPr fontId="68" type="noConversion"/>
  </si>
  <si>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phoneticPr fontId="68" type="noConversion"/>
  </si>
  <si>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phoneticPr fontId="68" type="noConversion"/>
  </si>
  <si>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phoneticPr fontId="68" type="noConversion"/>
  </si>
  <si>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phoneticPr fontId="68" type="noConversion"/>
  </si>
  <si>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phoneticPr fontId="68" type="noConversion"/>
  </si>
  <si>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phoneticPr fontId="68" type="noConversion"/>
  </si>
  <si>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phoneticPr fontId="68" type="noConversion"/>
  </si>
  <si>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phoneticPr fontId="68" type="noConversion"/>
  </si>
  <si>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phoneticPr fontId="68" type="noConversion"/>
  </si>
  <si>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phoneticPr fontId="68" type="noConversion"/>
  </si>
  <si>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phoneticPr fontId="68" type="noConversion"/>
  </si>
  <si>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phoneticPr fontId="68" type="noConversion"/>
  </si>
  <si>
    <t>22 GP</t>
    <phoneticPr fontId="68" type="noConversion"/>
  </si>
  <si>
    <t>弹药（射程50/200尺）</t>
    <phoneticPr fontId="68" type="noConversion"/>
  </si>
  <si>
    <t>钝击</t>
    <phoneticPr fontId="68" type="noConversion"/>
  </si>
  <si>
    <t>2d4</t>
    <phoneticPr fontId="68" type="noConversion"/>
  </si>
  <si>
    <t>250 GP</t>
    <phoneticPr fontId="68" type="noConversion"/>
  </si>
  <si>
    <t>自动</t>
    <phoneticPr fontId="68" type="noConversion"/>
  </si>
  <si>
    <t>弹药（射程20/60；子弹），枪械，轻型，换弹(16)</t>
    <phoneticPr fontId="68" type="noConversion"/>
  </si>
  <si>
    <t>穿刺</t>
    <phoneticPr fontId="68" type="noConversion"/>
  </si>
  <si>
    <t>450 GP</t>
    <phoneticPr fontId="68" type="noConversion"/>
  </si>
  <si>
    <t>开镜</t>
    <phoneticPr fontId="68" type="noConversion"/>
  </si>
  <si>
    <t>弹药（射程100/400；子弹），枪械，重型，装填，双手</t>
    <phoneticPr fontId="68" type="noConversion"/>
  </si>
  <si>
    <t>2d8</t>
    <phoneticPr fontId="68" type="noConversion"/>
  </si>
  <si>
    <t>550 GP</t>
    <phoneticPr fontId="68" type="noConversion"/>
  </si>
  <si>
    <t>散射</t>
    <phoneticPr fontId="68" type="noConversion"/>
  </si>
  <si>
    <t>弹药（射程20/60；霰弹），枪械，重型，后坐，换弹(8)，双手</t>
    <phoneticPr fontId="68" type="noConversion"/>
  </si>
  <si>
    <t>300 GP</t>
    <phoneticPr fontId="68" type="noConversion"/>
  </si>
  <si>
    <t xml:space="preserve">	弹药（射程80/320；子弹），枪械，换弹(20)，双手</t>
    <phoneticPr fontId="68" type="noConversion"/>
  </si>
  <si>
    <t>2d6</t>
    <phoneticPr fontId="68" type="noConversion"/>
  </si>
  <si>
    <t>600 GP</t>
    <phoneticPr fontId="68" type="noConversion"/>
  </si>
  <si>
    <t>缓速</t>
    <phoneticPr fontId="68" type="noConversion"/>
  </si>
  <si>
    <t>弹药（射程30/120；子弹），枪械，重型，后坐，换弹(6)</t>
    <phoneticPr fontId="68" type="noConversion"/>
  </si>
  <si>
    <t>750 GP</t>
    <phoneticPr fontId="68" type="noConversion"/>
  </si>
  <si>
    <t>弹药（射程60/240；子弹），枪械，重型，换弹(40)，双手</t>
    <phoneticPr fontId="68" type="noConversion"/>
  </si>
  <si>
    <t>1500 GP</t>
    <phoneticPr fontId="68" type="noConversion"/>
  </si>
  <si>
    <t>爆裂</t>
    <phoneticPr fontId="68" type="noConversion"/>
  </si>
  <si>
    <t>弹药（射程100/400；加农炮弹），枪械，重型，装填，双手</t>
    <phoneticPr fontId="68" type="noConversion"/>
  </si>
  <si>
    <t>火焰</t>
    <phoneticPr fontId="68" type="noConversion"/>
  </si>
  <si>
    <t>侵扰</t>
    <phoneticPr fontId="68" type="noConversion"/>
  </si>
  <si>
    <t>1d10</t>
    <phoneticPr fontId="68" type="noConversion"/>
  </si>
  <si>
    <t>1d12</t>
    <phoneticPr fontId="68" type="noConversion"/>
  </si>
  <si>
    <t>弹药（射程20/60；射弹），重型，装填，双手</t>
    <phoneticPr fontId="68" type="noConversion"/>
  </si>
  <si>
    <t>吹箭筒</t>
    <phoneticPr fontId="68" type="noConversion"/>
  </si>
  <si>
    <t>力量</t>
    <phoneticPr fontId="68" type="noConversion"/>
  </si>
  <si>
    <t>2 GP</t>
    <phoneticPr fontId="68" type="noConversion"/>
  </si>
  <si>
    <t>灵巧，投掷（30/90尺），多用（1d8）</t>
    <phoneticPr fontId="68" type="noConversion"/>
  </si>
  <si>
    <t>挥砍</t>
    <phoneticPr fontId="68" type="noConversion"/>
  </si>
  <si>
    <t>1d6</t>
    <phoneticPr fontId="68" type="noConversion"/>
  </si>
  <si>
    <t>5 GP</t>
    <phoneticPr fontId="68" type="noConversion"/>
  </si>
  <si>
    <t>重型，触及，特殊，双手</t>
    <phoneticPr fontId="68" type="noConversion"/>
  </si>
  <si>
    <t>6 SP</t>
    <phoneticPr fontId="68" type="noConversion"/>
  </si>
  <si>
    <t>特殊</t>
    <phoneticPr fontId="68" type="noConversion"/>
  </si>
  <si>
    <t>1d8</t>
    <phoneticPr fontId="68" type="noConversion"/>
  </si>
  <si>
    <t>1 GP</t>
    <phoneticPr fontId="68" type="noConversion"/>
  </si>
  <si>
    <t xml:space="preserve">	触及，多用（1d8）</t>
    <phoneticPr fontId="68" type="noConversion"/>
  </si>
  <si>
    <t>7 SP</t>
    <phoneticPr fontId="68" type="noConversion"/>
  </si>
  <si>
    <t>触及，特殊</t>
    <phoneticPr fontId="68" type="noConversion"/>
  </si>
  <si>
    <t>30 GP</t>
    <phoneticPr fontId="68" type="noConversion"/>
  </si>
  <si>
    <t>轻型，多用（1d8）</t>
    <phoneticPr fontId="68" type="noConversion"/>
  </si>
  <si>
    <t>15 GP</t>
    <phoneticPr fontId="68" type="noConversion"/>
  </si>
  <si>
    <t xml:space="preserve">	灵巧，轻型，投掷（20/60尺）</t>
    <phoneticPr fontId="68" type="noConversion"/>
  </si>
  <si>
    <t>100 GP</t>
    <phoneticPr fontId="68" type="noConversion"/>
  </si>
  <si>
    <t>重型，双手</t>
    <phoneticPr fontId="68" type="noConversion"/>
  </si>
  <si>
    <t>3d4</t>
    <phoneticPr fontId="68" type="noConversion"/>
  </si>
  <si>
    <t>重型，触及，多用（1d10）</t>
    <phoneticPr fontId="68" type="noConversion"/>
  </si>
  <si>
    <t>重型，双手，特殊</t>
    <phoneticPr fontId="68" type="noConversion"/>
  </si>
  <si>
    <t>灵巧</t>
    <phoneticPr fontId="68" type="noConversion"/>
  </si>
  <si>
    <t>125 GP</t>
    <phoneticPr fontId="68" type="noConversion"/>
  </si>
  <si>
    <t>弹药（射程30/120；子弹），枪械，轻型，换弹(10)</t>
    <phoneticPr fontId="68" type="noConversion"/>
  </si>
  <si>
    <t>弹药（射程30/120；信号弹），枪械，装填</t>
    <phoneticPr fontId="68" type="noConversion"/>
  </si>
  <si>
    <t xml:space="preserve">	缓速</t>
    <phoneticPr fontId="68" type="noConversion"/>
  </si>
  <si>
    <t>弹药（射程30/120；子弹），枪械，后坐，换弹(6)</t>
    <phoneticPr fontId="68" type="noConversion"/>
  </si>
  <si>
    <t>75 GP</t>
    <phoneticPr fontId="68" type="noConversion"/>
  </si>
  <si>
    <t xml:space="preserve">	侵扰</t>
    <phoneticPr fontId="68" type="noConversion"/>
  </si>
  <si>
    <t>弹药（射程30/120；子弹），枪械，轻型，换弹(2)</t>
    <phoneticPr fontId="68" type="noConversion"/>
  </si>
  <si>
    <t>150 GP</t>
    <phoneticPr fontId="68" type="noConversion"/>
  </si>
  <si>
    <t>弹药（射程80/320；子弹），枪械，换弹(4)，双手</t>
    <phoneticPr fontId="68" type="noConversion"/>
  </si>
  <si>
    <t>175 GP</t>
    <phoneticPr fontId="68" type="noConversion"/>
  </si>
  <si>
    <t>弹药（射程20/60；霰弹），枪械，后坐，换弹(2)，双手</t>
    <phoneticPr fontId="68" type="noConversion"/>
  </si>
  <si>
    <t>5 SP</t>
    <phoneticPr fontId="68" type="noConversion"/>
  </si>
  <si>
    <t>灵巧，特殊</t>
    <phoneticPr fontId="68" type="noConversion"/>
  </si>
  <si>
    <t>1d4</t>
    <phoneticPr fontId="68" type="noConversion"/>
  </si>
  <si>
    <t>3 SP</t>
    <phoneticPr fontId="68" type="noConversion"/>
  </si>
  <si>
    <t>多用（1d8）</t>
    <phoneticPr fontId="68" type="noConversion"/>
  </si>
  <si>
    <t>钝击/挥砍</t>
    <phoneticPr fontId="68" type="noConversion"/>
  </si>
  <si>
    <t>1 SP</t>
    <phoneticPr fontId="68" type="noConversion"/>
  </si>
  <si>
    <t xml:space="preserve">	多用（1d8），特殊</t>
    <phoneticPr fontId="68" type="noConversion"/>
  </si>
  <si>
    <t>2 CP</t>
    <phoneticPr fontId="68" type="noConversion"/>
  </si>
  <si>
    <t>灵巧，轻型，特殊</t>
    <phoneticPr fontId="68" type="noConversion"/>
  </si>
  <si>
    <t>4 CP</t>
    <phoneticPr fontId="68" type="noConversion"/>
  </si>
  <si>
    <t>灵巧，多用（1d6），特殊</t>
    <phoneticPr fontId="68" type="noConversion"/>
  </si>
  <si>
    <t>灵巧，投掷（60/180尺），特殊</t>
    <phoneticPr fontId="68" type="noConversion"/>
  </si>
  <si>
    <t>8 SP</t>
    <phoneticPr fontId="68" type="noConversion"/>
  </si>
  <si>
    <t>双手</t>
    <phoneticPr fontId="68" type="noConversion"/>
  </si>
  <si>
    <t>部位</t>
    <phoneticPr fontId="68" type="noConversion"/>
  </si>
  <si>
    <t>奇物</t>
    <phoneticPr fontId="68" type="noConversion"/>
  </si>
  <si>
    <t>隐匿劣势，当你穿着潜水甲时，除非你的力量达到或超过18，否则你的移动速度降低10尺。此外，当你穿着潜水甲时，若有人对你施放法术水下呼吸Water Breathing ，该法术对你的持续时间翻倍。</t>
    <phoneticPr fontId="68" type="noConversion"/>
  </si>
  <si>
    <t>当你穿着树皮甲时，你在林地中进行隐匿检定时具有优势。</t>
    <phoneticPr fontId="68" type="noConversion"/>
  </si>
  <si>
    <t>苍羽种</t>
  </si>
  <si>
    <t>疫鼠种</t>
  </si>
  <si>
    <t>灰烬种</t>
  </si>
  <si>
    <t>咒狼种</t>
  </si>
  <si>
    <t>丰收种</t>
  </si>
  <si>
    <t>绘骨种</t>
  </si>
  <si>
    <t>丝虫种</t>
  </si>
  <si>
    <t>深潜种</t>
  </si>
  <si>
    <t>石像种</t>
  </si>
  <si>
    <t>线偶种</t>
  </si>
  <si>
    <t>霜墓种</t>
  </si>
  <si>
    <t>沼泽种</t>
  </si>
  <si>
    <t>匠偶</t>
    <phoneticPr fontId="68" type="noConversion"/>
  </si>
  <si>
    <t>素瓷</t>
    <phoneticPr fontId="68" type="noConversion"/>
  </si>
  <si>
    <t>枢木</t>
    <phoneticPr fontId="68" type="noConversion"/>
  </si>
  <si>
    <t>褴布</t>
    <phoneticPr fontId="68" type="noConversion"/>
  </si>
  <si>
    <t>曼德拉</t>
    <phoneticPr fontId="68" type="noConversion"/>
  </si>
  <si>
    <t>达良人</t>
    <phoneticPr fontId="68" type="noConversion"/>
  </si>
  <si>
    <t>蓝达良</t>
    <phoneticPr fontId="68" type="noConversion"/>
  </si>
  <si>
    <t>红达良</t>
    <phoneticPr fontId="68" type="noConversion"/>
  </si>
  <si>
    <t>胧忆岛精灵</t>
    <phoneticPr fontId="68" type="noConversion"/>
  </si>
  <si>
    <t>天御灵纹（勇武）</t>
    <phoneticPr fontId="68" type="noConversion"/>
  </si>
  <si>
    <t>天御灵纹（烈炎）</t>
    <phoneticPr fontId="68" type="noConversion"/>
  </si>
  <si>
    <t>天御灵纹（天和）</t>
    <phoneticPr fontId="68" type="noConversion"/>
  </si>
  <si>
    <t>天御灵纹（森灵）</t>
    <phoneticPr fontId="68" type="noConversion"/>
  </si>
  <si>
    <t>天御灵纹（明净）</t>
    <phoneticPr fontId="68" type="noConversion"/>
  </si>
  <si>
    <t>天御灵纹（慈悲）</t>
    <phoneticPr fontId="68" type="noConversion"/>
  </si>
  <si>
    <t>鸣玉族</t>
    <phoneticPr fontId="68" type="noConversion"/>
  </si>
  <si>
    <t>诡木种</t>
    <phoneticPr fontId="68" type="noConversion"/>
  </si>
  <si>
    <t>巫咒之子</t>
    <phoneticPr fontId="68" type="noConversion"/>
  </si>
  <si>
    <t>复生者</t>
    <phoneticPr fontId="68" type="noConversion"/>
  </si>
  <si>
    <t>构装</t>
    <phoneticPr fontId="68" type="noConversion"/>
  </si>
  <si>
    <t>小型（2-3尺高）或中型（约6尺高，仅限枢木）</t>
    <phoneticPr fontId="68" type="noConversion"/>
  </si>
  <si>
    <t>你的基础步行速度为30尺。</t>
    <phoneticPr fontId="68" type="noConversion"/>
  </si>
  <si>
    <t>植物</t>
    <phoneticPr fontId="68" type="noConversion"/>
  </si>
  <si>
    <t>中型（约5-8尺高）</t>
    <phoneticPr fontId="68" type="noConversion"/>
  </si>
  <si>
    <t>中型（约4-7尺高）</t>
    <phoneticPr fontId="68" type="noConversion"/>
  </si>
  <si>
    <t>30尺，等于你速度的飞行速度</t>
    <phoneticPr fontId="68" type="noConversion"/>
  </si>
  <si>
    <t>中型(约4-6尺高)或小型(约2-4尺高)，在选择此种族时决定</t>
    <phoneticPr fontId="68" type="noConversion"/>
  </si>
  <si>
    <t>30尺，等于你速度的攀爬速度</t>
    <phoneticPr fontId="68" type="noConversion"/>
  </si>
  <si>
    <t>邪魔</t>
    <phoneticPr fontId="68" type="noConversion"/>
  </si>
  <si>
    <t>小型（约2-3尺高）</t>
    <phoneticPr fontId="68" type="noConversion"/>
  </si>
  <si>
    <t>中型（约5-6尺高）</t>
    <phoneticPr fontId="68" type="noConversion"/>
  </si>
  <si>
    <t>35尺</t>
    <phoneticPr fontId="68" type="noConversion"/>
  </si>
  <si>
    <t>亡灵</t>
    <phoneticPr fontId="68" type="noConversion"/>
  </si>
  <si>
    <t>中型（约4-6尺高）</t>
    <phoneticPr fontId="68" type="noConversion"/>
  </si>
  <si>
    <t>中型(约5-6尺高)</t>
    <phoneticPr fontId="68" type="noConversion"/>
  </si>
  <si>
    <t>中型（约5-7尺高）</t>
    <phoneticPr fontId="68" type="noConversion"/>
  </si>
  <si>
    <t>30尺，等于你速度的游泳速度</t>
    <phoneticPr fontId="68" type="noConversion"/>
  </si>
  <si>
    <t>中型（约4-7尺高）或小型（约3-4尺高），选择此种族时决定</t>
    <phoneticPr fontId="68" type="noConversion"/>
  </si>
  <si>
    <t>30尺，等于你速度一半的飞行速度</t>
    <phoneticPr fontId="68" type="noConversion"/>
  </si>
  <si>
    <t>中型（约4-7尺高）或小型（约2-4尺高），选择此种族时决定</t>
    <phoneticPr fontId="68" type="noConversion"/>
  </si>
  <si>
    <t>巨人</t>
    <phoneticPr fontId="68" type="noConversion"/>
  </si>
  <si>
    <t>中型（约7-8尺高）</t>
    <phoneticPr fontId="68" type="noConversion"/>
  </si>
  <si>
    <t>黑暗视觉</t>
    <phoneticPr fontId="68" type="noConversion"/>
  </si>
  <si>
    <t>构装本质</t>
    <phoneticPr fontId="68" type="noConversion"/>
  </si>
  <si>
    <t>手作品质</t>
    <phoneticPr fontId="68" type="noConversion"/>
  </si>
  <si>
    <t>匠偶构造</t>
    <phoneticPr fontId="68" type="noConversion"/>
  </si>
  <si>
    <t>你具有60尺黑暗视觉。</t>
    <phoneticPr fontId="68" type="noConversion"/>
  </si>
  <si>
    <t>你不需要食物、水或呼吸。你无需睡眠，魔法也无法让你入睡。若你在4小时内保持静止状态，你可以用4小时完成长休，期间你将保持意识。</t>
    <phoneticPr fontId="68" type="noConversion"/>
  </si>
  <si>
    <t>你的设计或许令人不安、也或许简单直接，亦或是亲和友善。你具有威吓、表演或游说技能的熟练。</t>
    <phoneticPr fontId="68" type="noConversion"/>
  </si>
  <si>
    <t>为方便起见，匠偶以材料进行分类：素瓷是瓷器，枢木是木头，而褴布是织物做的。</t>
    <phoneticPr fontId="68" type="noConversion"/>
  </si>
  <si>
    <t>你出手以前和一具瓷娃娃别无二致。每当你在战斗的第一回合以武器攻击检定对一名生物造成伤害时，该生物额外受到等于你熟练加值的伤害，类型与造成伤害的武器一致。</t>
    <phoneticPr fontId="68" type="noConversion"/>
  </si>
  <si>
    <t>松散的提线悬挂在你的关节肢体上。当你在回合中使用不具有触及、双手或多用词条的武器，其触及范围增加5尺。</t>
    <phoneticPr fontId="68" type="noConversion"/>
  </si>
  <si>
    <t>你全身都是毛茸茸的。当你受到钝击伤害时，你能够以反应获得对触发伤害的抗性，并且你将被向远离伤害源的方向击退5尺。若你无法被向远离伤害源的方向击退，你无法执行该反应。</t>
    <phoneticPr fontId="68" type="noConversion"/>
  </si>
  <si>
    <t>植物本质</t>
    <phoneticPr fontId="68" type="noConversion"/>
  </si>
  <si>
    <t>自然连接</t>
    <phoneticPr fontId="68" type="noConversion"/>
  </si>
  <si>
    <t>根须魔法</t>
    <phoneticPr fontId="68" type="noConversion"/>
  </si>
  <si>
    <t>藤蔓缠绕</t>
    <phoneticPr fontId="68" type="noConversion"/>
  </si>
  <si>
    <t>若你在一天中被阳光直射至少4小时，你无需进食。此外，你可以通过你的叶子呼吸，你也可以通过你的脚吸收水分和营养。</t>
    <phoneticPr fontId="68" type="noConversion"/>
  </si>
  <si>
    <t>你具有自然或求生技能的熟练。</t>
    <phoneticPr fontId="68" type="noConversion"/>
  </si>
  <si>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phoneticPr fontId="68" type="noConversion"/>
  </si>
  <si>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phoneticPr fontId="68" type="noConversion"/>
  </si>
  <si>
    <t>觉醒技能</t>
    <phoneticPr fontId="68" type="noConversion"/>
  </si>
  <si>
    <t>制作符纸</t>
    <phoneticPr fontId="68" type="noConversion"/>
  </si>
  <si>
    <t>圣印启示</t>
    <phoneticPr fontId="68" type="noConversion"/>
  </si>
  <si>
    <t>知识传承</t>
    <phoneticPr fontId="68" type="noConversion"/>
  </si>
  <si>
    <t>知识符纸</t>
    <phoneticPr fontId="68" type="noConversion"/>
  </si>
  <si>
    <t>力量符纸</t>
    <phoneticPr fontId="68" type="noConversion"/>
  </si>
  <si>
    <t>你获得三项自选技能的熟练。</t>
    <phoneticPr fontId="68" type="noConversion"/>
  </si>
  <si>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phoneticPr fontId="68" type="noConversion"/>
  </si>
  <si>
    <t>你拥有一种天赋能力，能感知并吸收遍布全岛的特殊印记中的信息。这些印记呈现为类似指纹的复杂符号，可以向你传递从简单讯息到复杂技能的各种知识。以一个动作，你可以触碰并吸收这些印记中储存的信息。</t>
    <phoneticPr fontId="68" type="noConversion"/>
  </si>
  <si>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phoneticPr fontId="68" type="noConversion"/>
  </si>
  <si>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phoneticPr fontId="68" type="noConversion"/>
  </si>
  <si>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phoneticPr fontId="68" type="noConversion"/>
  </si>
  <si>
    <t>灵视</t>
    <phoneticPr fontId="68" type="noConversion"/>
  </si>
  <si>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phoneticPr fontId="68" type="noConversion"/>
  </si>
  <si>
    <t>你知晓戏法抵抗术Resistance，施展时无需材料成分。当你到达3级时，你可以通过此特性以2环法术位施展一次英雄气概Heroism，在完成一次长休后恢复此能力。魅力是你施展这些法术的施法关键属性。</t>
    <phoneticPr fontId="68" type="noConversion"/>
  </si>
  <si>
    <t>你知晓戏法圣火术Sacred Flame。当你到达3级时，你可以通过此特性施展一次粉碎音波Shatter ，无需材料成分，在完成一次长休后恢复此能力。魅力是你施展这些法术的施法关键属性。</t>
    <phoneticPr fontId="68" type="noConversion"/>
  </si>
  <si>
    <t>你知晓戏法神导术Guidance。当你到达3级时，你可以通过此特性施展一次安定心神Calm Emotions ，在完成一次长休后恢复此能力。魅力是你施展这些法术的施法关键属性。</t>
    <phoneticPr fontId="68" type="noConversion"/>
  </si>
  <si>
    <t>你知晓戏法舞光术Dancing Lights ，施展时无需材料构材。当你到达3级时，你可以通过此特性施展一次动物信使Animal Messenger ，无需材料成分，在完成一次长休后恢复此能力。魅力是你施展这些法术的施法关键属性。</t>
    <phoneticPr fontId="68" type="noConversion"/>
  </si>
  <si>
    <t>你知晓戏法维生术Spare the Dying 。当你到达3级时，你可以通过此特性施展一次次等复原术Lesser Restoration ，在完成一次长休后恢复此能力。魅力是你施展这些法术的施法关键属性。</t>
    <phoneticPr fontId="68" type="noConversion"/>
  </si>
  <si>
    <t>你知晓戏法友情羁绊Resilient Friendship 。当你到达3级时，你可以通过此特性施展一次赠生术Gift ，在完成一次长休后恢复此能力。魅力是你施展这些法术的施法关键属性。</t>
    <phoneticPr fontId="68" type="noConversion"/>
  </si>
  <si>
    <t>两栖</t>
    <phoneticPr fontId="68" type="noConversion"/>
  </si>
  <si>
    <t>远跳</t>
    <phoneticPr fontId="68" type="noConversion"/>
  </si>
  <si>
    <t>捕物舌</t>
    <phoneticPr fontId="68" type="noConversion"/>
  </si>
  <si>
    <t>附着舌</t>
    <phoneticPr fontId="68" type="noConversion"/>
  </si>
  <si>
    <t>你可以在水中和空气中呼吸。</t>
    <phoneticPr fontId="68" type="noConversion"/>
  </si>
  <si>
    <t>无论是否助跑，你都能跳跃至多20尺远，或跳跃至多15尺高。</t>
    <phoneticPr fontId="68" type="noConversion"/>
  </si>
  <si>
    <t>你可以使用附赠动作将舌头伸向15尺内你能看见的一个重量不超过5磅的物体，并将其拉向你，用手接住或任其落在你脚边。如果该物体被生物穿戴或携带，该生物必须通过一次力量检定对抗，否则物体将被拉走。</t>
    <phoneticPr fontId="68" type="noConversion"/>
  </si>
  <si>
    <t>你可以使用附赠动作将舌头伸出并附着在一个体型比你大至少一级的表面或生物上，借此将自己拉向目标。目标必须在你15尺范围内。</t>
    <phoneticPr fontId="68" type="noConversion"/>
  </si>
  <si>
    <t>根深蒂固</t>
    <phoneticPr fontId="68" type="noConversion"/>
  </si>
  <si>
    <t>长老木低语</t>
    <phoneticPr fontId="68" type="noConversion"/>
  </si>
  <si>
    <t>缠枝</t>
    <phoneticPr fontId="68" type="noConversion"/>
  </si>
  <si>
    <t>根须感知</t>
    <phoneticPr fontId="68" type="noConversion"/>
  </si>
  <si>
    <t>参天之姿</t>
    <phoneticPr fontId="68" type="noConversion"/>
  </si>
  <si>
    <t>你为避免非自愿移动和倒地状态而进行的属性检定和豁免检定具有优势。</t>
    <phoneticPr fontId="68" type="noConversion"/>
  </si>
  <si>
    <t>你可以汲取长老木精魂的记忆。当你完成一次长休时，你获得一项你选择的技能或工具的熟练，或者掌握一门你选择的语言，持续至你完成下一次长休。</t>
    <phoneticPr fontId="68" type="noConversion"/>
  </si>
  <si>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phoneticPr fontId="68" type="noConversion"/>
  </si>
  <si>
    <t>你可以使用附赠动作来获得60尺震颤感知，持续10分钟。使用此特质后，直至你完成一次短休或长休为止都不能再次使用。</t>
    <phoneticPr fontId="68" type="noConversion"/>
  </si>
  <si>
    <t>你为终止自身受擒状态所进行的属性检定具有优势。此外，计算自己的载重时，你视为大一级的体型。</t>
    <phoneticPr fontId="68" type="noConversion"/>
  </si>
  <si>
    <t>苍羽种</t>
    <phoneticPr fontId="68" type="noConversion"/>
  </si>
  <si>
    <t>苍穹遗赠</t>
    <phoneticPr fontId="68" type="noConversion"/>
  </si>
  <si>
    <t>窥视命运</t>
    <phoneticPr fontId="68" type="noConversion"/>
  </si>
  <si>
    <t>魔法之风</t>
    <phoneticPr fontId="68" type="noConversion"/>
  </si>
  <si>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phoneticPr fontId="68" type="noConversion"/>
  </si>
  <si>
    <t>你拥有60尺黑暗视觉。</t>
    <phoneticPr fontId="68" type="noConversion"/>
  </si>
  <si>
    <t>当你投掷先攻时，若你未被突袭，则你可以选择至多等于你熟练加值的你可见的生物。目标在其先攻检定中具有优势。使用此特质后，直至你完成一次短休或长休为止都不能再次使用。</t>
    <phoneticPr fontId="68" type="noConversion"/>
  </si>
  <si>
    <t>你可以使用附赠动作执行疾走动作，并将你的飞行速度提升10尺，直至本回合结束。你可以使用该特质的次数等于你的熟练加值，完成一次长休后，你重获全部已消耗的使用次数。</t>
    <phoneticPr fontId="68" type="noConversion"/>
  </si>
  <si>
    <t>疫鼠种</t>
    <phoneticPr fontId="68" type="noConversion"/>
  </si>
  <si>
    <t>污秽之子</t>
    <phoneticPr fontId="68" type="noConversion"/>
  </si>
  <si>
    <t>受染狡诈</t>
    <phoneticPr fontId="68" type="noConversion"/>
  </si>
  <si>
    <t>瘟疫载体</t>
    <phoneticPr fontId="68" type="noConversion"/>
  </si>
  <si>
    <t>你为避免或终止中毒状态或魔法疫病而进行的豁免检定具有优势。</t>
    <phoneticPr fontId="68" type="noConversion"/>
  </si>
  <si>
    <t>你携带的瘟疫使你与鼠类关联紧密并获得它们的狡诈。你获得欺瞒或隐匿技能的熟练。</t>
    <phoneticPr fontId="68" type="noConversion"/>
  </si>
  <si>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phoneticPr fontId="68" type="noConversion"/>
  </si>
  <si>
    <t>灰烬种</t>
    <phoneticPr fontId="68" type="noConversion"/>
  </si>
  <si>
    <t>灰烬遗赠</t>
    <phoneticPr fontId="68" type="noConversion"/>
  </si>
  <si>
    <t>邪魔幸运</t>
    <phoneticPr fontId="68" type="noConversion"/>
  </si>
  <si>
    <t>蝎刺</t>
    <phoneticPr fontId="68" type="noConversion"/>
  </si>
  <si>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</si>
  <si>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phoneticPr fontId="68" type="noConversion"/>
  </si>
  <si>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phoneticPr fontId="68" type="noConversion"/>
  </si>
  <si>
    <t>咒狼种</t>
    <phoneticPr fontId="68" type="noConversion"/>
  </si>
  <si>
    <t>诅咒利爪</t>
    <phoneticPr fontId="68" type="noConversion"/>
  </si>
  <si>
    <t>灰厄均衡</t>
    <phoneticPr fontId="68" type="noConversion"/>
  </si>
  <si>
    <t>狼类感官</t>
    <phoneticPr fontId="68" type="noConversion"/>
  </si>
  <si>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phoneticPr fontId="68" type="noConversion"/>
  </si>
  <si>
    <t>当你失败于一次豁免检定时，你可以使用反应将结果改为成功。当你这样做时，你在D20检定中具有劣势，直至你的下一回合结束。你可以使用该特质一次，完成一次长休后，你重获该能力。</t>
    <phoneticPr fontId="68" type="noConversion"/>
  </si>
  <si>
    <t>你具有调查、察觉或求生技能的熟练。</t>
    <phoneticPr fontId="68" type="noConversion"/>
  </si>
  <si>
    <t>丰收种</t>
    <phoneticPr fontId="68" type="noConversion"/>
  </si>
  <si>
    <t>剔除劣品</t>
    <phoneticPr fontId="68" type="noConversion"/>
  </si>
  <si>
    <t>苍翠赠礼</t>
    <phoneticPr fontId="68" type="noConversion"/>
  </si>
  <si>
    <t>南瓜灯</t>
    <phoneticPr fontId="68" type="noConversion"/>
  </si>
  <si>
    <t>稻草人本质</t>
    <phoneticPr fontId="68" type="noConversion"/>
  </si>
  <si>
    <t>警觉休息</t>
    <phoneticPr fontId="68" type="noConversion"/>
  </si>
  <si>
    <t>当你对一个浴血生物造成伤害时，你可以对其额外造成1d12暗蚀伤害。你可以使用该特质的次数等于你的熟练加值，完成一次长休后，你重获全部已消耗的使用次数。</t>
    <phoneticPr fontId="68" type="noConversion"/>
  </si>
  <si>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phoneticPr fontId="68" type="noConversion"/>
  </si>
  <si>
    <t>你习得戏法舞光术Dancing Lights 。智力、感知或魅力是你的施法属性（选择此种族时决定）。</t>
    <phoneticPr fontId="68" type="noConversion"/>
  </si>
  <si>
    <t>你无需进食、饮水或呼吸。</t>
    <phoneticPr fontId="68" type="noConversion"/>
  </si>
  <si>
    <t>你无需睡眠，并且魔法无法使你进入睡眠。若你保持4小时不活动的静止状态，则你可以仅用这4小时完成长休，且在这期间保持意识清醒。</t>
    <phoneticPr fontId="68" type="noConversion"/>
  </si>
  <si>
    <t>绘骨种</t>
    <phoneticPr fontId="68" type="noConversion"/>
  </si>
  <si>
    <t>死亡之舞</t>
    <phoneticPr fontId="68" type="noConversion"/>
  </si>
  <si>
    <t>不息派对</t>
    <phoneticPr fontId="68" type="noConversion"/>
  </si>
  <si>
    <t>纪念一瞬</t>
    <phoneticPr fontId="68" type="noConversion"/>
  </si>
  <si>
    <t>狂欢之魂</t>
    <phoneticPr fontId="68" type="noConversion"/>
  </si>
  <si>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phoneticPr fontId="68" type="noConversion"/>
  </si>
  <si>
    <t>你无需睡眠。若你进行4小时的狂欢活动，例如讲述故事或演奏歌谣，则你可以仅用这4小时完成长休。</t>
    <phoneticPr fontId="68" type="noConversion"/>
  </si>
  <si>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phoneticPr fontId="68" type="noConversion"/>
  </si>
  <si>
    <t>你具有表演技能或一项乐器的熟练。</t>
    <phoneticPr fontId="68" type="noConversion"/>
  </si>
  <si>
    <t>丝虫种</t>
    <phoneticPr fontId="68" type="noConversion"/>
  </si>
  <si>
    <t>珠宝甲壳</t>
    <phoneticPr fontId="68" type="noConversion"/>
  </si>
  <si>
    <t>蛛丝遗赠</t>
    <phoneticPr fontId="68" type="noConversion"/>
  </si>
  <si>
    <t>蛛行</t>
    <phoneticPr fontId="68" type="noConversion"/>
  </si>
  <si>
    <t>当你被一次攻击检定命中时，你可以使用反应将你的熟练加值加入对抗该攻击的AC中，这可能将命中改为失手。使用此特质后，直至你完成一次短休或长休为止都不能再次使用。</t>
    <phoneticPr fontId="68" type="noConversion"/>
  </si>
  <si>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</si>
  <si>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你可以在难以攀爬的表面上攀爬，包括沿着天花板移动，无需为此进行属性检定，并且双手保持空闲。</t>
    <phoneticPr fontId="68" type="noConversion"/>
  </si>
  <si>
    <t>深潜种</t>
    <phoneticPr fontId="68" type="noConversion"/>
  </si>
  <si>
    <t>水陆两栖</t>
    <phoneticPr fontId="68" type="noConversion"/>
  </si>
  <si>
    <t>诡怖诳语</t>
    <phoneticPr fontId="68" type="noConversion"/>
  </si>
  <si>
    <t>无尽食欲</t>
    <phoneticPr fontId="68" type="noConversion"/>
  </si>
  <si>
    <t>你可以在空气和水中呼吸。</t>
    <phoneticPr fontId="68" type="noConversion"/>
  </si>
  <si>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phoneticPr fontId="68" type="noConversion"/>
  </si>
  <si>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phoneticPr fontId="68" type="noConversion"/>
  </si>
  <si>
    <t>石像种</t>
    <phoneticPr fontId="68" type="noConversion"/>
  </si>
  <si>
    <t>银白闪光</t>
    <phoneticPr fontId="68" type="noConversion"/>
  </si>
  <si>
    <t>银辉壁垒</t>
    <phoneticPr fontId="68" type="noConversion"/>
  </si>
  <si>
    <t>守望感官</t>
    <phoneticPr fontId="68" type="noConversion"/>
  </si>
  <si>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phoneticPr fontId="68" type="noConversion"/>
  </si>
  <si>
    <t>你可以呼唤银辉路途来护佑你。当你受到钝击、穿刺或挥砍伤害时，你可以使用反应来获得这三种伤害的抗性，持续至你的下个回合开始。使用此特质后，直至你完成一次短休或长休为止都不能再次使用。</t>
    <phoneticPr fontId="68" type="noConversion"/>
  </si>
  <si>
    <t>你具有洞悉、察觉或求生技能的熟练。</t>
    <phoneticPr fontId="68" type="noConversion"/>
  </si>
  <si>
    <t>线偶种</t>
    <phoneticPr fontId="68" type="noConversion"/>
  </si>
  <si>
    <t>球形关节</t>
    <phoneticPr fontId="68" type="noConversion"/>
  </si>
  <si>
    <t>纯洁心智</t>
    <phoneticPr fontId="68" type="noConversion"/>
  </si>
  <si>
    <t>线装本质</t>
    <phoneticPr fontId="68" type="noConversion"/>
  </si>
  <si>
    <t>抚慰之心</t>
    <phoneticPr fontId="68" type="noConversion"/>
  </si>
  <si>
    <t>你有一个朋友</t>
    <phoneticPr fontId="68" type="noConversion"/>
  </si>
  <si>
    <t>你可以移动穿过最窄1尺宽的空间，如同穿过困难地形。</t>
    <phoneticPr fontId="68" type="noConversion"/>
  </si>
  <si>
    <t>你具有心灵伤害抗性。</t>
    <phoneticPr fontId="68" type="noConversion"/>
  </si>
  <si>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</si>
  <si>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phoneticPr fontId="68" type="noConversion"/>
  </si>
  <si>
    <t>霜墓种</t>
    <phoneticPr fontId="68" type="noConversion"/>
  </si>
  <si>
    <t>吞食尸体</t>
    <phoneticPr fontId="68" type="noConversion"/>
  </si>
  <si>
    <t>无惧霜寒</t>
    <phoneticPr fontId="68" type="noConversion"/>
  </si>
  <si>
    <t>注魔黯龙钢</t>
    <phoneticPr fontId="68" type="noConversion"/>
  </si>
  <si>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phoneticPr fontId="68" type="noConversion"/>
  </si>
  <si>
    <t>你具有寒冷伤害抗性。</t>
    <phoneticPr fontId="68" type="noConversion"/>
  </si>
  <si>
    <t>当你对一个生物造成伤害时，你可以无视任何其具有的抗性，并令该生物额外受到等于你熟练加值的暗蚀伤害。使用此特质后，直至你完成一次短休或长休为止都不能再次使用。</t>
    <phoneticPr fontId="68" type="noConversion"/>
  </si>
  <si>
    <t>沼泽种</t>
    <phoneticPr fontId="68" type="noConversion"/>
  </si>
  <si>
    <t>沼泽庞躯</t>
    <phoneticPr fontId="68" type="noConversion"/>
  </si>
  <si>
    <t>引导联结</t>
    <phoneticPr fontId="68" type="noConversion"/>
  </si>
  <si>
    <t>敏锐感官</t>
    <phoneticPr fontId="68" type="noConversion"/>
  </si>
  <si>
    <t>再生</t>
    <phoneticPr fontId="68" type="noConversion"/>
  </si>
  <si>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phoneticPr fontId="68" type="noConversion"/>
  </si>
  <si>
    <t>你具有察觉或求生技能的熟练。</t>
    <phoneticPr fontId="68" type="noConversion"/>
  </si>
  <si>
    <t>你能够以附赠动作消耗并投掷一枚生命值骰，恢复等于骰值加你体质调整值的生命值（至少1生命值）。
如果你受到强酸或火焰伤害，则该特质失效，直至你的下个回合结束。</t>
    <phoneticPr fontId="68" type="noConversion"/>
  </si>
  <si>
    <t>箭术</t>
  </si>
  <si>
    <t>你使用远程武器进行的攻击检定获得+2加值。</t>
  </si>
  <si>
    <t>盲斗</t>
  </si>
  <si>
    <t>你具有10尺盲视。</t>
  </si>
  <si>
    <t>防御</t>
  </si>
  <si>
    <t>着装轻甲、中甲或重甲期间，你的护甲等级获得+1加值。</t>
  </si>
  <si>
    <t>对决</t>
  </si>
  <si>
    <t>当你单手持用一把近战武器且没有持用其他武器时，你使用那把武器进行的伤害掷骰获得+2加值。</t>
  </si>
  <si>
    <t>巨武器战斗</t>
  </si>
  <si>
    <t>当你双手持握一把近战武器发动了一次攻击并为其进行伤害掷骰时，若该武器具有双手或多用词条，那么你便可以将伤害骰中的任何1和2都视作3。</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</si>
  <si>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</si>
  <si>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</si>
  <si>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</si>
  <si>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</si>
  <si>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投掷武器战斗</t>
  </si>
  <si>
    <t>当你使用具有投掷词条的武器进行远程攻击检定并命中时，你在该次伤害掷骰中获得+2加值。</t>
  </si>
  <si>
    <t>双武器战斗</t>
  </si>
  <si>
    <t>当你因使用具有轻型词条的武器而得以发动追加攻击时，若该次追加攻击的伤害本来无法加入你的属性调整值，你可以加入你的属性调整值。</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</si>
  <si>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</si>
  <si>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</si>
  <si>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</si>
  <si>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</si>
  <si>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</si>
  <si>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</si>
  <si>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探索套组、5支蜡烛、铲子、信号哨、一本记录着你学徒时期旧研究的日志以及13枚金花币。</t>
    <phoneticPr fontId="68" type="noConversion"/>
  </si>
  <si>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phoneticPr fontId="68" type="noConversion"/>
  </si>
  <si>
    <t>运动，自然</t>
    <phoneticPr fontId="68" type="noConversion"/>
  </si>
  <si>
    <t>潜水甲</t>
    <phoneticPr fontId="68" type="noConversion"/>
  </si>
  <si>
    <t>探索套组、一个箱子、爪钩、渔具、一枚标记你所受训练分会的派系硬币，以及11枚金花币。</t>
    <phoneticPr fontId="68" type="noConversion"/>
  </si>
  <si>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phoneticPr fontId="68" type="noConversion"/>
  </si>
  <si>
    <t>奥秘，求生</t>
    <phoneticPr fontId="68" type="noConversion"/>
  </si>
  <si>
    <t>炼金工具</t>
    <phoneticPr fontId="68" type="noConversion"/>
  </si>
  <si>
    <t>炼金工具、9份普通原料（你知晓它们的属性）、一顶帽子或一件源自学徒时期的长袍，以及9枚金花币。</t>
    <phoneticPr fontId="68" type="noConversion"/>
  </si>
  <si>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phoneticPr fontId="68" type="noConversion"/>
  </si>
  <si>
    <t>鞋匠工具</t>
    <phoneticPr fontId="68" type="noConversion"/>
  </si>
  <si>
    <t>探索套组、鞋匠工具、攀爬工具、附盖提灯、锁、一件速递队发放的旧制服，以及11枚金花币。</t>
    <phoneticPr fontId="68" type="noConversion"/>
  </si>
  <si>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phoneticPr fontId="68" type="noConversion"/>
  </si>
  <si>
    <t>工程，回收</t>
    <phoneticPr fontId="68" type="noConversion"/>
  </si>
  <si>
    <t>三种工匠工具</t>
    <phoneticPr fontId="68" type="noConversion"/>
  </si>
  <si>
    <t>算盘、滚珠(1000个)、滑轮组、一瓶油、一件未完成的机械小玩意，以及15枚金花币。</t>
    <phoneticPr fontId="68" type="noConversion"/>
  </si>
  <si>
    <t>你大半生都在研究机械装置。对你而言，理解新旧技术都需要亲身实践。通过不断尝试，你学会了创造、修理和改装各种机械和电子设备，你的眼光也变得敏锐，能在遍布全岛的零散技术残片中识别出有用的部件。</t>
    <phoneticPr fontId="68" type="noConversion"/>
  </si>
  <si>
    <t>工程，游说</t>
    <phoneticPr fontId="68" type="noConversion"/>
  </si>
  <si>
    <t>铺盖、10支蜡烛、两种不同的普通原料（与你的精魂盟友相关）、一件精魂赠予的特殊物品，以及10枚金花币。</t>
    <phoneticPr fontId="68" type="noConversion"/>
  </si>
  <si>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phoneticPr fontId="68" type="noConversion"/>
  </si>
  <si>
    <t xml:space="preserve">求生，选择一项（推荐使用行省亲和表中的技能） </t>
    <phoneticPr fontId="68" type="noConversion"/>
  </si>
  <si>
    <t xml:space="preserve">选择一项（推荐使用行省亲和表中的工具） </t>
    <phoneticPr fontId="68" type="noConversion"/>
  </si>
  <si>
    <t>选择A或B：(A)工匠工具（如上所选）、地图（德鲁斯肯瓦尔德的行省）、旅行服装、10GP；或(B)50GP。</t>
    <phoneticPr fontId="68" type="noConversion"/>
  </si>
  <si>
    <t>你出生于德鲁斯肯瓦尔德那十三个不祥的行省之一。你可能属于那些起源于多样生态环境中的独特种族，也可能拥有完全不同的血统。你的故土赋予你独特的技艺与文化，也塑造了你早期的见闻与成长轨迹。</t>
    <phoneticPr fontId="68" type="noConversion"/>
  </si>
  <si>
    <t>异变者</t>
    <phoneticPr fontId="68" type="noConversion"/>
  </si>
  <si>
    <t>威吓，医药</t>
    <phoneticPr fontId="68" type="noConversion"/>
  </si>
  <si>
    <t>选择A或B：(A)炼金工具、镣铐、香水（用于掩盖化学残味）、旅行服装（带兜帽斗篷）、5GP；或(B)50GP。</t>
    <phoneticPr fontId="68" type="noConversion"/>
  </si>
  <si>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phoneticPr fontId="68" type="noConversion"/>
  </si>
  <si>
    <t>咒饰编织者</t>
    <phoneticPr fontId="68" type="noConversion"/>
  </si>
  <si>
    <t>洞悉，自然</t>
    <phoneticPr fontId="68" type="noConversion"/>
  </si>
  <si>
    <t>织布工具</t>
    <phoneticPr fontId="68" type="noConversion"/>
  </si>
  <si>
    <t xml:space="preserve">选择A或B：(A)长棍、织布工具、篮子（准备用于编织的干芦苇）、书（德鲁伊学识）、铁壶、旅行服装、19GP；或(B)50GP。 </t>
    <phoneticPr fontId="68" type="noConversion"/>
  </si>
  <si>
    <t>你知晓那些仅在原始森林的幽影之中流传的古老仪式——由隐秘的德鲁伊与乡野医师世代相传。治疗与诅咒皆可编织于柳条咒饰之中，既可驱逐厄运与邪灵，也可能招致幽暗与古老精魂之怒。</t>
    <phoneticPr fontId="68" type="noConversion"/>
  </si>
  <si>
    <t>猩红祭仪师</t>
    <phoneticPr fontId="68" type="noConversion"/>
  </si>
  <si>
    <t>奥秘，医药</t>
    <phoneticPr fontId="68" type="noConversion"/>
  </si>
  <si>
    <t>选择A或B：(A)草药工具、匕首、高档服装、医疗包、小瓶×3、10GP；或(B)50GP。</t>
    <phoneticPr fontId="68" type="noConversion"/>
  </si>
  <si>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phoneticPr fontId="68" type="noConversion"/>
  </si>
  <si>
    <t>教团新进者</t>
    <phoneticPr fontId="68" type="noConversion"/>
  </si>
  <si>
    <t>奥秘，选择一项（推荐使用密教徒倾向表中的技能）</t>
    <phoneticPr fontId="68" type="noConversion"/>
  </si>
  <si>
    <t>书法工具</t>
    <phoneticPr fontId="68" type="noConversion"/>
  </si>
  <si>
    <t>选择A或B：(A)书法工具、戏服（教团制服）、圣徽（护符；教团标志）、旅行服装、10GP；或(B)50GP。</t>
    <phoneticPr fontId="68" type="noConversion"/>
  </si>
  <si>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phoneticPr fontId="68" type="noConversion"/>
  </si>
  <si>
    <t>恐惧秘言</t>
    <phoneticPr fontId="68" type="noConversion"/>
  </si>
  <si>
    <t>奥秘，威吓</t>
    <phoneticPr fontId="68" type="noConversion"/>
  </si>
  <si>
    <t>选择A或B：(A)书法工具、书（奥秘主题）、墨水、墨水笔、油灯、燃油（3扁瓶）、纸张（10页）、2GP；或(B)50GP。</t>
    <phoneticPr fontId="68" type="noConversion"/>
  </si>
  <si>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phoneticPr fontId="68" type="noConversion"/>
  </si>
  <si>
    <t>命运赌徒</t>
    <phoneticPr fontId="68" type="noConversion"/>
  </si>
  <si>
    <t>选择一种赌具</t>
    <phoneticPr fontId="68" type="noConversion"/>
  </si>
  <si>
    <t>选择A或B：(A)赌具（与上述相同）、高档服装、铁蒺藜、优质红酒（瓶装）、23GP；或(B)50GP。</t>
    <phoneticPr fontId="68" type="noConversion"/>
  </si>
  <si>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phoneticPr fontId="68" type="noConversion"/>
  </si>
  <si>
    <t>幽灯灵媒</t>
    <phoneticPr fontId="68" type="noConversion"/>
  </si>
  <si>
    <t>铁匠工具</t>
    <phoneticPr fontId="68" type="noConversion"/>
  </si>
  <si>
    <t>选择A或B：(A)铁匠工具、牛眼提灯、燃油（3扁瓶）、高档服装、5GP；或(B)50GP。</t>
    <phoneticPr fontId="68" type="noConversion"/>
  </si>
  <si>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phoneticPr fontId="68" type="noConversion"/>
  </si>
  <si>
    <t>守墓人</t>
    <phoneticPr fontId="68" type="noConversion"/>
  </si>
  <si>
    <t>宗教，求生</t>
    <phoneticPr fontId="68" type="noConversion"/>
  </si>
  <si>
    <t>石匠工具</t>
    <phoneticPr fontId="68" type="noConversion"/>
  </si>
  <si>
    <t>选择A或B：(A)石匠工具、附盖提灯、燃油（3扁瓶）、铲子、肥皂、旅行服装（有厚手套与深色兜帽）、10GP；或(B)50GP。</t>
    <phoneticPr fontId="68" type="noConversion"/>
  </si>
  <si>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phoneticPr fontId="68" type="noConversion"/>
  </si>
  <si>
    <t>猎兽猎手</t>
    <phoneticPr fontId="68" type="noConversion"/>
  </si>
  <si>
    <t>隐匿，以及如下列表中你选择的另一项：奥秘、历史、宗教、自然</t>
    <phoneticPr fontId="68" type="noConversion"/>
  </si>
  <si>
    <t>皮匠工具</t>
    <phoneticPr fontId="68" type="noConversion"/>
  </si>
  <si>
    <t>选择A或B：(A)皮匠工具、书（一种生物类型）、附盖提灯、捕猎陷阱、燃油（3扁瓶）、旅行服装，8GP；或(B)50GP。</t>
    <phoneticPr fontId="68" type="noConversion"/>
  </si>
  <si>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phoneticPr fontId="68" type="noConversion"/>
  </si>
  <si>
    <t>记忆饥渴</t>
    <phoneticPr fontId="68" type="noConversion"/>
  </si>
  <si>
    <t>选择A或B：(A)书（包含个人笔记）、墨水、墨水笔、旅行服装、11GP；或(B)50GP。</t>
    <phoneticPr fontId="68" type="noConversion"/>
  </si>
  <si>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phoneticPr fontId="68" type="noConversion"/>
  </si>
  <si>
    <t>狂欢愚者</t>
    <phoneticPr fontId="68" type="noConversion"/>
  </si>
  <si>
    <t>表演，隐匿</t>
    <phoneticPr fontId="68" type="noConversion"/>
  </si>
  <si>
    <t>选择一种乐器</t>
    <phoneticPr fontId="68" type="noConversion"/>
  </si>
  <si>
    <t>选择A或B：(A)乐器（与上述相同）、滚珠、戏服（带笑脸面具的快乐角色）、捕猎陷阱、镣铐、三根火把（用于杂耍）、旅行服装、10GP；或(B)50GP。</t>
    <phoneticPr fontId="68" type="noConversion"/>
  </si>
  <si>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phoneticPr fontId="68" type="noConversion"/>
  </si>
  <si>
    <t>无影之形</t>
    <phoneticPr fontId="68" type="noConversion"/>
  </si>
  <si>
    <t>欺瞒，调查</t>
    <phoneticPr fontId="68" type="noConversion"/>
  </si>
  <si>
    <t>选择A或B：(A)易容工具、镜子、旅行服装、16GP；或(B)50GP。</t>
    <phoneticPr fontId="68" type="noConversion"/>
  </si>
  <si>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phoneticPr fontId="68" type="noConversion"/>
  </si>
  <si>
    <t>背景描述</t>
    <phoneticPr fontId="68" type="noConversion"/>
  </si>
  <si>
    <t>CM</t>
    <phoneticPr fontId="68" type="noConversion"/>
  </si>
  <si>
    <t>OTTG</t>
    <phoneticPr fontId="68" type="noConversion"/>
  </si>
  <si>
    <t>VSS</t>
    <phoneticPr fontId="68" type="noConversion"/>
  </si>
  <si>
    <t>狂战士道途</t>
  </si>
  <si>
    <t>兽心道途</t>
  </si>
  <si>
    <t>世界树道途</t>
  </si>
  <si>
    <t>狂热者道途</t>
  </si>
  <si>
    <t>舞蹈学院</t>
  </si>
  <si>
    <t>魅心学院</t>
  </si>
  <si>
    <t>逸闻学院</t>
  </si>
  <si>
    <t>勇气学院</t>
  </si>
  <si>
    <t>生命领域</t>
  </si>
  <si>
    <t>光明领域</t>
  </si>
  <si>
    <t>诡术领域</t>
  </si>
  <si>
    <t>战争领域</t>
  </si>
  <si>
    <t>大地结社</t>
  </si>
  <si>
    <t>月亮结社</t>
  </si>
  <si>
    <t>海洋结社</t>
  </si>
  <si>
    <t>星辰结社</t>
  </si>
  <si>
    <t>战士</t>
  </si>
  <si>
    <t>战斗大师</t>
  </si>
  <si>
    <t>勇士</t>
  </si>
  <si>
    <t>奥法骑士</t>
  </si>
  <si>
    <t>灵能武士</t>
  </si>
  <si>
    <t>命流武者</t>
  </si>
  <si>
    <t>暗影武者</t>
  </si>
  <si>
    <t>四象武者</t>
  </si>
  <si>
    <t>散打武者</t>
  </si>
  <si>
    <t>奉献之誓</t>
  </si>
  <si>
    <t>荣耀之誓</t>
  </si>
  <si>
    <t>古贤之誓</t>
  </si>
  <si>
    <t>复仇之誓</t>
  </si>
  <si>
    <t>驯兽师</t>
  </si>
  <si>
    <t>妖精漫游者</t>
  </si>
  <si>
    <t>幽域追踪者</t>
  </si>
  <si>
    <t>猎人</t>
  </si>
  <si>
    <t>游荡者</t>
  </si>
  <si>
    <t>诡术师</t>
  </si>
  <si>
    <t>刺客</t>
  </si>
  <si>
    <t>魂刃</t>
  </si>
  <si>
    <t>盗贼</t>
  </si>
  <si>
    <t>畸变术法</t>
  </si>
  <si>
    <t>时械术法</t>
  </si>
  <si>
    <t>狂野术法</t>
  </si>
  <si>
    <t>至高妖精宗主</t>
  </si>
  <si>
    <t>天界宗主</t>
  </si>
  <si>
    <t>邪魔宗主</t>
  </si>
  <si>
    <t>旧日支配者宗主</t>
  </si>
  <si>
    <t>防护师</t>
  </si>
  <si>
    <t>预言师</t>
  </si>
  <si>
    <t>塑能师</t>
  </si>
  <si>
    <t>幻术师</t>
  </si>
  <si>
    <t>炼金师</t>
  </si>
  <si>
    <t>装甲师</t>
    <phoneticPr fontId="68" type="noConversion"/>
  </si>
  <si>
    <t>魔炮师</t>
    <phoneticPr fontId="68" type="noConversion"/>
  </si>
  <si>
    <t>制图师</t>
    <phoneticPr fontId="68" type="noConversion"/>
  </si>
  <si>
    <t>蜕变使</t>
  </si>
  <si>
    <t>念动使</t>
  </si>
  <si>
    <t>传心使</t>
  </si>
  <si>
    <t>弑灵圣约</t>
    <phoneticPr fontId="68" type="noConversion"/>
  </si>
  <si>
    <t>化狼圣约</t>
    <phoneticPr fontId="68" type="noConversion"/>
  </si>
  <si>
    <t>突变圣约</t>
    <phoneticPr fontId="68" type="noConversion"/>
  </si>
  <si>
    <t>渎魂圣约</t>
    <phoneticPr fontId="68" type="noConversion"/>
  </si>
  <si>
    <t>精神师</t>
  </si>
  <si>
    <t>化学家</t>
  </si>
  <si>
    <t>驱邪师</t>
  </si>
  <si>
    <t>突变者</t>
  </si>
  <si>
    <t>病原师</t>
  </si>
  <si>
    <t>掘坟人</t>
  </si>
  <si>
    <t>死瞳客</t>
    <phoneticPr fontId="68" type="noConversion"/>
  </si>
  <si>
    <t>豪赌客</t>
    <phoneticPr fontId="68" type="noConversion"/>
  </si>
  <si>
    <t>密间客</t>
    <phoneticPr fontId="68" type="noConversion"/>
  </si>
  <si>
    <t>魔弹客</t>
    <phoneticPr fontId="68" type="noConversion"/>
  </si>
  <si>
    <t>花枪客</t>
    <phoneticPr fontId="68" type="noConversion"/>
  </si>
  <si>
    <t>白帽客</t>
    <phoneticPr fontId="68" type="noConversion"/>
  </si>
  <si>
    <t>铳士</t>
    <phoneticPr fontId="68" type="noConversion"/>
  </si>
  <si>
    <t>敏捷与魅力</t>
    <phoneticPr fontId="68" type="noConversion"/>
  </si>
  <si>
    <t>选择2项：特技、驯兽、运动、欺瞒、洞悉、威吓、察觉、游说、巧手和隐匿</t>
    <phoneticPr fontId="68" type="noConversion"/>
  </si>
  <si>
    <t>简易武器和军用远程武器</t>
    <phoneticPr fontId="68" type="noConversion"/>
  </si>
  <si>
    <t>无</t>
    <phoneticPr fontId="68" type="noConversion"/>
  </si>
  <si>
    <t>轻甲</t>
    <phoneticPr fontId="68" type="noConversion"/>
  </si>
  <si>
    <t>选择A或B：(A) 皮甲，4把匕首，左轮枪、50发子弹、探索套组以及11GP；或者(B) 175GP</t>
    <phoneticPr fontId="68" type="noConversion"/>
  </si>
  <si>
    <t>战斗风格</t>
    <phoneticPr fontId="68" type="noConversion"/>
  </si>
  <si>
    <t>你获得一项你选择的战斗风格专长。若你选择了一项要求你单手或双手持握近战武器的专长（如巨武器战斗），你可以在持握远程武器时使用该专长。
每当你获得铳士等级时，你可以将其改为另一个战斗风格专长。</t>
    <phoneticPr fontId="68" type="noConversion"/>
  </si>
  <si>
    <t>快速拔枪</t>
    <phoneticPr fontId="68" type="noConversion"/>
  </si>
  <si>
    <t>你善于在他人反应前就拔枪射击，你获得以下增益：
先攻Initiative。你的先攻检定具有优势。
双重拔枪Double Draw。拔出或入鞘武器时，你可以同时拔出或入鞘两把不具有双手词条的武器，而非通常情况下的一把。</t>
    <phoneticPr fontId="68" type="noConversion"/>
  </si>
  <si>
    <t>武器精通</t>
    <phoneticPr fontId="68" type="noConversion"/>
  </si>
  <si>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phoneticPr fontId="68" type="noConversion"/>
  </si>
  <si>
    <t>夺命重弹</t>
    <phoneticPr fontId="68" type="noConversion"/>
  </si>
  <si>
    <t>你远程武器的攻击检定在d20中掷出19或20时即可造成重击。
铳士第9级起，你远程武器的攻击检定在d20中掷出18-20时即可造成重击。铳士第17级起，你远程武器的攻击检定在d20中掷出17-20时即可造成重击。</t>
    <phoneticPr fontId="68" type="noConversion"/>
  </si>
  <si>
    <t>风险</t>
    <phoneticPr fontId="68" type="noConversion"/>
  </si>
  <si>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phoneticPr fontId="68" type="noConversion"/>
  </si>
  <si>
    <t>咬紧牙关</t>
    <phoneticPr fontId="68" type="noConversion"/>
  </si>
  <si>
    <t>以一个附赠动作，你可以消耗一枚风险骰获得数值等于风险骰骰值加你的铳士等级的临时生命值。</t>
    <phoneticPr fontId="68" type="noConversion"/>
  </si>
  <si>
    <t>盲射</t>
    <phoneticPr fontId="68" type="noConversion"/>
  </si>
  <si>
    <t>你能够以附赠动作消耗一枚风险骰来获得30尺盲视，持续至当前回合结束。</t>
    <phoneticPr fontId="68" type="noConversion"/>
  </si>
  <si>
    <t>翻滚闪避</t>
    <phoneticPr fontId="68" type="noConversion"/>
  </si>
  <si>
    <r>
      <rPr>
        <sz val="10"/>
        <color theme="1"/>
        <rFont val="宋体"/>
        <family val="1"/>
        <charset val="134"/>
      </rPr>
      <t>作为一个附赠动作，你可以消耗一枚风险骰移动至多</t>
    </r>
    <r>
      <rPr>
        <sz val="10"/>
        <color theme="1"/>
        <rFont val="Times New Roman"/>
        <family val="1"/>
      </rPr>
      <t>15</t>
    </r>
    <r>
      <rPr>
        <sz val="10"/>
        <color theme="1"/>
        <rFont val="宋体"/>
        <family val="1"/>
        <charset val="134"/>
      </rPr>
      <t>尺并为你正持握的远程武器换弹。此次移动不会引发借机攻击且不受困难地形影响。</t>
    </r>
    <phoneticPr fontId="68" type="noConversion"/>
  </si>
  <si>
    <t>擦掠弹</t>
    <phoneticPr fontId="68" type="noConversion"/>
  </si>
  <si>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phoneticPr fontId="68" type="noConversion"/>
  </si>
  <si>
    <t>牛仔精神</t>
    <phoneticPr fontId="68" type="noConversion"/>
  </si>
  <si>
    <t>当你在智力、感知或魅力属性检定或豁免检定中失败时，你可以消耗一枚风险骰并将其加入检定结果中，这可能使检定改为成功。每回合你仅可使用一次该战技。</t>
    <phoneticPr fontId="68" type="noConversion"/>
  </si>
  <si>
    <t>千钧一发</t>
    <phoneticPr fontId="68" type="noConversion"/>
  </si>
  <si>
    <t>当你可见的生物以攻击检定命中你时，你能够以反应消耗一枚风险骰来躲避危害。掷骰并将结果加入对抗那次攻击的AC，这可能令那次攻击改为失手。</t>
    <phoneticPr fontId="68" type="noConversion"/>
  </si>
  <si>
    <t>铳士子职</t>
    <phoneticPr fontId="68" type="noConversion"/>
  </si>
  <si>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phoneticPr fontId="68" type="noConversion"/>
  </si>
  <si>
    <t>属性值提升</t>
    <phoneticPr fontId="68" type="noConversion"/>
  </si>
  <si>
    <t>你获得属性值提升专长（见第五章）或其他你满足条件的专长。如铳士特性表所示，你还会在第8，第12，第16级时再次获得本特性。</t>
    <phoneticPr fontId="68" type="noConversion"/>
  </si>
  <si>
    <t>额外攻击</t>
    <phoneticPr fontId="68" type="noConversion"/>
  </si>
  <si>
    <t>当你在自己的回合执行攻击动作时，你可以发动两次攻击而非一次。</t>
    <phoneticPr fontId="68" type="noConversion"/>
  </si>
  <si>
    <t>破脏弹</t>
    <phoneticPr fontId="68" type="noConversion"/>
  </si>
  <si>
    <t>每当你使用武器的远程攻击对一名不超过大型的生物造成重击时，枪弹将嵌入目标的体内。目标的速度减半，且其攻击检定具有劣势，持续1分钟或在其以剥离枪弹替换其的其中一次攻击时提前结束。</t>
    <phoneticPr fontId="68" type="noConversion"/>
  </si>
  <si>
    <t>反射闪避</t>
    <phoneticPr fontId="68" type="noConversion"/>
  </si>
  <si>
    <t>当你受到一个允许你进行敏捷豁免来只承受一半伤害的效应影响时，你在豁免成功时不受伤害，豁免失败时只承受一半伤害。
如果你处于失能状态，则你无法从此特性中受益。</t>
    <phoneticPr fontId="68" type="noConversion"/>
  </si>
  <si>
    <t>赶尽杀绝</t>
    <phoneticPr fontId="68" type="noConversion"/>
  </si>
  <si>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phoneticPr fontId="68" type="noConversion"/>
  </si>
  <si>
    <t>死亡欺诈</t>
    <phoneticPr fontId="68" type="noConversion"/>
  </si>
  <si>
    <t>当你的生命值降至0且未立即死亡时，你可以改为降至1生命值，并恢复等于你铳士等级的生命值。
此特性一经使用，直至完成短休或长休你都无法再次使用。</t>
    <phoneticPr fontId="68" type="noConversion"/>
  </si>
  <si>
    <t>极险决策</t>
    <phoneticPr fontId="68" type="noConversion"/>
  </si>
  <si>
    <t>每当你投掷先攻或造成重击时，你重获一枚风险骰。</t>
    <phoneticPr fontId="68" type="noConversion"/>
  </si>
  <si>
    <t>灵巧战技</t>
    <phoneticPr fontId="68" type="noConversion"/>
  </si>
  <si>
    <t>每个你的回合一次，你可以执行一个特殊的额外附赠动作，该附赠动作仅用于使用战技。</t>
    <phoneticPr fontId="68" type="noConversion"/>
  </si>
  <si>
    <t>传奇恩惠</t>
    <phoneticPr fontId="68" type="noConversion"/>
  </si>
  <si>
    <t>你获得一项传奇恩惠专长（见第五章）或其他一项你选择的适用的专长。推荐选择无敌攻势之恩惠。</t>
    <phoneticPr fontId="68" type="noConversion"/>
  </si>
  <si>
    <t>爆头</t>
    <phoneticPr fontId="68" type="noConversion"/>
  </si>
  <si>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phoneticPr fontId="68" type="noConversion"/>
  </si>
  <si>
    <t>鹰眼【战技】</t>
    <phoneticPr fontId="68" type="noConversion"/>
  </si>
  <si>
    <t>每回合一次，当你的远程攻击检定失手时，你可以消耗一枚风险骰并将其加入攻击检定，这可能令本次攻击改为命中。</t>
    <phoneticPr fontId="68" type="noConversion"/>
  </si>
  <si>
    <t>神射之姿</t>
    <phoneticPr fontId="68" type="noConversion"/>
  </si>
  <si>
    <t>你接受了训练，能够稳定以卧姿射击，并获得以下状态
卧姿射击Fire While Prone。你进行远程攻击检定时，不会因倒地状态具有劣势。
快速起立Quick Stand。当你具有倒地状态时，你可以调整姿势并仅以5尺移动力结束该状态。</t>
    <phoneticPr fontId="68" type="noConversion"/>
  </si>
  <si>
    <t>无人知处</t>
    <phoneticPr fontId="68" type="noConversion"/>
  </si>
  <si>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phoneticPr fontId="68" type="noConversion"/>
  </si>
  <si>
    <t>易地而狙</t>
    <phoneticPr fontId="68" type="noConversion"/>
  </si>
  <si>
    <t>每当一名生物对你进行攻击检定失手时，你能够以反应结束你的倒地状态并移动至多等于你速度一半的距离。</t>
    <phoneticPr fontId="68" type="noConversion"/>
  </si>
  <si>
    <t>射杀百头</t>
    <phoneticPr fontId="68" type="noConversion"/>
  </si>
  <si>
    <t>当你执行攻击动作时，你可以选择使用武器仅进行一次远程攻击检定来发动射杀百头。此次攻击检定具有优势，且命中时造成重击。</t>
    <phoneticPr fontId="68" type="noConversion"/>
  </si>
  <si>
    <t>扑克脸</t>
    <phoneticPr fontId="68" type="noConversion"/>
  </si>
  <si>
    <t>你获得所有赌具的熟练，并自选以下一项技能获得熟练：欺瞒、洞悉或察觉。</t>
    <phoneticPr fontId="68" type="noConversion"/>
  </si>
  <si>
    <t>欺天骰【战技】</t>
    <phoneticPr fontId="68" type="noConversion"/>
  </si>
  <si>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phoneticPr fontId="68" type="noConversion"/>
  </si>
  <si>
    <t>暴虎冯河</t>
    <phoneticPr fontId="68" type="noConversion"/>
  </si>
  <si>
    <t>每回合一次，当你对敌人进行一次不具有劣势的攻击检定时，你可以选择获得劣势。若如此做，你重获一枚风险骰。</t>
    <phoneticPr fontId="68" type="noConversion"/>
  </si>
  <si>
    <t>行险狂徒</t>
    <phoneticPr fontId="68" type="noConversion"/>
  </si>
  <si>
    <t>你使用战技牛仔精神和千钧一发时，可以不消耗风险骰。若如此做，你投掷d6以替代风险骰。</t>
    <phoneticPr fontId="68" type="noConversion"/>
  </si>
  <si>
    <t>所有，或一无所有</t>
    <phoneticPr fontId="68" type="noConversion"/>
  </si>
  <si>
    <t>当你使用远程武器造成重击命中时，你可以赌一个更高的结果。掷一枚d20，若结果为10或更高，则你伤害掷骰时投掷所有的伤害骰四次而非两次，并将结果相加。若结果为9或更低，则此次重击被视为普通命中。</t>
    <phoneticPr fontId="68" type="noConversion"/>
  </si>
  <si>
    <t>特工训练</t>
    <phoneticPr fontId="68" type="noConversion"/>
  </si>
  <si>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phoneticPr fontId="68" type="noConversion"/>
  </si>
  <si>
    <t>抛下凶弹【战技】</t>
    <phoneticPr fontId="68" type="noConversion"/>
  </si>
  <si>
    <t>当你在你的回合内执行疾走、撤离或回避动作时，你可以消耗一枚风险骰以附赠动作使用武器发动一次远程攻击。命中时，将风险骰加入伤害掷骰中。</t>
    <phoneticPr fontId="68" type="noConversion"/>
  </si>
  <si>
    <t>战场记忆</t>
    <phoneticPr fontId="68" type="noConversion"/>
  </si>
  <si>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phoneticPr fontId="68" type="noConversion"/>
  </si>
  <si>
    <t>走为上计</t>
    <phoneticPr fontId="68" type="noConversion"/>
  </si>
  <si>
    <t>当你受到伤害时，你能够以反应避免进一步的损害。你可以立即移动至多10尺，且直至你的下个回合开始，你处于隐形状态。
此特性一经使用，直至你完成短休或长休都无法再次使用。</t>
    <phoneticPr fontId="68" type="noConversion"/>
  </si>
  <si>
    <t>杀戮许可</t>
    <phoneticPr fontId="68" type="noConversion"/>
  </si>
  <si>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phoneticPr fontId="68" type="noConversion"/>
  </si>
  <si>
    <t>施法</t>
    <phoneticPr fontId="68" type="noConversion"/>
  </si>
  <si>
    <t>你获得以法术辅助你的子弹的能力。</t>
    <phoneticPr fontId="68" type="noConversion"/>
  </si>
  <si>
    <t>戏法</t>
    <phoneticPr fontId="68" type="noConversion"/>
  </si>
  <si>
    <r>
      <rPr>
        <sz val="10"/>
        <color theme="1"/>
        <rFont val="宋体"/>
        <family val="1"/>
        <charset val="134"/>
      </rPr>
      <t>你知晓两道你选择的法师戏法。推荐选择火焰箭</t>
    </r>
    <r>
      <rPr>
        <sz val="10"/>
        <color theme="1"/>
        <rFont val="Times New Roman"/>
        <family val="1"/>
      </rPr>
      <t>Fire Bolt</t>
    </r>
    <r>
      <rPr>
        <sz val="10"/>
        <color theme="1"/>
        <rFont val="宋体"/>
        <family val="1"/>
        <charset val="134"/>
      </rPr>
      <t>和传讯术</t>
    </r>
    <r>
      <rPr>
        <sz val="10"/>
        <color theme="1"/>
        <rFont val="Times New Roman"/>
        <family val="1"/>
      </rPr>
      <t>Message</t>
    </r>
    <r>
      <rPr>
        <sz val="10"/>
        <color theme="1"/>
        <rFont val="宋体"/>
        <family val="1"/>
        <charset val="134"/>
      </rPr>
      <t>。</t>
    </r>
    <r>
      <rPr>
        <sz val="10"/>
        <color theme="1"/>
        <rFont val="Times New Roman"/>
        <family val="1"/>
      </rPr>
      <t xml:space="preserve">
</t>
    </r>
    <r>
      <rPr>
        <sz val="10"/>
        <color theme="1"/>
        <rFont val="宋体"/>
        <family val="1"/>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1"/>
        <charset val="134"/>
      </rPr>
      <t>当你的铳士等级到达</t>
    </r>
    <r>
      <rPr>
        <sz val="10"/>
        <color theme="1"/>
        <rFont val="Times New Roman"/>
        <family val="1"/>
      </rPr>
      <t>10</t>
    </r>
    <r>
      <rPr>
        <sz val="10"/>
        <color theme="1"/>
        <rFont val="宋体"/>
        <family val="1"/>
        <charset val="134"/>
      </rPr>
      <t>级时，你能另选一道法师戏法并习得。</t>
    </r>
    <phoneticPr fontId="68" type="noConversion"/>
  </si>
  <si>
    <t>法术位</t>
    <phoneticPr fontId="68" type="noConversion"/>
  </si>
  <si>
    <t>魔弹客施法表显示了你可用于施展一环及以上法术的法术位数量。你在完成一次长休时恢复所有已消耗的法术位。</t>
    <phoneticPr fontId="68" type="noConversion"/>
  </si>
  <si>
    <t>一环及以上的准备法术</t>
    <phoneticPr fontId="68" type="noConversion"/>
  </si>
  <si>
    <r>
      <rPr>
        <sz val="10"/>
        <color theme="1"/>
        <rFont val="宋体"/>
        <family val="1"/>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1"/>
        <charset val="134"/>
      </rPr>
      <t>、跳跃术</t>
    </r>
    <r>
      <rPr>
        <sz val="10"/>
        <color theme="1"/>
        <rFont val="Times New Roman"/>
        <family val="1"/>
      </rPr>
      <t>Jump</t>
    </r>
    <r>
      <rPr>
        <sz val="10"/>
        <color theme="1"/>
        <rFont val="宋体"/>
        <family val="1"/>
        <charset val="134"/>
      </rPr>
      <t>和护盾术</t>
    </r>
    <r>
      <rPr>
        <sz val="10"/>
        <color theme="1"/>
        <rFont val="Times New Roman"/>
        <family val="1"/>
      </rPr>
      <t>Shield</t>
    </r>
    <r>
      <rPr>
        <sz val="10"/>
        <color theme="1"/>
        <rFont val="宋体"/>
        <family val="1"/>
        <charset val="134"/>
      </rPr>
      <t>。</t>
    </r>
    <r>
      <rPr>
        <sz val="10"/>
        <color theme="1"/>
        <rFont val="Times New Roman"/>
        <family val="1"/>
      </rPr>
      <t xml:space="preserve">
</t>
    </r>
    <r>
      <rPr>
        <sz val="10"/>
        <color theme="1"/>
        <rFont val="宋体"/>
        <family val="1"/>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1"/>
        <charset val="134"/>
      </rPr>
      <t>例如，如果你是一位</t>
    </r>
    <r>
      <rPr>
        <sz val="10"/>
        <color theme="1"/>
        <rFont val="Times New Roman"/>
        <family val="1"/>
      </rPr>
      <t>7</t>
    </r>
    <r>
      <rPr>
        <sz val="10"/>
        <color theme="1"/>
        <rFont val="宋体"/>
        <family val="1"/>
        <charset val="134"/>
      </rPr>
      <t>级铳士，则你的准备法术列表能包括五道一环或二环的法师法术，随意组合。</t>
    </r>
    <phoneticPr fontId="68" type="noConversion"/>
  </si>
  <si>
    <t>改变你的准备法术</t>
    <phoneticPr fontId="68" type="noConversion"/>
  </si>
  <si>
    <t>每当你获得一个铳士等级，就可以将你准备列表上的一道法术替换为另一道法师法术，你必须拥有替换后法术对应环阶的法术位才可以替换。</t>
    <phoneticPr fontId="68" type="noConversion"/>
  </si>
  <si>
    <t>施法属性</t>
    <phoneticPr fontId="68" type="noConversion"/>
  </si>
  <si>
    <t>你法师法术的施法属性是智力。</t>
    <phoneticPr fontId="68" type="noConversion"/>
  </si>
  <si>
    <t>施法法器</t>
    <phoneticPr fontId="68" type="noConversion"/>
  </si>
  <si>
    <t>你可以使用奥术法器或远程武器作为你法师法术的施法法器。</t>
    <phoneticPr fontId="68" type="noConversion"/>
  </si>
  <si>
    <t>砰！你已经死了</t>
    <phoneticPr fontId="68" type="noConversion"/>
  </si>
  <si>
    <r>
      <rPr>
        <sz val="10"/>
        <color theme="1"/>
        <rFont val="宋体"/>
        <family val="1"/>
        <charset val="134"/>
      </rPr>
      <t>你可以使用魔法来替代枪械。</t>
    </r>
    <r>
      <rPr>
        <sz val="10"/>
        <color theme="1"/>
        <rFont val="Times New Roman"/>
        <family val="1"/>
      </rPr>
      <t xml:space="preserve">
</t>
    </r>
    <r>
      <rPr>
        <sz val="10"/>
        <color theme="1"/>
        <rFont val="宋体"/>
        <family val="1"/>
        <charset val="134"/>
      </rPr>
      <t>手指枪</t>
    </r>
    <r>
      <rPr>
        <sz val="10"/>
        <color theme="1"/>
        <rFont val="Times New Roman"/>
        <family val="1"/>
      </rPr>
      <t>Finger Guns</t>
    </r>
    <r>
      <rPr>
        <sz val="10"/>
        <color theme="1"/>
        <rFont val="宋体"/>
        <family val="1"/>
        <charset val="134"/>
      </rPr>
      <t>。</t>
    </r>
    <r>
      <rPr>
        <sz val="10"/>
        <color theme="1"/>
        <rFont val="Times New Roman"/>
        <family val="1"/>
      </rPr>
      <t xml:space="preserve"> </t>
    </r>
    <r>
      <rPr>
        <sz val="10"/>
        <color theme="1"/>
        <rFont val="宋体"/>
        <family val="1"/>
        <charset val="134"/>
      </rPr>
      <t>你习得戏法手指枪，详见法术节。</t>
    </r>
    <r>
      <rPr>
        <sz val="10"/>
        <color theme="1"/>
        <rFont val="Times New Roman"/>
        <family val="1"/>
      </rPr>
      <t xml:space="preserve">
</t>
    </r>
    <r>
      <rPr>
        <sz val="10"/>
        <color theme="1"/>
        <rFont val="宋体"/>
        <family val="1"/>
        <charset val="134"/>
      </rPr>
      <t>奥术射击</t>
    </r>
    <r>
      <rPr>
        <sz val="10"/>
        <color theme="1"/>
        <rFont val="Times New Roman"/>
        <family val="1"/>
      </rPr>
      <t>Arcane Shot</t>
    </r>
    <r>
      <rPr>
        <sz val="10"/>
        <color theme="1"/>
        <rFont val="宋体"/>
        <family val="1"/>
        <charset val="134"/>
      </rPr>
      <t>。</t>
    </r>
    <r>
      <rPr>
        <sz val="10"/>
        <color theme="1"/>
        <rFont val="Times New Roman"/>
        <family val="1"/>
      </rPr>
      <t xml:space="preserve"> </t>
    </r>
    <r>
      <rPr>
        <sz val="10"/>
        <color theme="1"/>
        <rFont val="宋体"/>
        <family val="1"/>
        <charset val="134"/>
      </rPr>
      <t>当你以手指枪攻击命中目标时，你能够以附赠动作消耗一枚风险骰并加入伤害掷骰中。</t>
    </r>
    <phoneticPr fontId="68" type="noConversion"/>
  </si>
  <si>
    <t>法术射击</t>
    <phoneticPr fontId="68" type="noConversion"/>
  </si>
  <si>
    <t>当你在自己回合执行攻击动作时，你可以将该动作攻击中的一次攻击替换为施展一道施法时间为动作的你的法师戏法。</t>
    <phoneticPr fontId="68" type="noConversion"/>
  </si>
  <si>
    <t>施法反制</t>
    <phoneticPr fontId="68" type="noConversion"/>
  </si>
  <si>
    <r>
      <rPr>
        <sz val="10"/>
        <color theme="1"/>
        <rFont val="宋体"/>
        <family val="1"/>
        <charset val="134"/>
      </rPr>
      <t>你对抗施法者的经验赋予你以下增益。</t>
    </r>
    <r>
      <rPr>
        <sz val="10"/>
        <color theme="1"/>
        <rFont val="Times New Roman"/>
        <family val="1"/>
      </rPr>
      <t xml:space="preserve">
</t>
    </r>
    <r>
      <rPr>
        <sz val="10"/>
        <color theme="1"/>
        <rFont val="宋体"/>
        <family val="1"/>
        <charset val="134"/>
      </rPr>
      <t>破除防护</t>
    </r>
    <r>
      <rPr>
        <sz val="10"/>
        <color theme="1"/>
        <rFont val="Times New Roman"/>
        <family val="1"/>
      </rPr>
      <t>Abjuration-Breaker</t>
    </r>
    <r>
      <rPr>
        <sz val="10"/>
        <color theme="1"/>
        <rFont val="宋体"/>
        <family val="1"/>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1"/>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1"/>
        <charset val="134"/>
      </rPr>
      <t>反魔法射击</t>
    </r>
    <r>
      <rPr>
        <sz val="10"/>
        <color theme="1"/>
        <rFont val="Times New Roman"/>
        <family val="1"/>
      </rPr>
      <t>Antimagic Shot</t>
    </r>
    <r>
      <rPr>
        <sz val="10"/>
        <color theme="1"/>
        <rFont val="宋体"/>
        <family val="1"/>
        <charset val="134"/>
      </rPr>
      <t>。</t>
    </r>
    <r>
      <rPr>
        <sz val="10"/>
        <color theme="1"/>
        <rFont val="Times New Roman"/>
        <family val="1"/>
      </rPr>
      <t xml:space="preserve"> </t>
    </r>
    <r>
      <rPr>
        <sz val="10"/>
        <color theme="1"/>
        <rFont val="宋体"/>
        <family val="1"/>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1"/>
        <charset val="134"/>
      </rPr>
      <t>魔法适性</t>
    </r>
    <r>
      <rPr>
        <sz val="10"/>
        <color theme="1"/>
        <rFont val="Times New Roman"/>
        <family val="1"/>
      </rPr>
      <t>Inured to Magic</t>
    </r>
    <r>
      <rPr>
        <sz val="10"/>
        <color theme="1"/>
        <rFont val="宋体"/>
        <family val="1"/>
        <charset val="134"/>
      </rPr>
      <t>。</t>
    </r>
    <r>
      <rPr>
        <sz val="10"/>
        <color theme="1"/>
        <rFont val="Times New Roman"/>
        <family val="1"/>
      </rPr>
      <t xml:space="preserve"> </t>
    </r>
    <r>
      <rPr>
        <sz val="10"/>
        <color theme="1"/>
        <rFont val="宋体"/>
        <family val="1"/>
        <charset val="134"/>
      </rPr>
      <t>你对抗法术或魔法效应时进行的豁免检定失败时，你能够以反应掷</t>
    </r>
    <r>
      <rPr>
        <sz val="10"/>
        <color theme="1"/>
        <rFont val="Times New Roman"/>
        <family val="1"/>
      </rPr>
      <t>1d6</t>
    </r>
    <r>
      <rPr>
        <sz val="10"/>
        <color theme="1"/>
        <rFont val="宋体"/>
        <family val="1"/>
        <charset val="134"/>
      </rPr>
      <t>加入检定，这可能令此次检定改为成功。</t>
    </r>
    <phoneticPr fontId="68" type="noConversion"/>
  </si>
  <si>
    <t>魔弹【战技】</t>
    <phoneticPr fontId="68" type="noConversion"/>
  </si>
  <si>
    <t>当你进行法术攻击检定时，你能够以附赠动作消耗一枚风险骰，将法术攻击替换为使用武器的远程攻击。将风险骰加入检定中。若命中，除法术攻击的效应外，此次攻击还会造成武器的正常伤害。</t>
    <phoneticPr fontId="68" type="noConversion"/>
  </si>
  <si>
    <t>诡变弹道</t>
    <phoneticPr fontId="68" type="noConversion"/>
  </si>
  <si>
    <t>你可以让你的射弹沿着难以想象的轨迹飞行。你使用武器的远程攻击忽视半身掩护和四分之三掩护。</t>
    <phoneticPr fontId="68" type="noConversion"/>
  </si>
  <si>
    <t>跳弹【战技】</t>
    <phoneticPr fontId="68" type="noConversion"/>
  </si>
  <si>
    <t>当你使用武器发动的远程攻击失手时，你能够以附赠动作消耗一枚风险骰重骰此次攻击并将风险骰加入检定。你必须使用新的结果。</t>
    <phoneticPr fontId="68" type="noConversion"/>
  </si>
  <si>
    <t>花式枪法</t>
    <phoneticPr fontId="68" type="noConversion"/>
  </si>
  <si>
    <r>
      <rPr>
        <sz val="10"/>
        <color theme="1"/>
        <rFont val="宋体"/>
        <family val="1"/>
        <charset val="134"/>
      </rPr>
      <t>你华丽的武器技巧赋予你以下增益。</t>
    </r>
    <r>
      <rPr>
        <sz val="10"/>
        <color theme="1"/>
        <rFont val="Times New Roman"/>
        <family val="1"/>
      </rPr>
      <t xml:space="preserve">
</t>
    </r>
    <r>
      <rPr>
        <sz val="10"/>
        <color theme="1"/>
        <rFont val="宋体"/>
        <family val="1"/>
        <charset val="134"/>
      </rPr>
      <t>沙鹰回旋</t>
    </r>
    <r>
      <rPr>
        <sz val="10"/>
        <color theme="1"/>
        <rFont val="Times New Roman"/>
        <family val="1"/>
      </rPr>
      <t>Gun Spinning</t>
    </r>
    <r>
      <rPr>
        <sz val="10"/>
        <color theme="1"/>
        <rFont val="宋体"/>
        <family val="1"/>
        <charset val="134"/>
      </rPr>
      <t>。</t>
    </r>
    <r>
      <rPr>
        <sz val="10"/>
        <color theme="1"/>
        <rFont val="Times New Roman"/>
        <family val="1"/>
      </rPr>
      <t xml:space="preserve"> </t>
    </r>
    <r>
      <rPr>
        <sz val="10"/>
        <color theme="1"/>
        <rFont val="宋体"/>
        <family val="1"/>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1"/>
        <charset val="134"/>
      </rPr>
      <t>快速填装</t>
    </r>
    <r>
      <rPr>
        <sz val="10"/>
        <color theme="1"/>
        <rFont val="Times New Roman"/>
        <family val="1"/>
      </rPr>
      <t>Speed Loader</t>
    </r>
    <r>
      <rPr>
        <sz val="10"/>
        <color theme="1"/>
        <rFont val="宋体"/>
        <family val="1"/>
        <charset val="134"/>
      </rPr>
      <t>。</t>
    </r>
    <r>
      <rPr>
        <sz val="10"/>
        <color theme="1"/>
        <rFont val="Times New Roman"/>
        <family val="1"/>
      </rPr>
      <t xml:space="preserve"> </t>
    </r>
    <r>
      <rPr>
        <sz val="10"/>
        <color theme="1"/>
        <rFont val="宋体"/>
        <family val="1"/>
        <charset val="134"/>
      </rPr>
      <t>你的回合内，你可以为具有换弹词条的武器换弹而无需执行动作或附赠动作。</t>
    </r>
    <phoneticPr fontId="68" type="noConversion"/>
  </si>
  <si>
    <t>凌弹飞截【战技】</t>
    <phoneticPr fontId="68" type="noConversion"/>
  </si>
  <si>
    <r>
      <rPr>
        <sz val="10"/>
        <color theme="1"/>
        <rFont val="宋体"/>
        <family val="1"/>
        <charset val="134"/>
      </rPr>
      <t>你能够击落凌空的射弹。当位于你</t>
    </r>
    <r>
      <rPr>
        <sz val="10"/>
        <color theme="1"/>
        <rFont val="Times New Roman"/>
        <family val="1"/>
      </rPr>
      <t>30</t>
    </r>
    <r>
      <rPr>
        <sz val="10"/>
        <color theme="1"/>
        <rFont val="宋体"/>
        <family val="1"/>
        <charset val="134"/>
      </rPr>
      <t>尺的盟友内被一次攻击命中时，你能够以反应消耗一枚风险骰，令盟友获得战技千钧一发的增益来对抗那次攻击。你必须持握远程武器以使用该战技。</t>
    </r>
    <phoneticPr fontId="68" type="noConversion"/>
  </si>
  <si>
    <t>连珠弹射</t>
    <phoneticPr fontId="68" type="noConversion"/>
  </si>
  <si>
    <r>
      <rPr>
        <sz val="10"/>
        <color theme="1"/>
        <rFont val="宋体"/>
        <family val="1"/>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1"/>
        <charset val="134"/>
      </rPr>
      <t>选择另一名位于首个目标</t>
    </r>
    <r>
      <rPr>
        <sz val="10"/>
        <color theme="1"/>
        <rFont val="Times New Roman"/>
        <family val="1"/>
      </rPr>
      <t>30</t>
    </r>
    <r>
      <rPr>
        <sz val="10"/>
        <color theme="1"/>
        <rFont val="宋体"/>
        <family val="1"/>
        <charset val="134"/>
      </rPr>
      <t>尺内的目标，对其进行一次攻击检定。命中则你可以对</t>
    </r>
    <r>
      <rPr>
        <sz val="10"/>
        <color theme="1"/>
        <rFont val="Times New Roman"/>
        <family val="1"/>
      </rPr>
      <t>30</t>
    </r>
    <r>
      <rPr>
        <sz val="10"/>
        <color theme="1"/>
        <rFont val="宋体"/>
        <family val="1"/>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1"/>
        <charset val="134"/>
      </rPr>
      <t>此特性一经使用，直至你完成短休或长休都无法再次使用。你也可以消耗两枚风险骰（无需动作）来重置此特性的使用权。</t>
    </r>
    <phoneticPr fontId="68" type="noConversion"/>
  </si>
  <si>
    <t>布法制律【战技】</t>
    <phoneticPr fontId="68" type="noConversion"/>
  </si>
  <si>
    <r>
      <rPr>
        <sz val="10"/>
        <color theme="1"/>
        <rFont val="宋体"/>
        <family val="1"/>
        <charset val="134"/>
      </rPr>
      <t>你能够以附赠动作消耗一枚风险骰，以警戒威胁你同伴的威胁。选择一名位于你</t>
    </r>
    <r>
      <rPr>
        <sz val="10"/>
        <color theme="1"/>
        <rFont val="Times New Roman"/>
        <family val="1"/>
      </rPr>
      <t>60</t>
    </r>
    <r>
      <rPr>
        <sz val="10"/>
        <color theme="1"/>
        <rFont val="宋体"/>
        <family val="1"/>
        <charset val="134"/>
      </rPr>
      <t>尺内的你可见的盟友。该盟友获得等于风险骰骰值的临时生命值。直至你的下个回合开始，若该盟友被一次攻击命中，你能够以反应使用武器对攻击者发动一次远程攻击。</t>
    </r>
    <phoneticPr fontId="68" type="noConversion"/>
  </si>
  <si>
    <t>冷目灵光</t>
    <phoneticPr fontId="68" type="noConversion"/>
  </si>
  <si>
    <r>
      <rPr>
        <sz val="10"/>
        <color theme="1"/>
        <rFont val="宋体"/>
        <family val="1"/>
        <charset val="134"/>
      </rPr>
      <t>你身上散发出坚韧意志的灵光，覆盖源自你的</t>
    </r>
    <r>
      <rPr>
        <sz val="10"/>
        <color theme="1"/>
        <rFont val="Times New Roman"/>
        <family val="1"/>
      </rPr>
      <t>10</t>
    </r>
    <r>
      <rPr>
        <sz val="10"/>
        <color theme="1"/>
        <rFont val="宋体"/>
        <family val="1"/>
        <charset val="134"/>
      </rPr>
      <t>尺光环区域。你和身处光环区域内的盟友为避免或结束恐慌状态时进行的豁免检定具有优势。在你陷入失能状态期间，此灵光失效。</t>
    </r>
    <phoneticPr fontId="68" type="noConversion"/>
  </si>
  <si>
    <t>举起手来</t>
    <phoneticPr fontId="68" type="noConversion"/>
  </si>
  <si>
    <r>
      <rPr>
        <sz val="10"/>
        <color theme="1"/>
        <rFont val="宋体"/>
        <family val="1"/>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1"/>
        <charset val="134"/>
      </rPr>
      <t>，否则陷入恐慌与失能状态，持续</t>
    </r>
    <r>
      <rPr>
        <sz val="10"/>
        <color theme="1"/>
        <rFont val="Times New Roman"/>
        <family val="1"/>
      </rPr>
      <t>1</t>
    </r>
    <r>
      <rPr>
        <sz val="10"/>
        <color theme="1"/>
        <rFont val="宋体"/>
        <family val="1"/>
        <charset val="134"/>
      </rPr>
      <t>分钟。若该生物受到任意伤害、你陷入失能状态或你死亡，这些状态提前结束。该生物在其每个回合结束时重复感知豁免，成功则终止其身上的这些状态。</t>
    </r>
    <phoneticPr fontId="68" type="noConversion"/>
  </si>
  <si>
    <t>天网恢恢</t>
    <phoneticPr fontId="68" type="noConversion"/>
  </si>
  <si>
    <t>每回合一次，当你使用武器发动远程攻击命中不超过大型的生物时，你能够令目标蹒跚。该生物在其下个回合内在执行撤离动作前无法进行移动。</t>
    <phoneticPr fontId="68" type="noConversion"/>
  </si>
  <si>
    <t>金星英杰</t>
    <phoneticPr fontId="68" type="noConversion"/>
  </si>
  <si>
    <r>
      <rPr>
        <sz val="10"/>
        <color theme="1"/>
        <rFont val="宋体"/>
        <family val="1"/>
        <charset val="134"/>
      </rPr>
      <t>凭借你英勇的枪法，你获得以下增益。</t>
    </r>
    <r>
      <rPr>
        <sz val="10"/>
        <color theme="1"/>
        <rFont val="Times New Roman"/>
        <family val="1"/>
      </rPr>
      <t xml:space="preserve">
</t>
    </r>
    <r>
      <rPr>
        <sz val="10"/>
        <color theme="1"/>
        <rFont val="宋体"/>
        <family val="1"/>
        <charset val="134"/>
      </rPr>
      <t>灵光提升</t>
    </r>
    <r>
      <rPr>
        <sz val="10"/>
        <color theme="1"/>
        <rFont val="Times New Roman"/>
        <family val="1"/>
      </rPr>
      <t>Improved Aura</t>
    </r>
    <r>
      <rPr>
        <sz val="10"/>
        <color theme="1"/>
        <rFont val="宋体"/>
        <family val="1"/>
        <charset val="134"/>
      </rPr>
      <t>。你的特性冷目灵光的范围提升至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铁律</t>
    </r>
    <r>
      <rPr>
        <sz val="10"/>
        <color theme="1"/>
        <rFont val="Times New Roman"/>
        <family val="1"/>
      </rPr>
      <t>Iron-Clad Law</t>
    </r>
    <r>
      <rPr>
        <sz val="10"/>
        <color theme="1"/>
        <rFont val="宋体"/>
        <family val="1"/>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1"/>
        <charset val="134"/>
      </rPr>
      <t>慑降</t>
    </r>
    <r>
      <rPr>
        <sz val="10"/>
        <color theme="1"/>
        <rFont val="Times New Roman"/>
        <family val="1"/>
      </rPr>
      <t>Stunned Surrender</t>
    </r>
    <r>
      <rPr>
        <sz val="10"/>
        <color theme="1"/>
        <rFont val="宋体"/>
        <family val="1"/>
        <charset val="134"/>
      </rPr>
      <t>。当一名生物对抗你举起手来特性的豁免检定失败时，其陷入震慑状态替代失能状态。</t>
    </r>
    <phoneticPr fontId="68" type="noConversion"/>
  </si>
  <si>
    <t>筛选</t>
    <phoneticPr fontId="68" type="noConversion"/>
  </si>
  <si>
    <t>肌肉法师道途</t>
    <phoneticPr fontId="68" type="noConversion"/>
  </si>
  <si>
    <t>地城探险家</t>
    <phoneticPr fontId="68" type="noConversion"/>
  </si>
  <si>
    <t>街霸武者</t>
    <phoneticPr fontId="68" type="noConversion"/>
  </si>
  <si>
    <t>狂欢之誓</t>
    <phoneticPr fontId="68" type="noConversion"/>
  </si>
  <si>
    <t>蛛网追猎者</t>
    <phoneticPr fontId="68" type="noConversion"/>
  </si>
  <si>
    <t>未来的你宗主</t>
    <phoneticPr fontId="68" type="noConversion"/>
  </si>
  <si>
    <t>奥术纸艺</t>
    <phoneticPr fontId="68" type="noConversion"/>
  </si>
  <si>
    <t>折纸魔宠</t>
    <phoneticPr fontId="68" type="noConversion"/>
  </si>
  <si>
    <t>绑定解放</t>
    <phoneticPr fontId="68" type="noConversion"/>
  </si>
  <si>
    <t>纸途传递</t>
    <phoneticPr fontId="68" type="noConversion"/>
  </si>
  <si>
    <t>折纸侍仆</t>
    <phoneticPr fontId="68" type="noConversion"/>
  </si>
  <si>
    <t>秘法回溯</t>
    <phoneticPr fontId="68" type="noConversion"/>
  </si>
  <si>
    <t>禁忌学识</t>
    <phoneticPr fontId="68" type="noConversion"/>
  </si>
  <si>
    <t xml:space="preserve">在你探索禁忌力量的过程中，你掌握了深渊语，或一门由你选择的其他语言。
此外，你可以从魔契师法术列表中选择一道1环法术。你始终准备了该法术。当你完成一次长休时，你可以更改你所选择的法术。 </t>
    <phoneticPr fontId="68" type="noConversion"/>
  </si>
  <si>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phoneticPr fontId="68" type="noConversion"/>
  </si>
  <si>
    <t>现实撕裂</t>
    <phoneticPr fontId="68" type="noConversion"/>
  </si>
  <si>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phoneticPr fontId="68" type="noConversion"/>
  </si>
  <si>
    <t>玄秘显现</t>
    <phoneticPr fontId="68" type="noConversion"/>
  </si>
  <si>
    <r>
      <rPr>
        <sz val="10"/>
        <color theme="1"/>
        <rFont val="宋体"/>
        <family val="1"/>
        <charset val="134"/>
      </rPr>
      <t>当你引发一次侵扰时，你可以在侵扰表上投掷两次，并选择使用其中一个结果，并且你可以通过获得</t>
    </r>
    <r>
      <rPr>
        <sz val="10"/>
        <color theme="1"/>
        <rFont val="Times New Roman"/>
        <family val="1"/>
      </rPr>
      <t>1</t>
    </r>
    <r>
      <rPr>
        <sz val="10"/>
        <color theme="1"/>
        <rFont val="宋体"/>
        <family val="1"/>
        <charset val="134"/>
      </rPr>
      <t>级力竭来抵消此次侵扰。</t>
    </r>
    <r>
      <rPr>
        <sz val="10"/>
        <color theme="1"/>
        <rFont val="Times New Roman"/>
        <family val="1"/>
      </rPr>
      <t xml:space="preserve">
</t>
    </r>
    <r>
      <rPr>
        <sz val="10"/>
        <color theme="1"/>
        <rFont val="宋体"/>
        <family val="1"/>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1"/>
        <charset val="134"/>
      </rPr>
      <t>异星神智</t>
    </r>
    <r>
      <rPr>
        <sz val="10"/>
        <color theme="1"/>
        <rFont val="Times New Roman"/>
        <family val="1"/>
      </rPr>
      <t>Alien Consciousness</t>
    </r>
    <r>
      <rPr>
        <sz val="10"/>
        <color theme="1"/>
        <rFont val="宋体"/>
        <family val="1"/>
        <charset val="134"/>
      </rPr>
      <t>。</t>
    </r>
    <r>
      <rPr>
        <sz val="10"/>
        <color theme="1"/>
        <rFont val="Times New Roman"/>
        <family val="1"/>
      </rPr>
      <t xml:space="preserve"> </t>
    </r>
    <r>
      <rPr>
        <sz val="10"/>
        <color theme="1"/>
        <rFont val="宋体"/>
        <family val="1"/>
        <charset val="134"/>
      </rPr>
      <t>你获得对魅惑和恐慌状态的免疫，并且无法被附身。</t>
    </r>
    <r>
      <rPr>
        <sz val="10"/>
        <color theme="1"/>
        <rFont val="Times New Roman"/>
        <family val="1"/>
      </rPr>
      <t xml:space="preserve">
</t>
    </r>
    <r>
      <rPr>
        <sz val="10"/>
        <color theme="1"/>
        <rFont val="宋体"/>
        <family val="1"/>
        <charset val="134"/>
      </rPr>
      <t>宇宙抗性</t>
    </r>
    <r>
      <rPr>
        <sz val="10"/>
        <color theme="1"/>
        <rFont val="Times New Roman"/>
        <family val="1"/>
      </rPr>
      <t>Cosmic Resistance</t>
    </r>
    <r>
      <rPr>
        <sz val="10"/>
        <color theme="1"/>
        <rFont val="宋体"/>
        <family val="1"/>
        <charset val="134"/>
      </rPr>
      <t>。</t>
    </r>
    <r>
      <rPr>
        <sz val="10"/>
        <color theme="1"/>
        <rFont val="Times New Roman"/>
        <family val="1"/>
      </rPr>
      <t xml:space="preserve"> </t>
    </r>
    <r>
      <rPr>
        <sz val="10"/>
        <color theme="1"/>
        <rFont val="宋体"/>
        <family val="1"/>
        <charset val="134"/>
      </rPr>
      <t>你获得对暗蚀和心灵伤害的抗性。</t>
    </r>
    <r>
      <rPr>
        <sz val="10"/>
        <color theme="1"/>
        <rFont val="Times New Roman"/>
        <family val="1"/>
      </rPr>
      <t xml:space="preserve">
</t>
    </r>
    <r>
      <rPr>
        <sz val="10"/>
        <color theme="1"/>
        <rFont val="宋体"/>
        <family val="1"/>
        <charset val="134"/>
      </rPr>
      <t>空间支配</t>
    </r>
    <r>
      <rPr>
        <sz val="10"/>
        <color theme="1"/>
        <rFont val="Times New Roman"/>
        <family val="1"/>
      </rPr>
      <t>Spatial Domination</t>
    </r>
    <r>
      <rPr>
        <sz val="10"/>
        <color theme="1"/>
        <rFont val="宋体"/>
        <family val="1"/>
        <charset val="134"/>
      </rPr>
      <t>。</t>
    </r>
    <r>
      <rPr>
        <sz val="10"/>
        <color theme="1"/>
        <rFont val="Times New Roman"/>
        <family val="1"/>
      </rPr>
      <t xml:space="preserve"> </t>
    </r>
    <r>
      <rPr>
        <sz val="10"/>
        <color theme="1"/>
        <rFont val="宋体"/>
        <family val="1"/>
        <charset val="134"/>
      </rPr>
      <t>你获得等于你速度的飞行速度，并能悬浮。</t>
    </r>
    <r>
      <rPr>
        <sz val="10"/>
        <color theme="1"/>
        <rFont val="Times New Roman"/>
        <family val="1"/>
      </rPr>
      <t xml:space="preserve"> </t>
    </r>
    <phoneticPr fontId="68" type="noConversion"/>
  </si>
  <si>
    <t>超越空间</t>
    <phoneticPr fontId="68" type="noConversion"/>
  </si>
  <si>
    <r>
      <rPr>
        <sz val="10"/>
        <color theme="1"/>
        <rFont val="宋体"/>
        <family val="1"/>
        <charset val="134"/>
      </rPr>
      <t>距离与位置的本质被揭露为虚幻的谎言。你始终准备着法术探知</t>
    </r>
    <r>
      <rPr>
        <sz val="10"/>
        <color theme="1"/>
        <rFont val="Times New Roman"/>
        <family val="1"/>
      </rPr>
      <t>Scrying</t>
    </r>
    <r>
      <rPr>
        <sz val="10"/>
        <color theme="1"/>
        <rFont val="宋体"/>
        <family val="1"/>
        <charset val="134"/>
      </rPr>
      <t>。</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时，你可以冒着侵扰风险选择选择以下一项：</t>
    </r>
    <r>
      <rPr>
        <sz val="10"/>
        <color theme="1"/>
        <rFont val="Times New Roman"/>
        <family val="1"/>
      </rPr>
      <t xml:space="preserve">
</t>
    </r>
    <r>
      <rPr>
        <sz val="10"/>
        <color theme="1"/>
        <rFont val="宋体"/>
        <family val="1"/>
        <charset val="134"/>
      </rPr>
      <t>全知</t>
    </r>
    <r>
      <rPr>
        <sz val="10"/>
        <color theme="1"/>
        <rFont val="Times New Roman"/>
        <family val="1"/>
      </rPr>
      <t>All Knowing</t>
    </r>
    <r>
      <rPr>
        <sz val="10"/>
        <color theme="1"/>
        <rFont val="宋体"/>
        <family val="1"/>
        <charset val="134"/>
      </rPr>
      <t>。</t>
    </r>
    <r>
      <rPr>
        <sz val="10"/>
        <color theme="1"/>
        <rFont val="Times New Roman"/>
        <family val="1"/>
      </rPr>
      <t xml:space="preserve"> </t>
    </r>
    <r>
      <rPr>
        <sz val="10"/>
        <color theme="1"/>
        <rFont val="宋体"/>
        <family val="1"/>
        <charset val="134"/>
      </rPr>
      <t>你与目标的联系程度视为你具有目标的身体部分。</t>
    </r>
    <r>
      <rPr>
        <sz val="10"/>
        <color theme="1"/>
        <rFont val="Times New Roman"/>
        <family val="1"/>
      </rPr>
      <t xml:space="preserve">
</t>
    </r>
    <r>
      <rPr>
        <sz val="10"/>
        <color theme="1"/>
        <rFont val="宋体"/>
        <family val="1"/>
        <charset val="134"/>
      </rPr>
      <t>全视</t>
    </r>
    <r>
      <rPr>
        <sz val="10"/>
        <color theme="1"/>
        <rFont val="Times New Roman"/>
        <family val="1"/>
      </rPr>
      <t>All Seeing</t>
    </r>
    <r>
      <rPr>
        <sz val="10"/>
        <color theme="1"/>
        <rFont val="宋体"/>
        <family val="1"/>
        <charset val="134"/>
      </rPr>
      <t>。</t>
    </r>
    <r>
      <rPr>
        <sz val="10"/>
        <color theme="1"/>
        <rFont val="Times New Roman"/>
        <family val="1"/>
      </rPr>
      <t xml:space="preserve"> </t>
    </r>
    <r>
      <rPr>
        <sz val="10"/>
        <color theme="1"/>
        <rFont val="宋体"/>
        <family val="1"/>
        <charset val="134"/>
      </rPr>
      <t>你可以使用一个动作施展该法术，而非其正常的施法时间。</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1"/>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phoneticPr fontId="68" type="noConversion"/>
  </si>
  <si>
    <t>炼金学识</t>
    <phoneticPr fontId="68" type="noConversion"/>
  </si>
  <si>
    <r>
      <rPr>
        <sz val="10"/>
        <color theme="1"/>
        <rFont val="宋体"/>
        <family val="1"/>
        <charset val="134"/>
      </rPr>
      <t>你获得一套炼金工具。你获得炼金工具熟练项</t>
    </r>
    <r>
      <rPr>
        <sz val="10"/>
        <color theme="1"/>
        <rFont val="Times New Roman"/>
        <family val="1"/>
      </rPr>
      <t>,</t>
    </r>
    <r>
      <rPr>
        <sz val="10"/>
        <color theme="1"/>
        <rFont val="宋体"/>
        <family val="1"/>
        <charset val="134"/>
      </rPr>
      <t>并且你可以将其用作奥术法器。此外，你可以使用炼金工具代替常规工具来制作魔法物品。</t>
    </r>
    <phoneticPr fontId="68" type="noConversion"/>
  </si>
  <si>
    <t>精粹结晶</t>
    <phoneticPr fontId="68" type="noConversion"/>
  </si>
  <si>
    <r>
      <rPr>
        <sz val="10"/>
        <color theme="1"/>
        <rFont val="宋体"/>
        <family val="1"/>
        <charset val="134"/>
      </rPr>
      <t>你已掌握“分解”的基本原理。你知晓戏法瓦解术</t>
    </r>
    <r>
      <rPr>
        <sz val="10"/>
        <color theme="1"/>
        <rFont val="Times New Roman"/>
        <family val="1"/>
      </rPr>
      <t>Dissolution*</t>
    </r>
    <r>
      <rPr>
        <sz val="10"/>
        <color theme="1"/>
        <rFont val="宋体"/>
        <family val="1"/>
        <charset val="134"/>
      </rPr>
      <t>。当你以该戏法将一个生物或物件的生命值降至</t>
    </r>
    <r>
      <rPr>
        <sz val="10"/>
        <color theme="1"/>
        <rFont val="Times New Roman"/>
        <family val="1"/>
      </rPr>
      <t>0</t>
    </r>
    <r>
      <rPr>
        <sz val="10"/>
        <color theme="1"/>
        <rFont val="宋体"/>
        <family val="1"/>
        <charset val="134"/>
      </rPr>
      <t>时，目标被摧毁。如果目标为小型或更大，则其会被分解为</t>
    </r>
    <r>
      <rPr>
        <sz val="10"/>
        <color theme="1"/>
        <rFont val="Times New Roman"/>
        <family val="1"/>
      </rPr>
      <t>1</t>
    </r>
    <r>
      <rPr>
        <sz val="10"/>
        <color theme="1"/>
        <rFont val="宋体"/>
        <family val="1"/>
        <charset val="134"/>
      </rPr>
      <t>份（约</t>
    </r>
    <r>
      <rPr>
        <sz val="10"/>
        <color theme="1"/>
        <rFont val="Times New Roman"/>
        <family val="1"/>
      </rPr>
      <t>1</t>
    </r>
    <r>
      <rPr>
        <sz val="10"/>
        <color theme="1"/>
        <rFont val="宋体"/>
        <family val="1"/>
        <charset val="134"/>
      </rPr>
      <t>盎司）名为精粹结晶</t>
    </r>
    <r>
      <rPr>
        <sz val="10"/>
        <color theme="1"/>
        <rFont val="Times New Roman"/>
        <family val="1"/>
      </rPr>
      <t>Quintessence</t>
    </r>
    <r>
      <rPr>
        <sz val="10"/>
        <color theme="1"/>
        <rFont val="宋体"/>
        <family val="1"/>
        <charset val="134"/>
      </rPr>
      <t>的晶尘。你最多可以同时持有等于你两倍智力调整值的精粹结晶（至少</t>
    </r>
    <r>
      <rPr>
        <sz val="10"/>
        <color theme="1"/>
        <rFont val="Times New Roman"/>
        <family val="1"/>
      </rPr>
      <t>2</t>
    </r>
    <r>
      <rPr>
        <sz val="10"/>
        <color theme="1"/>
        <rFont val="宋体"/>
        <family val="1"/>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1"/>
        <charset val="134"/>
      </rPr>
      <t>材料成分</t>
    </r>
    <r>
      <rPr>
        <sz val="10"/>
        <color theme="1"/>
        <rFont val="Times New Roman"/>
        <family val="1"/>
      </rPr>
      <t>Material Component</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当你施展一道法术时，你可以消耗精粹结晶来代替该法术的材料成分，每份精粹结晶可代替价值</t>
    </r>
    <r>
      <rPr>
        <sz val="10"/>
        <color theme="1"/>
        <rFont val="Times New Roman"/>
        <family val="1"/>
      </rPr>
      <t>100GP</t>
    </r>
    <r>
      <rPr>
        <sz val="10"/>
        <color theme="1"/>
        <rFont val="宋体"/>
        <family val="1"/>
        <charset val="134"/>
      </rPr>
      <t>的材料。</t>
    </r>
    <r>
      <rPr>
        <sz val="10"/>
        <color theme="1"/>
        <rFont val="Times New Roman"/>
        <family val="1"/>
      </rPr>
      <t xml:space="preserve">
</t>
    </r>
    <r>
      <rPr>
        <sz val="10"/>
        <color theme="1"/>
        <rFont val="宋体"/>
        <family val="1"/>
        <charset val="134"/>
      </rPr>
      <t>化学试剂</t>
    </r>
    <r>
      <rPr>
        <sz val="10"/>
        <color theme="1"/>
        <rFont val="Times New Roman"/>
        <family val="1"/>
      </rPr>
      <t>Reagent</t>
    </r>
    <r>
      <rPr>
        <sz val="10"/>
        <color theme="1"/>
        <rFont val="宋体"/>
        <family val="1"/>
        <charset val="134"/>
      </rPr>
      <t>。</t>
    </r>
    <r>
      <rPr>
        <sz val="10"/>
        <color theme="1"/>
        <rFont val="Times New Roman"/>
        <family val="1"/>
      </rPr>
      <t xml:space="preserve"> </t>
    </r>
    <r>
      <rPr>
        <sz val="10"/>
        <color theme="1"/>
        <rFont val="宋体"/>
        <family val="1"/>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1"/>
        <charset val="134"/>
      </rPr>
      <t>的材料，用于完成这些任务。</t>
    </r>
    <r>
      <rPr>
        <sz val="10"/>
        <color theme="1"/>
        <rFont val="Times New Roman"/>
        <family val="1"/>
      </rPr>
      <t xml:space="preserve">
</t>
    </r>
    <r>
      <rPr>
        <sz val="10"/>
        <color theme="1"/>
        <rFont val="宋体"/>
        <family val="1"/>
        <charset val="134"/>
      </rPr>
      <t>烈性强化</t>
    </r>
    <r>
      <rPr>
        <sz val="10"/>
        <color theme="1"/>
        <rFont val="Times New Roman"/>
        <family val="1"/>
      </rPr>
      <t>Vitriolic Enhancement</t>
    </r>
    <r>
      <rPr>
        <sz val="10"/>
        <color theme="1"/>
        <rFont val="宋体"/>
        <family val="1"/>
        <charset val="134"/>
      </rPr>
      <t>。当你施展一道造成伤害的法术时，你可以消耗</t>
    </r>
    <r>
      <rPr>
        <sz val="10"/>
        <color theme="1"/>
        <rFont val="Times New Roman"/>
        <family val="1"/>
      </rPr>
      <t>1</t>
    </r>
    <r>
      <rPr>
        <sz val="10"/>
        <color theme="1"/>
        <rFont val="宋体"/>
        <family val="1"/>
        <charset val="134"/>
      </rPr>
      <t>份精粹结晶作为额外的材料成分，将该法术所造成的一种伤害类型变为力场伤害。</t>
    </r>
    <phoneticPr fontId="68" type="noConversion"/>
  </si>
  <si>
    <t>白化之炼</t>
    <phoneticPr fontId="68" type="noConversion"/>
  </si>
  <si>
    <r>
      <rPr>
        <sz val="10"/>
        <color theme="1"/>
        <rFont val="宋体"/>
        <family val="1"/>
        <charset val="134"/>
      </rPr>
      <t>你可以纯化你的精粹结晶，以增幅你的法术。当你使用法术位施展一道法术时，你可以消耗</t>
    </r>
    <r>
      <rPr>
        <sz val="10"/>
        <color theme="1"/>
        <rFont val="Times New Roman"/>
        <family val="1"/>
      </rPr>
      <t>1</t>
    </r>
    <r>
      <rPr>
        <sz val="10"/>
        <color theme="1"/>
        <rFont val="宋体"/>
        <family val="1"/>
        <charset val="134"/>
      </rPr>
      <t>份精粹结晶作为材料成分，来使该法术位的环阶提升一环，最高不超过九环。你以此方式消耗在任意一道法术上的精粹结晶上限是你熟练加值的一半（向上取整）。</t>
    </r>
    <phoneticPr fontId="68" type="noConversion"/>
  </si>
  <si>
    <t>黄化之境</t>
    <phoneticPr fontId="68" type="noConversion"/>
  </si>
  <si>
    <r>
      <rPr>
        <sz val="10"/>
        <color theme="1"/>
        <rFont val="宋体"/>
        <family val="1"/>
        <charset val="134"/>
      </rPr>
      <t>你现在可以操控精粹结晶以进行创造，而不仅仅是纯化。你始终准备了法术造物术</t>
    </r>
    <r>
      <rPr>
        <sz val="10"/>
        <color theme="1"/>
        <rFont val="Times New Roman"/>
        <family val="1"/>
      </rPr>
      <t>Creation</t>
    </r>
    <r>
      <rPr>
        <sz val="10"/>
        <color theme="1"/>
        <rFont val="宋体"/>
        <family val="1"/>
        <charset val="134"/>
      </rPr>
      <t>和鬼斧神工</t>
    </r>
    <r>
      <rPr>
        <sz val="10"/>
        <color theme="1"/>
        <rFont val="Times New Roman"/>
        <family val="1"/>
      </rPr>
      <t xml:space="preserve">Fabricate </t>
    </r>
    <r>
      <rPr>
        <sz val="10"/>
        <color theme="1"/>
        <rFont val="宋体"/>
        <family val="1"/>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1"/>
        <charset val="134"/>
      </rPr>
      <t>此外，当你施展造物术</t>
    </r>
    <r>
      <rPr>
        <sz val="10"/>
        <color theme="1"/>
        <rFont val="Times New Roman"/>
        <family val="1"/>
      </rPr>
      <t>Creation</t>
    </r>
    <r>
      <rPr>
        <sz val="10"/>
        <color theme="1"/>
        <rFont val="宋体"/>
        <family val="1"/>
        <charset val="134"/>
      </rPr>
      <t>时，你可以消耗至多等于你智力调整值（至少为</t>
    </r>
    <r>
      <rPr>
        <sz val="10"/>
        <color theme="1"/>
        <rFont val="Times New Roman"/>
        <family val="1"/>
      </rPr>
      <t>1</t>
    </r>
    <r>
      <rPr>
        <sz val="10"/>
        <color theme="1"/>
        <rFont val="宋体"/>
        <family val="1"/>
        <charset val="134"/>
      </rPr>
      <t>）的精粹结晶，来使该法术的持续时间乘以</t>
    </r>
    <r>
      <rPr>
        <sz val="10"/>
        <color theme="1"/>
        <rFont val="Times New Roman"/>
        <family val="1"/>
      </rPr>
      <t>1</t>
    </r>
    <r>
      <rPr>
        <sz val="10"/>
        <color theme="1"/>
        <rFont val="宋体"/>
        <family val="1"/>
        <charset val="134"/>
      </rPr>
      <t>加所消耗精粹结晶数量。</t>
    </r>
    <phoneticPr fontId="68" type="noConversion"/>
  </si>
  <si>
    <t>红化之极</t>
    <phoneticPr fontId="68" type="noConversion"/>
  </si>
  <si>
    <r>
      <rPr>
        <sz val="10"/>
        <color theme="1"/>
        <rFont val="宋体"/>
        <family val="1"/>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1"/>
        <charset val="134"/>
      </rPr>
      <t>份精粹结晶创造一块贤者之石——一块半透明的红色晶体。这块石头是一个微型魔法物件，具有</t>
    </r>
    <r>
      <rPr>
        <sz val="10"/>
        <color theme="1"/>
        <rFont val="Times New Roman"/>
        <family val="1"/>
      </rPr>
      <t>AC19</t>
    </r>
    <r>
      <rPr>
        <sz val="10"/>
        <color theme="1"/>
        <rFont val="宋体"/>
        <family val="1"/>
        <charset val="134"/>
      </rPr>
      <t>，</t>
    </r>
    <r>
      <rPr>
        <sz val="10"/>
        <color theme="1"/>
        <rFont val="Times New Roman"/>
        <family val="1"/>
      </rPr>
      <t>HP20</t>
    </r>
    <r>
      <rPr>
        <sz val="10"/>
        <color theme="1"/>
        <rFont val="宋体"/>
        <family val="1"/>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1"/>
        <charset val="134"/>
      </rPr>
      <t>魔法增幅</t>
    </r>
    <r>
      <rPr>
        <sz val="10"/>
        <color theme="1"/>
        <rFont val="Times New Roman"/>
        <family val="1"/>
      </rPr>
      <t>Amplification</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当你施展一道法术时，你可以消耗至多</t>
    </r>
    <r>
      <rPr>
        <sz val="10"/>
        <color theme="1"/>
        <rFont val="Times New Roman"/>
        <family val="1"/>
      </rPr>
      <t>2</t>
    </r>
    <r>
      <rPr>
        <sz val="10"/>
        <color theme="1"/>
        <rFont val="宋体"/>
        <family val="1"/>
        <charset val="134"/>
      </rPr>
      <t>份精粹结晶作为额外的材料成分，使该法术的豁免</t>
    </r>
    <r>
      <rPr>
        <sz val="10"/>
        <color theme="1"/>
        <rFont val="Times New Roman"/>
        <family val="1"/>
      </rPr>
      <t>DC</t>
    </r>
    <r>
      <rPr>
        <sz val="10"/>
        <color theme="1"/>
        <rFont val="宋体"/>
        <family val="1"/>
        <charset val="134"/>
      </rPr>
      <t>提升相同的数值。</t>
    </r>
    <r>
      <rPr>
        <sz val="10"/>
        <color theme="1"/>
        <rFont val="Times New Roman"/>
        <family val="1"/>
      </rPr>
      <t xml:space="preserve">
</t>
    </r>
    <r>
      <rPr>
        <sz val="10"/>
        <color theme="1"/>
        <rFont val="宋体"/>
        <family val="1"/>
        <charset val="134"/>
      </rPr>
      <t>等价交换</t>
    </r>
    <r>
      <rPr>
        <sz val="10"/>
        <color theme="1"/>
        <rFont val="Times New Roman"/>
        <family val="1"/>
      </rPr>
      <t>Equivalent Exchange</t>
    </r>
    <r>
      <rPr>
        <sz val="10"/>
        <color theme="1"/>
        <rFont val="宋体"/>
        <family val="1"/>
        <charset val="134"/>
      </rPr>
      <t>。</t>
    </r>
    <r>
      <rPr>
        <sz val="10"/>
        <color theme="1"/>
        <rFont val="Times New Roman"/>
        <family val="1"/>
      </rPr>
      <t xml:space="preserve"> </t>
    </r>
    <r>
      <rPr>
        <sz val="10"/>
        <color theme="1"/>
        <rFont val="宋体"/>
        <family val="1"/>
        <charset val="134"/>
      </rPr>
      <t>当你失败于一次豁免检定时，你可以使用反应消耗</t>
    </r>
    <r>
      <rPr>
        <sz val="10"/>
        <color theme="1"/>
        <rFont val="Times New Roman"/>
        <family val="1"/>
      </rPr>
      <t>5</t>
    </r>
    <r>
      <rPr>
        <sz val="10"/>
        <color theme="1"/>
        <rFont val="宋体"/>
        <family val="1"/>
        <charset val="134"/>
      </rPr>
      <t>份精粹结晶来改为豁免成功。</t>
    </r>
    <r>
      <rPr>
        <sz val="10"/>
        <color theme="1"/>
        <rFont val="Times New Roman"/>
        <family val="1"/>
      </rPr>
      <t xml:space="preserve">
</t>
    </r>
    <r>
      <rPr>
        <sz val="10"/>
        <color theme="1"/>
        <rFont val="宋体"/>
        <family val="1"/>
        <charset val="134"/>
      </rPr>
      <t>延年益寿</t>
    </r>
    <r>
      <rPr>
        <sz val="10"/>
        <color theme="1"/>
        <rFont val="Times New Roman"/>
        <family val="1"/>
      </rPr>
      <t>Longevity</t>
    </r>
    <r>
      <rPr>
        <sz val="10"/>
        <color theme="1"/>
        <rFont val="宋体"/>
        <family val="1"/>
        <charset val="134"/>
      </rPr>
      <t>。</t>
    </r>
    <r>
      <rPr>
        <sz val="10"/>
        <color theme="1"/>
        <rFont val="Times New Roman"/>
        <family val="1"/>
      </rPr>
      <t xml:space="preserve"> </t>
    </r>
    <r>
      <rPr>
        <sz val="10"/>
        <color theme="1"/>
        <rFont val="宋体"/>
        <family val="1"/>
        <charset val="134"/>
      </rPr>
      <t>你停止衰老，并且不受衰老带来的任何影响，包括因衰老而死亡。</t>
    </r>
    <r>
      <rPr>
        <sz val="10"/>
        <color theme="1"/>
        <rFont val="Times New Roman"/>
        <family val="1"/>
      </rPr>
      <t xml:space="preserve">
</t>
    </r>
    <r>
      <rPr>
        <sz val="10"/>
        <color theme="1"/>
        <rFont val="宋体"/>
        <family val="1"/>
        <charset val="134"/>
      </rPr>
      <t>心石共鸣</t>
    </r>
    <r>
      <rPr>
        <sz val="10"/>
        <color theme="1"/>
        <rFont val="Times New Roman"/>
        <family val="1"/>
      </rPr>
      <t>Sympathy</t>
    </r>
    <r>
      <rPr>
        <sz val="10"/>
        <color theme="1"/>
        <rFont val="宋体"/>
        <family val="1"/>
        <charset val="134"/>
      </rPr>
      <t>。对法术探知</t>
    </r>
    <r>
      <rPr>
        <sz val="10"/>
        <color theme="1"/>
        <rFont val="Times New Roman"/>
        <family val="1"/>
      </rPr>
      <t xml:space="preserve">Scrying </t>
    </r>
    <r>
      <rPr>
        <sz val="10"/>
        <color theme="1"/>
        <rFont val="宋体"/>
        <family val="1"/>
        <charset val="134"/>
      </rPr>
      <t>以及在你死亡时能使你复活的法术而言，这块石头被视为你身体的一部分。这块石头本身可作为该法术的材料成分（如果有），并在该法术施展时被摧毁。</t>
    </r>
    <phoneticPr fontId="68" type="noConversion"/>
  </si>
  <si>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phoneticPr fontId="68" type="noConversion"/>
  </si>
  <si>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phoneticPr fontId="68" type="noConversion"/>
  </si>
  <si>
    <t>你可以使用一个附赠动作将你的一只折纸构装转移至位于其30尺内一个你可见的生物身上。</t>
    <phoneticPr fontId="68" type="noConversion"/>
  </si>
  <si>
    <t>当你施展一道施法距离为触碰的法术时，你的折纸构装可以如同它施展该法术一样传递该法术。你的折纸构装必须在你100尺范围内。如果该法术需要攻击检定，则使用你的攻击加值进行检定。</t>
    <phoneticPr fontId="68" type="noConversion"/>
  </si>
  <si>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phoneticPr fontId="68" type="noConversion"/>
  </si>
  <si>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phoneticPr fontId="68" type="noConversion"/>
  </si>
  <si>
    <t>灯笼法术</t>
    <phoneticPr fontId="68" type="noConversion"/>
  </si>
  <si>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phoneticPr fontId="68" type="noConversion"/>
  </si>
  <si>
    <t>启明灵光</t>
    <phoneticPr fontId="68" type="noConversion"/>
  </si>
  <si>
    <t>揭示之光</t>
    <phoneticPr fontId="68" type="noConversion"/>
  </si>
  <si>
    <t>危险器具</t>
    <phoneticPr fontId="68" type="noConversion"/>
  </si>
  <si>
    <t>神谕之辉</t>
    <phoneticPr fontId="68" type="noConversion"/>
  </si>
  <si>
    <t>炽耀之辉</t>
    <phoneticPr fontId="68" type="noConversion"/>
  </si>
  <si>
    <t>愈加璀璨</t>
    <phoneticPr fontId="68" type="noConversion"/>
  </si>
  <si>
    <t>愚神法术</t>
    <phoneticPr fontId="68" type="noConversion"/>
  </si>
  <si>
    <r>
      <rPr>
        <sz val="10"/>
        <color theme="1"/>
        <rFont val="宋体"/>
        <family val="1"/>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1"/>
        <charset val="134"/>
      </rPr>
      <t>愚神法术</t>
    </r>
    <r>
      <rPr>
        <sz val="10"/>
        <color theme="1"/>
        <rFont val="Times New Roman"/>
        <family val="1"/>
      </rPr>
      <t xml:space="preserve">Great Fool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恶言相加</t>
    </r>
    <r>
      <rPr>
        <sz val="10"/>
        <color theme="1"/>
        <rFont val="Times New Roman"/>
        <family val="1"/>
      </rPr>
      <t>Vicious Mockery</t>
    </r>
    <r>
      <rPr>
        <sz val="10"/>
        <color theme="1"/>
        <rFont val="宋体"/>
        <family val="1"/>
        <charset val="134"/>
      </rPr>
      <t>，易容术</t>
    </r>
    <r>
      <rPr>
        <sz val="10"/>
        <color theme="1"/>
        <rFont val="Times New Roman"/>
        <family val="1"/>
      </rPr>
      <t>Disguise Self</t>
    </r>
    <r>
      <rPr>
        <sz val="10"/>
        <color theme="1"/>
        <rFont val="宋体"/>
        <family val="1"/>
        <charset val="134"/>
      </rPr>
      <t>，塔莎狂笑术</t>
    </r>
    <r>
      <rPr>
        <sz val="10"/>
        <color theme="1"/>
        <rFont val="Times New Roman"/>
        <family val="1"/>
      </rPr>
      <t>Tasha’s Hideous Laughter</t>
    </r>
    <r>
      <rPr>
        <sz val="10"/>
        <color theme="1"/>
        <rFont val="宋体"/>
        <family val="1"/>
        <charset val="134"/>
      </rPr>
      <t>，魔绳术</t>
    </r>
    <r>
      <rPr>
        <sz val="10"/>
        <color theme="1"/>
        <rFont val="Times New Roman"/>
        <family val="1"/>
      </rPr>
      <t>Rope Trick</t>
    </r>
    <r>
      <rPr>
        <sz val="10"/>
        <color theme="1"/>
        <rFont val="宋体"/>
        <family val="1"/>
        <charset val="134"/>
      </rPr>
      <t>，灵体武器</t>
    </r>
    <r>
      <rPr>
        <sz val="10"/>
        <color theme="1"/>
        <rFont val="Times New Roman"/>
        <family val="1"/>
      </rPr>
      <t xml:space="preserve">Spiritual Weapon  
5 </t>
    </r>
    <r>
      <rPr>
        <sz val="10"/>
        <color theme="1"/>
        <rFont val="宋体"/>
        <family val="1"/>
        <charset val="134"/>
      </rPr>
      <t>闪现术</t>
    </r>
    <r>
      <rPr>
        <sz val="10"/>
        <color theme="1"/>
        <rFont val="Times New Roman"/>
        <family val="1"/>
      </rPr>
      <t>Blink</t>
    </r>
    <r>
      <rPr>
        <sz val="10"/>
        <color theme="1"/>
        <rFont val="宋体"/>
        <family val="1"/>
        <charset val="134"/>
      </rPr>
      <t>，臭云术</t>
    </r>
    <r>
      <rPr>
        <sz val="10"/>
        <color theme="1"/>
        <rFont val="Times New Roman"/>
        <family val="1"/>
      </rPr>
      <t xml:space="preserve">Stinking Cloud  
7 </t>
    </r>
    <r>
      <rPr>
        <sz val="10"/>
        <color theme="1"/>
        <rFont val="宋体"/>
        <family val="1"/>
        <charset val="134"/>
      </rPr>
      <t>魅影杀手</t>
    </r>
    <r>
      <rPr>
        <sz val="10"/>
        <color theme="1"/>
        <rFont val="Times New Roman"/>
        <family val="1"/>
      </rPr>
      <t>Phantasmal Killer</t>
    </r>
    <r>
      <rPr>
        <sz val="10"/>
        <color theme="1"/>
        <rFont val="宋体"/>
        <family val="1"/>
        <charset val="134"/>
      </rPr>
      <t>，傀儡掌控</t>
    </r>
    <r>
      <rPr>
        <sz val="10"/>
        <color theme="1"/>
        <rFont val="Times New Roman"/>
        <family val="1"/>
      </rPr>
      <t xml:space="preserve">Puppet Master
9 </t>
    </r>
    <r>
      <rPr>
        <sz val="10"/>
        <color theme="1"/>
        <rFont val="宋体"/>
        <family val="1"/>
        <charset val="134"/>
      </rPr>
      <t>毕格比之手</t>
    </r>
    <r>
      <rPr>
        <sz val="10"/>
        <color theme="1"/>
        <rFont val="Times New Roman"/>
        <family val="1"/>
      </rPr>
      <t>Bigby's Hand</t>
    </r>
    <r>
      <rPr>
        <sz val="10"/>
        <color theme="1"/>
        <rFont val="宋体"/>
        <family val="1"/>
        <charset val="134"/>
      </rPr>
      <t>，假象术</t>
    </r>
    <r>
      <rPr>
        <sz val="10"/>
        <color theme="1"/>
        <rFont val="Times New Roman"/>
        <family val="1"/>
      </rPr>
      <t>Mislead</t>
    </r>
    <phoneticPr fontId="68" type="noConversion"/>
  </si>
  <si>
    <t>致命玩笑</t>
    <phoneticPr fontId="68" type="noConversion"/>
  </si>
  <si>
    <r>
      <rPr>
        <sz val="10"/>
        <color theme="1"/>
        <rFont val="宋体"/>
        <family val="1"/>
        <charset val="134"/>
      </rPr>
      <t>你能洞察万物中的幽默——尤其是在其终结之时。当你周边</t>
    </r>
    <r>
      <rPr>
        <sz val="10"/>
        <color theme="1"/>
        <rFont val="Times New Roman"/>
        <family val="1"/>
      </rPr>
      <t>60</t>
    </r>
    <r>
      <rPr>
        <sz val="10"/>
        <color theme="1"/>
        <rFont val="宋体"/>
        <family val="1"/>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1"/>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phoneticPr fontId="68" type="noConversion"/>
  </si>
  <si>
    <t>弄臣戏谑</t>
    <phoneticPr fontId="68" type="noConversion"/>
  </si>
  <si>
    <r>
      <rPr>
        <sz val="10"/>
        <color theme="1"/>
        <rFont val="宋体"/>
        <family val="1"/>
        <charset val="134"/>
      </rPr>
      <t>你能召唤愚神的一缕显象，诅咒你的敌人。你可以使用魔法动作迫使你周边</t>
    </r>
    <r>
      <rPr>
        <sz val="10"/>
        <color theme="1"/>
        <rFont val="Times New Roman"/>
        <family val="1"/>
      </rPr>
      <t>60</t>
    </r>
    <r>
      <rPr>
        <sz val="10"/>
        <color theme="1"/>
        <rFont val="宋体"/>
        <family val="1"/>
        <charset val="134"/>
      </rPr>
      <t>尺范围内一个你可见的生物进行一次对抗你法术豁免</t>
    </r>
    <r>
      <rPr>
        <sz val="10"/>
        <color theme="1"/>
        <rFont val="Times New Roman"/>
        <family val="1"/>
      </rPr>
      <t>DC</t>
    </r>
    <r>
      <rPr>
        <sz val="10"/>
        <color theme="1"/>
        <rFont val="宋体"/>
        <family val="1"/>
        <charset val="134"/>
      </rPr>
      <t>的魅力豁免，豁免失败则承受以下一种由你选择的诅咒。</t>
    </r>
    <r>
      <rPr>
        <sz val="10"/>
        <color theme="1"/>
        <rFont val="Times New Roman"/>
        <family val="1"/>
      </rPr>
      <t xml:space="preserve"> 
</t>
    </r>
    <r>
      <rPr>
        <sz val="10"/>
        <color theme="1"/>
        <rFont val="宋体"/>
        <family val="1"/>
        <charset val="134"/>
      </rPr>
      <t>花朵喷雾</t>
    </r>
    <r>
      <rPr>
        <sz val="10"/>
        <color theme="1"/>
        <rFont val="Times New Roman"/>
        <family val="1"/>
      </rPr>
      <t>Flower Spurt</t>
    </r>
    <r>
      <rPr>
        <sz val="10"/>
        <color theme="1"/>
        <rFont val="宋体"/>
        <family val="1"/>
        <charset val="134"/>
      </rPr>
      <t>。你向该生物的眼睛喷射一种奇怪的液体，使其陷入目盲状态。</t>
    </r>
    <r>
      <rPr>
        <sz val="10"/>
        <color theme="1"/>
        <rFont val="Times New Roman"/>
        <family val="1"/>
      </rPr>
      <t xml:space="preserve"> 
</t>
    </r>
    <r>
      <rPr>
        <sz val="10"/>
        <color theme="1"/>
        <rFont val="宋体"/>
        <family val="1"/>
        <charset val="134"/>
      </rPr>
      <t>小丑之履</t>
    </r>
    <r>
      <rPr>
        <sz val="10"/>
        <color theme="1"/>
        <rFont val="Times New Roman"/>
        <family val="1"/>
      </rPr>
      <t>Clown Shoes</t>
    </r>
    <r>
      <rPr>
        <sz val="10"/>
        <color theme="1"/>
        <rFont val="宋体"/>
        <family val="1"/>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1"/>
        <charset val="134"/>
      </rPr>
      <t>吱哒喇叭</t>
    </r>
    <r>
      <rPr>
        <sz val="10"/>
        <color theme="1"/>
        <rFont val="Times New Roman"/>
        <family val="1"/>
      </rPr>
      <t>Honk Honk</t>
    </r>
    <r>
      <rPr>
        <sz val="10"/>
        <color theme="1"/>
        <rFont val="宋体"/>
        <family val="1"/>
        <charset val="134"/>
      </rPr>
      <t>。无论多么轻微，该生物的移动都会发出在</t>
    </r>
    <r>
      <rPr>
        <sz val="10"/>
        <color theme="1"/>
        <rFont val="Times New Roman"/>
        <family val="1"/>
      </rPr>
      <t>100</t>
    </r>
    <r>
      <rPr>
        <sz val="10"/>
        <color theme="1"/>
        <rFont val="宋体"/>
        <family val="1"/>
        <charset val="134"/>
      </rPr>
      <t>尺内都能听见的，诸如喇叭声、铃铛声或吱嘎声等声音。该生物无法从隐形状态受益。</t>
    </r>
    <r>
      <rPr>
        <sz val="10"/>
        <color theme="1"/>
        <rFont val="Times New Roman"/>
        <family val="1"/>
      </rPr>
      <t xml:space="preserve"> 
</t>
    </r>
    <r>
      <rPr>
        <sz val="10"/>
        <color theme="1"/>
        <rFont val="宋体"/>
        <family val="1"/>
        <charset val="134"/>
      </rPr>
      <t>滑稽兵器</t>
    </r>
    <r>
      <rPr>
        <sz val="10"/>
        <color theme="1"/>
        <rFont val="Times New Roman"/>
        <family val="1"/>
      </rPr>
      <t>Jolly Arms</t>
    </r>
    <r>
      <rPr>
        <sz val="10"/>
        <color theme="1"/>
        <rFont val="宋体"/>
        <family val="1"/>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1"/>
        <charset val="134"/>
      </rPr>
      <t>诅咒持续</t>
    </r>
    <r>
      <rPr>
        <sz val="10"/>
        <color theme="1"/>
        <rFont val="Times New Roman"/>
        <family val="1"/>
      </rPr>
      <t>1</t>
    </r>
    <r>
      <rPr>
        <sz val="10"/>
        <color theme="1"/>
        <rFont val="宋体"/>
        <family val="1"/>
        <charset val="134"/>
      </rPr>
      <t>分钟。该生物在其每个回合结束时重复该豁免，豁免成功则诅咒终止。</t>
    </r>
    <r>
      <rPr>
        <sz val="10"/>
        <color theme="1"/>
        <rFont val="Times New Roman"/>
        <family val="1"/>
      </rPr>
      <t xml:space="preserve">
</t>
    </r>
    <r>
      <rPr>
        <sz val="10"/>
        <color theme="1"/>
        <rFont val="宋体"/>
        <family val="1"/>
        <charset val="134"/>
      </rPr>
      <t>一旦你使用此特性，则直至完成一次短休或长休，你都无法再次使用。</t>
    </r>
    <r>
      <rPr>
        <sz val="10"/>
        <color theme="1"/>
        <rFont val="Times New Roman"/>
        <family val="1"/>
      </rPr>
      <t xml:space="preserve"> </t>
    </r>
    <phoneticPr fontId="68" type="noConversion"/>
  </si>
  <si>
    <t>讽刺戏语</t>
    <phoneticPr fontId="68" type="noConversion"/>
  </si>
  <si>
    <r>
      <rPr>
        <sz val="10"/>
        <color theme="1"/>
        <rFont val="宋体"/>
        <family val="1"/>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1"/>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phoneticPr fontId="68" type="noConversion"/>
  </si>
  <si>
    <t>丑角登场</t>
    <phoneticPr fontId="68" type="noConversion"/>
  </si>
  <si>
    <r>
      <rPr>
        <sz val="10"/>
        <color theme="1"/>
        <rFont val="宋体"/>
        <family val="1"/>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1"/>
        <charset val="134"/>
      </rPr>
      <t>尺范围内的生物进行至多三次近战法术攻击。若命中，则目标受到</t>
    </r>
    <r>
      <rPr>
        <sz val="10"/>
        <color theme="1"/>
        <rFont val="Times New Roman"/>
        <family val="1"/>
      </rPr>
      <t>2d10</t>
    </r>
    <r>
      <rPr>
        <sz val="10"/>
        <color theme="1"/>
        <rFont val="宋体"/>
        <family val="1"/>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1"/>
        <charset val="134"/>
      </rPr>
      <t>这些小丑会持续</t>
    </r>
    <r>
      <rPr>
        <sz val="10"/>
        <color theme="1"/>
        <rFont val="Times New Roman"/>
        <family val="1"/>
      </rPr>
      <t>1</t>
    </r>
    <r>
      <rPr>
        <sz val="10"/>
        <color theme="1"/>
        <rFont val="宋体"/>
        <family val="1"/>
        <charset val="134"/>
      </rPr>
      <t>分钟，或者直至你陷入失能状态或死亡。一旦你使用此特性，则直至完成一次长休，你都无法再次使用。</t>
    </r>
    <r>
      <rPr>
        <sz val="10"/>
        <color theme="1"/>
        <rFont val="Times New Roman"/>
        <family val="1"/>
      </rPr>
      <t xml:space="preserve"> </t>
    </r>
    <phoneticPr fontId="68" type="noConversion"/>
  </si>
  <si>
    <t>角之王法术</t>
    <phoneticPr fontId="68" type="noConversion"/>
  </si>
  <si>
    <r>
      <rPr>
        <sz val="10"/>
        <color theme="1"/>
        <rFont val="宋体"/>
        <family val="1"/>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1"/>
        <charset val="134"/>
      </rPr>
      <t>角之王法术</t>
    </r>
    <r>
      <rPr>
        <sz val="10"/>
        <color theme="1"/>
        <rFont val="Times New Roman"/>
        <family val="1"/>
      </rPr>
      <t xml:space="preserve">Horned 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化兽为友</t>
    </r>
    <r>
      <rPr>
        <sz val="10"/>
        <color theme="1"/>
        <rFont val="Times New Roman"/>
        <family val="1"/>
      </rPr>
      <t>Animal Friendship</t>
    </r>
    <r>
      <rPr>
        <sz val="10"/>
        <color theme="1"/>
        <rFont val="宋体"/>
        <family val="1"/>
        <charset val="134"/>
      </rPr>
      <t>，灾祸术</t>
    </r>
    <r>
      <rPr>
        <sz val="10"/>
        <color theme="1"/>
        <rFont val="Times New Roman"/>
        <family val="1"/>
      </rPr>
      <t>Bane</t>
    </r>
    <r>
      <rPr>
        <sz val="10"/>
        <color theme="1"/>
        <rFont val="宋体"/>
        <family val="1"/>
        <charset val="134"/>
      </rPr>
      <t>，荆棘丛生</t>
    </r>
    <r>
      <rPr>
        <sz val="10"/>
        <color theme="1"/>
        <rFont val="Times New Roman"/>
        <family val="1"/>
      </rPr>
      <t>Spike Growth</t>
    </r>
    <r>
      <rPr>
        <sz val="10"/>
        <color theme="1"/>
        <rFont val="宋体"/>
        <family val="1"/>
        <charset val="134"/>
      </rPr>
      <t>，暗示术</t>
    </r>
    <r>
      <rPr>
        <sz val="10"/>
        <color theme="1"/>
        <rFont val="Times New Roman"/>
        <family val="1"/>
      </rPr>
      <t xml:space="preserve">Suggestion  
5 </t>
    </r>
    <r>
      <rPr>
        <sz val="10"/>
        <color theme="1"/>
        <rFont val="宋体"/>
        <family val="1"/>
        <charset val="134"/>
      </rPr>
      <t>降咒</t>
    </r>
    <r>
      <rPr>
        <sz val="10"/>
        <color theme="1"/>
        <rFont val="Times New Roman"/>
        <family val="1"/>
      </rPr>
      <t>Bestow Curse</t>
    </r>
    <r>
      <rPr>
        <sz val="10"/>
        <color theme="1"/>
        <rFont val="宋体"/>
        <family val="1"/>
        <charset val="134"/>
      </rPr>
      <t>，飞行术</t>
    </r>
    <r>
      <rPr>
        <sz val="10"/>
        <color theme="1"/>
        <rFont val="Times New Roman"/>
        <family val="1"/>
      </rPr>
      <t xml:space="preserve">Fly  
7 </t>
    </r>
    <r>
      <rPr>
        <sz val="10"/>
        <color theme="1"/>
        <rFont val="宋体"/>
        <family val="1"/>
        <charset val="134"/>
      </rPr>
      <t>魅影杀手</t>
    </r>
    <r>
      <rPr>
        <sz val="10"/>
        <color theme="1"/>
        <rFont val="Times New Roman"/>
        <family val="1"/>
      </rPr>
      <t>Phantasmal Killer</t>
    </r>
    <r>
      <rPr>
        <sz val="10"/>
        <color theme="1"/>
        <rFont val="宋体"/>
        <family val="1"/>
        <charset val="134"/>
      </rPr>
      <t>，变形术</t>
    </r>
    <r>
      <rPr>
        <sz val="10"/>
        <color theme="1"/>
        <rFont val="Times New Roman"/>
        <family val="1"/>
      </rPr>
      <t xml:space="preserve">Polymorph  
9 </t>
    </r>
    <r>
      <rPr>
        <sz val="10"/>
        <color theme="1"/>
        <rFont val="宋体"/>
        <family val="1"/>
        <charset val="134"/>
      </rPr>
      <t>支配类人</t>
    </r>
    <r>
      <rPr>
        <sz val="10"/>
        <color theme="1"/>
        <rFont val="Times New Roman"/>
        <family val="1"/>
      </rPr>
      <t>Dominate Person</t>
    </r>
    <r>
      <rPr>
        <sz val="10"/>
        <color theme="1"/>
        <rFont val="宋体"/>
        <family val="1"/>
        <charset val="134"/>
      </rPr>
      <t>，探知</t>
    </r>
    <r>
      <rPr>
        <sz val="10"/>
        <color theme="1"/>
        <rFont val="Times New Roman"/>
        <family val="1"/>
      </rPr>
      <t xml:space="preserve">Scrying  </t>
    </r>
    <phoneticPr fontId="68" type="noConversion"/>
  </si>
  <si>
    <t>巫印</t>
    <phoneticPr fontId="68" type="noConversion"/>
  </si>
  <si>
    <r>
      <rPr>
        <sz val="10"/>
        <color theme="1"/>
        <rFont val="宋体"/>
        <family val="1"/>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1"/>
        <charset val="134"/>
      </rPr>
      <t>）。该巫印会在该法术被从中施展，或当你完成一次长休时消散。</t>
    </r>
    <r>
      <rPr>
        <sz val="10"/>
        <color theme="1"/>
        <rFont val="Times New Roman"/>
        <family val="1"/>
      </rPr>
      <t xml:space="preserve"> </t>
    </r>
    <phoneticPr fontId="68" type="noConversion"/>
  </si>
  <si>
    <t>咒怨</t>
    <phoneticPr fontId="68" type="noConversion"/>
  </si>
  <si>
    <r>
      <rPr>
        <sz val="10"/>
        <color theme="1"/>
        <rFont val="宋体"/>
        <family val="1"/>
        <charset val="134"/>
      </rPr>
      <t>你可以呼唤角之王的恶意来操纵机运。你可以使用魔法动作诅咒一个你周边</t>
    </r>
    <r>
      <rPr>
        <sz val="10"/>
        <color theme="1"/>
        <rFont val="Times New Roman"/>
        <family val="1"/>
      </rPr>
      <t>60</t>
    </r>
    <r>
      <rPr>
        <sz val="10"/>
        <color theme="1"/>
        <rFont val="宋体"/>
        <family val="1"/>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1"/>
        <charset val="134"/>
      </rPr>
      <t>苦痛</t>
    </r>
    <r>
      <rPr>
        <sz val="10"/>
        <color theme="1"/>
        <rFont val="Times New Roman"/>
        <family val="1"/>
      </rPr>
      <t>Agony</t>
    </r>
    <r>
      <rPr>
        <sz val="10"/>
        <color theme="1"/>
        <rFont val="宋体"/>
        <family val="1"/>
        <charset val="134"/>
      </rPr>
      <t>。</t>
    </r>
    <r>
      <rPr>
        <sz val="10"/>
        <color theme="1"/>
        <rFont val="Times New Roman"/>
        <family val="1"/>
      </rPr>
      <t xml:space="preserve"> </t>
    </r>
    <r>
      <rPr>
        <sz val="10"/>
        <color theme="1"/>
        <rFont val="宋体"/>
        <family val="1"/>
        <charset val="134"/>
      </rPr>
      <t>目标在下一次攻击检定或为维持专注而进行的体质豁免中具有劣势（由你选择）。</t>
    </r>
    <r>
      <rPr>
        <sz val="10"/>
        <color theme="1"/>
        <rFont val="Times New Roman"/>
        <family val="1"/>
      </rPr>
      <t xml:space="preserve">
</t>
    </r>
    <r>
      <rPr>
        <sz val="10"/>
        <color theme="1"/>
        <rFont val="宋体"/>
        <family val="1"/>
        <charset val="134"/>
      </rPr>
      <t>憎恨</t>
    </r>
    <r>
      <rPr>
        <sz val="10"/>
        <color theme="1"/>
        <rFont val="Times New Roman"/>
        <family val="1"/>
      </rPr>
      <t>Hate</t>
    </r>
    <r>
      <rPr>
        <sz val="10"/>
        <color theme="1"/>
        <rFont val="宋体"/>
        <family val="1"/>
        <charset val="134"/>
      </rPr>
      <t>。</t>
    </r>
    <r>
      <rPr>
        <sz val="10"/>
        <color theme="1"/>
        <rFont val="Times New Roman"/>
        <family val="1"/>
      </rPr>
      <t xml:space="preserve"> </t>
    </r>
    <r>
      <rPr>
        <sz val="10"/>
        <color theme="1"/>
        <rFont val="宋体"/>
        <family val="1"/>
        <charset val="134"/>
      </rPr>
      <t>目标在下一次智力、感知或魅力豁免中具有劣势（由你选择）。</t>
    </r>
    <r>
      <rPr>
        <sz val="10"/>
        <color theme="1"/>
        <rFont val="Times New Roman"/>
        <family val="1"/>
      </rPr>
      <t xml:space="preserve">
</t>
    </r>
    <r>
      <rPr>
        <sz val="10"/>
        <color theme="1"/>
        <rFont val="宋体"/>
        <family val="1"/>
        <charset val="134"/>
      </rPr>
      <t>腐烂</t>
    </r>
    <r>
      <rPr>
        <sz val="10"/>
        <color theme="1"/>
        <rFont val="Times New Roman"/>
        <family val="1"/>
      </rPr>
      <t>Rot</t>
    </r>
    <r>
      <rPr>
        <sz val="10"/>
        <color theme="1"/>
        <rFont val="宋体"/>
        <family val="1"/>
        <charset val="134"/>
      </rPr>
      <t>。</t>
    </r>
    <r>
      <rPr>
        <sz val="10"/>
        <color theme="1"/>
        <rFont val="Times New Roman"/>
        <family val="1"/>
      </rPr>
      <t xml:space="preserve"> </t>
    </r>
    <r>
      <rPr>
        <sz val="10"/>
        <color theme="1"/>
        <rFont val="宋体"/>
        <family val="1"/>
        <charset val="134"/>
      </rPr>
      <t>目标下一次受到伤害时，会额外受到</t>
    </r>
    <r>
      <rPr>
        <sz val="10"/>
        <color theme="1"/>
        <rFont val="Times New Roman"/>
        <family val="1"/>
      </rPr>
      <t>1d10</t>
    </r>
    <r>
      <rPr>
        <sz val="10"/>
        <color theme="1"/>
        <rFont val="宋体"/>
        <family val="1"/>
        <charset val="134"/>
      </rPr>
      <t>暗蚀伤害，并且无法恢复生命值，直至其下一回合结束。</t>
    </r>
    <r>
      <rPr>
        <sz val="10"/>
        <color theme="1"/>
        <rFont val="Times New Roman"/>
        <family val="1"/>
      </rPr>
      <t xml:space="preserve"> </t>
    </r>
    <phoneticPr fontId="68" type="noConversion"/>
  </si>
  <si>
    <t>怨毒诅咒</t>
    <phoneticPr fontId="68" type="noConversion"/>
  </si>
  <si>
    <r>
      <rPr>
        <sz val="10"/>
        <color theme="1"/>
        <rFont val="宋体"/>
        <family val="1"/>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1"/>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1"/>
        <charset val="134"/>
      </rPr>
      <t>当你以此方式施展该法术时，其施法距离变为</t>
    </r>
    <r>
      <rPr>
        <sz val="10"/>
        <color theme="1"/>
        <rFont val="Times New Roman"/>
        <family val="1"/>
      </rPr>
      <t>60</t>
    </r>
    <r>
      <rPr>
        <sz val="10"/>
        <color theme="1"/>
        <rFont val="宋体"/>
        <family val="1"/>
        <charset val="134"/>
      </rPr>
      <t>尺，并且持续</t>
    </r>
    <r>
      <rPr>
        <sz val="10"/>
        <color theme="1"/>
        <rFont val="Times New Roman"/>
        <family val="1"/>
      </rPr>
      <t>1</t>
    </r>
    <r>
      <rPr>
        <sz val="10"/>
        <color theme="1"/>
        <rFont val="宋体"/>
        <family val="1"/>
        <charset val="134"/>
      </rPr>
      <t>分钟，无需专注。如果目标为对抗该法术而进行的豁免检定成功，则目标将改为承受你从咒怨特性中选择的一项诅咒。</t>
    </r>
    <r>
      <rPr>
        <sz val="10"/>
        <color theme="1"/>
        <rFont val="Times New Roman"/>
        <family val="1"/>
      </rPr>
      <t xml:space="preserve"> </t>
    </r>
    <phoneticPr fontId="68" type="noConversion"/>
  </si>
  <si>
    <t>角之王冠</t>
    <phoneticPr fontId="68" type="noConversion"/>
  </si>
  <si>
    <r>
      <rPr>
        <sz val="10"/>
        <color theme="1"/>
        <rFont val="宋体"/>
        <family val="1"/>
        <charset val="134"/>
      </rPr>
      <t>你可以使用附赠动作显化出角之王的威严之力，持续</t>
    </r>
    <r>
      <rPr>
        <sz val="10"/>
        <color theme="1"/>
        <rFont val="Times New Roman"/>
        <family val="1"/>
      </rPr>
      <t>1</t>
    </r>
    <r>
      <rPr>
        <sz val="10"/>
        <color theme="1"/>
        <rFont val="宋体"/>
        <family val="1"/>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1"/>
        <charset val="134"/>
      </rPr>
      <t>黑暗之心</t>
    </r>
    <r>
      <rPr>
        <sz val="10"/>
        <color theme="1"/>
        <rFont val="Times New Roman"/>
        <family val="1"/>
      </rPr>
      <t>Dark Heart</t>
    </r>
    <r>
      <rPr>
        <sz val="10"/>
        <color theme="1"/>
        <rFont val="宋体"/>
        <family val="1"/>
        <charset val="134"/>
      </rPr>
      <t>。</t>
    </r>
    <r>
      <rPr>
        <sz val="10"/>
        <color theme="1"/>
        <rFont val="Times New Roman"/>
        <family val="1"/>
      </rPr>
      <t xml:space="preserve"> </t>
    </r>
    <r>
      <rPr>
        <sz val="10"/>
        <color theme="1"/>
        <rFont val="宋体"/>
        <family val="1"/>
        <charset val="134"/>
      </rPr>
      <t>你的每个回合一次，当你对一个生物造成伤害时，目标会额外受到</t>
    </r>
    <r>
      <rPr>
        <sz val="10"/>
        <color theme="1"/>
        <rFont val="Times New Roman"/>
        <family val="1"/>
      </rPr>
      <t>1d8</t>
    </r>
    <r>
      <rPr>
        <sz val="10"/>
        <color theme="1"/>
        <rFont val="宋体"/>
        <family val="1"/>
        <charset val="134"/>
      </rPr>
      <t>暗蚀伤害。</t>
    </r>
    <r>
      <rPr>
        <sz val="10"/>
        <color theme="1"/>
        <rFont val="Times New Roman"/>
        <family val="1"/>
      </rPr>
      <t xml:space="preserve">
</t>
    </r>
    <r>
      <rPr>
        <sz val="10"/>
        <color theme="1"/>
        <rFont val="宋体"/>
        <family val="1"/>
        <charset val="134"/>
      </rPr>
      <t>万物之王</t>
    </r>
    <r>
      <rPr>
        <sz val="10"/>
        <color theme="1"/>
        <rFont val="Times New Roman"/>
        <family val="1"/>
      </rPr>
      <t>King of All</t>
    </r>
    <r>
      <rPr>
        <sz val="10"/>
        <color theme="1"/>
        <rFont val="宋体"/>
        <family val="1"/>
        <charset val="134"/>
      </rPr>
      <t>。</t>
    </r>
    <r>
      <rPr>
        <sz val="10"/>
        <color theme="1"/>
        <rFont val="Times New Roman"/>
        <family val="1"/>
      </rPr>
      <t xml:space="preserve"> </t>
    </r>
    <r>
      <rPr>
        <sz val="10"/>
        <color theme="1"/>
        <rFont val="宋体"/>
        <family val="1"/>
        <charset val="134"/>
      </rPr>
      <t>你在源自你的</t>
    </r>
    <r>
      <rPr>
        <sz val="10"/>
        <color theme="1"/>
        <rFont val="Times New Roman"/>
        <family val="1"/>
      </rPr>
      <t>20</t>
    </r>
    <r>
      <rPr>
        <sz val="10"/>
        <color theme="1"/>
        <rFont val="宋体"/>
        <family val="1"/>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1"/>
        <charset val="134"/>
      </rPr>
      <t>的魅力豁免，豁免失败则会受到你所选择的以下一种效应，直至你的下一回合开始：</t>
    </r>
    <r>
      <rPr>
        <sz val="10"/>
        <color theme="1"/>
        <rFont val="Times New Roman"/>
        <family val="1"/>
      </rPr>
      <t xml:space="preserve"> 
</t>
    </r>
    <r>
      <rPr>
        <sz val="10"/>
        <color theme="1"/>
        <rFont val="宋体"/>
        <family val="1"/>
        <charset val="134"/>
      </rPr>
      <t>惑心</t>
    </r>
    <r>
      <rPr>
        <sz val="10"/>
        <color theme="1"/>
        <rFont val="Times New Roman"/>
        <family val="1"/>
      </rPr>
      <t>Enticement</t>
    </r>
    <r>
      <rPr>
        <sz val="10"/>
        <color theme="1"/>
        <rFont val="宋体"/>
        <family val="1"/>
        <charset val="134"/>
      </rPr>
      <t>。</t>
    </r>
    <r>
      <rPr>
        <sz val="10"/>
        <color theme="1"/>
        <rFont val="Times New Roman"/>
        <family val="1"/>
      </rPr>
      <t xml:space="preserve"> </t>
    </r>
    <r>
      <rPr>
        <sz val="10"/>
        <color theme="1"/>
        <rFont val="宋体"/>
        <family val="1"/>
        <charset val="134"/>
      </rPr>
      <t>目标陷入魅惑状态。</t>
    </r>
    <r>
      <rPr>
        <sz val="10"/>
        <color theme="1"/>
        <rFont val="Times New Roman"/>
        <family val="1"/>
      </rPr>
      <t xml:space="preserve"> 
</t>
    </r>
    <r>
      <rPr>
        <sz val="10"/>
        <color theme="1"/>
        <rFont val="宋体"/>
        <family val="1"/>
        <charset val="134"/>
      </rPr>
      <t>不义</t>
    </r>
    <r>
      <rPr>
        <sz val="10"/>
        <color theme="1"/>
        <rFont val="Times New Roman"/>
        <family val="1"/>
      </rPr>
      <t>Wickedness</t>
    </r>
    <r>
      <rPr>
        <sz val="10"/>
        <color theme="1"/>
        <rFont val="宋体"/>
        <family val="1"/>
        <charset val="134"/>
      </rPr>
      <t>。</t>
    </r>
    <r>
      <rPr>
        <sz val="10"/>
        <color theme="1"/>
        <rFont val="Times New Roman"/>
        <family val="1"/>
      </rPr>
      <t xml:space="preserve"> </t>
    </r>
    <r>
      <rPr>
        <sz val="10"/>
        <color theme="1"/>
        <rFont val="宋体"/>
        <family val="1"/>
        <charset val="134"/>
      </rPr>
      <t>目标在攻击检定与属性检定中具有劣势。</t>
    </r>
    <r>
      <rPr>
        <sz val="10"/>
        <color theme="1"/>
        <rFont val="Times New Roman"/>
        <family val="1"/>
      </rPr>
      <t xml:space="preserve"> 
</t>
    </r>
    <r>
      <rPr>
        <sz val="10"/>
        <color theme="1"/>
        <rFont val="宋体"/>
        <family val="1"/>
        <charset val="134"/>
      </rPr>
      <t>惧怖</t>
    </r>
    <r>
      <rPr>
        <sz val="10"/>
        <color theme="1"/>
        <rFont val="Times New Roman"/>
        <family val="1"/>
      </rPr>
      <t>Terror</t>
    </r>
    <r>
      <rPr>
        <sz val="10"/>
        <color theme="1"/>
        <rFont val="宋体"/>
        <family val="1"/>
        <charset val="134"/>
      </rPr>
      <t>。</t>
    </r>
    <r>
      <rPr>
        <sz val="10"/>
        <color theme="1"/>
        <rFont val="Times New Roman"/>
        <family val="1"/>
      </rPr>
      <t xml:space="preserve"> </t>
    </r>
    <r>
      <rPr>
        <sz val="10"/>
        <color theme="1"/>
        <rFont val="宋体"/>
        <family val="1"/>
        <charset val="134"/>
      </rPr>
      <t>目标陷入恐慌状态，并且在其回合内必须沿着最安全的路线远离你，除非无处可逃。</t>
    </r>
    <r>
      <rPr>
        <sz val="10"/>
        <color theme="1"/>
        <rFont val="Times New Roman"/>
        <family val="1"/>
      </rPr>
      <t xml:space="preserve"> </t>
    </r>
    <phoneticPr fontId="68" type="noConversion"/>
  </si>
  <si>
    <t>密会集结</t>
    <phoneticPr fontId="68" type="noConversion"/>
  </si>
  <si>
    <r>
      <rPr>
        <sz val="10"/>
        <color theme="1"/>
        <rFont val="宋体"/>
        <family val="1"/>
        <charset val="134"/>
      </rPr>
      <t>你现在可以将角之王的力量分享给你认可的人。你可以进行一次</t>
    </r>
    <r>
      <rPr>
        <sz val="10"/>
        <color theme="1"/>
        <rFont val="Times New Roman"/>
        <family val="1"/>
      </rPr>
      <t>1</t>
    </r>
    <r>
      <rPr>
        <sz val="10"/>
        <color theme="1"/>
        <rFont val="宋体"/>
        <family val="1"/>
        <charset val="134"/>
      </rPr>
      <t>小时的仪式，与至多六个自愿生物建立联结，它们在仪式期间必须保持在你周边</t>
    </r>
    <r>
      <rPr>
        <sz val="10"/>
        <color theme="1"/>
        <rFont val="Times New Roman"/>
        <family val="1"/>
      </rPr>
      <t>10</t>
    </r>
    <r>
      <rPr>
        <sz val="10"/>
        <color theme="1"/>
        <rFont val="宋体"/>
        <family val="1"/>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1"/>
        <charset val="134"/>
      </rPr>
      <t>巫咒之术</t>
    </r>
    <r>
      <rPr>
        <sz val="10"/>
        <color theme="1"/>
        <rFont val="Times New Roman"/>
        <family val="1"/>
      </rPr>
      <t>Witchcraft</t>
    </r>
    <r>
      <rPr>
        <sz val="10"/>
        <color theme="1"/>
        <rFont val="宋体"/>
        <family val="1"/>
        <charset val="134"/>
      </rPr>
      <t>。</t>
    </r>
    <r>
      <rPr>
        <sz val="10"/>
        <color theme="1"/>
        <rFont val="Times New Roman"/>
        <family val="1"/>
      </rPr>
      <t xml:space="preserve"> </t>
    </r>
    <r>
      <rPr>
        <sz val="10"/>
        <color theme="1"/>
        <rFont val="宋体"/>
        <family val="1"/>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1"/>
        <charset val="134"/>
      </rPr>
      <t>翔于夜空</t>
    </r>
    <r>
      <rPr>
        <sz val="10"/>
        <color theme="1"/>
        <rFont val="Times New Roman"/>
        <family val="1"/>
      </rPr>
      <t>Fly By Night</t>
    </r>
    <r>
      <rPr>
        <sz val="10"/>
        <color theme="1"/>
        <rFont val="宋体"/>
        <family val="1"/>
        <charset val="134"/>
      </rPr>
      <t>。</t>
    </r>
    <r>
      <rPr>
        <sz val="10"/>
        <color theme="1"/>
        <rFont val="Times New Roman"/>
        <family val="1"/>
      </rPr>
      <t xml:space="preserve"> </t>
    </r>
    <r>
      <rPr>
        <sz val="10"/>
        <color theme="1"/>
        <rFont val="宋体"/>
        <family val="1"/>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1"/>
        <charset val="134"/>
      </rPr>
      <t>国王之手</t>
    </r>
    <r>
      <rPr>
        <sz val="10"/>
        <color theme="1"/>
        <rFont val="Times New Roman"/>
        <family val="1"/>
      </rPr>
      <t>Hand of the King</t>
    </r>
    <r>
      <rPr>
        <sz val="10"/>
        <color theme="1"/>
        <rFont val="宋体"/>
        <family val="1"/>
        <charset val="134"/>
      </rPr>
      <t>。</t>
    </r>
    <r>
      <rPr>
        <sz val="10"/>
        <color theme="1"/>
        <rFont val="Times New Roman"/>
        <family val="1"/>
      </rPr>
      <t xml:space="preserve"> </t>
    </r>
    <r>
      <rPr>
        <sz val="10"/>
        <color theme="1"/>
        <rFont val="宋体"/>
        <family val="1"/>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1"/>
        <charset val="134"/>
      </rPr>
      <t>暗蚀伤害。</t>
    </r>
    <r>
      <rPr>
        <sz val="10"/>
        <color theme="1"/>
        <rFont val="Times New Roman"/>
        <family val="1"/>
      </rPr>
      <t xml:space="preserve"> </t>
    </r>
    <phoneticPr fontId="68" type="noConversion"/>
  </si>
  <si>
    <t>奥术囚笼</t>
    <phoneticPr fontId="68" type="noConversion"/>
  </si>
  <si>
    <r>
      <rPr>
        <sz val="10"/>
        <color theme="1"/>
        <rFont val="宋体"/>
        <family val="1"/>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1"/>
        <charset val="134"/>
      </rPr>
      <t>第</t>
    </r>
    <r>
      <rPr>
        <sz val="10"/>
        <color theme="1"/>
        <rFont val="Times New Roman"/>
        <family val="1"/>
      </rPr>
      <t>3</t>
    </r>
    <r>
      <rPr>
        <sz val="10"/>
        <color theme="1"/>
        <rFont val="宋体"/>
        <family val="1"/>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1"/>
        <charset val="134"/>
      </rPr>
      <t>每个鬼之力都会同时在肉体与奥术层面上显现，会持续到你完成一次长休为止。</t>
    </r>
    <r>
      <rPr>
        <sz val="10"/>
        <color theme="1"/>
        <rFont val="Times New Roman"/>
        <family val="1"/>
      </rPr>
      <t xml:space="preserve">
</t>
    </r>
    <r>
      <rPr>
        <sz val="10"/>
        <color theme="1"/>
        <rFont val="宋体"/>
        <family val="1"/>
        <charset val="134"/>
      </rPr>
      <t>消耗的术法点</t>
    </r>
    <r>
      <rPr>
        <sz val="10"/>
        <color theme="1"/>
        <rFont val="Times New Roman"/>
        <family val="1"/>
      </rPr>
      <t xml:space="preserve">	</t>
    </r>
    <r>
      <rPr>
        <sz val="10"/>
        <color theme="1"/>
        <rFont val="宋体"/>
        <family val="1"/>
        <charset val="134"/>
      </rPr>
      <t>显现特征</t>
    </r>
    <r>
      <rPr>
        <sz val="10"/>
        <color theme="1"/>
        <rFont val="Times New Roman"/>
        <family val="1"/>
      </rPr>
      <t xml:space="preserve">
0–1	</t>
    </r>
    <r>
      <rPr>
        <sz val="10"/>
        <color theme="1"/>
        <rFont val="宋体"/>
        <family val="1"/>
        <charset val="134"/>
      </rPr>
      <t>双眼</t>
    </r>
    <r>
      <rPr>
        <sz val="10"/>
        <color theme="1"/>
        <rFont val="Times New Roman"/>
        <family val="1"/>
      </rPr>
      <t xml:space="preserve">
2–4	</t>
    </r>
    <r>
      <rPr>
        <sz val="10"/>
        <color theme="1"/>
        <rFont val="宋体"/>
        <family val="1"/>
        <charset val="134"/>
      </rPr>
      <t>角</t>
    </r>
    <r>
      <rPr>
        <sz val="10"/>
        <color theme="1"/>
        <rFont val="Times New Roman"/>
        <family val="1"/>
      </rPr>
      <t xml:space="preserve">
5–9	</t>
    </r>
    <r>
      <rPr>
        <sz val="10"/>
        <color theme="1"/>
        <rFont val="宋体"/>
        <family val="1"/>
        <charset val="134"/>
      </rPr>
      <t>皮肤</t>
    </r>
    <r>
      <rPr>
        <sz val="10"/>
        <color theme="1"/>
        <rFont val="Times New Roman"/>
        <family val="1"/>
      </rPr>
      <t xml:space="preserve">
10–14	</t>
    </r>
    <r>
      <rPr>
        <sz val="10"/>
        <color theme="1"/>
        <rFont val="宋体"/>
        <family val="1"/>
        <charset val="134"/>
      </rPr>
      <t>舌头</t>
    </r>
    <r>
      <rPr>
        <sz val="10"/>
        <color theme="1"/>
        <rFont val="Times New Roman"/>
        <family val="1"/>
      </rPr>
      <t xml:space="preserve">
15 </t>
    </r>
    <r>
      <rPr>
        <sz val="10"/>
        <color theme="1"/>
        <rFont val="宋体"/>
        <family val="1"/>
        <charset val="134"/>
      </rPr>
      <t>及以上</t>
    </r>
    <r>
      <rPr>
        <sz val="10"/>
        <color theme="1"/>
        <rFont val="Times New Roman"/>
        <family val="1"/>
      </rPr>
      <t xml:space="preserve">	</t>
    </r>
    <r>
      <rPr>
        <sz val="10"/>
        <color theme="1"/>
        <rFont val="宋体"/>
        <family val="1"/>
        <charset val="134"/>
      </rPr>
      <t>头发</t>
    </r>
    <phoneticPr fontId="68" type="noConversion"/>
  </si>
  <si>
    <t>鬼之力-双眼</t>
    <phoneticPr fontId="68" type="noConversion"/>
  </si>
  <si>
    <r>
      <rPr>
        <sz val="10"/>
        <color theme="1"/>
        <rFont val="宋体"/>
        <family val="1"/>
        <charset val="134"/>
      </rPr>
      <t>你的双眼闪烁着近乎摄魂的光芒。以一个动作，你可以激活你天生的魅惑之眼。在接下来的</t>
    </r>
    <r>
      <rPr>
        <sz val="10"/>
        <color theme="1"/>
        <rFont val="Times New Roman"/>
        <family val="1"/>
      </rPr>
      <t>1</t>
    </r>
    <r>
      <rPr>
        <sz val="10"/>
        <color theme="1"/>
        <rFont val="宋体"/>
        <family val="1"/>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1"/>
        <charset val="134"/>
      </rPr>
      <t>决定）。</t>
    </r>
    <phoneticPr fontId="68" type="noConversion"/>
  </si>
  <si>
    <t>鬼之力-双角</t>
    <phoneticPr fontId="68" type="noConversion"/>
  </si>
  <si>
    <r>
      <rPr>
        <sz val="10"/>
        <color theme="1"/>
        <rFont val="宋体"/>
        <family val="1"/>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1"/>
        <charset val="134"/>
      </rPr>
      <t>穿刺伤害。</t>
    </r>
    <r>
      <rPr>
        <sz val="10"/>
        <color theme="1"/>
        <rFont val="Times New Roman"/>
        <family val="1"/>
      </rPr>
      <t xml:space="preserve">
</t>
    </r>
    <r>
      <rPr>
        <sz val="10"/>
        <color theme="1"/>
        <rFont val="宋体"/>
        <family val="1"/>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1"/>
        <charset val="134"/>
      </rPr>
      <t>动作，且必须将该生物选为法术的唯一目标。</t>
    </r>
    <phoneticPr fontId="68" type="noConversion"/>
  </si>
  <si>
    <t>鬼之力-皮肤</t>
    <phoneticPr fontId="68" type="noConversion"/>
  </si>
  <si>
    <r>
      <rPr>
        <sz val="10"/>
        <color theme="1"/>
        <rFont val="宋体"/>
        <family val="1"/>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1"/>
        <charset val="134"/>
      </rPr>
      <t>你的体质调整值的生命值。如果你在这次施法时激活了舌头特征，则你不能获得该增益。</t>
    </r>
    <phoneticPr fontId="68" type="noConversion"/>
  </si>
  <si>
    <t>鬼之力-舌头</t>
    <phoneticPr fontId="68" type="noConversion"/>
  </si>
  <si>
    <r>
      <rPr>
        <sz val="10"/>
        <color theme="1"/>
        <rFont val="宋体"/>
        <family val="1"/>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1"/>
        <charset val="134"/>
      </rPr>
      <t>等同于你的法术豁免</t>
    </r>
    <r>
      <rPr>
        <sz val="10"/>
        <color theme="1"/>
        <rFont val="Times New Roman"/>
        <family val="1"/>
      </rPr>
      <t>DC</t>
    </r>
    <r>
      <rPr>
        <sz val="10"/>
        <color theme="1"/>
        <rFont val="宋体"/>
        <family val="1"/>
        <charset val="134"/>
      </rPr>
      <t>。若失败，目标必须使用其反应（若可用）移动至多自身速度的一半距离来远离你或倒地（由你选择）。</t>
    </r>
    <phoneticPr fontId="68" type="noConversion"/>
  </si>
  <si>
    <t>鬼之力-头发</t>
    <phoneticPr fontId="68" type="noConversion"/>
  </si>
  <si>
    <r>
      <rPr>
        <sz val="10"/>
        <color theme="1"/>
        <rFont val="宋体"/>
        <family val="1"/>
        <charset val="134"/>
      </rPr>
      <t>你的头发变为骇人的白色，并且向地面延伸，随着其生长以覆盖你的背部。你的</t>
    </r>
    <r>
      <rPr>
        <sz val="10"/>
        <color theme="1"/>
        <rFont val="Times New Roman"/>
        <family val="1"/>
      </rPr>
      <t>AC</t>
    </r>
    <r>
      <rPr>
        <sz val="10"/>
        <color theme="1"/>
        <rFont val="宋体"/>
        <family val="1"/>
        <charset val="134"/>
      </rPr>
      <t>获得</t>
    </r>
    <r>
      <rPr>
        <sz val="10"/>
        <color theme="1"/>
        <rFont val="Times New Roman"/>
        <family val="1"/>
      </rPr>
      <t>+2</t>
    </r>
    <r>
      <rPr>
        <sz val="10"/>
        <color theme="1"/>
        <rFont val="宋体"/>
        <family val="1"/>
        <charset val="134"/>
      </rPr>
      <t>加值。</t>
    </r>
    <phoneticPr fontId="68" type="noConversion"/>
  </si>
  <si>
    <t>食人掌控</t>
    <phoneticPr fontId="68" type="noConversion"/>
  </si>
  <si>
    <t>沸腾之力</t>
    <phoneticPr fontId="68" type="noConversion"/>
  </si>
  <si>
    <t>变身</t>
    <phoneticPr fontId="68" type="noConversion"/>
  </si>
  <si>
    <t>血源</t>
    <phoneticPr fontId="68" type="noConversion"/>
  </si>
  <si>
    <r>
      <rPr>
        <sz val="10"/>
        <color theme="1"/>
        <rFont val="宋体"/>
        <family val="1"/>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1"/>
        <charset val="134"/>
      </rPr>
      <t>。</t>
    </r>
    <r>
      <rPr>
        <sz val="10"/>
        <color theme="1"/>
        <rFont val="Times New Roman"/>
        <family val="1"/>
      </rPr>
      <t xml:space="preserve">
</t>
    </r>
    <r>
      <rPr>
        <sz val="10"/>
        <color theme="1"/>
        <rFont val="宋体"/>
        <family val="1"/>
        <charset val="134"/>
      </rPr>
      <t>当你完成长休或当你一次性对一名生物造成</t>
    </r>
    <r>
      <rPr>
        <sz val="10"/>
        <color theme="1"/>
        <rFont val="Times New Roman"/>
        <family val="1"/>
      </rPr>
      <t>10</t>
    </r>
    <r>
      <rPr>
        <sz val="10"/>
        <color theme="1"/>
        <rFont val="宋体"/>
        <family val="1"/>
        <charset val="134"/>
      </rPr>
      <t>或更多的暗蚀伤害时，你重置已消耗的血源。</t>
    </r>
    <r>
      <rPr>
        <sz val="10"/>
        <color theme="1"/>
        <rFont val="Times New Roman"/>
        <family val="1"/>
      </rPr>
      <t xml:space="preserve"> </t>
    </r>
    <phoneticPr fontId="68" type="noConversion"/>
  </si>
  <si>
    <t>猩红法术</t>
    <phoneticPr fontId="68" type="noConversion"/>
  </si>
  <si>
    <r>
      <rPr>
        <sz val="10"/>
        <color theme="1"/>
        <rFont val="宋体"/>
        <family val="1"/>
        <charset val="134"/>
      </rPr>
      <t>当你达到猩红法术表中所述的相应术士等级时，你视为总是准备了列出的对应法术。</t>
    </r>
    <r>
      <rPr>
        <sz val="10"/>
        <color theme="1"/>
        <rFont val="Times New Roman"/>
        <family val="1"/>
      </rPr>
      <t xml:space="preserve"> 
</t>
    </r>
    <r>
      <rPr>
        <sz val="10"/>
        <color theme="1"/>
        <rFont val="宋体"/>
        <family val="1"/>
        <charset val="134"/>
      </rPr>
      <t>猩红法术</t>
    </r>
    <r>
      <rPr>
        <sz val="10"/>
        <color theme="1"/>
        <rFont val="Times New Roman"/>
        <family val="1"/>
      </rPr>
      <t xml:space="preserve">Crimson Spells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血蚀箭</t>
    </r>
    <r>
      <rPr>
        <sz val="10"/>
        <color theme="1"/>
        <rFont val="Times New Roman"/>
        <family val="1"/>
      </rPr>
      <t>Blood Bolt</t>
    </r>
    <r>
      <rPr>
        <sz val="10"/>
        <color theme="1"/>
        <rFont val="宋体"/>
        <family val="1"/>
        <charset val="134"/>
      </rPr>
      <t>，疗伤术</t>
    </r>
    <r>
      <rPr>
        <sz val="10"/>
        <color theme="1"/>
        <rFont val="Times New Roman"/>
        <family val="1"/>
      </rPr>
      <t>Cure Wounds</t>
    </r>
    <r>
      <rPr>
        <sz val="10"/>
        <color theme="1"/>
        <rFont val="宋体"/>
        <family val="1"/>
        <charset val="134"/>
      </rPr>
      <t>，致伤术</t>
    </r>
    <r>
      <rPr>
        <sz val="10"/>
        <color theme="1"/>
        <rFont val="Times New Roman"/>
        <family val="1"/>
      </rPr>
      <t>Inflict Wounds</t>
    </r>
    <r>
      <rPr>
        <sz val="10"/>
        <color theme="1"/>
        <rFont val="宋体"/>
        <family val="1"/>
        <charset val="134"/>
      </rPr>
      <t>，援助术</t>
    </r>
    <r>
      <rPr>
        <sz val="10"/>
        <color theme="1"/>
        <rFont val="Times New Roman"/>
        <family val="1"/>
      </rPr>
      <t>Aid</t>
    </r>
    <r>
      <rPr>
        <sz val="10"/>
        <color theme="1"/>
        <rFont val="宋体"/>
        <family val="1"/>
        <charset val="134"/>
      </rPr>
      <t>，血祭</t>
    </r>
    <r>
      <rPr>
        <sz val="10"/>
        <color theme="1"/>
        <rFont val="Times New Roman"/>
        <family val="1"/>
      </rPr>
      <t xml:space="preserve">Blood Sacrifice
5 </t>
    </r>
    <r>
      <rPr>
        <sz val="10"/>
        <color theme="1"/>
        <rFont val="宋体"/>
        <family val="1"/>
        <charset val="134"/>
      </rPr>
      <t>血腥丰获</t>
    </r>
    <r>
      <rPr>
        <sz val="10"/>
        <color theme="1"/>
        <rFont val="Times New Roman"/>
        <family val="1"/>
      </rPr>
      <t>Crimson Harvest</t>
    </r>
    <r>
      <rPr>
        <sz val="10"/>
        <color theme="1"/>
        <rFont val="宋体"/>
        <family val="1"/>
        <charset val="134"/>
      </rPr>
      <t>，吸血鬼之触</t>
    </r>
    <r>
      <rPr>
        <sz val="10"/>
        <color theme="1"/>
        <rFont val="Times New Roman"/>
        <family val="1"/>
      </rPr>
      <t xml:space="preserve">Vampiric Touch  
7 </t>
    </r>
    <r>
      <rPr>
        <sz val="10"/>
        <color theme="1"/>
        <rFont val="宋体"/>
        <family val="1"/>
        <charset val="134"/>
      </rPr>
      <t>防死结界</t>
    </r>
    <r>
      <rPr>
        <sz val="10"/>
        <color theme="1"/>
        <rFont val="Times New Roman"/>
        <family val="1"/>
      </rPr>
      <t>Death Ward</t>
    </r>
    <r>
      <rPr>
        <sz val="10"/>
        <color theme="1"/>
        <rFont val="宋体"/>
        <family val="1"/>
        <charset val="134"/>
      </rPr>
      <t>，牺牲虹吸</t>
    </r>
    <r>
      <rPr>
        <sz val="10"/>
        <color theme="1"/>
        <rFont val="Times New Roman"/>
        <family val="1"/>
      </rPr>
      <t xml:space="preserve">Sacrificial Siphon
9 </t>
    </r>
    <r>
      <rPr>
        <sz val="10"/>
        <color theme="1"/>
        <rFont val="宋体"/>
        <family val="1"/>
        <charset val="134"/>
      </rPr>
      <t>收割场</t>
    </r>
    <r>
      <rPr>
        <sz val="10"/>
        <color theme="1"/>
        <rFont val="Times New Roman"/>
        <family val="1"/>
      </rPr>
      <t>Field of Reaping</t>
    </r>
    <r>
      <rPr>
        <sz val="10"/>
        <color theme="1"/>
        <rFont val="宋体"/>
        <family val="1"/>
        <charset val="134"/>
      </rPr>
      <t>，群体疗伤术</t>
    </r>
    <r>
      <rPr>
        <sz val="10"/>
        <color theme="1"/>
        <rFont val="Times New Roman"/>
        <family val="1"/>
      </rPr>
      <t xml:space="preserve">Mass Cure Wounds  </t>
    </r>
    <phoneticPr fontId="68" type="noConversion"/>
  </si>
  <si>
    <t>身化血池</t>
    <phoneticPr fontId="68" type="noConversion"/>
  </si>
  <si>
    <r>
      <rPr>
        <sz val="10"/>
        <color theme="1"/>
        <rFont val="宋体"/>
        <family val="1"/>
        <charset val="134"/>
      </rPr>
      <t>你可以使用附赠动作消耗你的血源，将你与你穿戴或携带的一切魔法性地溶解为一滩血池，持续</t>
    </r>
    <r>
      <rPr>
        <sz val="10"/>
        <color theme="1"/>
        <rFont val="Times New Roman"/>
        <family val="1"/>
      </rPr>
      <t>1</t>
    </r>
    <r>
      <rPr>
        <sz val="10"/>
        <color theme="1"/>
        <rFont val="宋体"/>
        <family val="1"/>
        <charset val="134"/>
      </rPr>
      <t>小时。若你生命值降至</t>
    </r>
    <r>
      <rPr>
        <sz val="10"/>
        <color theme="1"/>
        <rFont val="Times New Roman"/>
        <family val="1"/>
      </rPr>
      <t>0</t>
    </r>
    <r>
      <rPr>
        <sz val="10"/>
        <color theme="1"/>
        <rFont val="宋体"/>
        <family val="1"/>
        <charset val="134"/>
      </rPr>
      <t>或你选择结束（无需动作），则变形提前结束。</t>
    </r>
    <r>
      <rPr>
        <sz val="10"/>
        <color theme="1"/>
        <rFont val="Times New Roman"/>
        <family val="1"/>
      </rPr>
      <t xml:space="preserve">
</t>
    </r>
    <r>
      <rPr>
        <sz val="10"/>
        <color theme="1"/>
        <rFont val="宋体"/>
        <family val="1"/>
        <charset val="134"/>
      </rPr>
      <t>在你身化血池期间，你使用你的游戏数据，但具有如下变化：</t>
    </r>
    <r>
      <rPr>
        <sz val="10"/>
        <color theme="1"/>
        <rFont val="Times New Roman"/>
        <family val="1"/>
      </rPr>
      <t xml:space="preserve"> 
</t>
    </r>
    <r>
      <rPr>
        <sz val="10"/>
        <color theme="1"/>
        <rFont val="宋体"/>
        <family val="1"/>
        <charset val="134"/>
      </rPr>
      <t>你的速度变为</t>
    </r>
    <r>
      <rPr>
        <sz val="10"/>
        <color theme="1"/>
        <rFont val="Times New Roman"/>
        <family val="1"/>
      </rPr>
      <t>10</t>
    </r>
    <r>
      <rPr>
        <sz val="10"/>
        <color theme="1"/>
        <rFont val="宋体"/>
        <family val="1"/>
        <charset val="134"/>
      </rPr>
      <t>尺。</t>
    </r>
    <r>
      <rPr>
        <sz val="10"/>
        <color theme="1"/>
        <rFont val="Times New Roman"/>
        <family val="1"/>
      </rPr>
      <t xml:space="preserve"> 
</t>
    </r>
    <r>
      <rPr>
        <sz val="10"/>
        <color theme="1"/>
        <rFont val="宋体"/>
        <family val="1"/>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1"/>
        <charset val="134"/>
      </rPr>
      <t>你具有钝击、穿刺和挥砍伤害抗性。</t>
    </r>
    <r>
      <rPr>
        <sz val="10"/>
        <color theme="1"/>
        <rFont val="Times New Roman"/>
        <family val="1"/>
      </rPr>
      <t xml:space="preserve"> 
</t>
    </r>
    <r>
      <rPr>
        <sz val="10"/>
        <color theme="1"/>
        <rFont val="宋体"/>
        <family val="1"/>
        <charset val="134"/>
      </rPr>
      <t>你免疫倒地状态。</t>
    </r>
    <r>
      <rPr>
        <sz val="10"/>
        <color theme="1"/>
        <rFont val="Times New Roman"/>
        <family val="1"/>
      </rPr>
      <t xml:space="preserve"> 
</t>
    </r>
    <r>
      <rPr>
        <sz val="10"/>
        <color theme="1"/>
        <rFont val="宋体"/>
        <family val="1"/>
        <charset val="134"/>
      </rPr>
      <t>你在力量、敏捷和体质豁免中具有优势。</t>
    </r>
    <r>
      <rPr>
        <sz val="10"/>
        <color theme="1"/>
        <rFont val="Times New Roman"/>
        <family val="1"/>
      </rPr>
      <t xml:space="preserve"> 
</t>
    </r>
    <r>
      <rPr>
        <sz val="10"/>
        <color theme="1"/>
        <rFont val="宋体"/>
        <family val="1"/>
        <charset val="134"/>
      </rPr>
      <t>你可以穿过小洞、窄缝、乃至裂隙。</t>
    </r>
    <r>
      <rPr>
        <sz val="10"/>
        <color theme="1"/>
        <rFont val="Times New Roman"/>
        <family val="1"/>
      </rPr>
      <t xml:space="preserve"> 
</t>
    </r>
    <r>
      <rPr>
        <sz val="10"/>
        <color theme="1"/>
        <rFont val="宋体"/>
        <family val="1"/>
        <charset val="134"/>
      </rPr>
      <t>你可以进入并占据其他生物的空间。</t>
    </r>
    <r>
      <rPr>
        <sz val="10"/>
        <color theme="1"/>
        <rFont val="Times New Roman"/>
        <family val="1"/>
      </rPr>
      <t xml:space="preserve"> 
</t>
    </r>
    <r>
      <rPr>
        <sz val="10"/>
        <color theme="1"/>
        <rFont val="宋体"/>
        <family val="1"/>
        <charset val="134"/>
      </rPr>
      <t>你不能放下、使用或以其他方式与你正在携带或持握的任何东西互动。</t>
    </r>
    <r>
      <rPr>
        <sz val="10"/>
        <color theme="1"/>
        <rFont val="Times New Roman"/>
        <family val="1"/>
      </rPr>
      <t xml:space="preserve"> 
</t>
    </r>
    <r>
      <rPr>
        <sz val="10"/>
        <color theme="1"/>
        <rFont val="宋体"/>
        <family val="1"/>
        <charset val="134"/>
      </rPr>
      <t>你不能说话、操作物件、攻击或施展法术。</t>
    </r>
    <r>
      <rPr>
        <sz val="10"/>
        <color theme="1"/>
        <rFont val="Times New Roman"/>
        <family val="1"/>
      </rPr>
      <t xml:space="preserve"> </t>
    </r>
    <phoneticPr fontId="68" type="noConversion"/>
  </si>
  <si>
    <t>殷红生机</t>
    <phoneticPr fontId="68" type="noConversion"/>
  </si>
  <si>
    <r>
      <rPr>
        <sz val="10"/>
        <color theme="1"/>
        <rFont val="宋体"/>
        <family val="1"/>
        <charset val="134"/>
      </rPr>
      <t>你对暗蚀伤害具有抗性。此外，当你完成一次短休时，你可以消耗你的血源，使你的力竭等级降低</t>
    </r>
    <r>
      <rPr>
        <sz val="10"/>
        <color theme="1"/>
        <rFont val="Times New Roman"/>
        <family val="1"/>
      </rPr>
      <t>1</t>
    </r>
    <r>
      <rPr>
        <sz val="10"/>
        <color theme="1"/>
        <rFont val="宋体"/>
        <family val="1"/>
        <charset val="134"/>
      </rPr>
      <t>级（如果有）。</t>
    </r>
    <r>
      <rPr>
        <sz val="10"/>
        <color theme="1"/>
        <rFont val="Times New Roman"/>
        <family val="1"/>
      </rPr>
      <t xml:space="preserve"> </t>
    </r>
    <phoneticPr fontId="68" type="noConversion"/>
  </si>
  <si>
    <t>汲命</t>
    <phoneticPr fontId="68" type="noConversion"/>
  </si>
  <si>
    <r>
      <rPr>
        <sz val="10"/>
        <color theme="1"/>
        <rFont val="宋体"/>
        <family val="1"/>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1"/>
        <charset val="134"/>
      </rPr>
      <t>沸血</t>
    </r>
    <r>
      <rPr>
        <sz val="10"/>
        <color theme="1"/>
        <rFont val="Times New Roman"/>
        <family val="1"/>
      </rPr>
      <t>Blood Boil</t>
    </r>
    <r>
      <rPr>
        <sz val="10"/>
        <color theme="1"/>
        <rFont val="宋体"/>
        <family val="1"/>
        <charset val="134"/>
      </rPr>
      <t>。</t>
    </r>
    <r>
      <rPr>
        <sz val="10"/>
        <color theme="1"/>
        <rFont val="Times New Roman"/>
        <family val="1"/>
      </rPr>
      <t xml:space="preserve"> </t>
    </r>
    <r>
      <rPr>
        <sz val="10"/>
        <color theme="1"/>
        <rFont val="宋体"/>
        <family val="1"/>
        <charset val="134"/>
      </rPr>
      <t>你重置血源的使用权。</t>
    </r>
    <r>
      <rPr>
        <sz val="10"/>
        <color theme="1"/>
        <rFont val="Times New Roman"/>
        <family val="1"/>
      </rPr>
      <t xml:space="preserve">
</t>
    </r>
    <r>
      <rPr>
        <sz val="10"/>
        <color theme="1"/>
        <rFont val="宋体"/>
        <family val="1"/>
        <charset val="134"/>
      </rPr>
      <t>猩红脉动</t>
    </r>
    <r>
      <rPr>
        <sz val="10"/>
        <color theme="1"/>
        <rFont val="Times New Roman"/>
        <family val="1"/>
      </rPr>
      <t>Crimson Pulse</t>
    </r>
    <r>
      <rPr>
        <sz val="10"/>
        <color theme="1"/>
        <rFont val="宋体"/>
        <family val="1"/>
        <charset val="134"/>
      </rPr>
      <t>。</t>
    </r>
    <r>
      <rPr>
        <sz val="10"/>
        <color theme="1"/>
        <rFont val="Times New Roman"/>
        <family val="1"/>
      </rPr>
      <t xml:space="preserve"> </t>
    </r>
    <r>
      <rPr>
        <sz val="10"/>
        <color theme="1"/>
        <rFont val="宋体"/>
        <family val="1"/>
        <charset val="134"/>
      </rPr>
      <t>你消耗你的血源，使你在本回合不消耗术法点地应用的下一次超魔法选项。</t>
    </r>
    <r>
      <rPr>
        <sz val="10"/>
        <color theme="1"/>
        <rFont val="Times New Roman"/>
        <family val="1"/>
      </rPr>
      <t xml:space="preserve"> </t>
    </r>
    <phoneticPr fontId="68" type="noConversion"/>
  </si>
  <si>
    <t>血宴</t>
    <phoneticPr fontId="68" type="noConversion"/>
  </si>
  <si>
    <r>
      <rPr>
        <sz val="10"/>
        <color theme="1"/>
        <rFont val="宋体"/>
        <family val="1"/>
        <charset val="134"/>
      </rPr>
      <t>你对生命精华的渴求已无法满足。你可以使用魔法动作释放出鲜血触须，鞭打你周边</t>
    </r>
    <r>
      <rPr>
        <sz val="10"/>
        <color theme="1"/>
        <rFont val="Times New Roman"/>
        <family val="1"/>
      </rPr>
      <t>30</t>
    </r>
    <r>
      <rPr>
        <sz val="10"/>
        <color theme="1"/>
        <rFont val="宋体"/>
        <family val="1"/>
        <charset val="134"/>
      </rPr>
      <t>尺范围内你选择的任何生物。目标必须进行一次体质豁免，豁免失败则受到</t>
    </r>
    <r>
      <rPr>
        <sz val="10"/>
        <color theme="1"/>
        <rFont val="Times New Roman"/>
        <family val="1"/>
      </rPr>
      <t>5d8</t>
    </r>
    <r>
      <rPr>
        <sz val="10"/>
        <color theme="1"/>
        <rFont val="宋体"/>
        <family val="1"/>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1"/>
        <charset val="134"/>
      </rPr>
      <t>一旦你使用了此特性，则直至你完成一次长休前，都无法再次使用。你也可以消耗</t>
    </r>
    <r>
      <rPr>
        <sz val="10"/>
        <color theme="1"/>
        <rFont val="Times New Roman"/>
        <family val="1"/>
      </rPr>
      <t>5</t>
    </r>
    <r>
      <rPr>
        <sz val="10"/>
        <color theme="1"/>
        <rFont val="宋体"/>
        <family val="1"/>
        <charset val="134"/>
      </rPr>
      <t>术法点来重置该特性的使用权。</t>
    </r>
    <phoneticPr fontId="68" type="noConversion"/>
  </si>
  <si>
    <r>
      <rPr>
        <sz val="10"/>
        <color theme="1"/>
        <rFont val="宋体"/>
        <family val="1"/>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1"/>
        <charset val="134"/>
      </rPr>
      <t>分钟，若在此期间，你未通过正常方式获得该特性，则你失去该特性。</t>
    </r>
    <r>
      <rPr>
        <sz val="10"/>
        <color theme="1"/>
        <rFont val="Times New Roman"/>
        <family val="1"/>
      </rPr>
      <t xml:space="preserve">
</t>
    </r>
    <r>
      <rPr>
        <sz val="10"/>
        <color theme="1"/>
        <rFont val="宋体"/>
        <family val="1"/>
        <charset val="134"/>
      </rPr>
      <t>此特性一经使用，直到你完成一次长休为止不能再次使用。</t>
    </r>
    <phoneticPr fontId="68" type="noConversion"/>
  </si>
  <si>
    <r>
      <rPr>
        <sz val="10"/>
        <color theme="1"/>
        <rFont val="宋体"/>
        <family val="1"/>
        <charset val="134"/>
      </rPr>
      <t>你的鬼之力愈发强大，产生以下变化：</t>
    </r>
    <r>
      <rPr>
        <sz val="10"/>
        <color theme="1"/>
        <rFont val="Times New Roman"/>
        <family val="1"/>
      </rPr>
      <t xml:space="preserve">
</t>
    </r>
    <r>
      <rPr>
        <sz val="10"/>
        <color theme="1"/>
        <rFont val="宋体"/>
        <family val="1"/>
        <charset val="134"/>
      </rPr>
      <t>双眼</t>
    </r>
    <r>
      <rPr>
        <sz val="10"/>
        <color theme="1"/>
        <rFont val="Times New Roman"/>
        <family val="1"/>
      </rPr>
      <t>Eyes</t>
    </r>
    <r>
      <rPr>
        <sz val="10"/>
        <color theme="1"/>
        <rFont val="宋体"/>
        <family val="1"/>
        <charset val="134"/>
      </rPr>
      <t>。除原有效果之外，你习得了法术诚实之域</t>
    </r>
    <r>
      <rPr>
        <sz val="10"/>
        <color theme="1"/>
        <rFont val="Times New Roman"/>
        <family val="1"/>
      </rPr>
      <t>Zone of Truth</t>
    </r>
    <r>
      <rPr>
        <sz val="10"/>
        <color theme="1"/>
        <rFont val="宋体"/>
        <family val="1"/>
        <charset val="134"/>
      </rPr>
      <t>，你可以在不消耗法术位的情况下施展该法术。当你施展该法术时，它仅影响</t>
    </r>
    <r>
      <rPr>
        <sz val="10"/>
        <color theme="1"/>
        <rFont val="Times New Roman"/>
        <family val="1"/>
      </rPr>
      <t>60</t>
    </r>
    <r>
      <rPr>
        <sz val="10"/>
        <color theme="1"/>
        <rFont val="宋体"/>
        <family val="1"/>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1"/>
        <charset val="134"/>
      </rPr>
      <t>双角</t>
    </r>
    <r>
      <rPr>
        <sz val="10"/>
        <color theme="1"/>
        <rFont val="Times New Roman"/>
        <family val="1"/>
      </rPr>
      <t>Horns</t>
    </r>
    <r>
      <rPr>
        <sz val="10"/>
        <color theme="1"/>
        <rFont val="宋体"/>
        <family val="1"/>
        <charset val="134"/>
      </rPr>
      <t>。你双角造成的额外伤害增长至</t>
    </r>
    <r>
      <rPr>
        <sz val="10"/>
        <color theme="1"/>
        <rFont val="Times New Roman"/>
        <family val="1"/>
      </rPr>
      <t>1d12</t>
    </r>
    <r>
      <rPr>
        <sz val="10"/>
        <color theme="1"/>
        <rFont val="宋体"/>
        <family val="1"/>
        <charset val="134"/>
      </rPr>
      <t>。</t>
    </r>
    <r>
      <rPr>
        <sz val="10"/>
        <color theme="1"/>
        <rFont val="Times New Roman"/>
        <family val="1"/>
      </rPr>
      <t xml:space="preserve">
</t>
    </r>
    <r>
      <rPr>
        <sz val="10"/>
        <color theme="1"/>
        <rFont val="宋体"/>
        <family val="1"/>
        <charset val="134"/>
      </rPr>
      <t>皮肤</t>
    </r>
    <r>
      <rPr>
        <sz val="10"/>
        <color theme="1"/>
        <rFont val="Times New Roman"/>
        <family val="1"/>
      </rPr>
      <t>Skin</t>
    </r>
    <r>
      <rPr>
        <sz val="10"/>
        <color theme="1"/>
        <rFont val="宋体"/>
        <family val="1"/>
        <charset val="134"/>
      </rPr>
      <t>。每当你施展一道一环或更高环阶的法术时，你现在恢复等同于该法术环阶的两倍</t>
    </r>
    <r>
      <rPr>
        <sz val="10"/>
        <color theme="1"/>
        <rFont val="Times New Roman"/>
        <family val="1"/>
      </rPr>
      <t>+</t>
    </r>
    <r>
      <rPr>
        <sz val="10"/>
        <color theme="1"/>
        <rFont val="宋体"/>
        <family val="1"/>
        <charset val="134"/>
      </rPr>
      <t>你的体质调整值的生命值。</t>
    </r>
    <r>
      <rPr>
        <sz val="10"/>
        <color theme="1"/>
        <rFont val="Times New Roman"/>
        <family val="1"/>
      </rPr>
      <t xml:space="preserve">
</t>
    </r>
    <r>
      <rPr>
        <sz val="10"/>
        <color theme="1"/>
        <rFont val="宋体"/>
        <family val="1"/>
        <charset val="134"/>
      </rPr>
      <t>舌头</t>
    </r>
    <r>
      <rPr>
        <sz val="10"/>
        <color theme="1"/>
        <rFont val="Times New Roman"/>
        <family val="1"/>
      </rPr>
      <t>Tongue</t>
    </r>
    <r>
      <rPr>
        <sz val="10"/>
        <color theme="1"/>
        <rFont val="宋体"/>
        <family val="1"/>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1"/>
        <charset val="134"/>
      </rPr>
      <t>，且在面对所有并非来自于你的攻击时，其</t>
    </r>
    <r>
      <rPr>
        <sz val="10"/>
        <color theme="1"/>
        <rFont val="Times New Roman"/>
        <family val="1"/>
      </rPr>
      <t>AC</t>
    </r>
    <r>
      <rPr>
        <sz val="10"/>
        <color theme="1"/>
        <rFont val="宋体"/>
        <family val="1"/>
        <charset val="134"/>
      </rPr>
      <t>获得</t>
    </r>
    <r>
      <rPr>
        <sz val="10"/>
        <color theme="1"/>
        <rFont val="Times New Roman"/>
        <family val="1"/>
      </rPr>
      <t>-5</t>
    </r>
    <r>
      <rPr>
        <sz val="10"/>
        <color theme="1"/>
        <rFont val="宋体"/>
        <family val="1"/>
        <charset val="134"/>
      </rPr>
      <t>的减值。这一效应持续至你的下一回合开始。</t>
    </r>
    <phoneticPr fontId="68" type="noConversion"/>
  </si>
  <si>
    <r>
      <rPr>
        <sz val="10"/>
        <color theme="1"/>
        <rFont val="宋体"/>
        <family val="1"/>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1"/>
        <charset val="134"/>
      </rPr>
      <t>分钟，在此之后，你失去任何你未通过正常方式获得的鬼之力。</t>
    </r>
    <r>
      <rPr>
        <sz val="10"/>
        <color theme="1"/>
        <rFont val="Times New Roman"/>
        <family val="1"/>
      </rPr>
      <t xml:space="preserve">
</t>
    </r>
    <r>
      <rPr>
        <sz val="10"/>
        <color theme="1"/>
        <rFont val="宋体"/>
        <family val="1"/>
        <charset val="134"/>
      </rPr>
      <t>此特性一经使用，直至完成长休你都无法再次使用。你也可以消耗</t>
    </r>
    <r>
      <rPr>
        <sz val="10"/>
        <color theme="1"/>
        <rFont val="Times New Roman"/>
        <family val="1"/>
      </rPr>
      <t>5</t>
    </r>
    <r>
      <rPr>
        <sz val="10"/>
        <color theme="1"/>
        <rFont val="宋体"/>
        <family val="1"/>
        <charset val="134"/>
      </rPr>
      <t>点术法点来再次使用。</t>
    </r>
    <phoneticPr fontId="68" type="noConversion"/>
  </si>
  <si>
    <t>织网</t>
    <phoneticPr fontId="68" type="noConversion"/>
  </si>
  <si>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phoneticPr fontId="68" type="noConversion"/>
  </si>
  <si>
    <t>毒液打击</t>
    <phoneticPr fontId="68" type="noConversion"/>
  </si>
  <si>
    <t>当你对一个生物造成偷袭伤害时，你可以选择将偷袭的伤害骰改为d8的毒素伤害而不是与武器类型相同的d6骰。</t>
    <phoneticPr fontId="68" type="noConversion"/>
  </si>
  <si>
    <t>爬墙</t>
    <phoneticPr fontId="68" type="noConversion"/>
  </si>
  <si>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phoneticPr fontId="68" type="noConversion"/>
  </si>
  <si>
    <t>蜘蛛感应</t>
    <phoneticPr fontId="68" type="noConversion"/>
  </si>
  <si>
    <t>当你进行一次豁免并受到伤害时，你能够以反应执行直觉闪避，令你受到的伤害减半（向下取整）。</t>
    <phoneticPr fontId="68" type="noConversion"/>
  </si>
  <si>
    <t>麻痹毒液</t>
    <phoneticPr fontId="68" type="noConversion"/>
  </si>
  <si>
    <t>你获得以下诡诈打击选项。
麻痹Paralyze（花费4d6）。当你以毒液打击造成毒素伤害时，目标必须通过一次体质豁免，否则陷入麻痹，直到你的下一个回合结束。</t>
    <phoneticPr fontId="68" type="noConversion"/>
  </si>
  <si>
    <t>咒唤炽焰</t>
    <phoneticPr fontId="68" type="noConversion"/>
  </si>
  <si>
    <t>魔蜡技艺</t>
    <phoneticPr fontId="68" type="noConversion"/>
  </si>
  <si>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</si>
  <si>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</si>
  <si>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</si>
  <si>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</si>
  <si>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</si>
  <si>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</si>
  <si>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</si>
  <si>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</si>
  <si>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</si>
  <si>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</si>
  <si>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</si>
  <si>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</si>
  <si>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</si>
  <si>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</si>
  <si>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</si>
  <si>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</si>
  <si>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</si>
  <si>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</si>
  <si>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</si>
  <si>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</si>
  <si>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</si>
  <si>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</si>
  <si>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</si>
  <si>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</si>
  <si>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</si>
  <si>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</si>
  <si>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延时燃烧</t>
    <phoneticPr fontId="68" type="noConversion"/>
  </si>
  <si>
    <t>当你使用烛火爆裂，鱼脂烛，或暗烛爆裂时，你可以花费额外3点烛心点同步激活此效应。当你这么做时，你可以将那个魔艺的效果推迟1轮，1分钟，或10分钟（由你选择）。</t>
    <phoneticPr fontId="68" type="noConversion"/>
  </si>
  <si>
    <t>爆裂暗烛</t>
    <phoneticPr fontId="68" type="noConversion"/>
  </si>
  <si>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phoneticPr fontId="68" type="noConversion"/>
  </si>
  <si>
    <t>白焰连击</t>
    <phoneticPr fontId="68" type="noConversion"/>
  </si>
  <si>
    <t>10+</t>
    <phoneticPr fontId="68" type="noConversion"/>
  </si>
  <si>
    <t>噬法烛焰</t>
    <phoneticPr fontId="68" type="noConversion"/>
  </si>
  <si>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phoneticPr fontId="68" type="noConversion"/>
  </si>
  <si>
    <t>强化魔艺</t>
    <phoneticPr fontId="68" type="noConversion"/>
  </si>
  <si>
    <t>强化绽光明烛</t>
    <phoneticPr fontId="68" type="noConversion"/>
  </si>
  <si>
    <t>13级起，绽光明烛的效应持续8小时。</t>
    <phoneticPr fontId="68" type="noConversion"/>
  </si>
  <si>
    <t>强化延时燃烧</t>
    <phoneticPr fontId="68" type="noConversion"/>
  </si>
  <si>
    <t>13级起，你可以将魔艺的效果延迟1轮，3轮，1分钟，10分钟，或1小时。</t>
    <phoneticPr fontId="68" type="noConversion"/>
  </si>
  <si>
    <t>强化噼啪蜜蜡</t>
    <phoneticPr fontId="68" type="noConversion"/>
  </si>
  <si>
    <t>13级起，噼啪蜜蜡会影响目标及其5尺内的每个生物。</t>
    <phoneticPr fontId="68" type="noConversion"/>
  </si>
  <si>
    <t>强化美味佳烛</t>
    <phoneticPr fontId="68" type="noConversion"/>
  </si>
  <si>
    <t>13级起，目标生物恢复1d12点生命值，且你的使用此魔艺时至多可以同时持有4根蜡烛。</t>
    <phoneticPr fontId="68" type="noConversion"/>
  </si>
  <si>
    <t>强化魔匠印击</t>
    <phoneticPr fontId="68" type="noConversion"/>
  </si>
  <si>
    <t>13级起，魔匠印击不再具有每回合的使用次数限制。</t>
    <phoneticPr fontId="68" type="noConversion"/>
  </si>
  <si>
    <t>强化守御蜡封</t>
    <phoneticPr fontId="68" type="noConversion"/>
  </si>
  <si>
    <t>13级起，你可以至多同时令三个守御蜡封同时生效，而非一个。</t>
    <phoneticPr fontId="68" type="noConversion"/>
  </si>
  <si>
    <t>强化蜡灵</t>
    <phoneticPr fontId="68" type="noConversion"/>
  </si>
  <si>
    <t>13级起，你可以以一个动作花费3点烛心点，而非2点，并同时召唤两个蜡灵。</t>
    <phoneticPr fontId="68" type="noConversion"/>
  </si>
  <si>
    <t>灵界烛焰</t>
    <phoneticPr fontId="68" type="noConversion"/>
  </si>
  <si>
    <t>降咒客</t>
    <phoneticPr fontId="68" type="noConversion"/>
  </si>
  <si>
    <r>
      <rPr>
        <sz val="10"/>
        <color theme="1"/>
        <rFont val="宋体"/>
        <family val="1"/>
        <charset val="134"/>
      </rPr>
      <t>当你通过偷袭特性对一个生物造成伤害时，你可以释放厄运伎俩</t>
    </r>
    <r>
      <rPr>
        <sz val="10"/>
        <color theme="1"/>
        <rFont val="Times New Roman"/>
        <family val="1"/>
      </rPr>
      <t xml:space="preserve">Jinxcraft </t>
    </r>
    <r>
      <rPr>
        <sz val="10"/>
        <color theme="1"/>
        <rFont val="宋体"/>
        <family val="1"/>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1"/>
        <charset val="134"/>
      </rPr>
      <t>降咒客厄运</t>
    </r>
    <r>
      <rPr>
        <sz val="10"/>
        <color theme="1"/>
        <rFont val="Times New Roman"/>
        <family val="1"/>
      </rPr>
      <t xml:space="preserve">Hex Slinger Jinxes
2D6	</t>
    </r>
    <r>
      <rPr>
        <sz val="10"/>
        <color theme="1"/>
        <rFont val="宋体"/>
        <family val="1"/>
        <charset val="134"/>
      </rPr>
      <t>厄运</t>
    </r>
    <r>
      <rPr>
        <sz val="10"/>
        <color theme="1"/>
        <rFont val="Times New Roman"/>
        <family val="1"/>
      </rPr>
      <t xml:space="preserve">
2	</t>
    </r>
    <r>
      <rPr>
        <sz val="10"/>
        <color theme="1"/>
        <rFont val="宋体"/>
        <family val="1"/>
        <charset val="134"/>
      </rPr>
      <t>蛇眼</t>
    </r>
    <r>
      <rPr>
        <sz val="10"/>
        <color theme="1"/>
        <rFont val="Times New Roman"/>
        <family val="1"/>
      </rPr>
      <t>Snake Eyes</t>
    </r>
    <r>
      <rPr>
        <sz val="10"/>
        <color theme="1"/>
        <rFont val="宋体"/>
        <family val="1"/>
        <charset val="134"/>
      </rPr>
      <t>。</t>
    </r>
    <r>
      <rPr>
        <sz val="10"/>
        <color theme="1"/>
        <rFont val="Times New Roman"/>
        <family val="1"/>
      </rPr>
      <t xml:space="preserve"> </t>
    </r>
    <r>
      <rPr>
        <sz val="10"/>
        <color theme="1"/>
        <rFont val="宋体"/>
        <family val="1"/>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1"/>
        <charset val="134"/>
      </rPr>
      <t>心灵伤害。</t>
    </r>
    <r>
      <rPr>
        <sz val="10"/>
        <color theme="1"/>
        <rFont val="Times New Roman"/>
        <family val="1"/>
      </rPr>
      <t xml:space="preserve">
3-4	</t>
    </r>
    <r>
      <rPr>
        <sz val="10"/>
        <color theme="1"/>
        <rFont val="宋体"/>
        <family val="1"/>
        <charset val="134"/>
      </rPr>
      <t>梦魇</t>
    </r>
    <r>
      <rPr>
        <sz val="10"/>
        <color theme="1"/>
        <rFont val="Times New Roman"/>
        <family val="1"/>
      </rPr>
      <t>The Nightmare</t>
    </r>
    <r>
      <rPr>
        <sz val="10"/>
        <color theme="1"/>
        <rFont val="宋体"/>
        <family val="1"/>
        <charset val="134"/>
      </rPr>
      <t>。</t>
    </r>
    <r>
      <rPr>
        <sz val="10"/>
        <color theme="1"/>
        <rFont val="Times New Roman"/>
        <family val="1"/>
      </rPr>
      <t xml:space="preserve"> </t>
    </r>
    <r>
      <rPr>
        <sz val="10"/>
        <color theme="1"/>
        <rFont val="宋体"/>
        <family val="1"/>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1"/>
        <charset val="134"/>
      </rPr>
      <t>酒瓶脱手</t>
    </r>
    <r>
      <rPr>
        <sz val="10"/>
        <color theme="1"/>
        <rFont val="Times New Roman"/>
        <family val="1"/>
      </rPr>
      <t>Whiskey Bottle</t>
    </r>
    <r>
      <rPr>
        <sz val="10"/>
        <color theme="1"/>
        <rFont val="宋体"/>
        <family val="1"/>
        <charset val="134"/>
      </rPr>
      <t>。</t>
    </r>
    <r>
      <rPr>
        <sz val="10"/>
        <color theme="1"/>
        <rFont val="Times New Roman"/>
        <family val="1"/>
      </rPr>
      <t xml:space="preserve"> </t>
    </r>
    <r>
      <rPr>
        <sz val="10"/>
        <color theme="1"/>
        <rFont val="宋体"/>
        <family val="1"/>
        <charset val="134"/>
      </rPr>
      <t>目标丢弃正在持握的任何事物。当目标拾起一个物品时，它必须成功通过一次</t>
    </r>
    <r>
      <rPr>
        <sz val="10"/>
        <color theme="1"/>
        <rFont val="Times New Roman"/>
        <family val="1"/>
      </rPr>
      <t>DC15</t>
    </r>
    <r>
      <rPr>
        <sz val="10"/>
        <color theme="1"/>
        <rFont val="宋体"/>
        <family val="1"/>
        <charset val="134"/>
      </rPr>
      <t>的敏捷豁免，否则立刻将其丢弃，直到其下一回合结束。</t>
    </r>
    <r>
      <rPr>
        <sz val="10"/>
        <color theme="1"/>
        <rFont val="Times New Roman"/>
        <family val="1"/>
      </rPr>
      <t xml:space="preserve">
7	</t>
    </r>
    <r>
      <rPr>
        <sz val="10"/>
        <color theme="1"/>
        <rFont val="宋体"/>
        <family val="1"/>
        <charset val="134"/>
      </rPr>
      <t>卑鄙一击</t>
    </r>
    <r>
      <rPr>
        <sz val="10"/>
        <color theme="1"/>
        <rFont val="Times New Roman"/>
        <family val="1"/>
      </rPr>
      <t>Cheap Shot</t>
    </r>
    <r>
      <rPr>
        <sz val="10"/>
        <color theme="1"/>
        <rFont val="宋体"/>
        <family val="1"/>
        <charset val="134"/>
      </rPr>
      <t>。</t>
    </r>
    <r>
      <rPr>
        <sz val="10"/>
        <color theme="1"/>
        <rFont val="Times New Roman"/>
        <family val="1"/>
      </rPr>
      <t xml:space="preserve"> </t>
    </r>
    <r>
      <rPr>
        <sz val="10"/>
        <color theme="1"/>
        <rFont val="宋体"/>
        <family val="1"/>
        <charset val="134"/>
      </rPr>
      <t>目标的速度减半，直到其下一回合结束。持续时间内，对目标发动的攻击检定具有优势。</t>
    </r>
    <r>
      <rPr>
        <sz val="10"/>
        <color theme="1"/>
        <rFont val="Times New Roman"/>
        <family val="1"/>
      </rPr>
      <t xml:space="preserve">
8-9	</t>
    </r>
    <r>
      <rPr>
        <sz val="10"/>
        <color theme="1"/>
        <rFont val="宋体"/>
        <family val="1"/>
        <charset val="134"/>
      </rPr>
      <t>萎缩手臂</t>
    </r>
    <r>
      <rPr>
        <sz val="10"/>
        <color theme="1"/>
        <rFont val="Times New Roman"/>
        <family val="1"/>
      </rPr>
      <t>Withered Arm</t>
    </r>
    <r>
      <rPr>
        <sz val="10"/>
        <color theme="1"/>
        <rFont val="宋体"/>
        <family val="1"/>
        <charset val="134"/>
      </rPr>
      <t>。</t>
    </r>
    <r>
      <rPr>
        <sz val="10"/>
        <color theme="1"/>
        <rFont val="Times New Roman"/>
        <family val="1"/>
      </rPr>
      <t xml:space="preserve"> </t>
    </r>
    <r>
      <rPr>
        <sz val="10"/>
        <color theme="1"/>
        <rFont val="宋体"/>
        <family val="1"/>
        <charset val="134"/>
      </rPr>
      <t>目标在依赖力量属性的</t>
    </r>
    <r>
      <rPr>
        <sz val="10"/>
        <color theme="1"/>
        <rFont val="Times New Roman"/>
        <family val="1"/>
      </rPr>
      <t>D20</t>
    </r>
    <r>
      <rPr>
        <sz val="10"/>
        <color theme="1"/>
        <rFont val="宋体"/>
        <family val="1"/>
        <charset val="134"/>
      </rPr>
      <t>检定中具有劣势，直到其下一回合结束。</t>
    </r>
    <r>
      <rPr>
        <sz val="10"/>
        <color theme="1"/>
        <rFont val="Times New Roman"/>
        <family val="1"/>
      </rPr>
      <t xml:space="preserve">
10-11	</t>
    </r>
    <r>
      <rPr>
        <sz val="10"/>
        <color theme="1"/>
        <rFont val="宋体"/>
        <family val="1"/>
        <charset val="134"/>
      </rPr>
      <t>厄运连连</t>
    </r>
    <r>
      <rPr>
        <sz val="10"/>
        <color theme="1"/>
        <rFont val="Times New Roman"/>
        <family val="1"/>
      </rPr>
      <t>Bad Luck</t>
    </r>
    <r>
      <rPr>
        <sz val="10"/>
        <color theme="1"/>
        <rFont val="宋体"/>
        <family val="1"/>
        <charset val="134"/>
      </rPr>
      <t>。目直到其下一回合结束前，目标在攻击检定和豁免检定中遭受</t>
    </r>
    <r>
      <rPr>
        <sz val="10"/>
        <color theme="1"/>
        <rFont val="Times New Roman"/>
        <family val="1"/>
      </rPr>
      <t>1d6</t>
    </r>
    <r>
      <rPr>
        <sz val="10"/>
        <color theme="1"/>
        <rFont val="宋体"/>
        <family val="1"/>
        <charset val="134"/>
      </rPr>
      <t>减值。</t>
    </r>
    <r>
      <rPr>
        <sz val="10"/>
        <color theme="1"/>
        <rFont val="Times New Roman"/>
        <family val="1"/>
      </rPr>
      <t xml:space="preserve">
12	</t>
    </r>
    <r>
      <rPr>
        <sz val="10"/>
        <color theme="1"/>
        <rFont val="宋体"/>
        <family val="1"/>
        <charset val="134"/>
      </rPr>
      <t>死神来了</t>
    </r>
    <r>
      <rPr>
        <sz val="10"/>
        <color theme="1"/>
        <rFont val="Times New Roman"/>
        <family val="1"/>
      </rPr>
      <t>Dead Man</t>
    </r>
    <r>
      <rPr>
        <sz val="10"/>
        <color theme="1"/>
        <rFont val="宋体"/>
        <family val="1"/>
        <charset val="134"/>
      </rPr>
      <t>。</t>
    </r>
    <r>
      <rPr>
        <sz val="10"/>
        <color theme="1"/>
        <rFont val="Times New Roman"/>
        <family val="1"/>
      </rPr>
      <t xml:space="preserve"> </t>
    </r>
    <r>
      <rPr>
        <sz val="10"/>
        <color theme="1"/>
        <rFont val="宋体"/>
        <family val="1"/>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1"/>
        <charset val="134"/>
      </rPr>
      <t>，该攻击掷</t>
    </r>
    <r>
      <rPr>
        <sz val="10"/>
        <color theme="1"/>
        <rFont val="Times New Roman"/>
        <family val="1"/>
      </rPr>
      <t>3</t>
    </r>
    <r>
      <rPr>
        <sz val="10"/>
        <color theme="1"/>
        <rFont val="宋体"/>
        <family val="1"/>
        <charset val="134"/>
      </rPr>
      <t>次伤害骰而非</t>
    </r>
    <r>
      <rPr>
        <sz val="10"/>
        <color theme="1"/>
        <rFont val="Times New Roman"/>
        <family val="1"/>
      </rPr>
      <t>2</t>
    </r>
    <r>
      <rPr>
        <sz val="10"/>
        <color theme="1"/>
        <rFont val="宋体"/>
        <family val="1"/>
        <charset val="134"/>
      </rPr>
      <t>次。</t>
    </r>
    <r>
      <rPr>
        <sz val="10"/>
        <color theme="1"/>
        <rFont val="Times New Roman"/>
        <family val="1"/>
      </rPr>
      <t xml:space="preserve">
</t>
    </r>
    <phoneticPr fontId="68" type="noConversion"/>
  </si>
  <si>
    <t>厄艺傍身</t>
    <phoneticPr fontId="68" type="noConversion"/>
  </si>
  <si>
    <r>
      <rPr>
        <sz val="10"/>
        <color theme="1"/>
        <rFont val="宋体"/>
        <family val="1"/>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1"/>
        <charset val="134"/>
      </rPr>
      <t>牌骰双绝</t>
    </r>
    <r>
      <rPr>
        <sz val="10"/>
        <color theme="1"/>
        <rFont val="Times New Roman"/>
        <family val="1"/>
      </rPr>
      <t>Cards and Bones</t>
    </r>
    <r>
      <rPr>
        <sz val="10"/>
        <color theme="1"/>
        <rFont val="宋体"/>
        <family val="1"/>
        <charset val="134"/>
      </rPr>
      <t>。</t>
    </r>
    <r>
      <rPr>
        <sz val="10"/>
        <color theme="1"/>
        <rFont val="Times New Roman"/>
        <family val="1"/>
      </rPr>
      <t xml:space="preserve"> </t>
    </r>
    <r>
      <rPr>
        <sz val="10"/>
        <color theme="1"/>
        <rFont val="宋体"/>
        <family val="1"/>
        <charset val="134"/>
      </rPr>
      <t>你获得两种你选择的赌具的熟练项（建议选择纸牌和骰子）。</t>
    </r>
    <r>
      <rPr>
        <sz val="10"/>
        <color theme="1"/>
        <rFont val="Times New Roman"/>
        <family val="1"/>
      </rPr>
      <t xml:space="preserve">
</t>
    </r>
    <r>
      <rPr>
        <sz val="10"/>
        <color theme="1"/>
        <rFont val="宋体"/>
        <family val="1"/>
        <charset val="134"/>
      </rPr>
      <t>厄运武器</t>
    </r>
    <r>
      <rPr>
        <sz val="10"/>
        <color theme="1"/>
        <rFont val="Times New Roman"/>
        <family val="1"/>
      </rPr>
      <t>Jinx Weapon</t>
    </r>
    <r>
      <rPr>
        <sz val="10"/>
        <color theme="1"/>
        <rFont val="宋体"/>
        <family val="1"/>
        <charset val="134"/>
      </rPr>
      <t>。</t>
    </r>
    <r>
      <rPr>
        <sz val="10"/>
        <color theme="1"/>
        <rFont val="Times New Roman"/>
        <family val="1"/>
      </rPr>
      <t xml:space="preserve"> </t>
    </r>
    <r>
      <rPr>
        <sz val="10"/>
        <color theme="1"/>
        <rFont val="宋体"/>
        <family val="1"/>
        <charset val="134"/>
      </rPr>
      <t>通过使用一套赌具进行</t>
    </r>
    <r>
      <rPr>
        <sz val="10"/>
        <color theme="1"/>
        <rFont val="Times New Roman"/>
        <family val="1"/>
      </rPr>
      <t>1</t>
    </r>
    <r>
      <rPr>
        <sz val="10"/>
        <color theme="1"/>
        <rFont val="宋体"/>
        <family val="1"/>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1"/>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1"/>
        <charset val="134"/>
      </rPr>
      <t>魔术把戏</t>
    </r>
    <r>
      <rPr>
        <sz val="10"/>
        <color theme="1"/>
        <rFont val="Times New Roman"/>
        <family val="1"/>
      </rPr>
      <t>Parlor Trick</t>
    </r>
    <r>
      <rPr>
        <sz val="10"/>
        <color theme="1"/>
        <rFont val="宋体"/>
        <family val="1"/>
        <charset val="134"/>
      </rPr>
      <t>。你选择并习得以下戏法之一：舞光术</t>
    </r>
    <r>
      <rPr>
        <sz val="10"/>
        <color theme="1"/>
        <rFont val="Times New Roman"/>
        <family val="1"/>
      </rPr>
      <t>Dancing Lights</t>
    </r>
    <r>
      <rPr>
        <sz val="10"/>
        <color theme="1"/>
        <rFont val="宋体"/>
        <family val="1"/>
        <charset val="134"/>
      </rPr>
      <t>，法师之手</t>
    </r>
    <r>
      <rPr>
        <sz val="10"/>
        <color theme="1"/>
        <rFont val="Times New Roman"/>
        <family val="1"/>
      </rPr>
      <t>Mage Hand</t>
    </r>
    <r>
      <rPr>
        <sz val="10"/>
        <color theme="1"/>
        <rFont val="宋体"/>
        <family val="1"/>
        <charset val="134"/>
      </rPr>
      <t>，次级幻象</t>
    </r>
    <r>
      <rPr>
        <sz val="10"/>
        <color theme="1"/>
        <rFont val="Times New Roman"/>
        <family val="1"/>
      </rPr>
      <t>Minor Illusion</t>
    </r>
    <r>
      <rPr>
        <sz val="10"/>
        <color theme="1"/>
        <rFont val="宋体"/>
        <family val="1"/>
        <charset val="134"/>
      </rPr>
      <t>，莫测仪容</t>
    </r>
    <r>
      <rPr>
        <sz val="10"/>
        <color theme="1"/>
        <rFont val="Times New Roman"/>
        <family val="1"/>
      </rPr>
      <t>Mysterious Presence*</t>
    </r>
    <r>
      <rPr>
        <sz val="10"/>
        <color theme="1"/>
        <rFont val="宋体"/>
        <family val="1"/>
        <charset val="134"/>
      </rPr>
      <t>或魔法伎俩</t>
    </r>
    <r>
      <rPr>
        <sz val="10"/>
        <color theme="1"/>
        <rFont val="Times New Roman"/>
        <family val="1"/>
      </rPr>
      <t xml:space="preserve">Prestidigitation </t>
    </r>
    <r>
      <rPr>
        <sz val="10"/>
        <color theme="1"/>
        <rFont val="宋体"/>
        <family val="1"/>
        <charset val="134"/>
      </rPr>
      <t>。该戏法的施法属性为魅力。</t>
    </r>
    <phoneticPr fontId="68" type="noConversion"/>
  </si>
  <si>
    <t>借来好运</t>
    <phoneticPr fontId="68" type="noConversion"/>
  </si>
  <si>
    <t>当你使用降咒客时，你会带走目标的部分运气。如果你没有英雄激励，你获得英雄激励。如果你具有英雄激励，你可以消耗英雄激励来代替消耗降咒客的使用次数。</t>
    <phoneticPr fontId="68" type="noConversion"/>
  </si>
  <si>
    <t>任君自取</t>
    <phoneticPr fontId="68" type="noConversion"/>
  </si>
  <si>
    <r>
      <rPr>
        <sz val="10"/>
        <color theme="1"/>
        <rFont val="宋体"/>
        <family val="1"/>
        <charset val="134"/>
      </rPr>
      <t>当你使用降咒客时，你可以将所指定的偷袭骰投掷两次，选择使用哪一次的掷骰总和。</t>
    </r>
    <r>
      <rPr>
        <sz val="10"/>
        <color theme="1"/>
        <rFont val="Times New Roman"/>
        <family val="1"/>
      </rPr>
      <t xml:space="preserve">
</t>
    </r>
    <r>
      <rPr>
        <sz val="10"/>
        <color theme="1"/>
        <rFont val="宋体"/>
        <family val="1"/>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1"/>
        <charset val="134"/>
      </rPr>
      <t>或</t>
    </r>
    <r>
      <rPr>
        <sz val="10"/>
        <color theme="1"/>
        <rFont val="Times New Roman"/>
        <family val="1"/>
      </rPr>
      <t>12</t>
    </r>
    <r>
      <rPr>
        <sz val="10"/>
        <color theme="1"/>
        <rFont val="宋体"/>
        <family val="1"/>
        <charset val="134"/>
      </rPr>
      <t>，你不会消耗该次降咒客的使用次数。</t>
    </r>
    <phoneticPr fontId="68" type="noConversion"/>
  </si>
  <si>
    <t>彼岸相助</t>
    <phoneticPr fontId="68" type="noConversion"/>
  </si>
  <si>
    <r>
      <rPr>
        <sz val="10"/>
        <color theme="1"/>
        <rFont val="宋体"/>
        <family val="1"/>
        <charset val="134"/>
      </rPr>
      <t>你可以呼唤自己在下层位面的异界朋友来改变对你有利之事的概率。你获得以下增益。</t>
    </r>
    <r>
      <rPr>
        <sz val="10"/>
        <color theme="1"/>
        <rFont val="Times New Roman"/>
        <family val="1"/>
      </rPr>
      <t xml:space="preserve">
</t>
    </r>
    <r>
      <rPr>
        <sz val="10"/>
        <color theme="1"/>
        <rFont val="宋体"/>
        <family val="1"/>
        <charset val="134"/>
      </rPr>
      <t>岔路诈术</t>
    </r>
    <r>
      <rPr>
        <sz val="10"/>
        <color theme="1"/>
        <rFont val="Times New Roman"/>
        <family val="1"/>
      </rPr>
      <t>Crossroads Devilry</t>
    </r>
    <r>
      <rPr>
        <sz val="10"/>
        <color theme="1"/>
        <rFont val="宋体"/>
        <family val="1"/>
        <charset val="134"/>
      </rPr>
      <t>。</t>
    </r>
    <r>
      <rPr>
        <sz val="10"/>
        <color theme="1"/>
        <rFont val="Times New Roman"/>
        <family val="1"/>
      </rPr>
      <t xml:space="preserve"> </t>
    </r>
    <r>
      <rPr>
        <sz val="10"/>
        <color theme="1"/>
        <rFont val="宋体"/>
        <family val="1"/>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1"/>
        <charset val="134"/>
      </rPr>
      <t>幸运女神在微笑</t>
    </r>
    <r>
      <rPr>
        <sz val="10"/>
        <color theme="1"/>
        <rFont val="Times New Roman"/>
        <family val="1"/>
      </rPr>
      <t>Lady Luck’s Smiling</t>
    </r>
    <r>
      <rPr>
        <sz val="10"/>
        <color theme="1"/>
        <rFont val="宋体"/>
        <family val="1"/>
        <charset val="134"/>
      </rPr>
      <t>。</t>
    </r>
    <r>
      <rPr>
        <sz val="10"/>
        <color theme="1"/>
        <rFont val="Times New Roman"/>
        <family val="1"/>
      </rPr>
      <t xml:space="preserve"> </t>
    </r>
    <r>
      <rPr>
        <sz val="10"/>
        <color theme="1"/>
        <rFont val="宋体"/>
        <family val="1"/>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1"/>
        <charset val="134"/>
      </rPr>
      <t>中，这可能将命中改为失手。已消耗的骰子会在你下次使用你的偷袭后恢复。</t>
    </r>
    <phoneticPr fontId="68" type="noConversion"/>
  </si>
  <si>
    <t>你习得戏法舞光术Dancing Lights（光源形似漂浮的蜡烛）和燃火术Produce Flame。</t>
    <phoneticPr fontId="68" type="noConversion"/>
  </si>
  <si>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phoneticPr fontId="68" type="noConversion"/>
  </si>
  <si>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phoneticPr fontId="68" type="noConversion"/>
  </si>
  <si>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phoneticPr fontId="68" type="noConversion"/>
  </si>
  <si>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phoneticPr fontId="68" type="noConversion"/>
  </si>
  <si>
    <t>第一性状</t>
    <phoneticPr fontId="68" type="noConversion"/>
  </si>
  <si>
    <t>第二性状</t>
    <phoneticPr fontId="68" type="noConversion"/>
  </si>
  <si>
    <t>第三性状</t>
    <phoneticPr fontId="68" type="noConversion"/>
  </si>
  <si>
    <t>第四性状</t>
    <phoneticPr fontId="68" type="noConversion"/>
  </si>
  <si>
    <t>第五性状</t>
    <phoneticPr fontId="68" type="noConversion"/>
  </si>
  <si>
    <t>噩兆先驱法术</t>
    <phoneticPr fontId="68" type="noConversion"/>
  </si>
  <si>
    <r>
      <rPr>
        <sz val="10"/>
        <color theme="1"/>
        <rFont val="宋体"/>
        <family val="1"/>
        <charset val="134"/>
      </rPr>
      <t>当你到达噩兆先驱法术表中特定的游侠等级时，你就始终准备着表中对应的法术：</t>
    </r>
    <r>
      <rPr>
        <sz val="10"/>
        <color theme="1"/>
        <rFont val="Times New Roman"/>
        <family val="1"/>
      </rPr>
      <t xml:space="preserve">
</t>
    </r>
    <r>
      <rPr>
        <sz val="10"/>
        <color theme="1"/>
        <rFont val="宋体"/>
        <family val="1"/>
        <charset val="134"/>
      </rPr>
      <t>噩兆先驱法术</t>
    </r>
    <r>
      <rPr>
        <sz val="10"/>
        <color theme="1"/>
        <rFont val="Times New Roman"/>
        <family val="1"/>
      </rPr>
      <t xml:space="preserve">Grim Harbinger Spells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 xml:space="preserve">Bane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恐惧术</t>
    </r>
    <r>
      <rPr>
        <sz val="10"/>
        <color theme="1"/>
        <rFont val="Times New Roman"/>
        <family val="1"/>
      </rPr>
      <t xml:space="preserve">Fear
13 </t>
    </r>
    <r>
      <rPr>
        <sz val="10"/>
        <color theme="1"/>
        <rFont val="宋体"/>
        <family val="1"/>
        <charset val="134"/>
      </rPr>
      <t>绝望侵袭</t>
    </r>
    <r>
      <rPr>
        <sz val="10"/>
        <color theme="1"/>
        <rFont val="Times New Roman"/>
        <family val="1"/>
      </rPr>
      <t xml:space="preserve">Intrusive Despair
17 </t>
    </r>
    <r>
      <rPr>
        <sz val="10"/>
        <color theme="1"/>
        <rFont val="宋体"/>
        <family val="1"/>
        <charset val="134"/>
      </rPr>
      <t>托梦术</t>
    </r>
    <r>
      <rPr>
        <sz val="10"/>
        <color theme="1"/>
        <rFont val="Times New Roman"/>
        <family val="1"/>
      </rPr>
      <t xml:space="preserve">Dream
</t>
    </r>
    <phoneticPr fontId="68" type="noConversion"/>
  </si>
  <si>
    <t>死兆星闪</t>
    <phoneticPr fontId="68" type="noConversion"/>
  </si>
  <si>
    <r>
      <rPr>
        <sz val="10"/>
        <color theme="1"/>
        <rFont val="宋体"/>
        <family val="1"/>
        <charset val="134"/>
      </rPr>
      <t>你可以使用附赠动作选择周边</t>
    </r>
    <r>
      <rPr>
        <sz val="10"/>
        <color theme="1"/>
        <rFont val="Times New Roman"/>
        <family val="1"/>
      </rPr>
      <t>90</t>
    </r>
    <r>
      <rPr>
        <sz val="10"/>
        <color theme="1"/>
        <rFont val="宋体"/>
        <family val="1"/>
        <charset val="134"/>
      </rPr>
      <t>尺范围内一个你可见的生物，魔法般地封定其末日，持续</t>
    </r>
    <r>
      <rPr>
        <sz val="10"/>
        <color theme="1"/>
        <rFont val="Times New Roman"/>
        <family val="1"/>
      </rPr>
      <t>1</t>
    </r>
    <r>
      <rPr>
        <sz val="10"/>
        <color theme="1"/>
        <rFont val="宋体"/>
        <family val="1"/>
        <charset val="134"/>
      </rPr>
      <t>小时。每回合一次，当你以攻击命中被封定的目标时，它额外受到</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此外，名为噩兆</t>
    </r>
    <r>
      <rPr>
        <sz val="10"/>
        <color theme="1"/>
        <rFont val="Times New Roman"/>
        <family val="1"/>
      </rPr>
      <t>Grim</t>
    </r>
    <r>
      <rPr>
        <sz val="10"/>
        <color theme="1"/>
        <rFont val="宋体"/>
        <family val="1"/>
        <charset val="134"/>
      </rPr>
      <t>的幽灵般的生物出现在目标周边</t>
    </r>
    <r>
      <rPr>
        <sz val="10"/>
        <color theme="1"/>
        <rFont val="Times New Roman"/>
        <family val="1"/>
      </rPr>
      <t>30</t>
    </r>
    <r>
      <rPr>
        <sz val="10"/>
        <color theme="1"/>
        <rFont val="宋体"/>
        <family val="1"/>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1"/>
        <charset val="134"/>
      </rPr>
      <t>噩兆对你和你的盟友友好，遵循你的命令。噩兆会在你死亡，或被封定的生物死亡，或其生命值降至</t>
    </r>
    <r>
      <rPr>
        <sz val="10"/>
        <color theme="1"/>
        <rFont val="Times New Roman"/>
        <family val="1"/>
      </rPr>
      <t>0</t>
    </r>
    <r>
      <rPr>
        <sz val="10"/>
        <color theme="1"/>
        <rFont val="宋体"/>
        <family val="1"/>
        <charset val="134"/>
      </rPr>
      <t>，或你再次使用此特性时消失。</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1"/>
        <charset val="134"/>
      </rPr>
      <t>战斗中的噩兆</t>
    </r>
    <r>
      <rPr>
        <sz val="10"/>
        <color theme="1"/>
        <rFont val="Times New Roman"/>
        <family val="1"/>
      </rPr>
      <t>The Grim in Combat</t>
    </r>
    <r>
      <rPr>
        <sz val="10"/>
        <color theme="1"/>
        <rFont val="宋体"/>
        <family val="1"/>
        <charset val="134"/>
      </rPr>
      <t>。</t>
    </r>
    <r>
      <rPr>
        <sz val="10"/>
        <color theme="1"/>
        <rFont val="Times New Roman"/>
        <family val="1"/>
      </rPr>
      <t xml:space="preserve"> </t>
    </r>
    <r>
      <rPr>
        <sz val="10"/>
        <color theme="1"/>
        <rFont val="宋体"/>
        <family val="1"/>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phoneticPr fontId="68" type="noConversion"/>
  </si>
  <si>
    <t>灾劫使者</t>
    <phoneticPr fontId="68" type="noConversion"/>
  </si>
  <si>
    <r>
      <rPr>
        <sz val="10"/>
        <color theme="1"/>
        <rFont val="宋体"/>
        <family val="1"/>
        <charset val="134"/>
      </rPr>
      <t>你对厄运的操控日趋强大，获得以下增益。</t>
    </r>
    <r>
      <rPr>
        <sz val="10"/>
        <color theme="1"/>
        <rFont val="Times New Roman"/>
        <family val="1"/>
      </rPr>
      <t xml:space="preserve">
</t>
    </r>
    <r>
      <rPr>
        <sz val="10"/>
        <color theme="1"/>
        <rFont val="宋体"/>
        <family val="1"/>
        <charset val="134"/>
      </rPr>
      <t>荒坟猎手</t>
    </r>
    <r>
      <rPr>
        <sz val="10"/>
        <color theme="1"/>
        <rFont val="Times New Roman"/>
        <family val="1"/>
      </rPr>
      <t>Graveyard Hunter</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凡尘警示</t>
    </r>
    <r>
      <rPr>
        <sz val="10"/>
        <color theme="1"/>
        <rFont val="Times New Roman"/>
        <family val="1"/>
      </rPr>
      <t>Mortal Reminder</t>
    </r>
    <r>
      <rPr>
        <sz val="10"/>
        <color theme="1"/>
        <rFont val="宋体"/>
        <family val="1"/>
        <charset val="134"/>
      </rPr>
      <t>。</t>
    </r>
    <r>
      <rPr>
        <sz val="10"/>
        <color theme="1"/>
        <rFont val="Times New Roman"/>
        <family val="1"/>
      </rPr>
      <t xml:space="preserve"> </t>
    </r>
    <r>
      <rPr>
        <sz val="10"/>
        <color theme="1"/>
        <rFont val="宋体"/>
        <family val="1"/>
        <charset val="134"/>
      </rPr>
      <t>当你对被你的死兆星闪封定厄运的生物造成伤害时，你可以将伤害类型改为暗蚀伤害。</t>
    </r>
    <r>
      <rPr>
        <sz val="10"/>
        <color theme="1"/>
        <rFont val="Times New Roman"/>
        <family val="1"/>
      </rPr>
      <t xml:space="preserve">
</t>
    </r>
    <r>
      <rPr>
        <sz val="10"/>
        <color theme="1"/>
        <rFont val="宋体"/>
        <family val="1"/>
        <charset val="134"/>
      </rPr>
      <t>恐惧渐生</t>
    </r>
    <r>
      <rPr>
        <sz val="10"/>
        <color theme="1"/>
        <rFont val="Times New Roman"/>
        <family val="1"/>
      </rPr>
      <t>Mounting Dread</t>
    </r>
    <r>
      <rPr>
        <sz val="10"/>
        <color theme="1"/>
        <rFont val="宋体"/>
        <family val="1"/>
        <charset val="134"/>
      </rPr>
      <t>。</t>
    </r>
    <r>
      <rPr>
        <sz val="10"/>
        <color theme="1"/>
        <rFont val="Times New Roman"/>
        <family val="1"/>
      </rPr>
      <t xml:space="preserve"> </t>
    </r>
    <r>
      <rPr>
        <sz val="10"/>
        <color theme="1"/>
        <rFont val="宋体"/>
        <family val="1"/>
        <charset val="134"/>
      </rPr>
      <t>你或噩兆造成的暗蚀伤害无视抗性。</t>
    </r>
    <phoneticPr fontId="68" type="noConversion"/>
  </si>
  <si>
    <t>墓契相连</t>
    <phoneticPr fontId="68" type="noConversion"/>
  </si>
  <si>
    <r>
      <rPr>
        <sz val="10"/>
        <color theme="1"/>
        <rFont val="宋体"/>
        <family val="1"/>
        <charset val="134"/>
      </rPr>
      <t>你从墓穴中汲取更深层的力量。你获得以下增益。</t>
    </r>
    <r>
      <rPr>
        <sz val="10"/>
        <color theme="1"/>
        <rFont val="Times New Roman"/>
        <family val="1"/>
      </rPr>
      <t xml:space="preserve">
</t>
    </r>
    <r>
      <rPr>
        <sz val="10"/>
        <color theme="1"/>
        <rFont val="宋体"/>
        <family val="1"/>
        <charset val="134"/>
      </rPr>
      <t>阴森猎犬</t>
    </r>
    <r>
      <rPr>
        <sz val="10"/>
        <color theme="1"/>
        <rFont val="Times New Roman"/>
        <family val="1"/>
      </rPr>
      <t>Ghastly Hound</t>
    </r>
    <r>
      <rPr>
        <sz val="10"/>
        <color theme="1"/>
        <rFont val="宋体"/>
        <family val="1"/>
        <charset val="134"/>
      </rPr>
      <t>。</t>
    </r>
    <r>
      <rPr>
        <sz val="10"/>
        <color theme="1"/>
        <rFont val="Times New Roman"/>
        <family val="1"/>
      </rPr>
      <t xml:space="preserve"> </t>
    </r>
    <r>
      <rPr>
        <sz val="10"/>
        <color theme="1"/>
        <rFont val="宋体"/>
        <family val="1"/>
        <charset val="134"/>
      </rPr>
      <t>噩兆对钝击、穿刺和挥砍伤害具有抗性。</t>
    </r>
    <r>
      <rPr>
        <sz val="10"/>
        <color theme="1"/>
        <rFont val="Times New Roman"/>
        <family val="1"/>
      </rPr>
      <t xml:space="preserve">
</t>
    </r>
    <r>
      <rPr>
        <sz val="10"/>
        <color theme="1"/>
        <rFont val="宋体"/>
        <family val="1"/>
        <charset val="134"/>
      </rPr>
      <t>墓穴坚毅</t>
    </r>
    <r>
      <rPr>
        <sz val="10"/>
        <color theme="1"/>
        <rFont val="Times New Roman"/>
        <family val="1"/>
      </rPr>
      <t>Grave Fortitude</t>
    </r>
    <r>
      <rPr>
        <sz val="10"/>
        <color theme="1"/>
        <rFont val="宋体"/>
        <family val="1"/>
        <charset val="134"/>
      </rPr>
      <t>。</t>
    </r>
    <r>
      <rPr>
        <sz val="10"/>
        <color theme="1"/>
        <rFont val="Times New Roman"/>
        <family val="1"/>
      </rPr>
      <t xml:space="preserve"> </t>
    </r>
    <r>
      <rPr>
        <sz val="10"/>
        <color theme="1"/>
        <rFont val="宋体"/>
        <family val="1"/>
        <charset val="134"/>
      </rPr>
      <t>你对暗蚀伤害具有抗性。</t>
    </r>
    <r>
      <rPr>
        <sz val="10"/>
        <color theme="1"/>
        <rFont val="Times New Roman"/>
        <family val="1"/>
      </rPr>
      <t xml:space="preserve">
</t>
    </r>
    <r>
      <rPr>
        <sz val="10"/>
        <color theme="1"/>
        <rFont val="宋体"/>
        <family val="1"/>
        <charset val="134"/>
      </rPr>
      <t>宿命难逃</t>
    </r>
    <r>
      <rPr>
        <sz val="10"/>
        <color theme="1"/>
        <rFont val="Times New Roman"/>
        <family val="1"/>
      </rPr>
      <t>Inescapable Fate</t>
    </r>
    <r>
      <rPr>
        <sz val="10"/>
        <color theme="1"/>
        <rFont val="宋体"/>
        <family val="1"/>
        <charset val="134"/>
      </rPr>
      <t>。</t>
    </r>
    <r>
      <rPr>
        <sz val="10"/>
        <color theme="1"/>
        <rFont val="Times New Roman"/>
        <family val="1"/>
      </rPr>
      <t xml:space="preserve"> </t>
    </r>
    <r>
      <rPr>
        <sz val="10"/>
        <color theme="1"/>
        <rFont val="宋体"/>
        <family val="1"/>
        <charset val="134"/>
      </rPr>
      <t>当你的死兆星闪目标成功于一次豁免检定时，你可以使用反应迫使其以劣势重投该豁免，并使用新的掷骰结果。一旦你通过此增益导致一次豁免失败，在当前死兆星闪结束之前，你无法再次使用它。</t>
    </r>
    <phoneticPr fontId="68" type="noConversion"/>
  </si>
  <si>
    <t>宿命已定</t>
    <phoneticPr fontId="68" type="noConversion"/>
  </si>
  <si>
    <r>
      <rPr>
        <sz val="10"/>
        <color theme="1"/>
        <rFont val="宋体"/>
        <family val="1"/>
        <charset val="134"/>
      </rPr>
      <t>你的死兆星闪力量达到巅峰，当它处于激活状态时，为你带来以下增益。</t>
    </r>
    <r>
      <rPr>
        <sz val="10"/>
        <color theme="1"/>
        <rFont val="Times New Roman"/>
        <family val="1"/>
      </rPr>
      <t xml:space="preserve">
</t>
    </r>
    <r>
      <rPr>
        <sz val="10"/>
        <color theme="1"/>
        <rFont val="宋体"/>
        <family val="1"/>
        <charset val="134"/>
      </rPr>
      <t>毁灭之颚</t>
    </r>
    <r>
      <rPr>
        <sz val="10"/>
        <color theme="1"/>
        <rFont val="Times New Roman"/>
        <family val="1"/>
      </rPr>
      <t>Jaws of Doom</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暗蚀伤害（总计额外</t>
    </r>
    <r>
      <rPr>
        <sz val="10"/>
        <color theme="1"/>
        <rFont val="Times New Roman"/>
        <family val="1"/>
      </rPr>
      <t>2d6</t>
    </r>
    <r>
      <rPr>
        <sz val="10"/>
        <color theme="1"/>
        <rFont val="宋体"/>
        <family val="1"/>
        <charset val="134"/>
      </rPr>
      <t>伤害）。</t>
    </r>
    <r>
      <rPr>
        <sz val="10"/>
        <color theme="1"/>
        <rFont val="Times New Roman"/>
        <family val="1"/>
      </rPr>
      <t xml:space="preserve">
</t>
    </r>
    <r>
      <rPr>
        <sz val="10"/>
        <color theme="1"/>
        <rFont val="宋体"/>
        <family val="1"/>
        <charset val="134"/>
      </rPr>
      <t>终亡印记</t>
    </r>
    <r>
      <rPr>
        <sz val="10"/>
        <color theme="1"/>
        <rFont val="Times New Roman"/>
        <family val="1"/>
      </rPr>
      <t>Marked for Death</t>
    </r>
    <r>
      <rPr>
        <sz val="10"/>
        <color theme="1"/>
        <rFont val="宋体"/>
        <family val="1"/>
        <charset val="134"/>
      </rPr>
      <t>。</t>
    </r>
    <r>
      <rPr>
        <sz val="10"/>
        <color theme="1"/>
        <rFont val="Times New Roman"/>
        <family val="1"/>
      </rPr>
      <t xml:space="preserve"> </t>
    </r>
    <r>
      <rPr>
        <sz val="10"/>
        <color theme="1"/>
        <rFont val="宋体"/>
        <family val="1"/>
        <charset val="134"/>
      </rPr>
      <t>当你使用死兆星闪时，你可以迫使目标进行一次对抗你法术豁免</t>
    </r>
    <r>
      <rPr>
        <sz val="10"/>
        <color theme="1"/>
        <rFont val="Times New Roman"/>
        <family val="1"/>
      </rPr>
      <t>DC</t>
    </r>
    <r>
      <rPr>
        <sz val="10"/>
        <color theme="1"/>
        <rFont val="宋体"/>
        <family val="1"/>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phoneticPr fontId="68" type="noConversion"/>
  </si>
  <si>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phoneticPr fontId="68" type="noConversion"/>
  </si>
  <si>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phoneticPr fontId="68" type="noConversion"/>
  </si>
  <si>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phoneticPr fontId="68" type="noConversion"/>
  </si>
  <si>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phoneticPr fontId="68" type="noConversion"/>
  </si>
  <si>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phoneticPr fontId="68" type="noConversion"/>
  </si>
  <si>
    <t>川流之誓法术</t>
    <phoneticPr fontId="68" type="noConversion"/>
  </si>
  <si>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phoneticPr fontId="68" type="noConversion"/>
  </si>
  <si>
    <t>引导神力</t>
    <phoneticPr fontId="68" type="noConversion"/>
  </si>
  <si>
    <t>川流灵光</t>
    <phoneticPr fontId="68" type="noConversion"/>
  </si>
  <si>
    <t>护卫之灵</t>
    <phoneticPr fontId="68" type="noConversion"/>
  </si>
  <si>
    <t>身化长川</t>
    <phoneticPr fontId="68" type="noConversion"/>
  </si>
  <si>
    <t>惩奸除恶</t>
    <phoneticPr fontId="68" type="noConversion"/>
  </si>
  <si>
    <r>
      <rPr>
        <sz val="10"/>
        <color theme="1"/>
        <rFont val="宋体"/>
        <family val="1"/>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1"/>
        <charset val="134"/>
      </rPr>
      <t>尺范围内至多等于你魅力调整值（至少为</t>
    </r>
    <r>
      <rPr>
        <sz val="10"/>
        <color theme="1"/>
        <rFont val="Times New Roman"/>
        <family val="1"/>
      </rPr>
      <t>1</t>
    </r>
    <r>
      <rPr>
        <sz val="10"/>
        <color theme="1"/>
        <rFont val="宋体"/>
        <family val="1"/>
        <charset val="134"/>
      </rPr>
      <t>）的你可见的生物。每个生物都必须进行一次力量豁免，豁免失败则被戴上烈焰镣铐，其速度减少至</t>
    </r>
    <r>
      <rPr>
        <sz val="10"/>
        <color theme="1"/>
        <rFont val="Times New Roman"/>
        <family val="1"/>
      </rPr>
      <t>0</t>
    </r>
    <r>
      <rPr>
        <sz val="10"/>
        <color theme="1"/>
        <rFont val="宋体"/>
        <family val="1"/>
        <charset val="134"/>
      </rPr>
      <t>。你可以使用附赠动作令镣铐爆发炽焰。所有被镣铐锁缚的生物都会受到</t>
    </r>
    <r>
      <rPr>
        <sz val="10"/>
        <color theme="1"/>
        <rFont val="Times New Roman"/>
        <family val="1"/>
      </rPr>
      <t>2d6</t>
    </r>
    <r>
      <rPr>
        <sz val="10"/>
        <color theme="1"/>
        <rFont val="宋体"/>
        <family val="1"/>
        <charset val="134"/>
      </rPr>
      <t>火焰伤害。被镣铐锁缚的生物在其回合结束时重复豁免，成功则终止其身上的该效应。</t>
    </r>
    <r>
      <rPr>
        <sz val="10"/>
        <color theme="1"/>
        <rFont val="Times New Roman"/>
        <family val="1"/>
      </rPr>
      <t>1</t>
    </r>
    <r>
      <rPr>
        <sz val="10"/>
        <color theme="1"/>
        <rFont val="宋体"/>
        <family val="1"/>
        <charset val="134"/>
      </rPr>
      <t>分钟后，其豁免自动成功。</t>
    </r>
    <phoneticPr fontId="68" type="noConversion"/>
  </si>
  <si>
    <t>诘问真心</t>
    <phoneticPr fontId="68" type="noConversion"/>
  </si>
  <si>
    <r>
      <rPr>
        <sz val="10"/>
        <color theme="1"/>
        <rFont val="宋体"/>
        <family val="1"/>
        <charset val="134"/>
      </rPr>
      <t>你可以使用魔法动作消耗一次引导神力的使用次数，以更好地搜寻邪恶与腐化。在接下来的</t>
    </r>
    <r>
      <rPr>
        <sz val="10"/>
        <color theme="1"/>
        <rFont val="Times New Roman"/>
        <family val="1"/>
      </rPr>
      <t>10</t>
    </r>
    <r>
      <rPr>
        <sz val="10"/>
        <color theme="1"/>
        <rFont val="宋体"/>
        <family val="1"/>
        <charset val="134"/>
      </rPr>
      <t>分钟内，你在感知（洞悉）和智力（调查）检定中具有优势。</t>
    </r>
    <r>
      <rPr>
        <sz val="10"/>
        <color theme="1"/>
        <rFont val="Times New Roman"/>
        <family val="1"/>
      </rPr>
      <t xml:space="preserve">
</t>
    </r>
    <r>
      <rPr>
        <sz val="10"/>
        <color theme="1"/>
        <rFont val="宋体"/>
        <family val="1"/>
        <charset val="134"/>
      </rPr>
      <t>持续时间内，你可以使用附赠动作选择你周边</t>
    </r>
    <r>
      <rPr>
        <sz val="10"/>
        <color theme="1"/>
        <rFont val="Times New Roman"/>
        <family val="1"/>
      </rPr>
      <t>10</t>
    </r>
    <r>
      <rPr>
        <sz val="10"/>
        <color theme="1"/>
        <rFont val="宋体"/>
        <family val="1"/>
        <charset val="134"/>
      </rPr>
      <t>尺范围内一个你可见的生物。目标必须进行一次魅力豁免，豁免失败则陷入恐慌状态，持续</t>
    </r>
    <r>
      <rPr>
        <sz val="10"/>
        <color theme="1"/>
        <rFont val="Times New Roman"/>
        <family val="1"/>
      </rPr>
      <t>1</t>
    </r>
    <r>
      <rPr>
        <sz val="10"/>
        <color theme="1"/>
        <rFont val="宋体"/>
        <family val="1"/>
        <charset val="134"/>
      </rPr>
      <t>分钟。以这种方式陷入恐慌状态期间，目标不能故意说谎。如果目标受到伤害，或者你再次使用该附赠动作，则此状态提前结束。</t>
    </r>
    <phoneticPr fontId="68" type="noConversion"/>
  </si>
  <si>
    <t>惩戒之誓法术</t>
    <phoneticPr fontId="68" type="noConversion"/>
  </si>
  <si>
    <r>
      <rPr>
        <sz val="10"/>
        <color theme="1"/>
        <rFont val="宋体"/>
        <family val="1"/>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1"/>
        <charset val="134"/>
      </rPr>
      <t>惩戒之誓法术</t>
    </r>
    <r>
      <rPr>
        <sz val="10"/>
        <color theme="1"/>
        <rFont val="Times New Roman"/>
        <family val="1"/>
      </rPr>
      <t xml:space="preserve">Oath of Castigation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神恩</t>
    </r>
    <r>
      <rPr>
        <sz val="10"/>
        <color theme="1"/>
        <rFont val="Times New Roman"/>
        <family val="1"/>
      </rPr>
      <t>Divine Favor</t>
    </r>
    <r>
      <rPr>
        <sz val="10"/>
        <color theme="1"/>
        <rFont val="宋体"/>
        <family val="1"/>
        <charset val="134"/>
      </rPr>
      <t>，致伤术</t>
    </r>
    <r>
      <rPr>
        <sz val="10"/>
        <color theme="1"/>
        <rFont val="Times New Roman"/>
        <family val="1"/>
      </rPr>
      <t xml:space="preserve">Inflict Wounds	
5 </t>
    </r>
    <r>
      <rPr>
        <sz val="10"/>
        <color theme="1"/>
        <rFont val="宋体"/>
        <family val="1"/>
        <charset val="134"/>
      </rPr>
      <t>判罪锁链</t>
    </r>
    <r>
      <rPr>
        <sz val="10"/>
        <color theme="1"/>
        <rFont val="Times New Roman"/>
        <family val="1"/>
      </rPr>
      <t>Chain of Conviction</t>
    </r>
    <r>
      <rPr>
        <sz val="10"/>
        <color theme="1"/>
        <rFont val="宋体"/>
        <family val="1"/>
        <charset val="134"/>
      </rPr>
      <t>，定身类人</t>
    </r>
    <r>
      <rPr>
        <sz val="10"/>
        <color theme="1"/>
        <rFont val="Times New Roman"/>
        <family val="1"/>
      </rPr>
      <t xml:space="preserve">Hold Person	
9 </t>
    </r>
    <r>
      <rPr>
        <sz val="10"/>
        <color theme="1"/>
        <rFont val="宋体"/>
        <family val="1"/>
        <charset val="134"/>
      </rPr>
      <t>法术反制</t>
    </r>
    <r>
      <rPr>
        <sz val="10"/>
        <color theme="1"/>
        <rFont val="Times New Roman"/>
        <family val="1"/>
      </rPr>
      <t>Counterspell</t>
    </r>
    <r>
      <rPr>
        <sz val="10"/>
        <color theme="1"/>
        <rFont val="宋体"/>
        <family val="1"/>
        <charset val="134"/>
      </rPr>
      <t>，死者交谈</t>
    </r>
    <r>
      <rPr>
        <sz val="10"/>
        <color theme="1"/>
        <rFont val="Times New Roman"/>
        <family val="1"/>
      </rPr>
      <t xml:space="preserve">Speak with Dead	
13 </t>
    </r>
    <r>
      <rPr>
        <sz val="10"/>
        <color theme="1"/>
        <rFont val="宋体"/>
        <family val="1"/>
        <charset val="134"/>
      </rPr>
      <t>薪火焚身</t>
    </r>
    <r>
      <rPr>
        <sz val="10"/>
        <color theme="1"/>
        <rFont val="Times New Roman"/>
        <family val="1"/>
      </rPr>
      <t>Consuming Pyre</t>
    </r>
    <r>
      <rPr>
        <sz val="10"/>
        <color theme="1"/>
        <rFont val="宋体"/>
        <family val="1"/>
        <charset val="134"/>
      </rPr>
      <t>，生物定位术</t>
    </r>
    <r>
      <rPr>
        <sz val="10"/>
        <color theme="1"/>
        <rFont val="Times New Roman"/>
        <family val="1"/>
      </rPr>
      <t xml:space="preserve">Locate Creature	
17 </t>
    </r>
    <r>
      <rPr>
        <sz val="10"/>
        <color theme="1"/>
        <rFont val="宋体"/>
        <family val="1"/>
        <charset val="134"/>
      </rPr>
      <t>焰击术</t>
    </r>
    <r>
      <rPr>
        <sz val="10"/>
        <color theme="1"/>
        <rFont val="Times New Roman"/>
        <family val="1"/>
      </rPr>
      <t>Flame Strike</t>
    </r>
    <r>
      <rPr>
        <sz val="10"/>
        <color theme="1"/>
        <rFont val="宋体"/>
        <family val="1"/>
        <charset val="134"/>
      </rPr>
      <t>，定身怪物</t>
    </r>
    <r>
      <rPr>
        <sz val="10"/>
        <color theme="1"/>
        <rFont val="Times New Roman"/>
        <family val="1"/>
      </rPr>
      <t>Hold Monster</t>
    </r>
    <phoneticPr fontId="68" type="noConversion"/>
  </si>
  <si>
    <t>火种灵光</t>
    <phoneticPr fontId="68" type="noConversion"/>
  </si>
  <si>
    <r>
      <rPr>
        <sz val="10"/>
        <color theme="1"/>
        <rFont val="宋体"/>
        <family val="1"/>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1"/>
        <charset val="134"/>
      </rPr>
      <t>此外，你和灵光内受影响生物可以将你的魅力调整值（至少为</t>
    </r>
    <r>
      <rPr>
        <sz val="10"/>
        <color theme="1"/>
        <rFont val="Times New Roman"/>
        <family val="1"/>
      </rPr>
      <t>+1</t>
    </r>
    <r>
      <rPr>
        <sz val="10"/>
        <color theme="1"/>
        <rFont val="宋体"/>
        <family val="1"/>
        <charset val="134"/>
      </rPr>
      <t>）加入感知（洞悉）和智力（调查）检定中。</t>
    </r>
    <phoneticPr fontId="68" type="noConversion"/>
  </si>
  <si>
    <t>炽诚审判</t>
    <phoneticPr fontId="68" type="noConversion"/>
  </si>
  <si>
    <r>
      <rPr>
        <sz val="10"/>
        <color theme="1"/>
        <rFont val="宋体"/>
        <family val="1"/>
        <charset val="134"/>
      </rPr>
      <t>当一个生物对你或你周边</t>
    </r>
    <r>
      <rPr>
        <sz val="10"/>
        <color theme="1"/>
        <rFont val="Times New Roman"/>
        <family val="1"/>
      </rPr>
      <t>30</t>
    </r>
    <r>
      <rPr>
        <sz val="10"/>
        <color theme="1"/>
        <rFont val="宋体"/>
        <family val="1"/>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1"/>
        <charset val="134"/>
      </rPr>
      <t>此外，当你对一个处于浴血的生物造成火焰或光耀伤害时，你会察觉到该生物在过去</t>
    </r>
    <r>
      <rPr>
        <sz val="10"/>
        <color theme="1"/>
        <rFont val="Times New Roman"/>
        <family val="1"/>
      </rPr>
      <t>24</t>
    </r>
    <r>
      <rPr>
        <sz val="10"/>
        <color theme="1"/>
        <rFont val="宋体"/>
        <family val="1"/>
        <charset val="134"/>
      </rPr>
      <t>小时内曾自愿且故意对你说过的任何谎言。</t>
    </r>
    <phoneticPr fontId="68" type="noConversion"/>
  </si>
  <si>
    <t>硫磺烈火</t>
    <phoneticPr fontId="68" type="noConversion"/>
  </si>
  <si>
    <r>
      <rPr>
        <sz val="10"/>
        <color theme="1"/>
        <rFont val="宋体"/>
        <family val="1"/>
        <charset val="134"/>
      </rPr>
      <t>你可以使用附赠动作来化身涤罪之焰并获得以下增益，持续</t>
    </r>
    <r>
      <rPr>
        <sz val="10"/>
        <color theme="1"/>
        <rFont val="Times New Roman"/>
        <family val="1"/>
      </rPr>
      <t>10</t>
    </r>
    <r>
      <rPr>
        <sz val="10"/>
        <color theme="1"/>
        <rFont val="宋体"/>
        <family val="1"/>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1"/>
        <charset val="134"/>
      </rPr>
      <t>炽焰意志</t>
    </r>
    <r>
      <rPr>
        <sz val="10"/>
        <color theme="1"/>
        <rFont val="Times New Roman"/>
        <family val="1"/>
      </rPr>
      <t>Blazing Ardor</t>
    </r>
    <r>
      <rPr>
        <sz val="10"/>
        <color theme="1"/>
        <rFont val="宋体"/>
        <family val="1"/>
        <charset val="134"/>
      </rPr>
      <t>。</t>
    </r>
    <r>
      <rPr>
        <sz val="10"/>
        <color theme="1"/>
        <rFont val="Times New Roman"/>
        <family val="1"/>
      </rPr>
      <t xml:space="preserve"> </t>
    </r>
    <r>
      <rPr>
        <sz val="10"/>
        <color theme="1"/>
        <rFont val="宋体"/>
        <family val="1"/>
        <charset val="134"/>
      </rPr>
      <t>你免疫火焰伤害。</t>
    </r>
    <r>
      <rPr>
        <sz val="10"/>
        <color theme="1"/>
        <rFont val="Times New Roman"/>
        <family val="1"/>
      </rPr>
      <t xml:space="preserve">
</t>
    </r>
    <r>
      <rPr>
        <sz val="10"/>
        <color theme="1"/>
        <rFont val="宋体"/>
        <family val="1"/>
        <charset val="134"/>
      </rPr>
      <t>无情审判</t>
    </r>
    <r>
      <rPr>
        <sz val="10"/>
        <color theme="1"/>
        <rFont val="Times New Roman"/>
        <family val="1"/>
      </rPr>
      <t>Relentless Judgment</t>
    </r>
    <r>
      <rPr>
        <sz val="10"/>
        <color theme="1"/>
        <rFont val="宋体"/>
        <family val="1"/>
        <charset val="134"/>
      </rPr>
      <t>。</t>
    </r>
    <r>
      <rPr>
        <sz val="10"/>
        <color theme="1"/>
        <rFont val="Times New Roman"/>
        <family val="1"/>
      </rPr>
      <t xml:space="preserve"> </t>
    </r>
    <r>
      <rPr>
        <sz val="10"/>
        <color theme="1"/>
        <rFont val="宋体"/>
        <family val="1"/>
        <charset val="134"/>
      </rPr>
      <t>你的触及范围增加</t>
    </r>
    <r>
      <rPr>
        <sz val="10"/>
        <color theme="1"/>
        <rFont val="Times New Roman"/>
        <family val="1"/>
      </rPr>
      <t>10</t>
    </r>
    <r>
      <rPr>
        <sz val="10"/>
        <color theme="1"/>
        <rFont val="宋体"/>
        <family val="1"/>
        <charset val="134"/>
      </rPr>
      <t>尺，且你的近战攻击无视半身掩护和四分之三掩护。</t>
    </r>
    <r>
      <rPr>
        <sz val="10"/>
        <color theme="1"/>
        <rFont val="Times New Roman"/>
        <family val="1"/>
      </rPr>
      <t xml:space="preserve">
</t>
    </r>
    <r>
      <rPr>
        <sz val="10"/>
        <color theme="1"/>
        <rFont val="宋体"/>
        <family val="1"/>
        <charset val="134"/>
      </rPr>
      <t>罪无可赦</t>
    </r>
    <r>
      <rPr>
        <sz val="10"/>
        <color theme="1"/>
        <rFont val="Times New Roman"/>
        <family val="1"/>
      </rPr>
      <t>Punish the Wicked</t>
    </r>
    <r>
      <rPr>
        <sz val="10"/>
        <color theme="1"/>
        <rFont val="宋体"/>
        <family val="1"/>
        <charset val="134"/>
      </rPr>
      <t>。</t>
    </r>
    <r>
      <rPr>
        <sz val="10"/>
        <color theme="1"/>
        <rFont val="Times New Roman"/>
        <family val="1"/>
      </rPr>
      <t xml:space="preserve"> </t>
    </r>
    <r>
      <rPr>
        <sz val="10"/>
        <color theme="1"/>
        <rFont val="宋体"/>
        <family val="1"/>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1"/>
        <charset val="134"/>
      </rPr>
      <t>，直至其下一回合开始。</t>
    </r>
    <phoneticPr fontId="68" type="noConversion"/>
  </si>
  <si>
    <t>狂欢之誓法术</t>
    <phoneticPr fontId="68" type="noConversion"/>
  </si>
  <si>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phoneticPr fontId="68" type="noConversion"/>
  </si>
  <si>
    <t>嗟，来饮！</t>
    <phoneticPr fontId="68" type="noConversion"/>
  </si>
  <si>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phoneticPr fontId="68" type="noConversion"/>
  </si>
  <si>
    <t>情谊灵光</t>
    <phoneticPr fontId="68" type="noConversion"/>
  </si>
  <si>
    <t>你和位于你守护灵光内的盟友以近战武器或徒手打击攻击时额外造成1d4的伤害。</t>
    <phoneticPr fontId="68" type="noConversion"/>
  </si>
  <si>
    <t>快乐崇拜</t>
    <phoneticPr fontId="68" type="noConversion"/>
  </si>
  <si>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phoneticPr fontId="68" type="noConversion"/>
  </si>
  <si>
    <t>派对嗨客</t>
    <phoneticPr fontId="68" type="noConversion"/>
  </si>
  <si>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phoneticPr fontId="68" type="noConversion"/>
  </si>
  <si>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phoneticPr fontId="68" type="noConversion"/>
  </si>
  <si>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phoneticPr fontId="68" type="noConversion"/>
  </si>
  <si>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phoneticPr fontId="68" type="noConversion"/>
  </si>
  <si>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phoneticPr fontId="68" type="noConversion"/>
  </si>
  <si>
    <t>连招</t>
    <phoneticPr fontId="68" type="noConversion"/>
  </si>
  <si>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phoneticPr fontId="68" type="noConversion"/>
  </si>
  <si>
    <t>铁拳</t>
    <phoneticPr fontId="68" type="noConversion"/>
  </si>
  <si>
    <t xml:space="preserve">每当你使用徒手打击命中一个物件时，该次命中即为重击命中。  </t>
    <phoneticPr fontId="68" type="noConversion"/>
  </si>
  <si>
    <t>必杀技</t>
    <phoneticPr fontId="68" type="noConversion"/>
  </si>
  <si>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phoneticPr fontId="68" type="noConversion"/>
  </si>
  <si>
    <t>凌空袭</t>
    <phoneticPr fontId="68" type="noConversion"/>
  </si>
  <si>
    <t>在你的回合中，你可以消耗1点功力以获得等于你速度的飞行速度，持续至你的下个回合结束（无需动作）。你在当前回合结束前进行的下次近战攻击具有优势。</t>
    <phoneticPr fontId="68" type="noConversion"/>
  </si>
  <si>
    <t>K.O.</t>
    <phoneticPr fontId="68" type="noConversion"/>
  </si>
  <si>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phoneticPr fontId="68" type="noConversion"/>
  </si>
  <si>
    <t>羊羔牧者</t>
    <phoneticPr fontId="68" type="noConversion"/>
  </si>
  <si>
    <t>劲风射击</t>
    <phoneticPr fontId="68" type="noConversion"/>
  </si>
  <si>
    <t>灵活截击</t>
    <phoneticPr fontId="68" type="noConversion"/>
  </si>
  <si>
    <t>腾风</t>
    <phoneticPr fontId="68" type="noConversion"/>
  </si>
  <si>
    <t>牧人指引</t>
    <phoneticPr fontId="68" type="noConversion"/>
  </si>
  <si>
    <t>疫病之道</t>
    <phoneticPr fontId="68" type="noConversion"/>
  </si>
  <si>
    <r>
      <rPr>
        <sz val="10"/>
        <color theme="1"/>
        <rFont val="宋体"/>
        <family val="1"/>
        <charset val="134"/>
      </rPr>
      <t>你已将疫病之力炼入体内，如今可以将其显化在外。你获得以下增益：</t>
    </r>
    <r>
      <rPr>
        <sz val="10"/>
        <color theme="1"/>
        <rFont val="Times New Roman"/>
        <family val="1"/>
      </rPr>
      <t xml:space="preserve">
</t>
    </r>
    <r>
      <rPr>
        <sz val="10"/>
        <color theme="1"/>
        <rFont val="宋体"/>
        <family val="1"/>
        <charset val="134"/>
      </rPr>
      <t>疠爪</t>
    </r>
    <r>
      <rPr>
        <sz val="10"/>
        <color theme="1"/>
        <rFont val="Times New Roman"/>
        <family val="1"/>
      </rPr>
      <t>Claws of Pestilence</t>
    </r>
    <r>
      <rPr>
        <sz val="10"/>
        <color theme="1"/>
        <rFont val="宋体"/>
        <family val="1"/>
        <charset val="134"/>
      </rPr>
      <t>。</t>
    </r>
    <r>
      <rPr>
        <sz val="10"/>
        <color theme="1"/>
        <rFont val="Times New Roman"/>
        <family val="1"/>
      </rPr>
      <t xml:space="preserve"> </t>
    </r>
    <r>
      <rPr>
        <sz val="10"/>
        <color theme="1"/>
        <rFont val="宋体"/>
        <family val="1"/>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1"/>
        <charset val="134"/>
      </rPr>
      <t>毒瘴疫病</t>
    </r>
    <r>
      <rPr>
        <sz val="10"/>
        <color theme="1"/>
        <rFont val="Times New Roman"/>
        <family val="1"/>
      </rPr>
      <t>Miasmic Plague</t>
    </r>
    <r>
      <rPr>
        <sz val="10"/>
        <color theme="1"/>
        <rFont val="宋体"/>
        <family val="1"/>
        <charset val="134"/>
      </rPr>
      <t>。</t>
    </r>
    <r>
      <rPr>
        <sz val="10"/>
        <color theme="1"/>
        <rFont val="Times New Roman"/>
        <family val="1"/>
      </rPr>
      <t xml:space="preserve"> </t>
    </r>
    <r>
      <rPr>
        <sz val="10"/>
        <color theme="1"/>
        <rFont val="宋体"/>
        <family val="1"/>
        <charset val="134"/>
      </rPr>
      <t>当你以徒手打击命中一个生物时，你可以消耗</t>
    </r>
    <r>
      <rPr>
        <sz val="10"/>
        <color theme="1"/>
        <rFont val="Times New Roman"/>
        <family val="1"/>
      </rPr>
      <t>1</t>
    </r>
    <r>
      <rPr>
        <sz val="10"/>
        <color theme="1"/>
        <rFont val="宋体"/>
        <family val="1"/>
        <charset val="134"/>
      </rPr>
      <t>点功力迫使该生物进行一次体质豁免，豁免失败则该生物被诅咒，持续</t>
    </r>
    <r>
      <rPr>
        <sz val="10"/>
        <color theme="1"/>
        <rFont val="Times New Roman"/>
        <family val="1"/>
      </rPr>
      <t>1</t>
    </r>
    <r>
      <rPr>
        <sz val="10"/>
        <color theme="1"/>
        <rFont val="宋体"/>
        <family val="1"/>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1"/>
        <charset val="134"/>
      </rPr>
      <t>如果你放弃疠爪赋予的额外伤害，则你可以不消耗功力地使用毒瘴疫病。</t>
    </r>
    <phoneticPr fontId="68" type="noConversion"/>
  </si>
  <si>
    <t>疫赐感悟</t>
    <phoneticPr fontId="68" type="noConversion"/>
  </si>
  <si>
    <r>
      <rPr>
        <sz val="10"/>
        <color theme="1"/>
        <rFont val="宋体"/>
        <family val="1"/>
        <charset val="134"/>
      </rPr>
      <t>经由观察与冥想，你对瘟疫之性与其承载之物产生了深刻共鸣。你获得以下增益：</t>
    </r>
    <r>
      <rPr>
        <sz val="10"/>
        <color theme="1"/>
        <rFont val="Times New Roman"/>
        <family val="1"/>
      </rPr>
      <t xml:space="preserve">
</t>
    </r>
    <r>
      <rPr>
        <sz val="10"/>
        <color theme="1"/>
        <rFont val="宋体"/>
        <family val="1"/>
        <charset val="134"/>
      </rPr>
      <t>预防接种</t>
    </r>
    <r>
      <rPr>
        <sz val="10"/>
        <color theme="1"/>
        <rFont val="Times New Roman"/>
        <family val="1"/>
      </rPr>
      <t>Inoculation</t>
    </r>
    <r>
      <rPr>
        <sz val="10"/>
        <color theme="1"/>
        <rFont val="宋体"/>
        <family val="1"/>
        <charset val="134"/>
      </rPr>
      <t>。</t>
    </r>
    <r>
      <rPr>
        <sz val="10"/>
        <color theme="1"/>
        <rFont val="Times New Roman"/>
        <family val="1"/>
      </rPr>
      <t xml:space="preserve"> </t>
    </r>
    <r>
      <rPr>
        <sz val="10"/>
        <color theme="1"/>
        <rFont val="宋体"/>
        <family val="1"/>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1"/>
        <charset val="134"/>
      </rPr>
      <t>害兽亲缘</t>
    </r>
    <r>
      <rPr>
        <sz val="10"/>
        <color theme="1"/>
        <rFont val="Times New Roman"/>
        <family val="1"/>
      </rPr>
      <t>Vermin Kinship</t>
    </r>
    <r>
      <rPr>
        <sz val="10"/>
        <color theme="1"/>
        <rFont val="宋体"/>
        <family val="1"/>
        <charset val="134"/>
      </rPr>
      <t>。</t>
    </r>
    <r>
      <rPr>
        <sz val="10"/>
        <color theme="1"/>
        <rFont val="Times New Roman"/>
        <family val="1"/>
      </rPr>
      <t xml:space="preserve"> </t>
    </r>
    <r>
      <rPr>
        <sz val="10"/>
        <color theme="1"/>
        <rFont val="宋体"/>
        <family val="1"/>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1"/>
        <charset val="134"/>
      </rPr>
      <t>此外，你可以使用感知作为施法属性来施展法术动物信使</t>
    </r>
    <r>
      <rPr>
        <sz val="10"/>
        <color theme="1"/>
        <rFont val="Times New Roman"/>
        <family val="1"/>
      </rPr>
      <t xml:space="preserve">Animal Messenger </t>
    </r>
    <r>
      <rPr>
        <sz val="10"/>
        <color theme="1"/>
        <rFont val="宋体"/>
        <family val="1"/>
        <charset val="134"/>
      </rPr>
      <t>，将一个被视为害兽且能够传播疫病的微型野兽作为目标。一旦你以此方式施展了该法术，则直至你完成一次长休前，都无法再次这么做。</t>
    </r>
    <phoneticPr fontId="68" type="noConversion"/>
  </si>
  <si>
    <t>烈性瘟疫</t>
    <phoneticPr fontId="68" type="noConversion"/>
  </si>
  <si>
    <t>你的瘟疫毒株变得更加剧毒和致命。当你造成暗蚀或毒素伤害时，你忽略目标对这些伤害类型的抗性（如果有）。</t>
    <phoneticPr fontId="68" type="noConversion"/>
  </si>
  <si>
    <t>报丧香炉</t>
    <phoneticPr fontId="68" type="noConversion"/>
  </si>
  <si>
    <r>
      <rPr>
        <sz val="10"/>
        <color theme="1"/>
        <rFont val="宋体"/>
        <family val="1"/>
        <charset val="134"/>
      </rPr>
      <t>你可以向敌人释放一团瘴气。你可以使用魔法动作消耗</t>
    </r>
    <r>
      <rPr>
        <sz val="10"/>
        <color theme="1"/>
        <rFont val="Times New Roman"/>
        <family val="1"/>
      </rPr>
      <t>2</t>
    </r>
    <r>
      <rPr>
        <sz val="10"/>
        <color theme="1"/>
        <rFont val="宋体"/>
        <family val="1"/>
        <charset val="134"/>
      </rPr>
      <t>点功力，在源自你的</t>
    </r>
    <r>
      <rPr>
        <sz val="10"/>
        <color theme="1"/>
        <rFont val="Times New Roman"/>
        <family val="1"/>
      </rPr>
      <t>20</t>
    </r>
    <r>
      <rPr>
        <sz val="10"/>
        <color theme="1"/>
        <rFont val="宋体"/>
        <family val="1"/>
        <charset val="134"/>
      </rPr>
      <t>尺光环区域中释放瘴气。该区域内所有你选择的生物都必须进行一次体质豁免，豁免失败则其受到等于两枚你的武艺骰的暗蚀伤害并被你的毒瘴疫病诅咒，豁免成功则仅半伤。</t>
    </r>
    <phoneticPr fontId="68" type="noConversion"/>
  </si>
  <si>
    <t>致病毒瘴</t>
    <phoneticPr fontId="68" type="noConversion"/>
  </si>
  <si>
    <r>
      <rPr>
        <sz val="10"/>
        <color theme="1"/>
        <rFont val="宋体"/>
        <family val="1"/>
        <charset val="134"/>
      </rPr>
      <t>你的毒瘴疫病威力增强，赋予你以下增益：</t>
    </r>
    <r>
      <rPr>
        <sz val="10"/>
        <color theme="1"/>
        <rFont val="Times New Roman"/>
        <family val="1"/>
      </rPr>
      <t xml:space="preserve">
</t>
    </r>
    <r>
      <rPr>
        <sz val="10"/>
        <color theme="1"/>
        <rFont val="宋体"/>
        <family val="1"/>
        <charset val="134"/>
      </rPr>
      <t>窒息毒瘴</t>
    </r>
    <r>
      <rPr>
        <sz val="10"/>
        <color theme="1"/>
        <rFont val="Times New Roman"/>
        <family val="1"/>
      </rPr>
      <t>Choking Miasma</t>
    </r>
    <r>
      <rPr>
        <sz val="10"/>
        <color theme="1"/>
        <rFont val="宋体"/>
        <family val="1"/>
        <charset val="134"/>
      </rPr>
      <t>。</t>
    </r>
    <r>
      <rPr>
        <sz val="10"/>
        <color theme="1"/>
        <rFont val="Times New Roman"/>
        <family val="1"/>
      </rPr>
      <t xml:space="preserve"> </t>
    </r>
    <r>
      <rPr>
        <sz val="10"/>
        <color theme="1"/>
        <rFont val="宋体"/>
        <family val="1"/>
        <charset val="134"/>
      </rPr>
      <t>为对抗你的毒瘴疫病而进行的体质豁免具有劣势。</t>
    </r>
    <r>
      <rPr>
        <sz val="10"/>
        <color theme="1"/>
        <rFont val="Times New Roman"/>
        <family val="1"/>
      </rPr>
      <t xml:space="preserve">
</t>
    </r>
    <r>
      <rPr>
        <sz val="10"/>
        <color theme="1"/>
        <rFont val="宋体"/>
        <family val="1"/>
        <charset val="134"/>
      </rPr>
      <t>迅速传播</t>
    </r>
    <r>
      <rPr>
        <sz val="10"/>
        <color theme="1"/>
        <rFont val="Times New Roman"/>
        <family val="1"/>
      </rPr>
      <t>Scurrying Spread</t>
    </r>
    <r>
      <rPr>
        <sz val="10"/>
        <color theme="1"/>
        <rFont val="宋体"/>
        <family val="1"/>
        <charset val="134"/>
      </rPr>
      <t>。</t>
    </r>
    <r>
      <rPr>
        <sz val="10"/>
        <color theme="1"/>
        <rFont val="Times New Roman"/>
        <family val="1"/>
      </rPr>
      <t xml:space="preserve"> </t>
    </r>
    <r>
      <rPr>
        <sz val="10"/>
        <color theme="1"/>
        <rFont val="宋体"/>
        <family val="1"/>
        <charset val="134"/>
      </rPr>
      <t>当你消耗</t>
    </r>
    <r>
      <rPr>
        <sz val="10"/>
        <color theme="1"/>
        <rFont val="Times New Roman"/>
        <family val="1"/>
      </rPr>
      <t>1</t>
    </r>
    <r>
      <rPr>
        <sz val="10"/>
        <color theme="1"/>
        <rFont val="宋体"/>
        <family val="1"/>
        <charset val="134"/>
      </rPr>
      <t>点功力使用疾步如风时，直至该回合结束，当你进入你选择的任意生物</t>
    </r>
    <r>
      <rPr>
        <sz val="10"/>
        <color theme="1"/>
        <rFont val="Times New Roman"/>
        <family val="1"/>
      </rPr>
      <t>5</t>
    </r>
    <r>
      <rPr>
        <sz val="10"/>
        <color theme="1"/>
        <rFont val="宋体"/>
        <family val="1"/>
        <charset val="134"/>
      </rPr>
      <t>尺内的空间时，其必须进行一次体质豁免，豁免失败则被你的毒瘴疫病诅咒。一个生物每回合只进行一次此豁免。</t>
    </r>
    <phoneticPr fontId="68" type="noConversion"/>
  </si>
  <si>
    <t>疫劫降临</t>
    <phoneticPr fontId="68" type="noConversion"/>
  </si>
  <si>
    <r>
      <rPr>
        <sz val="10"/>
        <color theme="1"/>
        <rFont val="宋体"/>
        <family val="1"/>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1"/>
        <charset val="134"/>
      </rPr>
      <t>此外，当你对一个被你的毒瘴疫病诅咒的目标造成暗蚀伤害时，它额外受到等于你武艺骰的暗蚀伤害。</t>
    </r>
    <phoneticPr fontId="68" type="noConversion"/>
  </si>
  <si>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phoneticPr fontId="68" type="noConversion"/>
  </si>
  <si>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phoneticPr fontId="68" type="noConversion"/>
  </si>
  <si>
    <t>你的护卫天性在为附近的盟友巧妙偏转伤害的瞬间得到展现。当一个10尺内的友方生物被一次攻击命中时，你可消耗1点气并使用反应动作，使其所受伤害减少你的1个武艺骰+你的敏捷调整值。</t>
    <phoneticPr fontId="68" type="noConversion"/>
  </si>
  <si>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phoneticPr fontId="68" type="noConversion"/>
  </si>
  <si>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phoneticPr fontId="68" type="noConversion"/>
  </si>
  <si>
    <t>破门突袭</t>
    <phoneticPr fontId="68" type="noConversion"/>
  </si>
  <si>
    <t>你在战斗的第一轮进行的攻击检定具有优势。</t>
    <phoneticPr fontId="68" type="noConversion"/>
  </si>
  <si>
    <t>英雄迷信</t>
    <phoneticPr fontId="68" type="noConversion"/>
  </si>
  <si>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phoneticPr fontId="68" type="noConversion"/>
  </si>
  <si>
    <t>地城预防措施</t>
    <phoneticPr fontId="68" type="noConversion"/>
  </si>
  <si>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phoneticPr fontId="68" type="noConversion"/>
  </si>
  <si>
    <t>怪物猎杀</t>
    <phoneticPr fontId="68" type="noConversion"/>
  </si>
  <si>
    <t>每回合一次，当你使用武器攻击命中一个异怪Aberration、龙类Dragon、妖精Fey、邪魔Fiend、怪兽Monstrosity、泥怪Ooze或亡灵Undead时，你可以对目标造成额外1d10伤害。此伤害的类型与武器造成的伤害类型相同。</t>
    <phoneticPr fontId="68" type="noConversion"/>
  </si>
  <si>
    <t>完美规避</t>
    <phoneticPr fontId="68" type="noConversion"/>
  </si>
  <si>
    <t>当你受到一个允许你进行一次力量、敏捷或体质豁免以只受一半伤害的效应时，若你豁免成功，则你不会受到伤害；若你豁免失败，则仅受一半伤害。如果你处于失能状态，则无法使用此特性。</t>
    <phoneticPr fontId="68" type="noConversion"/>
  </si>
  <si>
    <t>资深英雄</t>
    <phoneticPr fontId="68" type="noConversion"/>
  </si>
  <si>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phoneticPr fontId="68" type="noConversion"/>
  </si>
  <si>
    <t>引精注灵</t>
    <phoneticPr fontId="68" type="noConversion"/>
  </si>
  <si>
    <t>引灵御物</t>
    <phoneticPr fontId="68" type="noConversion"/>
  </si>
  <si>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</si>
  <si>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</si>
  <si>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</si>
  <si>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</si>
  <si>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寻物感知</t>
  </si>
  <si>
    <t>以一个动作，你通过导航物品（如罗盘、GPS或地图）引灵。这让你能够施展寻物术Locate Object ，但有以下改动：
该法术无需专注。
法术持续时间为1小时。
法术可以探测1里内的物品，而非1000尺。</t>
  </si>
  <si>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</si>
  <si>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</si>
  <si>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</si>
  <si>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</si>
  <si>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跃进球鞋</t>
  </si>
  <si>
    <t>当穿着一双鞋时，你可以使用附赠动作为你的脚步注入弹性。1小时内，你获得跳跃术Jump 的效果。</t>
  </si>
  <si>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</si>
  <si>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</si>
  <si>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喷射推进</t>
  </si>
  <si>
    <t>以一个附赠动作，你从随身携带的容器（如水袋、汽水罐、喷水瓶或喷雾瓶）中喷出水雾。这会使你沿直线向后移动10尺，并获得撤离动作的效果。</t>
  </si>
  <si>
    <t>聚灵之躯</t>
    <phoneticPr fontId="68" type="noConversion"/>
  </si>
  <si>
    <t>强效引灵</t>
    <phoneticPr fontId="68" type="noConversion"/>
  </si>
  <si>
    <t>御灵护体</t>
    <phoneticPr fontId="68" type="noConversion"/>
  </si>
  <si>
    <t>灵能充注</t>
    <phoneticPr fontId="68" type="noConversion"/>
  </si>
  <si>
    <t>废品大师</t>
    <phoneticPr fontId="68" type="noConversion"/>
  </si>
  <si>
    <t>死亡骑士</t>
    <phoneticPr fontId="68" type="noConversion"/>
  </si>
  <si>
    <r>
      <rPr>
        <sz val="10"/>
        <color theme="1"/>
        <rFont val="宋体"/>
        <family val="1"/>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1"/>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1"/>
        <charset val="134"/>
      </rPr>
      <t>陵墓守卫尸鬼骰</t>
    </r>
    <r>
      <rPr>
        <sz val="10"/>
        <color theme="1"/>
        <rFont val="Times New Roman"/>
        <family val="1"/>
      </rPr>
      <t xml:space="preserve">Barrow Guard Draugr Dice
</t>
    </r>
    <r>
      <rPr>
        <sz val="10"/>
        <color theme="1"/>
        <rFont val="宋体"/>
        <family val="1"/>
        <charset val="134"/>
      </rPr>
      <t>战士等级</t>
    </r>
    <r>
      <rPr>
        <sz val="10"/>
        <color theme="1"/>
        <rFont val="Times New Roman"/>
        <family val="1"/>
      </rPr>
      <t xml:space="preserve">	</t>
    </r>
    <r>
      <rPr>
        <sz val="10"/>
        <color theme="1"/>
        <rFont val="宋体"/>
        <family val="1"/>
        <charset val="134"/>
      </rPr>
      <t>骰子规格</t>
    </r>
    <r>
      <rPr>
        <sz val="10"/>
        <color theme="1"/>
        <rFont val="Times New Roman"/>
        <family val="1"/>
      </rPr>
      <t xml:space="preserve">	</t>
    </r>
    <r>
      <rPr>
        <sz val="10"/>
        <color theme="1"/>
        <rFont val="宋体"/>
        <family val="1"/>
        <charset val="134"/>
      </rPr>
      <t>数量</t>
    </r>
    <r>
      <rPr>
        <sz val="10"/>
        <color theme="1"/>
        <rFont val="Times New Roman"/>
        <family val="1"/>
      </rPr>
      <t xml:space="preserve">
3	D6	4
5	D8	6
9	D8	8
11	D10	8
13	D10	10
17	D12	12
</t>
    </r>
    <r>
      <rPr>
        <sz val="10"/>
        <color theme="1"/>
        <rFont val="宋体"/>
        <family val="1"/>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1"/>
        <charset val="134"/>
      </rPr>
      <t>你可以在完成短休后重获一枚已消耗的尸鬼骰，完成长休后重获所有已消耗的尸鬼骰。</t>
    </r>
    <r>
      <rPr>
        <sz val="10"/>
        <color theme="1"/>
        <rFont val="Times New Roman"/>
        <family val="1"/>
      </rPr>
      <t xml:space="preserve">
</t>
    </r>
    <r>
      <rPr>
        <sz val="10"/>
        <color theme="1"/>
        <rFont val="宋体"/>
        <family val="1"/>
        <charset val="134"/>
      </rPr>
      <t>你的所有能力的豁免</t>
    </r>
    <r>
      <rPr>
        <sz val="10"/>
        <color theme="1"/>
        <rFont val="Times New Roman"/>
        <family val="1"/>
      </rPr>
      <t>DC</t>
    </r>
    <r>
      <rPr>
        <sz val="10"/>
        <color theme="1"/>
        <rFont val="宋体"/>
        <family val="1"/>
        <charset val="134"/>
      </rPr>
      <t>均为</t>
    </r>
    <r>
      <rPr>
        <sz val="10"/>
        <color theme="1"/>
        <rFont val="Times New Roman"/>
        <family val="1"/>
      </rPr>
      <t>8+</t>
    </r>
    <r>
      <rPr>
        <sz val="10"/>
        <color theme="1"/>
        <rFont val="宋体"/>
        <family val="1"/>
        <charset val="134"/>
      </rPr>
      <t>你的熟练加值</t>
    </r>
    <r>
      <rPr>
        <sz val="10"/>
        <color theme="1"/>
        <rFont val="Times New Roman"/>
        <family val="1"/>
      </rPr>
      <t>+</t>
    </r>
    <r>
      <rPr>
        <sz val="10"/>
        <color theme="1"/>
        <rFont val="宋体"/>
        <family val="1"/>
        <charset val="134"/>
      </rPr>
      <t>你的体质调整值。</t>
    </r>
    <phoneticPr fontId="68" type="noConversion"/>
  </si>
  <si>
    <t>幽冥骑士</t>
    <phoneticPr fontId="68" type="noConversion"/>
  </si>
  <si>
    <r>
      <rPr>
        <sz val="10"/>
        <color theme="1"/>
        <rFont val="宋体"/>
        <family val="1"/>
        <charset val="134"/>
      </rPr>
      <t>你可以使用附赠动作来具现一个只有你能够骑乘的幽灵坐骑。该坐骑使用战马</t>
    </r>
    <r>
      <rPr>
        <sz val="10"/>
        <color theme="1"/>
        <rFont val="Times New Roman"/>
        <family val="1"/>
      </rPr>
      <t>Warhorse</t>
    </r>
    <r>
      <rPr>
        <sz val="10"/>
        <color theme="1"/>
        <rFont val="宋体"/>
        <family val="1"/>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1"/>
        <charset val="134"/>
      </rPr>
      <t>尺。该坐骑会在</t>
    </r>
    <r>
      <rPr>
        <sz val="10"/>
        <color theme="1"/>
        <rFont val="Times New Roman"/>
        <family val="1"/>
      </rPr>
      <t>1</t>
    </r>
    <r>
      <rPr>
        <sz val="10"/>
        <color theme="1"/>
        <rFont val="宋体"/>
        <family val="1"/>
        <charset val="134"/>
      </rPr>
      <t>小时后、或生命值降至</t>
    </r>
    <r>
      <rPr>
        <sz val="10"/>
        <color theme="1"/>
        <rFont val="Times New Roman"/>
        <family val="1"/>
      </rPr>
      <t>0</t>
    </r>
    <r>
      <rPr>
        <sz val="10"/>
        <color theme="1"/>
        <rFont val="宋体"/>
        <family val="1"/>
        <charset val="134"/>
      </rPr>
      <t>时、或你陷入失能状态时、或你死亡时消失。此附赠动作一经使用，则直至你完成一次短休或长休前，都无法再次使用。你也可以通过消耗一枚尸鬼骰来恢复其使用次数（无需动作）。</t>
    </r>
    <phoneticPr fontId="68" type="noConversion"/>
  </si>
  <si>
    <t>守墓陵卫</t>
    <phoneticPr fontId="68" type="noConversion"/>
  </si>
  <si>
    <t>当你受到伤害时，你可以使用反应来消耗并掷出一枚尸鬼骰，使该伤害减少等于该尸鬼骰骰值外加你体质调整值的数值。</t>
    <phoneticPr fontId="68" type="noConversion"/>
  </si>
  <si>
    <t>灵魂收割</t>
    <phoneticPr fontId="68" type="noConversion"/>
  </si>
  <si>
    <r>
      <rPr>
        <sz val="10"/>
        <color theme="1"/>
        <rFont val="宋体"/>
        <family val="1"/>
        <charset val="134"/>
      </rPr>
      <t>当你执行攻击动作时，你可以放弃其中一次攻击，改为在你周边</t>
    </r>
    <r>
      <rPr>
        <sz val="10"/>
        <color theme="1"/>
        <rFont val="Times New Roman"/>
        <family val="1"/>
      </rPr>
      <t>60</t>
    </r>
    <r>
      <rPr>
        <sz val="10"/>
        <color theme="1"/>
        <rFont val="宋体"/>
        <family val="1"/>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1"/>
        <charset val="134"/>
      </rPr>
      <t>你的死亡骑士能力豁免</t>
    </r>
    <r>
      <rPr>
        <sz val="10"/>
        <color theme="1"/>
        <rFont val="Times New Roman"/>
        <family val="1"/>
      </rPr>
      <t>DC</t>
    </r>
    <r>
      <rPr>
        <sz val="10"/>
        <color theme="1"/>
        <rFont val="宋体"/>
        <family val="1"/>
        <charset val="134"/>
      </rPr>
      <t>），持续</t>
    </r>
    <r>
      <rPr>
        <sz val="10"/>
        <color theme="1"/>
        <rFont val="Times New Roman"/>
        <family val="1"/>
      </rPr>
      <t>1</t>
    </r>
    <r>
      <rPr>
        <sz val="10"/>
        <color theme="1"/>
        <rFont val="宋体"/>
        <family val="1"/>
        <charset val="134"/>
      </rPr>
      <t>分钟。若豁免成功，则该生物仅受半伤。</t>
    </r>
    <phoneticPr fontId="68" type="noConversion"/>
  </si>
  <si>
    <t>摄魂夺魄</t>
    <phoneticPr fontId="68" type="noConversion"/>
  </si>
  <si>
    <r>
      <rPr>
        <sz val="10"/>
        <color theme="1"/>
        <rFont val="宋体"/>
        <family val="1"/>
        <charset val="134"/>
      </rPr>
      <t>你学会捕捉灵魂逝去时流溢的精华，从中汲取知识和技艺。你获得以下增益。</t>
    </r>
    <r>
      <rPr>
        <sz val="10"/>
        <color theme="1"/>
        <rFont val="Times New Roman"/>
        <family val="1"/>
      </rPr>
      <t xml:space="preserve">
</t>
    </r>
    <r>
      <rPr>
        <sz val="10"/>
        <color theme="1"/>
        <rFont val="宋体"/>
        <family val="1"/>
        <charset val="134"/>
      </rPr>
      <t>尘世残痕</t>
    </r>
    <r>
      <rPr>
        <sz val="10"/>
        <color theme="1"/>
        <rFont val="Times New Roman"/>
        <family val="1"/>
      </rPr>
      <t>Mortal Coil</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30</t>
    </r>
    <r>
      <rPr>
        <sz val="10"/>
        <color theme="1"/>
        <rFont val="宋体"/>
        <family val="1"/>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1"/>
        <charset val="134"/>
      </rPr>
      <t>逝者低语</t>
    </r>
    <r>
      <rPr>
        <sz val="10"/>
        <color theme="1"/>
        <rFont val="Times New Roman"/>
        <family val="1"/>
      </rPr>
      <t>Whisper of the Departed</t>
    </r>
    <r>
      <rPr>
        <sz val="10"/>
        <color theme="1"/>
        <rFont val="宋体"/>
        <family val="1"/>
        <charset val="134"/>
      </rPr>
      <t>。</t>
    </r>
    <r>
      <rPr>
        <sz val="10"/>
        <color theme="1"/>
        <rFont val="Times New Roman"/>
        <family val="1"/>
      </rPr>
      <t xml:space="preserve"> </t>
    </r>
    <r>
      <rPr>
        <sz val="10"/>
        <color theme="1"/>
        <rFont val="宋体"/>
        <family val="1"/>
        <charset val="134"/>
      </rPr>
      <t>当你进行属性检定时，你可以消耗并掷出一枚尸鬼骰，将骰值加入结果总值中。</t>
    </r>
    <phoneticPr fontId="68" type="noConversion"/>
  </si>
  <si>
    <t>镇墓使</t>
    <phoneticPr fontId="68" type="noConversion"/>
  </si>
  <si>
    <r>
      <rPr>
        <sz val="10"/>
        <color theme="1"/>
        <rFont val="宋体"/>
        <family val="1"/>
        <charset val="134"/>
      </rPr>
      <t>你的死亡骑士特性通过以下方式得到提升。</t>
    </r>
    <r>
      <rPr>
        <sz val="10"/>
        <color theme="1"/>
        <rFont val="Times New Roman"/>
        <family val="1"/>
      </rPr>
      <t xml:space="preserve">
</t>
    </r>
    <r>
      <rPr>
        <sz val="10"/>
        <color theme="1"/>
        <rFont val="宋体"/>
        <family val="1"/>
        <charset val="134"/>
      </rPr>
      <t>幻影战骑</t>
    </r>
    <r>
      <rPr>
        <sz val="10"/>
        <color theme="1"/>
        <rFont val="Times New Roman"/>
        <family val="1"/>
      </rPr>
      <t>Phantom Charger</t>
    </r>
    <r>
      <rPr>
        <sz val="10"/>
        <color theme="1"/>
        <rFont val="宋体"/>
        <family val="1"/>
        <charset val="134"/>
      </rPr>
      <t>。</t>
    </r>
    <r>
      <rPr>
        <sz val="10"/>
        <color theme="1"/>
        <rFont val="Times New Roman"/>
        <family val="1"/>
      </rPr>
      <t xml:space="preserve"> </t>
    </r>
    <r>
      <rPr>
        <sz val="10"/>
        <color theme="1"/>
        <rFont val="宋体"/>
        <family val="1"/>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1"/>
        <charset val="134"/>
      </rPr>
      <t>尺范围内一处你可见的未占据空间（如果你正在骑乘它则带着你一同）。当坐骑出现时，其周边</t>
    </r>
    <r>
      <rPr>
        <sz val="10"/>
        <color theme="1"/>
        <rFont val="Times New Roman"/>
        <family val="1"/>
      </rPr>
      <t>10</t>
    </r>
    <r>
      <rPr>
        <sz val="10"/>
        <color theme="1"/>
        <rFont val="宋体"/>
        <family val="1"/>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1"/>
        <charset val="134"/>
      </rPr>
      <t>断魂丧钟</t>
    </r>
    <r>
      <rPr>
        <sz val="10"/>
        <color theme="1"/>
        <rFont val="Times New Roman"/>
        <family val="1"/>
      </rPr>
      <t>Death Knell</t>
    </r>
    <r>
      <rPr>
        <sz val="10"/>
        <color theme="1"/>
        <rFont val="宋体"/>
        <family val="1"/>
        <charset val="134"/>
      </rPr>
      <t>。</t>
    </r>
    <r>
      <rPr>
        <sz val="10"/>
        <color theme="1"/>
        <rFont val="Times New Roman"/>
        <family val="1"/>
      </rPr>
      <t xml:space="preserve"> </t>
    </r>
    <r>
      <rPr>
        <sz val="10"/>
        <color theme="1"/>
        <rFont val="宋体"/>
        <family val="1"/>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1"/>
        <charset val="134"/>
      </rPr>
      <t>幽声尖啸</t>
    </r>
    <r>
      <rPr>
        <sz val="10"/>
        <color theme="1"/>
        <rFont val="Times New Roman"/>
        <family val="1"/>
      </rPr>
      <t>Spectral Shrieking</t>
    </r>
    <r>
      <rPr>
        <sz val="10"/>
        <color theme="1"/>
        <rFont val="宋体"/>
        <family val="1"/>
        <charset val="134"/>
      </rPr>
      <t>。</t>
    </r>
    <r>
      <rPr>
        <sz val="10"/>
        <color theme="1"/>
        <rFont val="Times New Roman"/>
        <family val="1"/>
      </rPr>
      <t xml:space="preserve"> </t>
    </r>
    <r>
      <rPr>
        <sz val="10"/>
        <color theme="1"/>
        <rFont val="宋体"/>
        <family val="1"/>
        <charset val="134"/>
      </rPr>
      <t>当一个因你的灵魂收割能力而陷入受擒状态的生物开始其回合时，它受到等于你熟练加值的心灵伤害。当它受到该伤害时，你可以使用反应来消耗并掷出一枚尸鬼骰，将所掷点数加入到该伤害中。</t>
    </r>
    <phoneticPr fontId="68" type="noConversion"/>
  </si>
  <si>
    <t>冥墓尊主</t>
    <phoneticPr fontId="68" type="noConversion"/>
  </si>
  <si>
    <r>
      <rPr>
        <sz val="10"/>
        <color theme="1"/>
        <rFont val="宋体"/>
        <family val="1"/>
        <charset val="134"/>
      </rPr>
      <t>你不再是幽冥之力的单纯容器，而是其主宰。你的能力通过以下方式得到提升。</t>
    </r>
    <r>
      <rPr>
        <sz val="10"/>
        <color theme="1"/>
        <rFont val="Times New Roman"/>
        <family val="1"/>
      </rPr>
      <t xml:space="preserve">
</t>
    </r>
    <r>
      <rPr>
        <sz val="10"/>
        <color theme="1"/>
        <rFont val="宋体"/>
        <family val="1"/>
        <charset val="134"/>
      </rPr>
      <t>苍白之骑</t>
    </r>
    <r>
      <rPr>
        <sz val="10"/>
        <color theme="1"/>
        <rFont val="Times New Roman"/>
        <family val="1"/>
      </rPr>
      <t>On a Pale Horse</t>
    </r>
    <r>
      <rPr>
        <sz val="10"/>
        <color theme="1"/>
        <rFont val="宋体"/>
        <family val="1"/>
        <charset val="134"/>
      </rPr>
      <t>。</t>
    </r>
    <r>
      <rPr>
        <sz val="10"/>
        <color theme="1"/>
        <rFont val="Times New Roman"/>
        <family val="1"/>
      </rPr>
      <t xml:space="preserve"> </t>
    </r>
    <r>
      <rPr>
        <sz val="10"/>
        <color theme="1"/>
        <rFont val="宋体"/>
        <family val="1"/>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1"/>
        <charset val="134"/>
      </rPr>
      <t>力场伤害，并被挤到最近的未占据空间中。</t>
    </r>
    <r>
      <rPr>
        <sz val="10"/>
        <color theme="1"/>
        <rFont val="Times New Roman"/>
        <family val="1"/>
      </rPr>
      <t xml:space="preserve">
</t>
    </r>
    <r>
      <rPr>
        <sz val="10"/>
        <color theme="1"/>
        <rFont val="宋体"/>
        <family val="1"/>
        <charset val="134"/>
      </rPr>
      <t>冢灵护盾</t>
    </r>
    <r>
      <rPr>
        <sz val="10"/>
        <color theme="1"/>
        <rFont val="Times New Roman"/>
        <family val="1"/>
      </rPr>
      <t>Sepulchral Shield</t>
    </r>
    <r>
      <rPr>
        <sz val="10"/>
        <color theme="1"/>
        <rFont val="宋体"/>
        <family val="1"/>
        <charset val="134"/>
      </rPr>
      <t>。</t>
    </r>
    <r>
      <rPr>
        <sz val="10"/>
        <color theme="1"/>
        <rFont val="Times New Roman"/>
        <family val="1"/>
      </rPr>
      <t xml:space="preserve"> </t>
    </r>
    <r>
      <rPr>
        <sz val="10"/>
        <color theme="1"/>
        <rFont val="宋体"/>
        <family val="1"/>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1"/>
        <charset val="134"/>
      </rPr>
      <t>死魂扼缚</t>
    </r>
    <r>
      <rPr>
        <sz val="10"/>
        <color theme="1"/>
        <rFont val="Times New Roman"/>
        <family val="1"/>
      </rPr>
      <t>Death Grip</t>
    </r>
    <r>
      <rPr>
        <sz val="10"/>
        <color theme="1"/>
        <rFont val="宋体"/>
        <family val="1"/>
        <charset val="134"/>
      </rPr>
      <t>。</t>
    </r>
    <r>
      <rPr>
        <sz val="10"/>
        <color theme="1"/>
        <rFont val="Times New Roman"/>
        <family val="1"/>
      </rPr>
      <t xml:space="preserve"> </t>
    </r>
    <r>
      <rPr>
        <sz val="10"/>
        <color theme="1"/>
        <rFont val="宋体"/>
        <family val="1"/>
        <charset val="134"/>
      </rPr>
      <t>一个因你的灵魂收割能力而陷入受擒状态的生物，将陷入束缚状态，直到该擒抱终止。</t>
    </r>
    <phoneticPr fontId="68" type="noConversion"/>
  </si>
  <si>
    <t>幽都加冕</t>
    <phoneticPr fontId="68" type="noConversion"/>
  </si>
  <si>
    <r>
      <rPr>
        <sz val="10"/>
        <color theme="1"/>
        <rFont val="宋体"/>
        <family val="1"/>
        <charset val="134"/>
      </rPr>
      <t>你对所传授秘密的掌控已臻化境。你获得以下增益。</t>
    </r>
    <r>
      <rPr>
        <sz val="10"/>
        <color theme="1"/>
        <rFont val="Times New Roman"/>
        <family val="1"/>
      </rPr>
      <t xml:space="preserve">
</t>
    </r>
    <r>
      <rPr>
        <sz val="10"/>
        <color theme="1"/>
        <rFont val="宋体"/>
        <family val="1"/>
        <charset val="134"/>
      </rPr>
      <t>永夜守望</t>
    </r>
    <r>
      <rPr>
        <sz val="10"/>
        <color theme="1"/>
        <rFont val="Times New Roman"/>
        <family val="1"/>
      </rPr>
      <t>Eternal Vigil</t>
    </r>
    <r>
      <rPr>
        <sz val="10"/>
        <color theme="1"/>
        <rFont val="宋体"/>
        <family val="1"/>
        <charset val="134"/>
      </rPr>
      <t>。</t>
    </r>
    <r>
      <rPr>
        <sz val="10"/>
        <color theme="1"/>
        <rFont val="Times New Roman"/>
        <family val="1"/>
      </rPr>
      <t xml:space="preserve"> </t>
    </r>
    <r>
      <rPr>
        <sz val="10"/>
        <color theme="1"/>
        <rFont val="宋体"/>
        <family val="1"/>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1"/>
        <charset val="134"/>
      </rPr>
      <t>不眠亡者</t>
    </r>
    <r>
      <rPr>
        <sz val="10"/>
        <color theme="1"/>
        <rFont val="Times New Roman"/>
        <family val="1"/>
      </rPr>
      <t>Restless Dead</t>
    </r>
    <r>
      <rPr>
        <sz val="10"/>
        <color theme="1"/>
        <rFont val="宋体"/>
        <family val="1"/>
        <charset val="134"/>
      </rPr>
      <t>。</t>
    </r>
    <r>
      <rPr>
        <sz val="10"/>
        <color theme="1"/>
        <rFont val="Times New Roman"/>
        <family val="1"/>
      </rPr>
      <t xml:space="preserve"> </t>
    </r>
    <r>
      <rPr>
        <sz val="10"/>
        <color theme="1"/>
        <rFont val="宋体"/>
        <family val="1"/>
        <charset val="134"/>
      </rPr>
      <t>当你掷出先攻时，如果你拥有的尸鬼骰少于</t>
    </r>
    <r>
      <rPr>
        <sz val="10"/>
        <color theme="1"/>
        <rFont val="Times New Roman"/>
        <family val="1"/>
      </rPr>
      <t>3</t>
    </r>
    <r>
      <rPr>
        <sz val="10"/>
        <color theme="1"/>
        <rFont val="宋体"/>
        <family val="1"/>
        <charset val="134"/>
      </rPr>
      <t>枚，你会恢复已消耗的尸鬼骰直到你具有</t>
    </r>
    <r>
      <rPr>
        <sz val="10"/>
        <color theme="1"/>
        <rFont val="Times New Roman"/>
        <family val="1"/>
      </rPr>
      <t>3</t>
    </r>
    <r>
      <rPr>
        <sz val="10"/>
        <color theme="1"/>
        <rFont val="宋体"/>
        <family val="1"/>
        <charset val="134"/>
      </rPr>
      <t>枚。</t>
    </r>
    <phoneticPr fontId="68" type="noConversion"/>
  </si>
  <si>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phoneticPr fontId="68" type="noConversion"/>
  </si>
  <si>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phoneticPr fontId="68" type="noConversion"/>
  </si>
  <si>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phoneticPr fontId="68" type="noConversion"/>
  </si>
  <si>
    <t>你学会一个额外的引灵选项，且现在可以使用等同于你熟练加值次数的引灵御物特性。当你完成一次短休或长休后，你恢复所有已消耗的使用次数。</t>
    <phoneticPr fontId="68" type="noConversion"/>
  </si>
  <si>
    <t>你学会将能量注入你所穿戴的物品中，使其在短暂时刻变得比钢铁更坚硬。当你被攻击命中时，你可以用你的反应投掷一枚精华骰，并将投掷结果加到你对抗该次攻击的AC上，这可能导致攻击失手。</t>
    <phoneticPr fontId="68" type="noConversion"/>
  </si>
  <si>
    <t>你学会汲取体内的灵之能量来获得迅速的力量潮涌。你获得一次额外的回气Second Wind特性使用次数。当你的生命值降至低于你战士等级且还有回气次数可用时，你可以选择立即使用一次回气（无需动作）。</t>
    <phoneticPr fontId="68" type="noConversion"/>
  </si>
  <si>
    <t>你从引灵御物特性中获得一个额外的引导选项。
此外，当你进行先攻检定且没有剩余的引灵御物使用次数时，你恢复该特性的两次使用次数。</t>
    <phoneticPr fontId="68" type="noConversion"/>
  </si>
  <si>
    <t>飞花漫舞</t>
    <phoneticPr fontId="68" type="noConversion"/>
  </si>
  <si>
    <t>落英化兽</t>
    <phoneticPr fontId="68" type="noConversion"/>
  </si>
  <si>
    <t>胧忆之灵</t>
    <phoneticPr fontId="68" type="noConversion"/>
  </si>
  <si>
    <t>复苏之风</t>
    <phoneticPr fontId="68" type="noConversion"/>
  </si>
  <si>
    <t>旧途结社法术</t>
    <phoneticPr fontId="68" type="noConversion"/>
  </si>
  <si>
    <r>
      <rPr>
        <sz val="10"/>
        <color theme="1"/>
        <rFont val="宋体"/>
        <family val="1"/>
        <charset val="134"/>
      </rPr>
      <t>当你到达旧途结社法术表中特定的德鲁伊等级时，你就始终准备了表中对应的法术。</t>
    </r>
    <r>
      <rPr>
        <sz val="10"/>
        <color theme="1"/>
        <rFont val="Times New Roman"/>
        <family val="1"/>
      </rPr>
      <t xml:space="preserve">
</t>
    </r>
    <r>
      <rPr>
        <sz val="10"/>
        <color theme="1"/>
        <rFont val="宋体"/>
        <family val="1"/>
        <charset val="134"/>
      </rPr>
      <t>旧途结社法术</t>
    </r>
    <r>
      <rPr>
        <sz val="10"/>
        <color theme="1"/>
        <rFont val="Times New Roman"/>
        <family val="1"/>
      </rPr>
      <t xml:space="preserve">Circle of the Old Ways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橡棍术</t>
    </r>
    <r>
      <rPr>
        <sz val="10"/>
        <color theme="1"/>
        <rFont val="Times New Roman"/>
        <family val="1"/>
      </rPr>
      <t>Shillelagh</t>
    </r>
    <r>
      <rPr>
        <sz val="10"/>
        <color theme="1"/>
        <rFont val="宋体"/>
        <family val="1"/>
        <charset val="134"/>
      </rPr>
      <t>，先祖授慧</t>
    </r>
    <r>
      <rPr>
        <sz val="10"/>
        <color theme="1"/>
        <rFont val="Times New Roman"/>
        <family val="1"/>
      </rPr>
      <t>Ancestral Guidance</t>
    </r>
    <r>
      <rPr>
        <sz val="10"/>
        <color theme="1"/>
        <rFont val="宋体"/>
        <family val="1"/>
        <charset val="134"/>
      </rPr>
      <t>，虔诚护盾</t>
    </r>
    <r>
      <rPr>
        <sz val="10"/>
        <color theme="1"/>
        <rFont val="Times New Roman"/>
        <family val="1"/>
      </rPr>
      <t>Shield of Faith</t>
    </r>
    <r>
      <rPr>
        <sz val="10"/>
        <color theme="1"/>
        <rFont val="宋体"/>
        <family val="1"/>
        <charset val="134"/>
      </rPr>
      <t>，树肤术</t>
    </r>
    <r>
      <rPr>
        <sz val="10"/>
        <color theme="1"/>
        <rFont val="Times New Roman"/>
        <family val="1"/>
      </rPr>
      <t>Barkskin</t>
    </r>
    <r>
      <rPr>
        <sz val="10"/>
        <color theme="1"/>
        <rFont val="宋体"/>
        <family val="1"/>
        <charset val="134"/>
      </rPr>
      <t>，荆棘丛生</t>
    </r>
    <r>
      <rPr>
        <sz val="10"/>
        <color theme="1"/>
        <rFont val="Times New Roman"/>
        <family val="1"/>
      </rPr>
      <t xml:space="preserve">Spike Growth
5  </t>
    </r>
    <r>
      <rPr>
        <sz val="10"/>
        <color theme="1"/>
        <rFont val="宋体"/>
        <family val="1"/>
        <charset val="134"/>
      </rPr>
      <t>防护法阵</t>
    </r>
    <r>
      <rPr>
        <sz val="10"/>
        <color theme="1"/>
        <rFont val="Times New Roman"/>
        <family val="1"/>
      </rPr>
      <t>Magic Circle</t>
    </r>
    <r>
      <rPr>
        <sz val="10"/>
        <color theme="1"/>
        <rFont val="宋体"/>
        <family val="1"/>
        <charset val="134"/>
      </rPr>
      <t>，植物滋长</t>
    </r>
    <r>
      <rPr>
        <sz val="10"/>
        <color theme="1"/>
        <rFont val="Times New Roman"/>
        <family val="1"/>
      </rPr>
      <t xml:space="preserve">Plant Growth
7 </t>
    </r>
    <r>
      <rPr>
        <sz val="10"/>
        <color theme="1"/>
        <rFont val="宋体"/>
        <family val="1"/>
        <charset val="134"/>
      </rPr>
      <t>行动自如</t>
    </r>
    <r>
      <rPr>
        <sz val="10"/>
        <color theme="1"/>
        <rFont val="Times New Roman"/>
        <family val="1"/>
      </rPr>
      <t>Freedom of Movement</t>
    </r>
    <r>
      <rPr>
        <sz val="10"/>
        <color theme="1"/>
        <rFont val="宋体"/>
        <family val="1"/>
        <charset val="134"/>
      </rPr>
      <t>，魔邓肯私人密室</t>
    </r>
    <r>
      <rPr>
        <sz val="10"/>
        <color theme="1"/>
        <rFont val="Times New Roman"/>
        <family val="1"/>
      </rPr>
      <t xml:space="preserve">Mordenkainen's Private Sanctum
9 </t>
    </r>
    <r>
      <rPr>
        <sz val="10"/>
        <color theme="1"/>
        <rFont val="宋体"/>
        <family val="1"/>
        <charset val="134"/>
      </rPr>
      <t>启蒙术</t>
    </r>
    <r>
      <rPr>
        <sz val="10"/>
        <color theme="1"/>
        <rFont val="Times New Roman"/>
        <family val="1"/>
      </rPr>
      <t>Awaken</t>
    </r>
    <r>
      <rPr>
        <sz val="10"/>
        <color theme="1"/>
        <rFont val="宋体"/>
        <family val="1"/>
        <charset val="134"/>
      </rPr>
      <t>，树跃术</t>
    </r>
    <r>
      <rPr>
        <sz val="10"/>
        <color theme="1"/>
        <rFont val="Times New Roman"/>
        <family val="1"/>
      </rPr>
      <t>Tree Stride</t>
    </r>
    <phoneticPr fontId="68" type="noConversion"/>
  </si>
  <si>
    <t>主干与分枝</t>
    <phoneticPr fontId="68" type="noConversion"/>
  </si>
  <si>
    <r>
      <rPr>
        <sz val="10"/>
        <color theme="1"/>
        <rFont val="宋体"/>
        <family val="1"/>
        <charset val="134"/>
      </rPr>
      <t>在你手中，即便是最低微的武器也能引导古老森林的威能。当你施展橡棍术</t>
    </r>
    <r>
      <rPr>
        <sz val="10"/>
        <color theme="1"/>
        <rFont val="Times New Roman"/>
        <family val="1"/>
      </rPr>
      <t>Shillelagh</t>
    </r>
    <r>
      <rPr>
        <sz val="10"/>
        <color theme="1"/>
        <rFont val="宋体"/>
        <family val="1"/>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1"/>
        <charset val="134"/>
      </rPr>
      <t>此外，在该法术的持续时间内，你无视你德鲁伊法术的姿势成分，并且可以将该法术所强化的武器用作德鲁伊法器。</t>
    </r>
    <phoneticPr fontId="68" type="noConversion"/>
  </si>
  <si>
    <t>树灵化身</t>
    <phoneticPr fontId="68" type="noConversion"/>
  </si>
  <si>
    <r>
      <rPr>
        <sz val="10"/>
        <color theme="1"/>
        <rFont val="宋体"/>
        <family val="1"/>
        <charset val="134"/>
      </rPr>
      <t>作为一项附赠动作，或者作为施展橡棍术</t>
    </r>
    <r>
      <rPr>
        <sz val="10"/>
        <color theme="1"/>
        <rFont val="Times New Roman"/>
        <family val="1"/>
      </rPr>
      <t>Shillelagh</t>
    </r>
    <r>
      <rPr>
        <sz val="10"/>
        <color theme="1"/>
        <rFont val="宋体"/>
        <family val="1"/>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1"/>
        <charset val="134"/>
      </rPr>
      <t>树皮堡垒</t>
    </r>
    <r>
      <rPr>
        <sz val="10"/>
        <color theme="1"/>
        <rFont val="Times New Roman"/>
        <family val="1"/>
      </rPr>
      <t>Bark Bulwark</t>
    </r>
    <r>
      <rPr>
        <sz val="10"/>
        <color theme="1"/>
        <rFont val="宋体"/>
        <family val="1"/>
        <charset val="134"/>
      </rPr>
      <t>。当你未着装护甲时，你的基础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t>
    </r>
    <r>
      <rPr>
        <sz val="10"/>
        <color theme="1"/>
        <rFont val="Times New Roman"/>
        <family val="1"/>
      </rPr>
      <t>+</t>
    </r>
    <r>
      <rPr>
        <sz val="10"/>
        <color theme="1"/>
        <rFont val="宋体"/>
        <family val="1"/>
        <charset val="134"/>
      </rPr>
      <t>你的感知调整值。</t>
    </r>
    <r>
      <rPr>
        <sz val="10"/>
        <color theme="1"/>
        <rFont val="Times New Roman"/>
        <family val="1"/>
      </rPr>
      <t xml:space="preserve">
</t>
    </r>
    <r>
      <rPr>
        <sz val="10"/>
        <color theme="1"/>
        <rFont val="宋体"/>
        <family val="1"/>
        <charset val="134"/>
      </rPr>
      <t>长老木汁</t>
    </r>
    <r>
      <rPr>
        <sz val="10"/>
        <color theme="1"/>
        <rFont val="Times New Roman"/>
        <family val="1"/>
      </rPr>
      <t>Elderwood Sap</t>
    </r>
    <r>
      <rPr>
        <sz val="10"/>
        <color theme="1"/>
        <rFont val="宋体"/>
        <family val="1"/>
        <charset val="134"/>
      </rPr>
      <t>。当你使用被橡棍术</t>
    </r>
    <r>
      <rPr>
        <sz val="10"/>
        <color theme="1"/>
        <rFont val="Times New Roman"/>
        <family val="1"/>
      </rPr>
      <t>Shillelagh</t>
    </r>
    <r>
      <rPr>
        <sz val="10"/>
        <color theme="1"/>
        <rFont val="宋体"/>
        <family val="1"/>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1"/>
        <charset val="134"/>
      </rPr>
      <t>橡木决意</t>
    </r>
    <r>
      <rPr>
        <sz val="10"/>
        <color theme="1"/>
        <rFont val="Times New Roman"/>
        <family val="1"/>
      </rPr>
      <t>Oaken Resolve</t>
    </r>
    <r>
      <rPr>
        <sz val="10"/>
        <color theme="1"/>
        <rFont val="宋体"/>
        <family val="1"/>
        <charset val="134"/>
      </rPr>
      <t>。你在力量和体质豁免中具有优势。</t>
    </r>
    <r>
      <rPr>
        <sz val="10"/>
        <color theme="1"/>
        <rFont val="Times New Roman"/>
        <family val="1"/>
      </rPr>
      <t xml:space="preserve">
</t>
    </r>
    <r>
      <rPr>
        <sz val="10"/>
        <color theme="1"/>
        <rFont val="宋体"/>
        <family val="1"/>
        <charset val="134"/>
      </rPr>
      <t>该效应持续</t>
    </r>
    <r>
      <rPr>
        <sz val="10"/>
        <color theme="1"/>
        <rFont val="Times New Roman"/>
        <family val="1"/>
      </rPr>
      <t>10</t>
    </r>
    <r>
      <rPr>
        <sz val="10"/>
        <color theme="1"/>
        <rFont val="宋体"/>
        <family val="1"/>
        <charset val="134"/>
      </rPr>
      <t>分钟。如果你解除它（无需动作）、陷入失能状态或死亡，则提前结束。</t>
    </r>
    <phoneticPr fontId="68" type="noConversion"/>
  </si>
  <si>
    <t>橡木与荆棘</t>
    <phoneticPr fontId="68" type="noConversion"/>
  </si>
  <si>
    <r>
      <rPr>
        <sz val="10"/>
        <color theme="1"/>
        <rFont val="宋体"/>
        <family val="1"/>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1"/>
        <charset val="134"/>
      </rPr>
      <t>橡木圣拳</t>
    </r>
    <r>
      <rPr>
        <sz val="10"/>
        <color theme="1"/>
        <rFont val="Times New Roman"/>
        <family val="1"/>
      </rPr>
      <t>Oakenfist</t>
    </r>
    <r>
      <rPr>
        <sz val="10"/>
        <color theme="1"/>
        <rFont val="宋体"/>
        <family val="1"/>
        <charset val="134"/>
      </rPr>
      <t>。</t>
    </r>
    <r>
      <rPr>
        <sz val="10"/>
        <color theme="1"/>
        <rFont val="Times New Roman"/>
        <family val="1"/>
      </rPr>
      <t xml:space="preserve"> </t>
    </r>
    <r>
      <rPr>
        <sz val="10"/>
        <color theme="1"/>
        <rFont val="宋体"/>
        <family val="1"/>
        <charset val="134"/>
      </rPr>
      <t>当你在自己回合中执行攻击动作时，你可以攻击两次而不是一次。</t>
    </r>
    <r>
      <rPr>
        <sz val="10"/>
        <color theme="1"/>
        <rFont val="Times New Roman"/>
        <family val="1"/>
      </rPr>
      <t xml:space="preserve">
</t>
    </r>
    <r>
      <rPr>
        <sz val="10"/>
        <color theme="1"/>
        <rFont val="宋体"/>
        <family val="1"/>
        <charset val="134"/>
      </rPr>
      <t>缠结荆棘</t>
    </r>
    <r>
      <rPr>
        <sz val="10"/>
        <color theme="1"/>
        <rFont val="Times New Roman"/>
        <family val="1"/>
      </rPr>
      <t>Gnarled Thorns</t>
    </r>
    <r>
      <rPr>
        <sz val="10"/>
        <color theme="1"/>
        <rFont val="宋体"/>
        <family val="1"/>
        <charset val="134"/>
      </rPr>
      <t>。</t>
    </r>
    <r>
      <rPr>
        <sz val="10"/>
        <color theme="1"/>
        <rFont val="Times New Roman"/>
        <family val="1"/>
      </rPr>
      <t xml:space="preserve"> </t>
    </r>
    <r>
      <rPr>
        <sz val="10"/>
        <color theme="1"/>
        <rFont val="宋体"/>
        <family val="1"/>
        <charset val="134"/>
      </rPr>
      <t>每个你的回合一次，当你使用武器进行近战攻击检定并命中一个生物时，目标额外受到</t>
    </r>
    <r>
      <rPr>
        <sz val="10"/>
        <color theme="1"/>
        <rFont val="Times New Roman"/>
        <family val="1"/>
      </rPr>
      <t>1d6</t>
    </r>
    <r>
      <rPr>
        <sz val="10"/>
        <color theme="1"/>
        <rFont val="宋体"/>
        <family val="1"/>
        <charset val="134"/>
      </rPr>
      <t>穿刺伤害。</t>
    </r>
    <phoneticPr fontId="68" type="noConversion"/>
  </si>
  <si>
    <t>深林长者</t>
    <phoneticPr fontId="68" type="noConversion"/>
  </si>
  <si>
    <r>
      <rPr>
        <sz val="10"/>
        <color theme="1"/>
        <rFont val="宋体"/>
        <family val="1"/>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1"/>
        <charset val="134"/>
      </rPr>
      <t>原始怒火</t>
    </r>
    <r>
      <rPr>
        <sz val="10"/>
        <color theme="1"/>
        <rFont val="Times New Roman"/>
        <family val="1"/>
      </rPr>
      <t>Primeval Wrath</t>
    </r>
    <r>
      <rPr>
        <sz val="10"/>
        <color theme="1"/>
        <rFont val="宋体"/>
        <family val="1"/>
        <charset val="134"/>
      </rPr>
      <t>。</t>
    </r>
    <r>
      <rPr>
        <sz val="10"/>
        <color theme="1"/>
        <rFont val="Times New Roman"/>
        <family val="1"/>
      </rPr>
      <t xml:space="preserve"> </t>
    </r>
    <r>
      <rPr>
        <sz val="10"/>
        <color theme="1"/>
        <rFont val="宋体"/>
        <family val="1"/>
        <charset val="134"/>
      </rPr>
      <t>每回合一次，当你以近战攻击命中一个生物时，你可以迫使目标进行一次对抗你的法术豁免</t>
    </r>
    <r>
      <rPr>
        <sz val="10"/>
        <color theme="1"/>
        <rFont val="Times New Roman"/>
        <family val="1"/>
      </rPr>
      <t>DC</t>
    </r>
    <r>
      <rPr>
        <sz val="10"/>
        <color theme="1"/>
        <rFont val="宋体"/>
        <family val="1"/>
        <charset val="134"/>
      </rPr>
      <t>的力量豁免，豁免失败时目标陷入倒地状态。</t>
    </r>
    <r>
      <rPr>
        <sz val="10"/>
        <color theme="1"/>
        <rFont val="Times New Roman"/>
        <family val="1"/>
      </rPr>
      <t xml:space="preserve">
</t>
    </r>
    <r>
      <rPr>
        <sz val="10"/>
        <color theme="1"/>
        <rFont val="宋体"/>
        <family val="1"/>
        <charset val="134"/>
      </rPr>
      <t>荆棘树皮</t>
    </r>
    <r>
      <rPr>
        <sz val="10"/>
        <color theme="1"/>
        <rFont val="Times New Roman"/>
        <family val="1"/>
      </rPr>
      <t>Bramblebark</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5</t>
    </r>
    <r>
      <rPr>
        <sz val="10"/>
        <color theme="1"/>
        <rFont val="宋体"/>
        <family val="1"/>
        <charset val="134"/>
      </rPr>
      <t>尺范围内的一个生物以近战攻击命中你时，攻击者会受到</t>
    </r>
    <r>
      <rPr>
        <sz val="10"/>
        <color theme="1"/>
        <rFont val="Times New Roman"/>
        <family val="1"/>
      </rPr>
      <t>1d8</t>
    </r>
    <r>
      <rPr>
        <sz val="10"/>
        <color theme="1"/>
        <rFont val="宋体"/>
        <family val="1"/>
        <charset val="134"/>
      </rPr>
      <t>穿刺伤害。一个生物每回合至多受到一次该伤害。</t>
    </r>
    <r>
      <rPr>
        <sz val="10"/>
        <color theme="1"/>
        <rFont val="Times New Roman"/>
        <family val="1"/>
      </rPr>
      <t xml:space="preserve">
</t>
    </r>
    <r>
      <rPr>
        <sz val="10"/>
        <color theme="1"/>
        <rFont val="宋体"/>
        <family val="1"/>
        <charset val="134"/>
      </rPr>
      <t>狂茂生长</t>
    </r>
    <r>
      <rPr>
        <sz val="10"/>
        <color theme="1"/>
        <rFont val="Times New Roman"/>
        <family val="1"/>
      </rPr>
      <t>Rampant Growth</t>
    </r>
    <r>
      <rPr>
        <sz val="10"/>
        <color theme="1"/>
        <rFont val="宋体"/>
        <family val="1"/>
        <charset val="134"/>
      </rPr>
      <t>。</t>
    </r>
    <r>
      <rPr>
        <sz val="10"/>
        <color theme="1"/>
        <rFont val="Times New Roman"/>
        <family val="1"/>
      </rPr>
      <t xml:space="preserve"> </t>
    </r>
    <r>
      <rPr>
        <sz val="10"/>
        <color theme="1"/>
        <rFont val="宋体"/>
        <family val="1"/>
        <charset val="134"/>
      </rPr>
      <t>当你激活树灵化身特性时，以及后续你的每个回合开始时，你获得等同于你熟练加值加上你感知调整值的临时生命值。</t>
    </r>
    <phoneticPr fontId="68" type="noConversion"/>
  </si>
  <si>
    <t>远古守卫</t>
    <phoneticPr fontId="68" type="noConversion"/>
  </si>
  <si>
    <r>
      <rPr>
        <sz val="10"/>
        <color theme="1"/>
        <rFont val="宋体"/>
        <family val="1"/>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1"/>
        <charset val="134"/>
      </rPr>
      <t>古木丛生</t>
    </r>
    <r>
      <rPr>
        <sz val="10"/>
        <color theme="1"/>
        <rFont val="Times New Roman"/>
        <family val="1"/>
      </rPr>
      <t>Old Growth</t>
    </r>
    <r>
      <rPr>
        <sz val="10"/>
        <color theme="1"/>
        <rFont val="宋体"/>
        <family val="1"/>
        <charset val="134"/>
      </rPr>
      <t>。</t>
    </r>
    <r>
      <rPr>
        <sz val="10"/>
        <color theme="1"/>
        <rFont val="Times New Roman"/>
        <family val="1"/>
      </rPr>
      <t xml:space="preserve"> </t>
    </r>
    <r>
      <rPr>
        <sz val="10"/>
        <color theme="1"/>
        <rFont val="宋体"/>
        <family val="1"/>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壮硕主干</t>
    </r>
    <r>
      <rPr>
        <sz val="10"/>
        <color theme="1"/>
        <rFont val="Times New Roman"/>
        <family val="1"/>
      </rPr>
      <t>Mighty Trunk</t>
    </r>
    <r>
      <rPr>
        <sz val="10"/>
        <color theme="1"/>
        <rFont val="宋体"/>
        <family val="1"/>
        <charset val="134"/>
      </rPr>
      <t>。</t>
    </r>
    <r>
      <rPr>
        <sz val="10"/>
        <color theme="1"/>
        <rFont val="Times New Roman"/>
        <family val="1"/>
      </rPr>
      <t xml:space="preserve"> </t>
    </r>
    <r>
      <rPr>
        <sz val="10"/>
        <color theme="1"/>
        <rFont val="宋体"/>
        <family val="1"/>
        <charset val="134"/>
      </rPr>
      <t>你对钝击和穿刺伤害具有抗性。</t>
    </r>
    <r>
      <rPr>
        <sz val="10"/>
        <color theme="1"/>
        <rFont val="Times New Roman"/>
        <family val="1"/>
      </rPr>
      <t xml:space="preserve">
</t>
    </r>
    <r>
      <rPr>
        <sz val="10"/>
        <color theme="1"/>
        <rFont val="宋体"/>
        <family val="1"/>
        <charset val="134"/>
      </rPr>
      <t>长者复仇</t>
    </r>
    <r>
      <rPr>
        <sz val="10"/>
        <color theme="1"/>
        <rFont val="Times New Roman"/>
        <family val="1"/>
      </rPr>
      <t>Vengeance of the Elders</t>
    </r>
    <r>
      <rPr>
        <sz val="10"/>
        <color theme="1"/>
        <rFont val="宋体"/>
        <family val="1"/>
        <charset val="134"/>
      </rPr>
      <t>。</t>
    </r>
    <r>
      <rPr>
        <sz val="10"/>
        <color theme="1"/>
        <rFont val="Times New Roman"/>
        <family val="1"/>
      </rPr>
      <t xml:space="preserve"> </t>
    </r>
    <r>
      <rPr>
        <sz val="10"/>
        <color theme="1"/>
        <rFont val="宋体"/>
        <family val="1"/>
        <charset val="134"/>
      </rPr>
      <t>当你触及范围内的一个被长老木汁覆盖的生物进行攻击检定时，你可以使用反应对该生物进行一次近战攻击。</t>
    </r>
    <phoneticPr fontId="68" type="noConversion"/>
  </si>
  <si>
    <t>巫咒塑像</t>
    <phoneticPr fontId="68" type="noConversion"/>
  </si>
  <si>
    <r>
      <rPr>
        <sz val="10"/>
        <color theme="1"/>
        <rFont val="宋体"/>
        <family val="1"/>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1"/>
        <charset val="134"/>
      </rPr>
      <t>尺范围内一处你可见的未占据空间内创造一个柳条塑像。</t>
    </r>
    <r>
      <rPr>
        <sz val="10"/>
        <color theme="1"/>
        <rFont val="Times New Roman"/>
        <family val="1"/>
      </rPr>
      <t xml:space="preserve">
</t>
    </r>
    <r>
      <rPr>
        <sz val="10"/>
        <color theme="1"/>
        <rFont val="宋体"/>
        <family val="1"/>
        <charset val="134"/>
      </rPr>
      <t>塑像是一个小型物件（</t>
    </r>
    <r>
      <rPr>
        <sz val="10"/>
        <color theme="1"/>
        <rFont val="Times New Roman"/>
        <family val="1"/>
      </rPr>
      <t>AC15</t>
    </r>
    <r>
      <rPr>
        <sz val="10"/>
        <color theme="1"/>
        <rFont val="宋体"/>
        <family val="1"/>
        <charset val="134"/>
      </rPr>
      <t>；</t>
    </r>
    <r>
      <rPr>
        <sz val="10"/>
        <color theme="1"/>
        <rFont val="Times New Roman"/>
        <family val="1"/>
      </rPr>
      <t>HP</t>
    </r>
    <r>
      <rPr>
        <sz val="10"/>
        <color theme="1"/>
        <rFont val="宋体"/>
        <family val="1"/>
        <charset val="134"/>
      </rPr>
      <t>等于你德鲁伊等级的五倍；具有火焰伤害易伤；免疫毒素和心灵伤害）。塑像在</t>
    </r>
    <r>
      <rPr>
        <sz val="10"/>
        <color theme="1"/>
        <rFont val="Times New Roman"/>
        <family val="1"/>
      </rPr>
      <t>1</t>
    </r>
    <r>
      <rPr>
        <sz val="10"/>
        <color theme="1"/>
        <rFont val="宋体"/>
        <family val="1"/>
        <charset val="134"/>
      </rPr>
      <t>分钟后、当其生命值减少至</t>
    </r>
    <r>
      <rPr>
        <sz val="10"/>
        <color theme="1"/>
        <rFont val="Times New Roman"/>
        <family val="1"/>
      </rPr>
      <t>0</t>
    </r>
    <r>
      <rPr>
        <sz val="10"/>
        <color theme="1"/>
        <rFont val="宋体"/>
        <family val="1"/>
        <charset val="134"/>
      </rPr>
      <t>时或当你再次使用该特性时消失。它在源自自身的</t>
    </r>
    <r>
      <rPr>
        <sz val="10"/>
        <color theme="1"/>
        <rFont val="Times New Roman"/>
        <family val="1"/>
      </rPr>
      <t>30</t>
    </r>
    <r>
      <rPr>
        <sz val="10"/>
        <color theme="1"/>
        <rFont val="宋体"/>
        <family val="1"/>
        <charset val="134"/>
      </rPr>
      <t>尺光环区域内发出微光光照和以下灵光之一（由你在创造塑像时选择）。</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。当灵光内的一个生物受到伤害时，你可以使用反应对该生物造成</t>
    </r>
    <r>
      <rPr>
        <sz val="10"/>
        <color theme="1"/>
        <rFont val="Times New Roman"/>
        <family val="1"/>
      </rPr>
      <t>1d8+</t>
    </r>
    <r>
      <rPr>
        <sz val="10"/>
        <color theme="1"/>
        <rFont val="宋体"/>
        <family val="1"/>
        <charset val="134"/>
      </rPr>
      <t>你感知调整值的火焰伤害。</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。当你创造塑像时，以及在后续回合内使用附赠动作，使灵光内一个你可见的生物恢复</t>
    </r>
    <r>
      <rPr>
        <sz val="10"/>
        <color theme="1"/>
        <rFont val="Times New Roman"/>
        <family val="1"/>
      </rPr>
      <t>1d6</t>
    </r>
    <r>
      <rPr>
        <sz val="10"/>
        <color theme="1"/>
        <rFont val="宋体"/>
        <family val="1"/>
        <charset val="134"/>
      </rPr>
      <t>生命值。你能够使用该塑像来恢复生命值的次数等于你施法属性调整值的两倍。</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。若身处灵光内，你和你的盟友的</t>
    </r>
    <r>
      <rPr>
        <sz val="10"/>
        <color theme="1"/>
        <rFont val="Times New Roman"/>
        <family val="1"/>
      </rPr>
      <t>AC</t>
    </r>
    <r>
      <rPr>
        <sz val="10"/>
        <color theme="1"/>
        <rFont val="宋体"/>
        <family val="1"/>
        <charset val="134"/>
      </rPr>
      <t>获得</t>
    </r>
    <r>
      <rPr>
        <sz val="10"/>
        <color theme="1"/>
        <rFont val="Times New Roman"/>
        <family val="1"/>
      </rPr>
      <t>+1</t>
    </r>
    <r>
      <rPr>
        <sz val="10"/>
        <color theme="1"/>
        <rFont val="宋体"/>
        <family val="1"/>
        <charset val="134"/>
      </rPr>
      <t>加值。</t>
    </r>
    <phoneticPr fontId="68" type="noConversion"/>
  </si>
  <si>
    <t>柳艺结社法术</t>
    <phoneticPr fontId="68" type="noConversion"/>
  </si>
  <si>
    <r>
      <rPr>
        <sz val="10"/>
        <color theme="1"/>
        <rFont val="宋体"/>
        <family val="1"/>
        <charset val="134"/>
      </rPr>
      <t>当你达到柳艺结社法术列表中提及的德鲁伊等级时，你便始终准备着列出的法术：</t>
    </r>
    <r>
      <rPr>
        <sz val="10"/>
        <color theme="1"/>
        <rFont val="Times New Roman"/>
        <family val="1"/>
      </rPr>
      <t xml:space="preserve">
</t>
    </r>
    <r>
      <rPr>
        <sz val="10"/>
        <color theme="1"/>
        <rFont val="宋体"/>
        <family val="1"/>
        <charset val="134"/>
      </rPr>
      <t>柳艺结社法术</t>
    </r>
    <r>
      <rPr>
        <sz val="10"/>
        <color theme="1"/>
        <rFont val="Times New Roman"/>
        <family val="1"/>
      </rPr>
      <t xml:space="preserve">Circle of Wicker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Bane</t>
    </r>
    <r>
      <rPr>
        <sz val="10"/>
        <color theme="1"/>
        <rFont val="宋体"/>
        <family val="1"/>
        <charset val="134"/>
      </rPr>
      <t>，祝福术</t>
    </r>
    <r>
      <rPr>
        <sz val="10"/>
        <color theme="1"/>
        <rFont val="Times New Roman"/>
        <family val="1"/>
      </rPr>
      <t>Bless</t>
    </r>
    <r>
      <rPr>
        <sz val="10"/>
        <color theme="1"/>
        <rFont val="宋体"/>
        <family val="1"/>
        <charset val="134"/>
      </rPr>
      <t>，夏日之风</t>
    </r>
    <r>
      <rPr>
        <sz val="10"/>
        <color theme="1"/>
        <rFont val="Times New Roman"/>
        <family val="1"/>
      </rPr>
      <t>Summer Winds</t>
    </r>
    <r>
      <rPr>
        <sz val="10"/>
        <color theme="1"/>
        <rFont val="宋体"/>
        <family val="1"/>
        <charset val="134"/>
      </rPr>
      <t>，诚实之域</t>
    </r>
    <r>
      <rPr>
        <sz val="10"/>
        <color theme="1"/>
        <rFont val="Times New Roman"/>
        <family val="1"/>
      </rPr>
      <t xml:space="preserve">Zone of Truth
5 </t>
    </r>
    <r>
      <rPr>
        <sz val="10"/>
        <color theme="1"/>
        <rFont val="宋体"/>
        <family val="1"/>
        <charset val="134"/>
      </rPr>
      <t>降咒</t>
    </r>
    <r>
      <rPr>
        <sz val="10"/>
        <color theme="1"/>
        <rFont val="Times New Roman"/>
        <family val="1"/>
      </rPr>
      <t>Bestow Curse</t>
    </r>
    <r>
      <rPr>
        <sz val="10"/>
        <color theme="1"/>
        <rFont val="宋体"/>
        <family val="1"/>
        <charset val="134"/>
      </rPr>
      <t>，李欧蒙小屋</t>
    </r>
    <r>
      <rPr>
        <sz val="10"/>
        <color theme="1"/>
        <rFont val="Times New Roman"/>
        <family val="1"/>
      </rPr>
      <t xml:space="preserve">Leomund's Tiny Hut
7 </t>
    </r>
    <r>
      <rPr>
        <sz val="10"/>
        <color theme="1"/>
        <rFont val="宋体"/>
        <family val="1"/>
        <charset val="134"/>
      </rPr>
      <t>防死结界</t>
    </r>
    <r>
      <rPr>
        <sz val="10"/>
        <color theme="1"/>
        <rFont val="Times New Roman"/>
        <family val="1"/>
      </rPr>
      <t>Death Ward</t>
    </r>
    <r>
      <rPr>
        <sz val="10"/>
        <color theme="1"/>
        <rFont val="宋体"/>
        <family val="1"/>
        <charset val="134"/>
      </rPr>
      <t>，牧人圣所</t>
    </r>
    <r>
      <rPr>
        <sz val="10"/>
        <color theme="1"/>
        <rFont val="Times New Roman"/>
        <family val="1"/>
      </rPr>
      <t xml:space="preserve">Sanctum of the Shepherd
9 </t>
    </r>
    <r>
      <rPr>
        <sz val="10"/>
        <color theme="1"/>
        <rFont val="宋体"/>
        <family val="1"/>
        <charset val="134"/>
      </rPr>
      <t>定身怪物</t>
    </r>
    <r>
      <rPr>
        <sz val="10"/>
        <color theme="1"/>
        <rFont val="Times New Roman"/>
        <family val="1"/>
      </rPr>
      <t>Hold Monster</t>
    </r>
    <r>
      <rPr>
        <sz val="10"/>
        <color theme="1"/>
        <rFont val="宋体"/>
        <family val="1"/>
        <charset val="134"/>
      </rPr>
      <t>，幸运符</t>
    </r>
    <r>
      <rPr>
        <sz val="10"/>
        <color theme="1"/>
        <rFont val="Times New Roman"/>
        <family val="1"/>
      </rPr>
      <t>Lucky Charm</t>
    </r>
    <phoneticPr fontId="68" type="noConversion"/>
  </si>
  <si>
    <t>柳编符咒</t>
    <phoneticPr fontId="68" type="noConversion"/>
  </si>
  <si>
    <r>
      <rPr>
        <sz val="10"/>
        <color theme="1"/>
        <rFont val="宋体"/>
        <family val="1"/>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1"/>
        <charset val="134"/>
      </rPr>
      <t>；</t>
    </r>
    <r>
      <rPr>
        <sz val="10"/>
        <color theme="1"/>
        <rFont val="Times New Roman"/>
        <family val="1"/>
      </rPr>
      <t>HP1</t>
    </r>
    <r>
      <rPr>
        <sz val="10"/>
        <color theme="1"/>
        <rFont val="宋体"/>
        <family val="1"/>
        <charset val="134"/>
      </rPr>
      <t>；免疫毒素和心灵伤害）。符咒会在你完成下一次长休时消失。</t>
    </r>
    <r>
      <rPr>
        <sz val="10"/>
        <color theme="1"/>
        <rFont val="Times New Roman"/>
        <family val="1"/>
      </rPr>
      <t xml:space="preserve">
</t>
    </r>
    <r>
      <rPr>
        <sz val="10"/>
        <color theme="1"/>
        <rFont val="宋体"/>
        <family val="1"/>
        <charset val="134"/>
      </rPr>
      <t>当你和携带你符咒的生物位于同一存在位面时，你可以对它施展施法距离为触碰的法术。</t>
    </r>
    <phoneticPr fontId="68" type="noConversion"/>
  </si>
  <si>
    <t>精进柳艺</t>
    <phoneticPr fontId="68" type="noConversion"/>
  </si>
  <si>
    <r>
      <rPr>
        <sz val="10"/>
        <color theme="1"/>
        <rFont val="宋体"/>
        <family val="1"/>
        <charset val="134"/>
      </rPr>
      <t>你通过柳条塑像引导的能量变得更为强大，从而使其赋予的增益得到强化。</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。火焰伤害增加至</t>
    </r>
    <r>
      <rPr>
        <sz val="10"/>
        <color theme="1"/>
        <rFont val="Times New Roman"/>
        <family val="1"/>
      </rPr>
      <t>2d8+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。塑像提供的治疗增加至</t>
    </r>
    <r>
      <rPr>
        <sz val="10"/>
        <color theme="1"/>
        <rFont val="Times New Roman"/>
        <family val="1"/>
      </rPr>
      <t>1d8</t>
    </r>
    <r>
      <rPr>
        <sz val="10"/>
        <color theme="1"/>
        <rFont val="宋体"/>
        <family val="1"/>
        <charset val="134"/>
      </rPr>
      <t>，并且当你通过人偶指定一个生物时，你可以消耗</t>
    </r>
    <r>
      <rPr>
        <sz val="10"/>
        <color theme="1"/>
        <rFont val="Times New Roman"/>
        <family val="1"/>
      </rPr>
      <t>5</t>
    </r>
    <r>
      <rPr>
        <sz val="10"/>
        <color theme="1"/>
        <rFont val="宋体"/>
        <family val="1"/>
        <charset val="134"/>
      </rPr>
      <t>点塑像的生命值，移除目标身上的以下状态之一：魅惑、恐慌、麻痹、中毒、震慑。</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。选择一种除力场外的伤害类型。位于灵光内时，你和你的盟友对所选类型伤害具有抗性。</t>
    </r>
    <phoneticPr fontId="68" type="noConversion"/>
  </si>
  <si>
    <t>缚魂娃娃</t>
    <phoneticPr fontId="68" type="noConversion"/>
  </si>
  <si>
    <r>
      <rPr>
        <sz val="10"/>
        <color theme="1"/>
        <rFont val="宋体"/>
        <family val="1"/>
        <charset val="134"/>
      </rPr>
      <t>你可以使用魔法动作消耗一次荒野形态</t>
    </r>
    <r>
      <rPr>
        <sz val="10"/>
        <color theme="1"/>
        <rFont val="Times New Roman"/>
        <family val="1"/>
      </rPr>
      <t>Wild Shape</t>
    </r>
    <r>
      <rPr>
        <sz val="10"/>
        <color theme="1"/>
        <rFont val="宋体"/>
        <family val="1"/>
        <charset val="134"/>
      </rPr>
      <t>特性的使用次数，选择你周边</t>
    </r>
    <r>
      <rPr>
        <sz val="10"/>
        <color theme="1"/>
        <rFont val="Times New Roman"/>
        <family val="1"/>
      </rPr>
      <t>60</t>
    </r>
    <r>
      <rPr>
        <sz val="10"/>
        <color theme="1"/>
        <rFont val="宋体"/>
        <family val="1"/>
        <charset val="134"/>
      </rPr>
      <t>尺范围内一个你可见的生物，创造出一个与目标外观相似的柳条娃娃。娃娃是一个微型物件（</t>
    </r>
    <r>
      <rPr>
        <sz val="10"/>
        <color theme="1"/>
        <rFont val="Times New Roman"/>
        <family val="1"/>
      </rPr>
      <t>AC10</t>
    </r>
    <r>
      <rPr>
        <sz val="10"/>
        <color theme="1"/>
        <rFont val="宋体"/>
        <family val="1"/>
        <charset val="134"/>
      </rPr>
      <t>；</t>
    </r>
    <r>
      <rPr>
        <sz val="10"/>
        <color theme="1"/>
        <rFont val="Times New Roman"/>
        <family val="1"/>
      </rPr>
      <t>HP10</t>
    </r>
    <r>
      <rPr>
        <sz val="10"/>
        <color theme="1"/>
        <rFont val="宋体"/>
        <family val="1"/>
        <charset val="134"/>
      </rPr>
      <t>；具有火焰伤害易伤；免疫毒素和心灵伤害）。娃娃会在</t>
    </r>
    <r>
      <rPr>
        <sz val="10"/>
        <color theme="1"/>
        <rFont val="Times New Roman"/>
        <family val="1"/>
      </rPr>
      <t>1</t>
    </r>
    <r>
      <rPr>
        <sz val="10"/>
        <color theme="1"/>
        <rFont val="宋体"/>
        <family val="1"/>
        <charset val="134"/>
      </rPr>
      <t>分钟后或当其生命值减少至</t>
    </r>
    <r>
      <rPr>
        <sz val="10"/>
        <color theme="1"/>
        <rFont val="Times New Roman"/>
        <family val="1"/>
      </rPr>
      <t>0</t>
    </r>
    <r>
      <rPr>
        <sz val="10"/>
        <color theme="1"/>
        <rFont val="宋体"/>
        <family val="1"/>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1"/>
        <charset val="134"/>
      </rPr>
      <t>暗蚀伤害。</t>
    </r>
    <phoneticPr fontId="68" type="noConversion"/>
  </si>
  <si>
    <t>极境柳艺</t>
    <phoneticPr fontId="68" type="noConversion"/>
  </si>
  <si>
    <r>
      <rPr>
        <sz val="10"/>
        <color theme="1"/>
        <rFont val="宋体"/>
        <family val="1"/>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t>
    </r>
    <r>
      <rPr>
        <sz val="10"/>
        <color theme="1"/>
        <rFont val="Times New Roman"/>
        <family val="1"/>
      </rPr>
      <t xml:space="preserve"> </t>
    </r>
    <r>
      <rPr>
        <sz val="10"/>
        <color theme="1"/>
        <rFont val="宋体"/>
        <family val="1"/>
        <charset val="134"/>
      </rPr>
      <t>火焰伤害增加至</t>
    </r>
    <r>
      <rPr>
        <sz val="10"/>
        <color theme="1"/>
        <rFont val="Times New Roman"/>
        <family val="1"/>
      </rPr>
      <t>3d8+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t>
    </r>
    <r>
      <rPr>
        <sz val="10"/>
        <color theme="1"/>
        <rFont val="Times New Roman"/>
        <family val="1"/>
      </rPr>
      <t xml:space="preserve"> </t>
    </r>
    <r>
      <rPr>
        <sz val="10"/>
        <color theme="1"/>
        <rFont val="宋体"/>
        <family val="1"/>
        <charset val="134"/>
      </rPr>
      <t>当你或你的盟友在灵光内开始自己回合时，其魅惑或恐慌状态（由目标选择）会终止。</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t>
    </r>
    <r>
      <rPr>
        <sz val="10"/>
        <color theme="1"/>
        <rFont val="Times New Roman"/>
        <family val="1"/>
      </rPr>
      <t xml:space="preserve"> </t>
    </r>
    <r>
      <rPr>
        <sz val="10"/>
        <color theme="1"/>
        <rFont val="宋体"/>
        <family val="1"/>
        <charset val="134"/>
      </rPr>
      <t>选择一项属性。位于灵光内时，你和你的盟友以所选属性进行的豁免检定具有优势。</t>
    </r>
    <phoneticPr fontId="68" type="noConversion"/>
  </si>
  <si>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phoneticPr fontId="68" type="noConversion"/>
  </si>
  <si>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phoneticPr fontId="68" type="noConversion"/>
  </si>
  <si>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phoneticPr fontId="68" type="noConversion"/>
  </si>
  <si>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phoneticPr fontId="68" type="noConversion"/>
  </si>
  <si>
    <t>地方历法</t>
    <phoneticPr fontId="68" type="noConversion"/>
  </si>
  <si>
    <t>你获得一套草药工具，并拥有草药工具的熟练。你也会获得自然或求生技能的熟练。</t>
    <phoneticPr fontId="68" type="noConversion"/>
  </si>
  <si>
    <t>丰收领域法术</t>
    <phoneticPr fontId="68" type="noConversion"/>
  </si>
  <si>
    <r>
      <rPr>
        <sz val="10"/>
        <color theme="1"/>
        <rFont val="宋体"/>
        <family val="1"/>
        <charset val="134"/>
      </rPr>
      <t>当你完成一次短休或长休时，选择丰收循环的一个阶段：播种</t>
    </r>
    <r>
      <rPr>
        <sz val="10"/>
        <color theme="1"/>
        <rFont val="Times New Roman"/>
        <family val="1"/>
      </rPr>
      <t>Sowing</t>
    </r>
    <r>
      <rPr>
        <sz val="10"/>
        <color theme="1"/>
        <rFont val="宋体"/>
        <family val="1"/>
        <charset val="134"/>
      </rPr>
      <t>、生长</t>
    </r>
    <r>
      <rPr>
        <sz val="10"/>
        <color theme="1"/>
        <rFont val="Times New Roman"/>
        <family val="1"/>
      </rPr>
      <t>Growing</t>
    </r>
    <r>
      <rPr>
        <sz val="10"/>
        <color theme="1"/>
        <rFont val="宋体"/>
        <family val="1"/>
        <charset val="134"/>
      </rPr>
      <t>或收割</t>
    </r>
    <r>
      <rPr>
        <sz val="10"/>
        <color theme="1"/>
        <rFont val="Times New Roman"/>
        <family val="1"/>
      </rPr>
      <t>Reaping</t>
    </r>
    <r>
      <rPr>
        <sz val="10"/>
        <color theme="1"/>
        <rFont val="宋体"/>
        <family val="1"/>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1"/>
        <charset val="134"/>
      </rPr>
      <t>丰收领域法术</t>
    </r>
    <r>
      <rPr>
        <sz val="10"/>
        <color theme="1"/>
        <rFont val="Times New Roman"/>
        <family val="1"/>
      </rPr>
      <t xml:space="preserve">Harvest Domain Spells
</t>
    </r>
    <r>
      <rPr>
        <sz val="10"/>
        <color theme="1"/>
        <rFont val="宋体"/>
        <family val="1"/>
        <charset val="134"/>
      </rPr>
      <t>牧师等级</t>
    </r>
    <r>
      <rPr>
        <sz val="10"/>
        <color theme="1"/>
        <rFont val="Times New Roman"/>
        <family val="1"/>
      </rPr>
      <t xml:space="preserve">	</t>
    </r>
    <r>
      <rPr>
        <sz val="10"/>
        <color theme="1"/>
        <rFont val="宋体"/>
        <family val="1"/>
        <charset val="134"/>
      </rPr>
      <t>播种</t>
    </r>
    <r>
      <rPr>
        <sz val="10"/>
        <color theme="1"/>
        <rFont val="Times New Roman"/>
        <family val="1"/>
      </rPr>
      <t xml:space="preserve">	</t>
    </r>
    <r>
      <rPr>
        <sz val="10"/>
        <color theme="1"/>
        <rFont val="宋体"/>
        <family val="1"/>
        <charset val="134"/>
      </rPr>
      <t>生长</t>
    </r>
    <r>
      <rPr>
        <sz val="10"/>
        <color theme="1"/>
        <rFont val="Times New Roman"/>
        <family val="1"/>
      </rPr>
      <t xml:space="preserve">	</t>
    </r>
    <r>
      <rPr>
        <sz val="10"/>
        <color theme="1"/>
        <rFont val="宋体"/>
        <family val="1"/>
        <charset val="134"/>
      </rPr>
      <t>收割</t>
    </r>
    <r>
      <rPr>
        <sz val="10"/>
        <color theme="1"/>
        <rFont val="Times New Roman"/>
        <family val="1"/>
      </rPr>
      <t xml:space="preserve">
3 </t>
    </r>
    <r>
      <rPr>
        <sz val="10"/>
        <color theme="1"/>
        <rFont val="宋体"/>
        <family val="1"/>
        <charset val="134"/>
      </rPr>
      <t>德鲁伊伎俩</t>
    </r>
    <r>
      <rPr>
        <sz val="10"/>
        <color theme="1"/>
        <rFont val="Times New Roman"/>
        <family val="1"/>
      </rPr>
      <t xml:space="preserve">Druidcraft </t>
    </r>
    <r>
      <rPr>
        <sz val="10"/>
        <color theme="1"/>
        <rFont val="宋体"/>
        <family val="1"/>
        <charset val="134"/>
      </rPr>
      <t>神导术</t>
    </r>
    <r>
      <rPr>
        <sz val="10"/>
        <color theme="1"/>
        <rFont val="Times New Roman"/>
        <family val="1"/>
      </rPr>
      <t xml:space="preserve">Guidance </t>
    </r>
    <r>
      <rPr>
        <sz val="10"/>
        <color theme="1"/>
        <rFont val="宋体"/>
        <family val="1"/>
        <charset val="134"/>
      </rPr>
      <t>颤栗之触</t>
    </r>
    <r>
      <rPr>
        <sz val="10"/>
        <color theme="1"/>
        <rFont val="Times New Roman"/>
        <family val="1"/>
      </rPr>
      <t xml:space="preserve">Chill Touch
   </t>
    </r>
    <r>
      <rPr>
        <sz val="10"/>
        <color theme="1"/>
        <rFont val="宋体"/>
        <family val="1"/>
        <charset val="134"/>
      </rPr>
      <t>神莓术</t>
    </r>
    <r>
      <rPr>
        <sz val="10"/>
        <color theme="1"/>
        <rFont val="Times New Roman"/>
        <family val="1"/>
      </rPr>
      <t xml:space="preserve">Goodberry </t>
    </r>
    <r>
      <rPr>
        <sz val="10"/>
        <color theme="1"/>
        <rFont val="宋体"/>
        <family val="1"/>
        <charset val="134"/>
      </rPr>
      <t>纠缠术</t>
    </r>
    <r>
      <rPr>
        <sz val="10"/>
        <color theme="1"/>
        <rFont val="Times New Roman"/>
        <family val="1"/>
      </rPr>
      <t xml:space="preserve">Entangle </t>
    </r>
    <r>
      <rPr>
        <sz val="10"/>
        <color theme="1"/>
        <rFont val="宋体"/>
        <family val="1"/>
        <charset val="134"/>
      </rPr>
      <t>致伤术</t>
    </r>
    <r>
      <rPr>
        <sz val="10"/>
        <color theme="1"/>
        <rFont val="Times New Roman"/>
        <family val="1"/>
      </rPr>
      <t xml:space="preserve">Inflict Wounds
   </t>
    </r>
    <r>
      <rPr>
        <sz val="10"/>
        <color theme="1"/>
        <rFont val="宋体"/>
        <family val="1"/>
        <charset val="134"/>
      </rPr>
      <t>次级复原术</t>
    </r>
    <r>
      <rPr>
        <sz val="10"/>
        <color theme="1"/>
        <rFont val="Times New Roman"/>
        <family val="1"/>
      </rPr>
      <t xml:space="preserve">Lesser Restoration </t>
    </r>
    <r>
      <rPr>
        <sz val="10"/>
        <color theme="1"/>
        <rFont val="宋体"/>
        <family val="1"/>
        <charset val="134"/>
      </rPr>
      <t>夏日清风</t>
    </r>
    <r>
      <rPr>
        <sz val="10"/>
        <color theme="1"/>
        <rFont val="Times New Roman"/>
        <family val="1"/>
      </rPr>
      <t xml:space="preserve">Summer Winds </t>
    </r>
    <r>
      <rPr>
        <sz val="10"/>
        <color theme="1"/>
        <rFont val="宋体"/>
        <family val="1"/>
        <charset val="134"/>
      </rPr>
      <t>定身类人</t>
    </r>
    <r>
      <rPr>
        <sz val="10"/>
        <color theme="1"/>
        <rFont val="Times New Roman"/>
        <family val="1"/>
      </rPr>
      <t xml:space="preserve">Hold Person
5 </t>
    </r>
    <r>
      <rPr>
        <sz val="10"/>
        <color theme="1"/>
        <rFont val="宋体"/>
        <family val="1"/>
        <charset val="134"/>
      </rPr>
      <t>丰收月辉</t>
    </r>
    <r>
      <rPr>
        <sz val="10"/>
        <color theme="1"/>
        <rFont val="Times New Roman"/>
        <family val="1"/>
      </rPr>
      <t xml:space="preserve">Harvest Moonglow </t>
    </r>
    <r>
      <rPr>
        <sz val="10"/>
        <color theme="1"/>
        <rFont val="宋体"/>
        <family val="1"/>
        <charset val="134"/>
      </rPr>
      <t>植物滋长</t>
    </r>
    <r>
      <rPr>
        <sz val="10"/>
        <color theme="1"/>
        <rFont val="Times New Roman"/>
        <family val="1"/>
      </rPr>
      <t xml:space="preserve">Plant Growth </t>
    </r>
    <r>
      <rPr>
        <sz val="10"/>
        <color theme="1"/>
        <rFont val="宋体"/>
        <family val="1"/>
        <charset val="134"/>
      </rPr>
      <t>剔肉镰刀</t>
    </r>
    <r>
      <rPr>
        <sz val="10"/>
        <color theme="1"/>
        <rFont val="Times New Roman"/>
        <family val="1"/>
      </rPr>
      <t xml:space="preserve">Culling Sickle
7 </t>
    </r>
    <r>
      <rPr>
        <sz val="10"/>
        <color theme="1"/>
        <rFont val="宋体"/>
        <family val="1"/>
        <charset val="134"/>
      </rPr>
      <t>防死结界</t>
    </r>
    <r>
      <rPr>
        <sz val="10"/>
        <color theme="1"/>
        <rFont val="Times New Roman"/>
        <family val="1"/>
      </rPr>
      <t xml:space="preserve">Death Ward </t>
    </r>
    <r>
      <rPr>
        <sz val="10"/>
        <color theme="1"/>
        <rFont val="宋体"/>
        <family val="1"/>
        <charset val="134"/>
      </rPr>
      <t>牧人圣所</t>
    </r>
    <r>
      <rPr>
        <sz val="10"/>
        <color theme="1"/>
        <rFont val="Times New Roman"/>
        <family val="1"/>
      </rPr>
      <t xml:space="preserve">Sanctum of the Shepherd </t>
    </r>
    <r>
      <rPr>
        <sz val="10"/>
        <color theme="1"/>
        <rFont val="宋体"/>
        <family val="1"/>
        <charset val="134"/>
      </rPr>
      <t>薪火焚身</t>
    </r>
    <r>
      <rPr>
        <sz val="10"/>
        <color theme="1"/>
        <rFont val="Times New Roman"/>
        <family val="1"/>
      </rPr>
      <t xml:space="preserve">Consuming Pyre
9 </t>
    </r>
    <r>
      <rPr>
        <sz val="10"/>
        <color theme="1"/>
        <rFont val="宋体"/>
        <family val="1"/>
        <charset val="134"/>
      </rPr>
      <t>启蒙术</t>
    </r>
    <r>
      <rPr>
        <sz val="10"/>
        <color theme="1"/>
        <rFont val="Times New Roman"/>
        <family val="1"/>
      </rPr>
      <t xml:space="preserve">Awaken </t>
    </r>
    <r>
      <rPr>
        <sz val="10"/>
        <color theme="1"/>
        <rFont val="宋体"/>
        <family val="1"/>
        <charset val="134"/>
      </rPr>
      <t>群体疗伤术</t>
    </r>
    <r>
      <rPr>
        <sz val="10"/>
        <color theme="1"/>
        <rFont val="Times New Roman"/>
        <family val="1"/>
      </rPr>
      <t xml:space="preserve">Mass Cure Wounds </t>
    </r>
    <r>
      <rPr>
        <sz val="10"/>
        <color theme="1"/>
        <rFont val="宋体"/>
        <family val="1"/>
        <charset val="134"/>
      </rPr>
      <t>收割场</t>
    </r>
    <r>
      <rPr>
        <sz val="10"/>
        <color theme="1"/>
        <rFont val="Times New Roman"/>
        <family val="1"/>
      </rPr>
      <t>Field of Reaping</t>
    </r>
    <phoneticPr fontId="68" type="noConversion"/>
  </si>
  <si>
    <t>丰饶之角</t>
    <phoneticPr fontId="68" type="noConversion"/>
  </si>
  <si>
    <r>
      <rPr>
        <sz val="10"/>
        <color theme="1"/>
        <rFont val="宋体"/>
        <family val="1"/>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1"/>
        <charset val="134"/>
      </rPr>
      <t>骰分配给这些生物。所有生物立刻掷出分配给它们的</t>
    </r>
    <r>
      <rPr>
        <sz val="10"/>
        <color theme="1"/>
        <rFont val="Times New Roman"/>
        <family val="1"/>
      </rPr>
      <t>d4</t>
    </r>
    <r>
      <rPr>
        <sz val="10"/>
        <color theme="1"/>
        <rFont val="宋体"/>
        <family val="1"/>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1"/>
        <charset val="134"/>
      </rPr>
      <t>一旦你使用了此特性，则直至你完成一次长休前，都无法再次使用。</t>
    </r>
    <phoneticPr fontId="68" type="noConversion"/>
  </si>
  <si>
    <t>五谷丰登</t>
    <phoneticPr fontId="68" type="noConversion"/>
  </si>
  <si>
    <r>
      <rPr>
        <sz val="10"/>
        <color theme="1"/>
        <rFont val="宋体"/>
        <family val="1"/>
        <charset val="134"/>
      </rPr>
      <t>你可以使用魔法动作展示你的圣徽并消耗一次引导神力</t>
    </r>
    <r>
      <rPr>
        <sz val="10"/>
        <color theme="1"/>
        <rFont val="Times New Roman"/>
        <family val="1"/>
      </rPr>
      <t>Channel Divinity</t>
    </r>
    <r>
      <rPr>
        <sz val="10"/>
        <color theme="1"/>
        <rFont val="宋体"/>
        <family val="1"/>
        <charset val="134"/>
      </rPr>
      <t>使用次数，唤起丰收之灵。你周边</t>
    </r>
    <r>
      <rPr>
        <sz val="10"/>
        <color theme="1"/>
        <rFont val="Times New Roman"/>
        <family val="1"/>
      </rPr>
      <t>60</t>
    </r>
    <r>
      <rPr>
        <sz val="10"/>
        <color theme="1"/>
        <rFont val="宋体"/>
        <family val="1"/>
        <charset val="134"/>
      </rPr>
      <t>尺范围内至多</t>
    </r>
    <r>
      <rPr>
        <sz val="10"/>
        <color theme="1"/>
        <rFont val="Times New Roman"/>
        <family val="1"/>
      </rPr>
      <t>6</t>
    </r>
    <r>
      <rPr>
        <sz val="10"/>
        <color theme="1"/>
        <rFont val="宋体"/>
        <family val="1"/>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1"/>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t>
    </r>
    <r>
      <rPr>
        <sz val="10"/>
        <color theme="1"/>
        <rFont val="Times New Roman"/>
        <family val="1"/>
      </rPr>
      <t xml:space="preserve"> </t>
    </r>
    <r>
      <rPr>
        <sz val="10"/>
        <color theme="1"/>
        <rFont val="宋体"/>
        <family val="1"/>
        <charset val="134"/>
      </rPr>
      <t>目标获得等同于你熟练加值加上你感知调整值的临时生命值。</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t>
    </r>
    <r>
      <rPr>
        <sz val="10"/>
        <color theme="1"/>
        <rFont val="Times New Roman"/>
        <family val="1"/>
      </rPr>
      <t xml:space="preserve"> </t>
    </r>
    <r>
      <rPr>
        <sz val="10"/>
        <color theme="1"/>
        <rFont val="宋体"/>
        <family val="1"/>
        <charset val="134"/>
      </rPr>
      <t>直至你的下一回合结束，当目标进行攻击检定或属性检定时，其会在结果总值中加入</t>
    </r>
    <r>
      <rPr>
        <sz val="10"/>
        <color theme="1"/>
        <rFont val="Times New Roman"/>
        <family val="1"/>
      </rPr>
      <t>1d4</t>
    </r>
    <r>
      <rPr>
        <sz val="10"/>
        <color theme="1"/>
        <rFont val="宋体"/>
        <family val="1"/>
        <charset val="134"/>
      </rPr>
      <t>。</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t>
    </r>
    <r>
      <rPr>
        <sz val="10"/>
        <color theme="1"/>
        <rFont val="Times New Roman"/>
        <family val="1"/>
      </rPr>
      <t xml:space="preserve"> </t>
    </r>
    <r>
      <rPr>
        <sz val="10"/>
        <color theme="1"/>
        <rFont val="宋体"/>
        <family val="1"/>
        <charset val="134"/>
      </rPr>
      <t>目标在你的下一回合结束前首次伤害一个生物时，会额外造成等同于你熟练加值的暗蚀伤害。</t>
    </r>
    <phoneticPr fontId="68" type="noConversion"/>
  </si>
  <si>
    <t>四时祝福</t>
    <phoneticPr fontId="68" type="noConversion"/>
  </si>
  <si>
    <r>
      <rPr>
        <sz val="10"/>
        <color theme="1"/>
        <rFont val="宋体"/>
        <family val="1"/>
        <charset val="134"/>
      </rPr>
      <t>你可以引导丰收循环之力，来化解潜在的灾难。当你周边</t>
    </r>
    <r>
      <rPr>
        <sz val="10"/>
        <color theme="1"/>
        <rFont val="Times New Roman"/>
        <family val="1"/>
      </rPr>
      <t>30</t>
    </r>
    <r>
      <rPr>
        <sz val="10"/>
        <color theme="1"/>
        <rFont val="宋体"/>
        <family val="1"/>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1"/>
        <charset val="134"/>
      </rPr>
      <t>并使用新的结果。你可以影响的豁免检定类型如下：</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。敏捷和魅力。</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。体质和智力。</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。力量和感知。</t>
    </r>
    <r>
      <rPr>
        <sz val="10"/>
        <color theme="1"/>
        <rFont val="Times New Roman"/>
        <family val="1"/>
      </rPr>
      <t xml:space="preserve">
</t>
    </r>
    <r>
      <rPr>
        <sz val="10"/>
        <color theme="1"/>
        <rFont val="宋体"/>
        <family val="1"/>
        <charset val="134"/>
      </rPr>
      <t>此外，无论该豁免检定成功还是失败，掷数量等于你熟练加值的</t>
    </r>
    <r>
      <rPr>
        <sz val="10"/>
        <color theme="1"/>
        <rFont val="Times New Roman"/>
        <family val="1"/>
      </rPr>
      <t>d4</t>
    </r>
    <r>
      <rPr>
        <sz val="10"/>
        <color theme="1"/>
        <rFont val="宋体"/>
        <family val="1"/>
        <charset val="134"/>
      </rPr>
      <t>骰。目标恢复等于结果总值的生命值。</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）。完成一次长休后，你重获所有已消耗的使用次数。</t>
    </r>
    <phoneticPr fontId="68" type="noConversion"/>
  </si>
  <si>
    <t>永恒之轮</t>
    <phoneticPr fontId="68" type="noConversion"/>
  </si>
  <si>
    <r>
      <rPr>
        <sz val="10"/>
        <color theme="1"/>
        <rFont val="宋体"/>
        <family val="1"/>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。目标获得再生术</t>
    </r>
    <r>
      <rPr>
        <sz val="10"/>
        <color theme="1"/>
        <rFont val="Times New Roman"/>
        <family val="1"/>
      </rPr>
      <t>Regenerate</t>
    </r>
    <r>
      <rPr>
        <sz val="10"/>
        <color theme="1"/>
        <rFont val="宋体"/>
        <family val="1"/>
        <charset val="134"/>
      </rPr>
      <t>的效应，持续</t>
    </r>
    <r>
      <rPr>
        <sz val="10"/>
        <color theme="1"/>
        <rFont val="Times New Roman"/>
        <family val="1"/>
      </rPr>
      <t>1</t>
    </r>
    <r>
      <rPr>
        <sz val="10"/>
        <color theme="1"/>
        <rFont val="宋体"/>
        <family val="1"/>
        <charset val="134"/>
      </rPr>
      <t>分钟或直至你失去专注。</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。目标在豁免检定和属性检定中具有优势，持续</t>
    </r>
    <r>
      <rPr>
        <sz val="10"/>
        <color theme="1"/>
        <rFont val="Times New Roman"/>
        <family val="1"/>
      </rPr>
      <t>1</t>
    </r>
    <r>
      <rPr>
        <sz val="10"/>
        <color theme="1"/>
        <rFont val="宋体"/>
        <family val="1"/>
        <charset val="134"/>
      </rPr>
      <t>小时或直至你失去专注（如同专注一个法术）。</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。目标获得暗蚀、心灵和毒素伤害抗性，持续</t>
    </r>
    <r>
      <rPr>
        <sz val="10"/>
        <color theme="1"/>
        <rFont val="Times New Roman"/>
        <family val="1"/>
      </rPr>
      <t>1</t>
    </r>
    <r>
      <rPr>
        <sz val="10"/>
        <color theme="1"/>
        <rFont val="宋体"/>
        <family val="1"/>
        <charset val="134"/>
      </rPr>
      <t>小时。</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</si>
  <si>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能艺之具</t>
    <phoneticPr fontId="68" type="noConversion"/>
  </si>
  <si>
    <t>鱼面</t>
    <phoneticPr fontId="68" type="noConversion"/>
  </si>
  <si>
    <t>当戴着此面具时，你获得等同于步行速度的游泳速度和水下呼吸能力。此外，你习得水弹术Water Bullet和潮覆武器Whelm Weapon法术。</t>
    <phoneticPr fontId="68" type="noConversion"/>
  </si>
  <si>
    <t>狐面</t>
    <phoneticPr fontId="68" type="noConversion"/>
  </si>
  <si>
    <t>当戴着此面具时，你可以穿过敌对生物所占据的空间，无论其体型大小，且其他生物所占据的空间对你而言不视为困难地形。此外，你的AC增加1，当你进行敏捷豁免时，你可以使用反应获得该豁免的优势。</t>
    <phoneticPr fontId="68" type="noConversion"/>
  </si>
  <si>
    <t>翁面</t>
    <phoneticPr fontId="68" type="noConversion"/>
  </si>
  <si>
    <t>当戴着此面具时，你可以随意施放侦测魔法Detect Magic和鉴定术Identify，无需消耗法术位或材料成分。</t>
    <phoneticPr fontId="68" type="noConversion"/>
  </si>
  <si>
    <t>主角面</t>
    <phoneticPr fontId="68" type="noConversion"/>
  </si>
  <si>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phoneticPr fontId="68" type="noConversion"/>
  </si>
  <si>
    <t>海胆面</t>
    <phoneticPr fontId="68" type="noConversion"/>
  </si>
  <si>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phoneticPr fontId="68" type="noConversion"/>
  </si>
  <si>
    <t>石面</t>
    <phoneticPr fontId="68" type="noConversion"/>
  </si>
  <si>
    <t>当戴着此面具时，你获得运动技能熟练项，且你受到的非魔法攻击造成的钝击、穿刺和挥砍伤害减少2。此外，当你戴着面具时，对抗被推动、拉动或倒地的属性检定和豁免具有优势。</t>
    <phoneticPr fontId="68" type="noConversion"/>
  </si>
  <si>
    <t>拟形换影</t>
    <phoneticPr fontId="68" type="noConversion"/>
  </si>
  <si>
    <t>千面之演</t>
    <phoneticPr fontId="68" type="noConversion"/>
  </si>
  <si>
    <t>般若面</t>
    <phoneticPr fontId="68" type="noConversion"/>
  </si>
  <si>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phoneticPr fontId="68" type="noConversion"/>
  </si>
  <si>
    <t>傀儡面</t>
    <phoneticPr fontId="68" type="noConversion"/>
  </si>
  <si>
    <t>当戴着此面具时，你的武器攻击命中时额外造成1d8伤害。如果你是小型体型，你不会因武器的重型属性而在攻击检定上具有劣势。此外，你的攻击和法术对物体和建筑造成双倍伤害。</t>
    <phoneticPr fontId="68" type="noConversion"/>
  </si>
  <si>
    <t>灵面</t>
    <phoneticPr fontId="68" type="noConversion"/>
  </si>
  <si>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phoneticPr fontId="68" type="noConversion"/>
  </si>
  <si>
    <t>鸟妖面</t>
    <phoneticPr fontId="68" type="noConversion"/>
  </si>
  <si>
    <t>当戴着此面具时，你获得30尺飞行速度和心灵伤害抗性。</t>
    <phoneticPr fontId="68" type="noConversion"/>
  </si>
  <si>
    <t>传艺授面</t>
    <phoneticPr fontId="68" type="noConversion"/>
  </si>
  <si>
    <t>助人祟魂</t>
    <phoneticPr fontId="68" type="noConversion"/>
  </si>
  <si>
    <r>
      <rPr>
        <sz val="10"/>
        <color theme="1"/>
        <rFont val="宋体"/>
        <family val="1"/>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1"/>
        <charset val="134"/>
      </rPr>
      <t>祟魂在源自该目标的</t>
    </r>
    <r>
      <rPr>
        <sz val="10"/>
        <color theme="1"/>
        <rFont val="Times New Roman"/>
        <family val="1"/>
      </rPr>
      <t>15</t>
    </r>
    <r>
      <rPr>
        <sz val="10"/>
        <color theme="1"/>
        <rFont val="宋体"/>
        <family val="1"/>
        <charset val="134"/>
      </rPr>
      <t>尺光环区域中发出灵光。该祟魂会在</t>
    </r>
    <r>
      <rPr>
        <sz val="10"/>
        <color theme="1"/>
        <rFont val="Times New Roman"/>
        <family val="1"/>
      </rPr>
      <t>1</t>
    </r>
    <r>
      <rPr>
        <sz val="10"/>
        <color theme="1"/>
        <rFont val="宋体"/>
        <family val="1"/>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1"/>
        <charset val="134"/>
      </rPr>
      <t>牢骚鬼</t>
    </r>
    <r>
      <rPr>
        <sz val="10"/>
        <color theme="1"/>
        <rFont val="Times New Roman"/>
        <family val="1"/>
      </rPr>
      <t>Grump</t>
    </r>
    <r>
      <rPr>
        <sz val="10"/>
        <color theme="1"/>
        <rFont val="宋体"/>
        <family val="1"/>
        <charset val="134"/>
      </rPr>
      <t>。</t>
    </r>
    <r>
      <rPr>
        <sz val="10"/>
        <color theme="1"/>
        <rFont val="Times New Roman"/>
        <family val="1"/>
      </rPr>
      <t xml:space="preserve"> </t>
    </r>
    <r>
      <rPr>
        <sz val="10"/>
        <color theme="1"/>
        <rFont val="宋体"/>
        <family val="1"/>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1"/>
        <charset val="134"/>
      </rPr>
      <t>冒失鬼</t>
    </r>
    <r>
      <rPr>
        <sz val="10"/>
        <color theme="1"/>
        <rFont val="Times New Roman"/>
        <family val="1"/>
      </rPr>
      <t>Sad Sack</t>
    </r>
    <r>
      <rPr>
        <sz val="10"/>
        <color theme="1"/>
        <rFont val="宋体"/>
        <family val="1"/>
        <charset val="134"/>
      </rPr>
      <t>。</t>
    </r>
    <r>
      <rPr>
        <sz val="10"/>
        <color theme="1"/>
        <rFont val="Times New Roman"/>
        <family val="1"/>
      </rPr>
      <t xml:space="preserve"> </t>
    </r>
    <r>
      <rPr>
        <sz val="10"/>
        <color theme="1"/>
        <rFont val="宋体"/>
        <family val="1"/>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1"/>
        <charset val="134"/>
      </rPr>
      <t>捣蛋鬼</t>
    </r>
    <r>
      <rPr>
        <sz val="10"/>
        <color theme="1"/>
        <rFont val="Times New Roman"/>
        <family val="1"/>
      </rPr>
      <t>Scamp</t>
    </r>
    <r>
      <rPr>
        <sz val="10"/>
        <color theme="1"/>
        <rFont val="宋体"/>
        <family val="1"/>
        <charset val="134"/>
      </rPr>
      <t>。</t>
    </r>
    <r>
      <rPr>
        <sz val="10"/>
        <color theme="1"/>
        <rFont val="Times New Roman"/>
        <family val="1"/>
      </rPr>
      <t xml:space="preserve"> </t>
    </r>
    <r>
      <rPr>
        <sz val="10"/>
        <color theme="1"/>
        <rFont val="宋体"/>
        <family val="1"/>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1"/>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1"/>
        <charset val="134"/>
      </rPr>
      <t>。</t>
    </r>
    <phoneticPr fontId="68" type="noConversion"/>
  </si>
  <si>
    <t>漫游吹哨人</t>
    <phoneticPr fontId="68" type="noConversion"/>
  </si>
  <si>
    <r>
      <rPr>
        <sz val="10"/>
        <color theme="1"/>
        <rFont val="宋体"/>
        <family val="1"/>
        <charset val="134"/>
      </rPr>
      <t>你将向逝者吹哨的迷信塑造为强大的工具。你获得以下增益。</t>
    </r>
    <r>
      <rPr>
        <sz val="10"/>
        <color theme="1"/>
        <rFont val="Times New Roman"/>
        <family val="1"/>
      </rPr>
      <t xml:space="preserve">
</t>
    </r>
    <r>
      <rPr>
        <sz val="10"/>
        <color theme="1"/>
        <rFont val="宋体"/>
        <family val="1"/>
        <charset val="134"/>
      </rPr>
      <t>旅者行囊</t>
    </r>
    <r>
      <rPr>
        <sz val="10"/>
        <color theme="1"/>
        <rFont val="Times New Roman"/>
        <family val="1"/>
      </rPr>
      <t>Wanderer's Bindle</t>
    </r>
    <r>
      <rPr>
        <sz val="10"/>
        <color theme="1"/>
        <rFont val="宋体"/>
        <family val="1"/>
        <charset val="134"/>
      </rPr>
      <t>。当你完成一次长休时，你可以触碰一个非魔法背包、麻袋或类似容器，将其变为一件名为行囊</t>
    </r>
    <r>
      <rPr>
        <sz val="10"/>
        <color theme="1"/>
        <rFont val="Times New Roman"/>
        <family val="1"/>
      </rPr>
      <t>Bindle</t>
    </r>
    <r>
      <rPr>
        <sz val="10"/>
        <color theme="1"/>
        <rFont val="宋体"/>
        <family val="1"/>
        <charset val="134"/>
      </rPr>
      <t>的魔法容器。该容器的作用与霍华德便利袋</t>
    </r>
    <r>
      <rPr>
        <sz val="10"/>
        <color theme="1"/>
        <rFont val="Times New Roman"/>
        <family val="1"/>
      </rPr>
      <t xml:space="preserve">Heward's Handy Haversack </t>
    </r>
    <r>
      <rPr>
        <sz val="10"/>
        <color theme="1"/>
        <rFont val="宋体"/>
        <family val="1"/>
        <charset val="134"/>
      </rPr>
      <t>相同。如果你创造第二个行囊、或当你的行囊距离你超过</t>
    </r>
    <r>
      <rPr>
        <sz val="10"/>
        <color theme="1"/>
        <rFont val="Times New Roman"/>
        <family val="1"/>
      </rPr>
      <t>1</t>
    </r>
    <r>
      <rPr>
        <sz val="10"/>
        <color theme="1"/>
        <rFont val="宋体"/>
        <family val="1"/>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1"/>
        <charset val="134"/>
      </rPr>
      <t>灵哨法术</t>
    </r>
    <r>
      <rPr>
        <sz val="10"/>
        <color theme="1"/>
        <rFont val="Times New Roman"/>
        <family val="1"/>
      </rPr>
      <t>Whistled Spells</t>
    </r>
    <r>
      <rPr>
        <sz val="10"/>
        <color theme="1"/>
        <rFont val="宋体"/>
        <family val="1"/>
        <charset val="134"/>
      </rPr>
      <t>。</t>
    </r>
    <r>
      <rPr>
        <sz val="10"/>
        <color theme="1"/>
        <rFont val="Times New Roman"/>
        <family val="1"/>
      </rPr>
      <t xml:space="preserve"> </t>
    </r>
    <r>
      <rPr>
        <sz val="10"/>
        <color theme="1"/>
        <rFont val="宋体"/>
        <family val="1"/>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1"/>
        <charset val="134"/>
      </rPr>
      <t>的智力（奥秘）检定才能仅凭口哨的言语成分识别出你的施法行为。</t>
    </r>
    <phoneticPr fontId="68" type="noConversion"/>
  </si>
  <si>
    <t>陌路归途</t>
    <phoneticPr fontId="68" type="noConversion"/>
  </si>
  <si>
    <r>
      <rPr>
        <sz val="10"/>
        <color theme="1"/>
        <rFont val="宋体"/>
        <family val="1"/>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1"/>
        <charset val="134"/>
      </rPr>
      <t>随后，你可以使用此特性施展传送法阵</t>
    </r>
    <r>
      <rPr>
        <sz val="10"/>
        <color theme="1"/>
        <rFont val="Times New Roman"/>
        <family val="1"/>
      </rPr>
      <t xml:space="preserve">Teleportation Circle </t>
    </r>
    <r>
      <rPr>
        <sz val="10"/>
        <color theme="1"/>
        <rFont val="宋体"/>
        <family val="1"/>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1"/>
        <charset val="134"/>
      </rPr>
      <t>个地点）。如果你标记的地点超出你的上限，则一个你选择的先前标记会消失。</t>
    </r>
    <r>
      <rPr>
        <sz val="10"/>
        <color theme="1"/>
        <rFont val="Times New Roman"/>
        <family val="1"/>
      </rPr>
      <t xml:space="preserve">
</t>
    </r>
    <r>
      <rPr>
        <sz val="10"/>
        <color theme="1"/>
        <rFont val="宋体"/>
        <family val="1"/>
        <charset val="134"/>
      </rPr>
      <t>当你到达</t>
    </r>
    <r>
      <rPr>
        <sz val="10"/>
        <color theme="1"/>
        <rFont val="Times New Roman"/>
        <family val="1"/>
      </rPr>
      <t>9</t>
    </r>
    <r>
      <rPr>
        <sz val="10"/>
        <color theme="1"/>
        <rFont val="宋体"/>
        <family val="1"/>
        <charset val="134"/>
      </rPr>
      <t>级时，你始终准备着传送法阵</t>
    </r>
    <r>
      <rPr>
        <sz val="10"/>
        <color theme="1"/>
        <rFont val="Times New Roman"/>
        <family val="1"/>
      </rPr>
      <t xml:space="preserve">Teleportation Circle </t>
    </r>
    <r>
      <rPr>
        <sz val="10"/>
        <color theme="1"/>
        <rFont val="宋体"/>
        <family val="1"/>
        <charset val="134"/>
      </rPr>
      <t>，并且当你施展该法术时，可以使用你任何已标记的地点作为目的地。</t>
    </r>
    <phoneticPr fontId="68" type="noConversion"/>
  </si>
  <si>
    <t>幽轨急行</t>
    <phoneticPr fontId="68" type="noConversion"/>
  </si>
  <si>
    <r>
      <rPr>
        <sz val="10"/>
        <color theme="1"/>
        <rFont val="宋体"/>
        <family val="1"/>
        <charset val="134"/>
      </rPr>
      <t>你可以使用魔法动作吹响口哨，召唤出一辆幽灵火车头。其会从你的位置沿着</t>
    </r>
    <r>
      <rPr>
        <sz val="10"/>
        <color theme="1"/>
        <rFont val="Times New Roman"/>
        <family val="1"/>
      </rPr>
      <t>120</t>
    </r>
    <r>
      <rPr>
        <sz val="10"/>
        <color theme="1"/>
        <rFont val="宋体"/>
        <family val="1"/>
        <charset val="134"/>
      </rPr>
      <t>尺长，</t>
    </r>
    <r>
      <rPr>
        <sz val="10"/>
        <color theme="1"/>
        <rFont val="Times New Roman"/>
        <family val="1"/>
      </rPr>
      <t>5</t>
    </r>
    <r>
      <rPr>
        <sz val="10"/>
        <color theme="1"/>
        <rFont val="宋体"/>
        <family val="1"/>
        <charset val="134"/>
      </rPr>
      <t>尺宽的线状区域呼啸着向前疾驰，并穿过任何物件和生物。</t>
    </r>
    <r>
      <rPr>
        <sz val="10"/>
        <color theme="1"/>
        <rFont val="Times New Roman"/>
        <family val="1"/>
      </rPr>
      <t xml:space="preserve">
</t>
    </r>
    <r>
      <rPr>
        <sz val="10"/>
        <color theme="1"/>
        <rFont val="宋体"/>
        <family val="1"/>
        <charset val="134"/>
      </rPr>
      <t>你和你</t>
    </r>
    <r>
      <rPr>
        <sz val="10"/>
        <color theme="1"/>
        <rFont val="Times New Roman"/>
        <family val="1"/>
      </rPr>
      <t>30</t>
    </r>
    <r>
      <rPr>
        <sz val="10"/>
        <color theme="1"/>
        <rFont val="宋体"/>
        <family val="1"/>
        <charset val="134"/>
      </rPr>
      <t>尺内至多</t>
    </r>
    <r>
      <rPr>
        <sz val="10"/>
        <color theme="1"/>
        <rFont val="Times New Roman"/>
        <family val="1"/>
      </rPr>
      <t>6</t>
    </r>
    <r>
      <rPr>
        <sz val="10"/>
        <color theme="1"/>
        <rFont val="宋体"/>
        <family val="1"/>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1"/>
        <charset val="134"/>
      </rPr>
      <t>该线状区域内所有其他生物都必须进行一次对抗你法术豁免</t>
    </r>
    <r>
      <rPr>
        <sz val="10"/>
        <color theme="1"/>
        <rFont val="Times New Roman"/>
        <family val="1"/>
      </rPr>
      <t>DC</t>
    </r>
    <r>
      <rPr>
        <sz val="10"/>
        <color theme="1"/>
        <rFont val="宋体"/>
        <family val="1"/>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1"/>
        <charset val="134"/>
      </rPr>
      <t>尺，并受到等于你诗人激励骰掷三次结果总值的心灵伤害。</t>
    </r>
    <r>
      <rPr>
        <sz val="10"/>
        <color theme="1"/>
        <rFont val="Times New Roman"/>
        <family val="1"/>
      </rPr>
      <t xml:space="preserve">
</t>
    </r>
    <r>
      <rPr>
        <sz val="10"/>
        <color theme="1"/>
        <rFont val="宋体"/>
        <family val="1"/>
        <charset val="134"/>
      </rPr>
      <t>一旦你使用了此特性，则直至你完成一次长休前，都无法再次使用。你也可以消耗一枚三环或更高环阶的法术位（无需动作）来恢复该特性的使用次数。</t>
    </r>
    <phoneticPr fontId="68" type="noConversion"/>
  </si>
  <si>
    <t>终点站</t>
    <phoneticPr fontId="68" type="noConversion"/>
  </si>
  <si>
    <r>
      <rPr>
        <sz val="10"/>
        <color theme="1"/>
        <rFont val="宋体"/>
        <family val="1"/>
        <charset val="134"/>
      </rPr>
      <t>你口哨幽灵般的尖锐声响如今能将生者拉近至亡者世界。你可以使用魔法动作吹响口哨，其声音在</t>
    </r>
    <r>
      <rPr>
        <sz val="10"/>
        <color theme="1"/>
        <rFont val="Times New Roman"/>
        <family val="1"/>
      </rPr>
      <t>300</t>
    </r>
    <r>
      <rPr>
        <sz val="10"/>
        <color theme="1"/>
        <rFont val="宋体"/>
        <family val="1"/>
        <charset val="134"/>
      </rPr>
      <t>尺内都能听见。该距离内至多</t>
    </r>
    <r>
      <rPr>
        <sz val="10"/>
        <color theme="1"/>
        <rFont val="Times New Roman"/>
        <family val="1"/>
      </rPr>
      <t>6</t>
    </r>
    <r>
      <rPr>
        <sz val="10"/>
        <color theme="1"/>
        <rFont val="宋体"/>
        <family val="1"/>
        <charset val="134"/>
      </rPr>
      <t>个你选择的可见生物必须进行一次一次对抗你法术豁免</t>
    </r>
    <r>
      <rPr>
        <sz val="10"/>
        <color theme="1"/>
        <rFont val="Times New Roman"/>
        <family val="1"/>
      </rPr>
      <t>DC</t>
    </r>
    <r>
      <rPr>
        <sz val="10"/>
        <color theme="1"/>
        <rFont val="宋体"/>
        <family val="1"/>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1"/>
        <charset val="134"/>
      </rPr>
      <t>分钟后，其豁免自动成功。</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</si>
  <si>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phoneticPr fontId="68" type="noConversion"/>
  </si>
  <si>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phoneticPr fontId="68" type="noConversion"/>
  </si>
  <si>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phoneticPr fontId="68" type="noConversion"/>
  </si>
  <si>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phoneticPr fontId="68" type="noConversion"/>
  </si>
  <si>
    <t>法威难驳</t>
    <phoneticPr fontId="68" type="noConversion"/>
  </si>
  <si>
    <t>"戏法"</t>
    <phoneticPr fontId="68" type="noConversion"/>
  </si>
  <si>
    <t>"法术"</t>
    <phoneticPr fontId="68" type="noConversion"/>
  </si>
  <si>
    <t>魔法抗性</t>
    <phoneticPr fontId="68" type="noConversion"/>
  </si>
  <si>
    <t>大施拳法</t>
    <phoneticPr fontId="68" type="noConversion"/>
  </si>
  <si>
    <t>腹中精酿</t>
    <phoneticPr fontId="68" type="noConversion"/>
  </si>
  <si>
    <t>副作用</t>
    <phoneticPr fontId="68" type="noConversion"/>
  </si>
  <si>
    <t>快速酿造</t>
    <phoneticPr fontId="68" type="noConversion"/>
  </si>
  <si>
    <t>长时药效</t>
    <phoneticPr fontId="68" type="noConversion"/>
  </si>
  <si>
    <t>强力快速酿造</t>
    <phoneticPr fontId="68" type="noConversion"/>
  </si>
  <si>
    <t>炼金实验</t>
    <phoneticPr fontId="68" type="noConversion"/>
  </si>
  <si>
    <r>
      <rPr>
        <sz val="10"/>
        <color theme="1"/>
        <rFont val="宋体"/>
        <family val="1"/>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1"/>
        <charset val="134"/>
      </rPr>
      <t>。</t>
    </r>
    <phoneticPr fontId="68" type="noConversion"/>
  </si>
  <si>
    <t>不稳定血清</t>
    <phoneticPr fontId="68" type="noConversion"/>
  </si>
  <si>
    <r>
      <rPr>
        <sz val="10"/>
        <color theme="1"/>
        <rFont val="宋体"/>
        <family val="1"/>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1"/>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1"/>
        <charset val="134"/>
      </rPr>
      <t>狂怒</t>
    </r>
    <r>
      <rPr>
        <sz val="10"/>
        <color theme="1"/>
        <rFont val="Times New Roman"/>
        <family val="1"/>
      </rPr>
      <t>Ferocity</t>
    </r>
    <r>
      <rPr>
        <sz val="10"/>
        <color theme="1"/>
        <rFont val="宋体"/>
        <family val="1"/>
        <charset val="134"/>
      </rPr>
      <t>。</t>
    </r>
    <r>
      <rPr>
        <sz val="10"/>
        <color theme="1"/>
        <rFont val="Times New Roman"/>
        <family val="1"/>
      </rPr>
      <t xml:space="preserve"> </t>
    </r>
    <r>
      <rPr>
        <sz val="10"/>
        <color theme="1"/>
        <rFont val="宋体"/>
        <family val="1"/>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1"/>
        <charset val="134"/>
      </rPr>
      <t>怪兽</t>
    </r>
    <r>
      <rPr>
        <sz val="10"/>
        <color theme="1"/>
        <rFont val="Times New Roman"/>
        <family val="1"/>
      </rPr>
      <t>Monstrosity</t>
    </r>
    <r>
      <rPr>
        <sz val="10"/>
        <color theme="1"/>
        <rFont val="宋体"/>
        <family val="1"/>
        <charset val="134"/>
      </rPr>
      <t>。</t>
    </r>
    <r>
      <rPr>
        <sz val="10"/>
        <color theme="1"/>
        <rFont val="Times New Roman"/>
        <family val="1"/>
      </rPr>
      <t xml:space="preserve"> </t>
    </r>
    <r>
      <rPr>
        <sz val="10"/>
        <color theme="1"/>
        <rFont val="宋体"/>
        <family val="1"/>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1"/>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1"/>
        <charset val="134"/>
      </rPr>
      <t>复原</t>
    </r>
    <r>
      <rPr>
        <sz val="10"/>
        <color theme="1"/>
        <rFont val="Times New Roman"/>
        <family val="1"/>
      </rPr>
      <t>Reconstruction</t>
    </r>
    <r>
      <rPr>
        <sz val="10"/>
        <color theme="1"/>
        <rFont val="宋体"/>
        <family val="1"/>
        <charset val="134"/>
      </rPr>
      <t>。</t>
    </r>
    <r>
      <rPr>
        <sz val="10"/>
        <color theme="1"/>
        <rFont val="Times New Roman"/>
        <family val="1"/>
      </rPr>
      <t xml:space="preserve"> </t>
    </r>
    <r>
      <rPr>
        <sz val="10"/>
        <color theme="1"/>
        <rFont val="宋体"/>
        <family val="1"/>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1"/>
        <charset val="134"/>
      </rPr>
      <t>你体质调整值的生命值（至少</t>
    </r>
    <r>
      <rPr>
        <sz val="10"/>
        <color theme="1"/>
        <rFont val="Times New Roman"/>
        <family val="1"/>
      </rPr>
      <t>1</t>
    </r>
    <r>
      <rPr>
        <sz val="10"/>
        <color theme="1"/>
        <rFont val="宋体"/>
        <family val="1"/>
        <charset val="134"/>
      </rPr>
      <t>生命值），超出你生命值上限的部分会转化为临时生命值。如果你受到强酸或火焰伤害，则该血清在你的下一回合开始时无法生效。</t>
    </r>
    <phoneticPr fontId="68" type="noConversion"/>
  </si>
  <si>
    <t>强化化合物</t>
    <phoneticPr fontId="68" type="noConversion"/>
  </si>
  <si>
    <r>
      <rPr>
        <sz val="10"/>
        <color theme="1"/>
        <rFont val="宋体"/>
        <family val="1"/>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1"/>
        <charset val="134"/>
      </rPr>
      <t>锐化感官</t>
    </r>
    <r>
      <rPr>
        <sz val="10"/>
        <color theme="1"/>
        <rFont val="Times New Roman"/>
        <family val="1"/>
      </rPr>
      <t>Stimulated Senses</t>
    </r>
    <r>
      <rPr>
        <sz val="10"/>
        <color theme="1"/>
        <rFont val="宋体"/>
        <family val="1"/>
        <charset val="134"/>
      </rPr>
      <t>。</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尺盲视。如果你已经具有盲视，其范围增加</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狂乱烟雾</t>
    </r>
    <r>
      <rPr>
        <sz val="10"/>
        <color theme="1"/>
        <rFont val="Times New Roman"/>
        <family val="1"/>
      </rPr>
      <t>Maddening Fumes</t>
    </r>
    <r>
      <rPr>
        <sz val="10"/>
        <color theme="1"/>
        <rFont val="宋体"/>
        <family val="1"/>
        <charset val="134"/>
      </rPr>
      <t>。</t>
    </r>
    <r>
      <rPr>
        <sz val="10"/>
        <color theme="1"/>
        <rFont val="Times New Roman"/>
        <family val="1"/>
      </rPr>
      <t xml:space="preserve"> </t>
    </r>
    <r>
      <rPr>
        <sz val="10"/>
        <color theme="1"/>
        <rFont val="宋体"/>
        <family val="1"/>
        <charset val="134"/>
      </rPr>
      <t>你的皮肤会在</t>
    </r>
    <r>
      <rPr>
        <sz val="10"/>
        <color theme="1"/>
        <rFont val="Times New Roman"/>
        <family val="1"/>
      </rPr>
      <t>30</t>
    </r>
    <r>
      <rPr>
        <sz val="10"/>
        <color theme="1"/>
        <rFont val="宋体"/>
        <family val="1"/>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1"/>
        <charset val="134"/>
      </rPr>
      <t>腐蚀喷射</t>
    </r>
    <r>
      <rPr>
        <sz val="10"/>
        <color theme="1"/>
        <rFont val="Times New Roman"/>
        <family val="1"/>
      </rPr>
      <t>Corrosive Expulsion</t>
    </r>
    <r>
      <rPr>
        <sz val="10"/>
        <color theme="1"/>
        <rFont val="宋体"/>
        <family val="1"/>
        <charset val="134"/>
      </rPr>
      <t>。</t>
    </r>
    <r>
      <rPr>
        <sz val="10"/>
        <color theme="1"/>
        <rFont val="Times New Roman"/>
        <family val="1"/>
      </rPr>
      <t xml:space="preserve"> </t>
    </r>
    <r>
      <rPr>
        <sz val="10"/>
        <color theme="1"/>
        <rFont val="宋体"/>
        <family val="1"/>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1"/>
        <charset val="134"/>
      </rPr>
      <t>尺锥状区域或长</t>
    </r>
    <r>
      <rPr>
        <sz val="10"/>
        <color theme="1"/>
        <rFont val="Times New Roman"/>
        <family val="1"/>
      </rPr>
      <t>30</t>
    </r>
    <r>
      <rPr>
        <sz val="10"/>
        <color theme="1"/>
        <rFont val="宋体"/>
        <family val="1"/>
        <charset val="134"/>
      </rPr>
      <t>尺、宽</t>
    </r>
    <r>
      <rPr>
        <sz val="10"/>
        <color theme="1"/>
        <rFont val="Times New Roman"/>
        <family val="1"/>
      </rPr>
      <t>5</t>
    </r>
    <r>
      <rPr>
        <sz val="10"/>
        <color theme="1"/>
        <rFont val="宋体"/>
        <family val="1"/>
        <charset val="134"/>
      </rPr>
      <t>尺的线状区域（每次使用时选择形状）。该区域内的所有生物都必须进行一次敏捷豁免（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你的体质调整值）。掷数量等于你的狂暴伤害加值的</t>
    </r>
    <r>
      <rPr>
        <sz val="10"/>
        <color theme="1"/>
        <rFont val="Times New Roman"/>
        <family val="1"/>
      </rPr>
      <t>d8</t>
    </r>
    <r>
      <rPr>
        <sz val="10"/>
        <color theme="1"/>
        <rFont val="宋体"/>
        <family val="1"/>
        <charset val="134"/>
      </rPr>
      <t>骰。若豁免失败，则目标受到等于掷出总值的强酸伤害。若豁免成功，则目标受到一半伤害。</t>
    </r>
    <phoneticPr fontId="68" type="noConversion"/>
  </si>
  <si>
    <t>应激催化</t>
    <phoneticPr fontId="68" type="noConversion"/>
  </si>
  <si>
    <r>
      <rPr>
        <sz val="10"/>
        <color theme="1"/>
        <rFont val="宋体"/>
        <family val="1"/>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1"/>
        <charset val="134"/>
      </rPr>
      <t>此外，在你的狂暴激活期间，你在体质豁免中具有优势。</t>
    </r>
    <phoneticPr fontId="68" type="noConversion"/>
  </si>
  <si>
    <t>生化融合</t>
    <phoneticPr fontId="68" type="noConversion"/>
  </si>
  <si>
    <r>
      <rPr>
        <sz val="10"/>
        <color theme="1"/>
        <rFont val="宋体"/>
        <family val="1"/>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1"/>
        <charset val="134"/>
      </rPr>
      <t>此外，在你的狂暴激活期间，当你周边</t>
    </r>
    <r>
      <rPr>
        <sz val="10"/>
        <color theme="1"/>
        <rFont val="Times New Roman"/>
        <family val="1"/>
      </rPr>
      <t>5</t>
    </r>
    <r>
      <rPr>
        <sz val="10"/>
        <color theme="1"/>
        <rFont val="宋体"/>
        <family val="1"/>
        <charset val="134"/>
      </rPr>
      <t>尺范围内的一个生物以近战攻击伤害你时，其受到</t>
    </r>
    <r>
      <rPr>
        <sz val="10"/>
        <color theme="1"/>
        <rFont val="Times New Roman"/>
        <family val="1"/>
      </rPr>
      <t>1d12</t>
    </r>
    <r>
      <rPr>
        <sz val="10"/>
        <color theme="1"/>
        <rFont val="宋体"/>
        <family val="1"/>
        <charset val="134"/>
      </rPr>
      <t>强酸伤害。一个生物每回合只能受到一次这种伤害。</t>
    </r>
    <phoneticPr fontId="68" type="noConversion"/>
  </si>
  <si>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phoneticPr fontId="68" type="noConversion"/>
  </si>
  <si>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phoneticPr fontId="68" type="noConversion"/>
  </si>
  <si>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phoneticPr fontId="68" type="noConversion"/>
  </si>
  <si>
    <t>你已是如此厉害的法师，以至于其他法师都无法撼动你分毫。你的狂暴激活期间，你对抗法术和其他魔法效应时进行的豁免检定具有优势。</t>
    <phoneticPr fontId="68" type="noConversion"/>
  </si>
  <si>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phoneticPr fontId="68" type="noConversion"/>
  </si>
  <si>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phoneticPr fontId="68" type="noConversion"/>
  </si>
  <si>
    <t>由于你已经摄入了不计其数的魔法原料，你因而受到了一些魔法副作用的影响。你习得戏法魔法伎俩Prestidigitation和奇术Thaumaturgy。</t>
    <phoneticPr fontId="68" type="noConversion"/>
  </si>
  <si>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phoneticPr fontId="68" type="noConversion"/>
  </si>
  <si>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phoneticPr fontId="68" type="noConversion"/>
  </si>
  <si>
    <t>你在使用快速酿造特性时习得一种额外的普通魔药和一种非普通魔药。
每当你在此职业提升一级，你可以将你所选的魔药更换为另一种。</t>
    <phoneticPr fontId="68" type="noConversion"/>
  </si>
  <si>
    <t>隐蔽射击</t>
    <phoneticPr fontId="68" type="noConversion"/>
  </si>
  <si>
    <t>幻术</t>
    <phoneticPr fontId="68" type="noConversion"/>
  </si>
  <si>
    <t>触碰</t>
    <phoneticPr fontId="68" type="noConversion"/>
  </si>
  <si>
    <t>一把远程武器</t>
    <phoneticPr fontId="68" type="noConversion"/>
  </si>
  <si>
    <t>1分钟</t>
    <phoneticPr fontId="68" type="noConversion"/>
  </si>
  <si>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phoneticPr fontId="68" type="noConversion"/>
  </si>
  <si>
    <t>Concealed Shot</t>
    <phoneticPr fontId="68" type="noConversion"/>
  </si>
  <si>
    <t>瓦尔达的秘密尖塔</t>
    <phoneticPr fontId="68" type="noConversion"/>
  </si>
  <si>
    <t>手指枪</t>
    <phoneticPr fontId="68" type="noConversion"/>
  </si>
  <si>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phoneticPr fontId="68" type="noConversion"/>
  </si>
  <si>
    <t>Finger Guns</t>
    <phoneticPr fontId="68" type="noConversion"/>
  </si>
  <si>
    <t>思忖一瞬</t>
    <phoneticPr fontId="68" type="noConversion"/>
  </si>
  <si>
    <t>变化</t>
    <phoneticPr fontId="68" type="noConversion"/>
  </si>
  <si>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phoneticPr fontId="68" type="noConversion"/>
  </si>
  <si>
    <t>Moment to Think</t>
    <phoneticPr fontId="68" type="noConversion"/>
  </si>
  <si>
    <t>增能术/缓能术</t>
    <phoneticPr fontId="68" type="noConversion"/>
  </si>
  <si>
    <t>反应，当位于你60尺内一名你可见的生物被攻击检定命中时执行</t>
    <phoneticPr fontId="68" type="noConversion"/>
  </si>
  <si>
    <t>一滴油或糖浆</t>
    <phoneticPr fontId="68" type="noConversion"/>
  </si>
  <si>
    <t>Accelerate/Decelerate</t>
    <phoneticPr fontId="68" type="noConversion"/>
  </si>
  <si>
    <t>斩击弹</t>
    <phoneticPr fontId="68" type="noConversion"/>
  </si>
  <si>
    <t>附赠动作，当你使用远程武器命中一个生物后立即执行</t>
    <phoneticPr fontId="68" type="noConversion"/>
  </si>
  <si>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phoneticPr fontId="68" type="noConversion"/>
  </si>
  <si>
    <t>Ballistic Smite</t>
    <phoneticPr fontId="68" type="noConversion"/>
  </si>
  <si>
    <t>显迹术</t>
    <phoneticPr fontId="68" type="noConversion"/>
  </si>
  <si>
    <t>预言</t>
    <phoneticPr fontId="68" type="noConversion"/>
  </si>
  <si>
    <t>动作或仪式</t>
    <phoneticPr fontId="68" type="noConversion"/>
  </si>
  <si>
    <t>一个放大镜和烟斗</t>
    <phoneticPr fontId="68" type="noConversion"/>
  </si>
  <si>
    <t>10分钟</t>
    <phoneticPr fontId="68" type="noConversion"/>
  </si>
  <si>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phoneticPr fontId="68" type="noConversion"/>
  </si>
  <si>
    <t>Clue</t>
    <phoneticPr fontId="68" type="noConversion"/>
  </si>
  <si>
    <t>咒唤掩体</t>
    <phoneticPr fontId="68" type="noConversion"/>
  </si>
  <si>
    <t>一个鸭鸭（蹲着）的模型</t>
    <phoneticPr fontId="68" type="noConversion"/>
  </si>
  <si>
    <t>专注，至多1小时</t>
    <phoneticPr fontId="68" type="noConversion"/>
  </si>
  <si>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phoneticPr fontId="68" type="noConversion"/>
  </si>
  <si>
    <t>Conjure Cover</t>
    <phoneticPr fontId="68" type="noConversion"/>
  </si>
  <si>
    <t>记忆术</t>
    <phoneticPr fontId="68" type="noConversion"/>
  </si>
  <si>
    <t>价值10GP+的打结银线，作为法术耗材</t>
    <phoneticPr fontId="68" type="noConversion"/>
  </si>
  <si>
    <t>当你施展此法术时，你的目光扫过一页书面文字并将其烙印于记忆中。此后一年内，你可以精确记住该页所有信息细节。一年后，你为回忆这些信息而进行的所有智力检定都具有优势。</t>
    <phoneticPr fontId="68" type="noConversion"/>
  </si>
  <si>
    <t>Memorize</t>
    <phoneticPr fontId="68" type="noConversion"/>
  </si>
  <si>
    <t>贯星一条</t>
    <phoneticPr fontId="68" type="noConversion"/>
  </si>
  <si>
    <t>附赠动作，当你用武器发动的远程攻击命中或失手后立刻执行</t>
    <phoneticPr fontId="68" type="noConversion"/>
  </si>
  <si>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phoneticPr fontId="68" type="noConversion"/>
  </si>
  <si>
    <t>Perforating Shot</t>
    <phoneticPr fontId="68" type="noConversion"/>
  </si>
  <si>
    <t>流言</t>
    <phoneticPr fontId="68" type="noConversion"/>
  </si>
  <si>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phoneticPr fontId="68" type="noConversion"/>
  </si>
  <si>
    <t>Rumor</t>
    <phoneticPr fontId="68" type="noConversion"/>
  </si>
  <si>
    <t>掷出窗外</t>
    <phoneticPr fontId="68" type="noConversion"/>
  </si>
  <si>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phoneticPr fontId="68" type="noConversion"/>
  </si>
  <si>
    <t>Defenestration</t>
    <phoneticPr fontId="68" type="noConversion"/>
  </si>
  <si>
    <t>延迟术</t>
    <phoneticPr fontId="68" type="noConversion"/>
  </si>
  <si>
    <t>一个八角型符号</t>
    <phoneticPr fontId="68" type="noConversion"/>
  </si>
  <si>
    <t>你短暂减缓施法距离内一个你选择的你可见生物的时间。目标必须进行一次感知豁免检定，豁免失败则从下一轮开始被移动至先攻序列的最后一位。</t>
    <phoneticPr fontId="68" type="noConversion"/>
  </si>
  <si>
    <t>Delay</t>
    <phoneticPr fontId="68" type="noConversion"/>
  </si>
  <si>
    <t>宿醉感</t>
    <phoneticPr fontId="68" type="noConversion"/>
  </si>
  <si>
    <t>一小瓶烈酒</t>
    <phoneticPr fontId="68" type="noConversion"/>
  </si>
  <si>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phoneticPr fontId="68" type="noConversion"/>
  </si>
  <si>
    <t>Hangover</t>
    <phoneticPr fontId="68" type="noConversion"/>
  </si>
  <si>
    <t>卡你武器</t>
    <phoneticPr fontId="68" type="noConversion"/>
  </si>
  <si>
    <t>反应，当60尺内你可见的生物用远程武器发动一次攻击时执行</t>
    <phoneticPr fontId="68" type="noConversion"/>
  </si>
  <si>
    <t>一撮受潮的火药</t>
    <phoneticPr fontId="68" type="noConversion"/>
  </si>
  <si>
    <t>目标的武器将发生故障，本次攻击失手。武器故障后将无法被使用，直至有生物用利用动作将武器的故障修理完毕为止。</t>
    <phoneticPr fontId="68" type="noConversion"/>
  </si>
  <si>
    <t>Jam Weapon</t>
    <phoneticPr fontId="68" type="noConversion"/>
  </si>
  <si>
    <t>叶忒罗的自动换弹</t>
    <phoneticPr fontId="68" type="noConversion"/>
  </si>
  <si>
    <t>一枚使用过的弹壳</t>
    <phoneticPr fontId="68" type="noConversion"/>
  </si>
  <si>
    <t>8小时</t>
    <phoneticPr fontId="68" type="noConversion"/>
  </si>
  <si>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phoneticPr fontId="68" type="noConversion"/>
  </si>
  <si>
    <t>Jethro’s Instant Reload</t>
    <phoneticPr fontId="68" type="noConversion"/>
  </si>
  <si>
    <t>回溯</t>
    <phoneticPr fontId="68" type="noConversion"/>
  </si>
  <si>
    <t>1轮</t>
    <phoneticPr fontId="68" type="noConversion"/>
  </si>
  <si>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phoneticPr fontId="68" type="noConversion"/>
  </si>
  <si>
    <t>Recall</t>
    <phoneticPr fontId="68" type="noConversion"/>
  </si>
  <si>
    <t>加农炮击</t>
    <phoneticPr fontId="68" type="noConversion"/>
  </si>
  <si>
    <t>600尺</t>
    <phoneticPr fontId="68" type="noConversion"/>
  </si>
  <si>
    <t>一枚小号的仿制加农炮</t>
    <phoneticPr fontId="68" type="noConversion"/>
  </si>
  <si>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phoneticPr fontId="68" type="noConversion"/>
  </si>
  <si>
    <t>Conjure Cannonball</t>
    <phoneticPr fontId="68" type="noConversion"/>
  </si>
  <si>
    <t>多腕术</t>
    <phoneticPr fontId="68" type="noConversion"/>
  </si>
  <si>
    <t>一对臂章</t>
    <phoneticPr fontId="68" type="noConversion"/>
  </si>
  <si>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phoneticPr fontId="68" type="noConversion"/>
  </si>
  <si>
    <t>Polybrachia</t>
    <phoneticPr fontId="68" type="noConversion"/>
  </si>
  <si>
    <t>凶兆预警</t>
    <phoneticPr fontId="68" type="noConversion"/>
  </si>
  <si>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phoneticPr fontId="68" type="noConversion"/>
  </si>
  <si>
    <t>Dire Warning</t>
    <phoneticPr fontId="68" type="noConversion"/>
  </si>
  <si>
    <t>曼蒂的野性随从</t>
    <phoneticPr fontId="68" type="noConversion"/>
  </si>
  <si>
    <t>一个小仆人铃</t>
    <phoneticPr fontId="68" type="noConversion"/>
  </si>
  <si>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phoneticPr fontId="68" type="noConversion"/>
  </si>
  <si>
    <t>Mandy's Feral Follower</t>
    <phoneticPr fontId="68" type="noConversion"/>
  </si>
  <si>
    <t>反弹道场</t>
    <phoneticPr fontId="68" type="noConversion"/>
  </si>
  <si>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phoneticPr fontId="68" type="noConversion"/>
  </si>
  <si>
    <t>Antiballistic Field</t>
    <phoneticPr fontId="68" type="noConversion"/>
  </si>
  <si>
    <t>命运游戏</t>
    <phoneticPr fontId="68" type="noConversion"/>
  </si>
  <si>
    <t>一副赌具</t>
    <phoneticPr fontId="68" type="noConversion"/>
  </si>
  <si>
    <t>1小时</t>
    <phoneticPr fontId="68" type="noConversion"/>
  </si>
  <si>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phoneticPr fontId="68" type="noConversion"/>
  </si>
  <si>
    <t>Game of Fate</t>
    <phoneticPr fontId="68" type="noConversion"/>
  </si>
  <si>
    <t>悖论</t>
    <phoneticPr fontId="68" type="noConversion"/>
  </si>
  <si>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phoneticPr fontId="68" type="noConversion"/>
  </si>
  <si>
    <t>Paradox</t>
    <phoneticPr fontId="68" type="noConversion"/>
  </si>
  <si>
    <t>电击术</t>
    <phoneticPr fontId="68" type="noConversion"/>
  </si>
  <si>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phoneticPr fontId="68" type="noConversion"/>
  </si>
  <si>
    <t>Jolt</t>
    <phoneticPr fontId="68" type="noConversion"/>
  </si>
  <si>
    <t>胧忆岛：蒿野物语</t>
    <phoneticPr fontId="68" type="noConversion"/>
  </si>
  <si>
    <t>友谊羁绊</t>
    <phoneticPr fontId="68" type="noConversion"/>
  </si>
  <si>
    <t>5尺</t>
    <phoneticPr fontId="68" type="noConversion"/>
  </si>
  <si>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phoneticPr fontId="68" type="noConversion"/>
  </si>
  <si>
    <t>Resilient Friendship</t>
    <phoneticPr fontId="68" type="noConversion"/>
  </si>
  <si>
    <t>召物术</t>
    <phoneticPr fontId="68" type="noConversion"/>
  </si>
  <si>
    <t>你使施法距离内一个未被穿戴或携带的物体飞向你的空手。该物体重量不得超过10磅，否则法术失败。</t>
    <phoneticPr fontId="68" type="noConversion"/>
  </si>
  <si>
    <t>Retrieve</t>
    <phoneticPr fontId="68" type="noConversion"/>
  </si>
  <si>
    <t>根须缚束</t>
    <phoneticPr fontId="68" type="noConversion"/>
  </si>
  <si>
    <t>反应，当一个生物触发你的借机攻击时</t>
    <phoneticPr fontId="68" type="noConversion"/>
  </si>
  <si>
    <t>你令根须从地面伸出并抓向触发借机攻击的生物，阻碍其移动。直到你的下个回合开始前，该生物的速度降低10尺。</t>
    <phoneticPr fontId="68" type="noConversion"/>
  </si>
  <si>
    <t>Root Grab</t>
    <phoneticPr fontId="68" type="noConversion"/>
  </si>
  <si>
    <t>便利术</t>
    <phoneticPr fontId="68" type="noConversion"/>
  </si>
  <si>
    <t>至多1小时</t>
    <phoneticPr fontId="68" type="noConversion"/>
  </si>
  <si>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phoneticPr fontId="68" type="noConversion"/>
  </si>
  <si>
    <t>Task</t>
    <phoneticPr fontId="68" type="noConversion"/>
  </si>
  <si>
    <t>武装术</t>
    <phoneticPr fontId="68" type="noConversion"/>
  </si>
  <si>
    <t>金属粉末</t>
    <phoneticPr fontId="68" type="noConversion"/>
  </si>
  <si>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phoneticPr fontId="68" type="noConversion"/>
  </si>
  <si>
    <t>Armament</t>
    <phoneticPr fontId="68" type="noConversion"/>
  </si>
  <si>
    <t>升腾泡泡</t>
    <phoneticPr fontId="68" type="noConversion"/>
  </si>
  <si>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phoneticPr fontId="68" type="noConversion"/>
  </si>
  <si>
    <t>Bubble Lift</t>
    <phoneticPr fontId="68" type="noConversion"/>
  </si>
  <si>
    <t>复制术</t>
    <phoneticPr fontId="68" type="noConversion"/>
  </si>
  <si>
    <t>铜粉和蜡</t>
    <phoneticPr fontId="68" type="noConversion"/>
  </si>
  <si>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phoneticPr fontId="68" type="noConversion"/>
  </si>
  <si>
    <t>Duplicate</t>
    <phoneticPr fontId="68" type="noConversion"/>
  </si>
  <si>
    <t>林地守卫</t>
    <phoneticPr fontId="68" type="noConversion"/>
  </si>
  <si>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phoneticPr fontId="68" type="noConversion"/>
  </si>
  <si>
    <t>Forest Guard</t>
    <phoneticPr fontId="68" type="noConversion"/>
  </si>
  <si>
    <t>赠生术</t>
    <phoneticPr fontId="68" type="noConversion"/>
  </si>
  <si>
    <t>选择施法距离内一个你能看到的生物。你受到1d20点暗蚀伤害，而目标恢复等同于你所受伤害数值的生命值。</t>
    <phoneticPr fontId="68" type="noConversion"/>
  </si>
  <si>
    <t>Gift</t>
    <phoneticPr fontId="68" type="noConversion"/>
  </si>
  <si>
    <t>镇静类人</t>
    <phoneticPr fontId="68" type="noConversion"/>
  </si>
  <si>
    <t>一根海鸥羽毛</t>
    <phoneticPr fontId="68" type="noConversion"/>
  </si>
  <si>
    <t>专注，至多1分钟</t>
    <phoneticPr fontId="68" type="noConversion"/>
  </si>
  <si>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phoneticPr fontId="68" type="noConversion"/>
  </si>
  <si>
    <t>Pacify Person</t>
    <phoneticPr fontId="68" type="noConversion"/>
  </si>
  <si>
    <t>构沙术</t>
    <phoneticPr fontId="68" type="noConversion"/>
  </si>
  <si>
    <t>一小块海玻璃</t>
    <phoneticPr fontId="68" type="noConversion"/>
  </si>
  <si>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phoneticPr fontId="68" type="noConversion"/>
  </si>
  <si>
    <t>Sand Structure</t>
    <phoneticPr fontId="68" type="noConversion"/>
  </si>
  <si>
    <t>灵植伪装</t>
    <phoneticPr fontId="68" type="noConversion"/>
  </si>
  <si>
    <t>花籽</t>
    <phoneticPr fontId="68" type="noConversion"/>
  </si>
  <si>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phoneticPr fontId="68" type="noConversion"/>
  </si>
  <si>
    <t>Sprout Foliage</t>
    <phoneticPr fontId="68" type="noConversion"/>
  </si>
  <si>
    <t>召唤载具</t>
    <phoneticPr fontId="68" type="noConversion"/>
  </si>
  <si>
    <t>一小块橡胶</t>
    <phoneticPr fontId="68" type="noConversion"/>
  </si>
  <si>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phoneticPr fontId="68" type="noConversion"/>
  </si>
  <si>
    <t>Summon Vehicle</t>
    <phoneticPr fontId="68" type="noConversion"/>
  </si>
  <si>
    <t>魔力吞噬</t>
    <phoneticPr fontId="68" type="noConversion"/>
  </si>
  <si>
    <t>反应，当另一个生物对你施放的法术未能影响你时触发</t>
    <phoneticPr fontId="68" type="noConversion"/>
  </si>
  <si>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phoneticPr fontId="68" type="noConversion"/>
  </si>
  <si>
    <t>Swallow Magic</t>
    <phoneticPr fontId="68" type="noConversion"/>
  </si>
  <si>
    <t>水弹术</t>
    <phoneticPr fontId="68" type="noConversion"/>
  </si>
  <si>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phoneticPr fontId="68" type="noConversion"/>
  </si>
  <si>
    <t>Water Bullet</t>
    <phoneticPr fontId="68" type="noConversion"/>
  </si>
  <si>
    <t>一滴海水</t>
    <phoneticPr fontId="68" type="noConversion"/>
  </si>
  <si>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phoneticPr fontId="68" type="noConversion"/>
  </si>
  <si>
    <t>Whelm Weapon</t>
    <phoneticPr fontId="68" type="noConversion"/>
  </si>
  <si>
    <t>步履相随</t>
    <phoneticPr fontId="68" type="noConversion"/>
  </si>
  <si>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phoneticPr fontId="68" type="noConversion"/>
  </si>
  <si>
    <t>At Your Side</t>
    <phoneticPr fontId="68" type="noConversion"/>
  </si>
  <si>
    <t>兽形化人</t>
    <phoneticPr fontId="68" type="noConversion"/>
  </si>
  <si>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phoneticPr fontId="68" type="noConversion"/>
  </si>
  <si>
    <t>Beast Transmutation</t>
    <phoneticPr fontId="68" type="noConversion"/>
  </si>
  <si>
    <t>驭兽术</t>
    <phoneticPr fontId="68" type="noConversion"/>
  </si>
  <si>
    <t>一撮缠结的毛发</t>
    <phoneticPr fontId="68" type="noConversion"/>
  </si>
  <si>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phoneticPr fontId="68" type="noConversion"/>
  </si>
  <si>
    <t>Control Animal</t>
    <phoneticPr fontId="68" type="noConversion"/>
  </si>
  <si>
    <t>反侦术</t>
    <phoneticPr fontId="68" type="noConversion"/>
  </si>
  <si>
    <t>一袋沙子和六支蜡烛</t>
    <phoneticPr fontId="68" type="noConversion"/>
  </si>
  <si>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phoneticPr fontId="68" type="noConversion"/>
  </si>
  <si>
    <t>Counterspy</t>
    <phoneticPr fontId="68" type="noConversion"/>
  </si>
  <si>
    <t>余烬腹火</t>
    <phoneticPr fontId="68" type="noConversion"/>
  </si>
  <si>
    <t>一瓶油，作为该法术的耗材</t>
    <phoneticPr fontId="68" type="noConversion"/>
  </si>
  <si>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phoneticPr fontId="68" type="noConversion"/>
  </si>
  <si>
    <t>Ember Belly</t>
    <phoneticPr fontId="68" type="noConversion"/>
  </si>
  <si>
    <t>猿之攫</t>
    <phoneticPr fontId="68" type="noConversion"/>
  </si>
  <si>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phoneticPr fontId="68" type="noConversion"/>
  </si>
  <si>
    <t>Monkey's Grasp</t>
    <phoneticPr fontId="68" type="noConversion"/>
  </si>
  <si>
    <t>魔菇术</t>
    <phoneticPr fontId="68" type="noConversion"/>
  </si>
  <si>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phoneticPr fontId="68" type="noConversion"/>
  </si>
  <si>
    <t>Mushroom Ballista</t>
    <phoneticPr fontId="68" type="noConversion"/>
  </si>
  <si>
    <t>隐匿物件</t>
    <phoneticPr fontId="68" type="noConversion"/>
  </si>
  <si>
    <t>你选择施法距离内一个你能看见的物件，使其变为隐形直到法术结束。该物件不能大于5尺边长的立方体，且不能是由生物穿戴的物品。</t>
    <phoneticPr fontId="68" type="noConversion"/>
  </si>
  <si>
    <t>Obscure Object</t>
    <phoneticPr fontId="68" type="noConversion"/>
  </si>
  <si>
    <t>冲击之柱</t>
    <phoneticPr fontId="68" type="noConversion"/>
  </si>
  <si>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phoneticPr fontId="68" type="noConversion"/>
  </si>
  <si>
    <t>Pillar of Force</t>
    <phoneticPr fontId="68" type="noConversion"/>
  </si>
  <si>
    <t>怒雷云冕</t>
    <phoneticPr fontId="68" type="noConversion"/>
  </si>
  <si>
    <t>一滴水</t>
    <phoneticPr fontId="68" type="noConversion"/>
  </si>
  <si>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phoneticPr fontId="68" type="noConversion"/>
  </si>
  <si>
    <t>Rageful Nimbus</t>
    <phoneticPr fontId="68" type="noConversion"/>
  </si>
  <si>
    <t>法术识记</t>
    <phoneticPr fontId="68" type="noConversion"/>
  </si>
  <si>
    <t>一根红木火柴</t>
    <phoneticPr fontId="68" type="noConversion"/>
  </si>
  <si>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phoneticPr fontId="68" type="noConversion"/>
  </si>
  <si>
    <t>Spell Signature</t>
    <phoneticPr fontId="68" type="noConversion"/>
  </si>
  <si>
    <t>共享视界</t>
    <phoneticPr fontId="68" type="noConversion"/>
  </si>
  <si>
    <t>1英里</t>
    <phoneticPr fontId="68" type="noConversion"/>
  </si>
  <si>
    <t>一颗玻璃眼球</t>
    <phoneticPr fontId="68" type="noConversion"/>
  </si>
  <si>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phoneticPr fontId="68" type="noConversion"/>
  </si>
  <si>
    <t>Shared Vision</t>
    <phoneticPr fontId="68" type="noConversion"/>
  </si>
  <si>
    <t>易形换貌</t>
    <phoneticPr fontId="68" type="noConversion"/>
  </si>
  <si>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phoneticPr fontId="68" type="noConversion"/>
  </si>
  <si>
    <t>Switched Form</t>
    <phoneticPr fontId="68" type="noConversion"/>
  </si>
  <si>
    <t>匿形术</t>
    <phoneticPr fontId="68" type="noConversion"/>
  </si>
  <si>
    <t>反应，当你在躲藏或不可见状态下位置即将被生物发现时触发</t>
    <phoneticPr fontId="68" type="noConversion"/>
  </si>
  <si>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phoneticPr fontId="68" type="noConversion"/>
  </si>
  <si>
    <t>Transparency</t>
    <phoneticPr fontId="68" type="noConversion"/>
  </si>
  <si>
    <t>疾风跃袭</t>
    <phoneticPr fontId="68" type="noConversion"/>
  </si>
  <si>
    <t>一阵旋转的暴风将你托起，并把你送到施法距离内一个你能看见的生物处。在本回合结束前，由于狂风的冲击，你下一次使用近战武器攻击命中生物时，该攻击额外造成2d6点挥砍伤害。</t>
    <phoneticPr fontId="68" type="noConversion"/>
  </si>
  <si>
    <t>Wind Sprint</t>
    <phoneticPr fontId="68" type="noConversion"/>
  </si>
  <si>
    <t>蝶云风暴</t>
    <phoneticPr fontId="68" type="noConversion"/>
  </si>
  <si>
    <t>昆虫腿</t>
    <phoneticPr fontId="68" type="noConversion"/>
  </si>
  <si>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phoneticPr fontId="68" type="noConversion"/>
  </si>
  <si>
    <t>Butterfly Storm</t>
    <phoneticPr fontId="68" type="noConversion"/>
  </si>
  <si>
    <t>咒唤海洋</t>
    <phoneticPr fontId="68" type="noConversion"/>
  </si>
  <si>
    <t>一块巫眼珊瑚</t>
    <phoneticPr fontId="68" type="noConversion"/>
  </si>
  <si>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phoneticPr fontId="68" type="noConversion"/>
  </si>
  <si>
    <t>Conjure Ocean</t>
    <phoneticPr fontId="68" type="noConversion"/>
  </si>
  <si>
    <t>达良之块</t>
    <phoneticPr fontId="68" type="noConversion"/>
  </si>
  <si>
    <t>一撮沙子和一块陶片</t>
    <phoneticPr fontId="68" type="noConversion"/>
  </si>
  <si>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phoneticPr fontId="68" type="noConversion"/>
  </si>
  <si>
    <t>Dara Blocks</t>
    <phoneticPr fontId="68" type="noConversion"/>
  </si>
  <si>
    <t>光耀缚束</t>
    <phoneticPr fontId="68" type="noConversion"/>
  </si>
  <si>
    <t>一道闪烁的光带射向施法距离内的一个目标，并在一道壮丽的光芒中将其包裹。对目标进行一次远程法术攻击。命中时，目标被束缚，且被魔法固定在原地直到其下一回合结束。</t>
    <phoneticPr fontId="68" type="noConversion"/>
  </si>
  <si>
    <t>Light Snare</t>
    <phoneticPr fontId="68" type="noConversion"/>
  </si>
  <si>
    <t>坠落术</t>
    <phoneticPr fontId="68" type="noConversion"/>
  </si>
  <si>
    <t>300尺</t>
    <phoneticPr fontId="68" type="noConversion"/>
  </si>
  <si>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phoneticPr fontId="68" type="noConversion"/>
  </si>
  <si>
    <t>Plummet</t>
    <phoneticPr fontId="68" type="noConversion"/>
  </si>
  <si>
    <t>波格莫奇锅</t>
    <phoneticPr fontId="68" type="noConversion"/>
  </si>
  <si>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phoneticPr fontId="68" type="noConversion"/>
  </si>
  <si>
    <t>Pogmo's Pot</t>
    <phoneticPr fontId="68" type="noConversion"/>
  </si>
  <si>
    <t>菜刀术</t>
    <phoneticPr fontId="68" type="noConversion"/>
  </si>
  <si>
    <t>一片草叶</t>
    <phoneticPr fontId="68" type="noConversion"/>
  </si>
  <si>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phoneticPr fontId="68" type="noConversion"/>
  </si>
  <si>
    <t>Vegetable Blade</t>
    <phoneticPr fontId="68" type="noConversion"/>
  </si>
  <si>
    <t>镇静怪物</t>
    <phoneticPr fontId="68" type="noConversion"/>
  </si>
  <si>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phoneticPr fontId="68" type="noConversion"/>
  </si>
  <si>
    <t>Pacify Monster</t>
    <phoneticPr fontId="68" type="noConversion"/>
  </si>
  <si>
    <t>风暴战驹</t>
    <phoneticPr fontId="68" type="noConversion"/>
  </si>
  <si>
    <t>一根风花茎</t>
    <phoneticPr fontId="68" type="noConversion"/>
  </si>
  <si>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phoneticPr fontId="68" type="noConversion"/>
  </si>
  <si>
    <t>Storm Stallion</t>
    <phoneticPr fontId="68" type="noConversion"/>
  </si>
  <si>
    <t>灵之列车站</t>
    <phoneticPr fontId="68" type="noConversion"/>
  </si>
  <si>
    <t>一张空白车票和价值至少50金币的高品质墨水，作为该法术的耗材</t>
    <phoneticPr fontId="68" type="noConversion"/>
  </si>
  <si>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phoneticPr fontId="68" type="noConversion"/>
  </si>
  <si>
    <t>Create Spirit Train Stop</t>
    <phoneticPr fontId="68" type="noConversion"/>
  </si>
  <si>
    <t>庆典之王</t>
    <phoneticPr fontId="68" type="noConversion"/>
  </si>
  <si>
    <t>一条小丝带</t>
    <phoneticPr fontId="68" type="noConversion"/>
  </si>
  <si>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phoneticPr fontId="68" type="noConversion"/>
  </si>
  <si>
    <t>Festival King</t>
    <phoneticPr fontId="68" type="noConversion"/>
  </si>
  <si>
    <t>群体浮空术</t>
    <phoneticPr fontId="68" type="noConversion"/>
  </si>
  <si>
    <t>一个小皮圈</t>
    <phoneticPr fontId="68" type="noConversion"/>
  </si>
  <si>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phoneticPr fontId="68" type="noConversion"/>
  </si>
  <si>
    <t>Mass Levitate</t>
    <phoneticPr fontId="68" type="noConversion"/>
  </si>
  <si>
    <t>纸鹤群袭</t>
    <phoneticPr fontId="68" type="noConversion"/>
  </si>
  <si>
    <t>价值10金币的精美纸张，作为该法术的耗材</t>
    <phoneticPr fontId="68" type="noConversion"/>
  </si>
  <si>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phoneticPr fontId="68" type="noConversion"/>
  </si>
  <si>
    <t>Origami Bird Swarm</t>
    <phoneticPr fontId="68" type="noConversion"/>
  </si>
  <si>
    <t>潜渡术</t>
    <phoneticPr fontId="68" type="noConversion"/>
  </si>
  <si>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phoneticPr fontId="68" type="noConversion"/>
  </si>
  <si>
    <t>Submerge</t>
    <phoneticPr fontId="68" type="noConversion"/>
  </si>
  <si>
    <t>召唤南瓜灯</t>
    <phoneticPr fontId="68" type="noConversion"/>
  </si>
  <si>
    <t>南瓜灯碎片</t>
    <phoneticPr fontId="68" type="noConversion"/>
  </si>
  <si>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phoneticPr fontId="68" type="noConversion"/>
  </si>
  <si>
    <t>Summon Jack-O'-Lantern</t>
    <phoneticPr fontId="68" type="noConversion"/>
  </si>
  <si>
    <t>谭冈的盛宴之火</t>
    <phoneticPr fontId="68" type="noConversion"/>
  </si>
  <si>
    <t>一份非普通材料，作为该法术的耗材</t>
    <phoneticPr fontId="68" type="noConversion"/>
  </si>
  <si>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phoneticPr fontId="68" type="noConversion"/>
  </si>
  <si>
    <t>Tamh Gon's Fiery Festival Feast</t>
    <phoneticPr fontId="68" type="noConversion"/>
  </si>
  <si>
    <t>甲壳形态</t>
    <phoneticPr fontId="68" type="noConversion"/>
  </si>
  <si>
    <t>一个旧蟹壳</t>
    <phoneticPr fontId="68" type="noConversion"/>
  </si>
  <si>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phoneticPr fontId="68" type="noConversion"/>
  </si>
  <si>
    <t>Crustacean Form</t>
    <phoneticPr fontId="68" type="noConversion"/>
  </si>
  <si>
    <t>神圣箭矢</t>
    <phoneticPr fontId="68" type="noConversion"/>
  </si>
  <si>
    <t>一颗价值100金币的珍珠</t>
    <phoneticPr fontId="68" type="noConversion"/>
  </si>
  <si>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phoneticPr fontId="68" type="noConversion"/>
  </si>
  <si>
    <t>Divine Arrow</t>
    <phoneticPr fontId="68" type="noConversion"/>
  </si>
  <si>
    <t>血蚀箭</t>
    <phoneticPr fontId="68" type="noConversion"/>
  </si>
  <si>
    <t>死灵</t>
    <phoneticPr fontId="68" type="noConversion"/>
  </si>
  <si>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phoneticPr fontId="68" type="noConversion"/>
  </si>
  <si>
    <t>Blood Bolt</t>
    <phoneticPr fontId="68" type="noConversion"/>
  </si>
  <si>
    <t>歪曲之月</t>
    <phoneticPr fontId="68" type="noConversion"/>
  </si>
  <si>
    <t>瓦解术</t>
    <phoneticPr fontId="68" type="noConversion"/>
  </si>
  <si>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phoneticPr fontId="68" type="noConversion"/>
  </si>
  <si>
    <t>Dissolution</t>
    <phoneticPr fontId="68" type="noConversion"/>
  </si>
  <si>
    <t>灼眼术</t>
    <phoneticPr fontId="68" type="noConversion"/>
  </si>
  <si>
    <t>反应，施法距离内一个你可见的生物将你作为一次攻击的目标时可用</t>
    <phoneticPr fontId="68" type="noConversion"/>
  </si>
  <si>
    <t>一抹樟脑</t>
    <phoneticPr fontId="68" type="noConversion"/>
  </si>
  <si>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phoneticPr fontId="68" type="noConversion"/>
  </si>
  <si>
    <t>Eye Burn</t>
    <phoneticPr fontId="68" type="noConversion"/>
  </si>
  <si>
    <t>莫测仪容</t>
    <phoneticPr fontId="68" type="noConversion"/>
  </si>
  <si>
    <t>你触碰一个自愿生物，掩盖其存在。直至该法术终止，其他生物对该目标进行的任何感知（洞悉或察觉）检定中必须减去1d4。</t>
    <phoneticPr fontId="68" type="noConversion"/>
  </si>
  <si>
    <t>Mysterious Presence</t>
    <phoneticPr fontId="68" type="noConversion"/>
  </si>
  <si>
    <t>先祖授慧</t>
    <phoneticPr fontId="68" type="noConversion"/>
  </si>
  <si>
    <t>你祈求祖先的智慧，以获得应对自身试炼的洞察力。当你施展该法术时，以及持续时间内每个你的回合开始时，你都会获得英雄激励（如果你尚未拥有）。</t>
    <phoneticPr fontId="68" type="noConversion"/>
  </si>
  <si>
    <t>Ancestral Communion</t>
    <phoneticPr fontId="68" type="noConversion"/>
  </si>
  <si>
    <t>迷惑亡灵</t>
    <phoneticPr fontId="68" type="noConversion"/>
  </si>
  <si>
    <t>一撮骨灰</t>
    <phoneticPr fontId="68" type="noConversion"/>
  </si>
  <si>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phoneticPr fontId="68" type="noConversion"/>
  </si>
  <si>
    <t>Captivate Undead</t>
    <phoneticPr fontId="68" type="noConversion"/>
  </si>
  <si>
    <t>魔鬼报偿</t>
    <phoneticPr fontId="68" type="noConversion"/>
  </si>
  <si>
    <t>反应，施法距离内另一个生物受到伤害时可用</t>
    <phoneticPr fontId="68" type="noConversion"/>
  </si>
  <si>
    <t>一滴沥青</t>
    <phoneticPr fontId="68" type="noConversion"/>
  </si>
  <si>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phoneticPr fontId="68" type="noConversion"/>
  </si>
  <si>
    <t>Devil's Due</t>
    <phoneticPr fontId="68" type="noConversion"/>
  </si>
  <si>
    <t>饕餮魔刃</t>
    <phoneticPr fontId="68" type="noConversion"/>
  </si>
  <si>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phoneticPr fontId="68" type="noConversion"/>
  </si>
  <si>
    <t>Hungering Blade</t>
    <phoneticPr fontId="68" type="noConversion"/>
  </si>
  <si>
    <t>血祭</t>
    <phoneticPr fontId="68" type="noConversion"/>
  </si>
  <si>
    <t>一滴你的血</t>
    <phoneticPr fontId="68" type="noConversion"/>
  </si>
  <si>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phoneticPr fontId="68" type="noConversion"/>
  </si>
  <si>
    <t>Blood Sacrifice</t>
    <phoneticPr fontId="68" type="noConversion"/>
  </si>
  <si>
    <t>判罪锁链</t>
    <phoneticPr fontId="68" type="noConversion"/>
  </si>
  <si>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phoneticPr fontId="68" type="noConversion"/>
  </si>
  <si>
    <t>Chain of Conviction</t>
    <phoneticPr fontId="68" type="noConversion"/>
  </si>
  <si>
    <t>失落者合颂</t>
    <phoneticPr fontId="68" type="noConversion"/>
  </si>
  <si>
    <t>一个价值10GP+的银铃铛</t>
    <phoneticPr fontId="68" type="noConversion"/>
  </si>
  <si>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phoneticPr fontId="68" type="noConversion"/>
  </si>
  <si>
    <t>Chorus of the Lost</t>
    <phoneticPr fontId="68" type="noConversion"/>
  </si>
  <si>
    <t>黯然销魂曲</t>
    <phoneticPr fontId="68" type="noConversion"/>
  </si>
  <si>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phoneticPr fontId="68" type="noConversion"/>
  </si>
  <si>
    <t>Harrowing Ballad</t>
    <phoneticPr fontId="68" type="noConversion"/>
  </si>
  <si>
    <t>血色隐秘</t>
    <phoneticPr fontId="68" type="noConversion"/>
  </si>
  <si>
    <t>一滴血，作为该法术的耗材</t>
    <phoneticPr fontId="68" type="noConversion"/>
  </si>
  <si>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phoneticPr fontId="68" type="noConversion"/>
  </si>
  <si>
    <t>Sanguine Secrets</t>
    <phoneticPr fontId="68" type="noConversion"/>
  </si>
  <si>
    <t>夏日清风</t>
    <phoneticPr fontId="68" type="noConversion"/>
  </si>
  <si>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phoneticPr fontId="68" type="noConversion"/>
  </si>
  <si>
    <t>Summer Winds</t>
    <phoneticPr fontId="68" type="noConversion"/>
  </si>
  <si>
    <t>溃心低语</t>
    <phoneticPr fontId="68" type="noConversion"/>
  </si>
  <si>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phoneticPr fontId="68" type="noConversion"/>
  </si>
  <si>
    <t>Unraveling Whisper</t>
    <phoneticPr fontId="68" type="noConversion"/>
  </si>
  <si>
    <t>死神面纱</t>
    <phoneticPr fontId="68" type="noConversion"/>
  </si>
  <si>
    <t>一颗干燥的玉米壳或麦秸</t>
    <phoneticPr fontId="68" type="noConversion"/>
  </si>
  <si>
    <t>你将自身裹于阴影之中，在攻击间隙为你提供遮掩。在你用一次攻击检定命中一个生物的任何回合结束时，你获得隐形状态，直至你的下一回合开始。</t>
    <phoneticPr fontId="68" type="noConversion"/>
  </si>
  <si>
    <t>Veil of the Reaper</t>
    <phoneticPr fontId="68" type="noConversion"/>
  </si>
  <si>
    <t>蠕行腐朽</t>
    <phoneticPr fontId="68" type="noConversion"/>
  </si>
  <si>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phoneticPr fontId="68" type="noConversion"/>
  </si>
  <si>
    <t>Creeping Rot</t>
    <phoneticPr fontId="68" type="noConversion"/>
  </si>
  <si>
    <t>猩红丰获</t>
    <phoneticPr fontId="68" type="noConversion"/>
  </si>
  <si>
    <t>一小瓶血液</t>
    <phoneticPr fontId="68" type="noConversion"/>
  </si>
  <si>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phoneticPr fontId="68" type="noConversion"/>
  </si>
  <si>
    <t>Crimson Harvest</t>
    <phoneticPr fontId="68" type="noConversion"/>
  </si>
  <si>
    <t>歪曲结界</t>
    <phoneticPr fontId="68" type="noConversion"/>
  </si>
  <si>
    <t>一枚柳条编的五角星</t>
    <phoneticPr fontId="68" type="noConversion"/>
  </si>
  <si>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phoneticPr fontId="68" type="noConversion"/>
  </si>
  <si>
    <t>Crooked Ward</t>
    <phoneticPr fontId="68" type="noConversion"/>
  </si>
  <si>
    <t>剔肉镰刀</t>
    <phoneticPr fontId="68" type="noConversion"/>
  </si>
  <si>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phoneticPr fontId="68" type="noConversion"/>
  </si>
  <si>
    <t>Culling Sickle</t>
    <phoneticPr fontId="68" type="noConversion"/>
  </si>
  <si>
    <t>受诅杂音</t>
    <phoneticPr fontId="68" type="noConversion"/>
  </si>
  <si>
    <t>一张乐谱</t>
    <phoneticPr fontId="68" type="noConversion"/>
  </si>
  <si>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phoneticPr fontId="68" type="noConversion"/>
  </si>
  <si>
    <t>Cursed Cacophony</t>
    <phoneticPr fontId="68" type="noConversion"/>
  </si>
  <si>
    <t>丰收月辉</t>
    <phoneticPr fontId="68" type="noConversion"/>
  </si>
  <si>
    <t>一块月光石</t>
    <phoneticPr fontId="68" type="noConversion"/>
  </si>
  <si>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phoneticPr fontId="68" type="noConversion"/>
  </si>
  <si>
    <t>Harvest Moonglow</t>
    <phoneticPr fontId="68" type="noConversion"/>
  </si>
  <si>
    <t>孤立术</t>
    <phoneticPr fontId="68" type="noConversion"/>
  </si>
  <si>
    <t>一小块金属立方</t>
    <phoneticPr fontId="68" type="noConversion"/>
  </si>
  <si>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phoneticPr fontId="68" type="noConversion"/>
  </si>
  <si>
    <t>Isolation</t>
    <phoneticPr fontId="68" type="noConversion"/>
  </si>
  <si>
    <t>殉难者</t>
    <phoneticPr fontId="68" type="noConversion"/>
  </si>
  <si>
    <t>一把价值1+CP的匕首</t>
    <phoneticPr fontId="68" type="noConversion"/>
  </si>
  <si>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phoneticPr fontId="68" type="noConversion"/>
  </si>
  <si>
    <t>Martyr</t>
    <phoneticPr fontId="68" type="noConversion"/>
  </si>
  <si>
    <t>悼亡迷雾</t>
    <phoneticPr fontId="68" type="noConversion"/>
  </si>
  <si>
    <t>一小瓶眼泪</t>
    <phoneticPr fontId="68" type="noConversion"/>
  </si>
  <si>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phoneticPr fontId="68" type="noConversion"/>
  </si>
  <si>
    <t>Mist of Mourning</t>
    <phoneticPr fontId="68" type="noConversion"/>
  </si>
  <si>
    <t>牧群圣所</t>
    <phoneticPr fontId="68" type="noConversion"/>
  </si>
  <si>
    <t>价值25+GP的银粉，作为该法术的耗材</t>
    <phoneticPr fontId="68" type="noConversion"/>
  </si>
  <si>
    <t>24小时</t>
    <phoneticPr fontId="68" type="noConversion"/>
  </si>
  <si>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phoneticPr fontId="68" type="noConversion"/>
  </si>
  <si>
    <t>Sanctum of the Flock</t>
    <phoneticPr fontId="68" type="noConversion"/>
  </si>
  <si>
    <t>猩红黎明</t>
    <phoneticPr fontId="68" type="noConversion"/>
  </si>
  <si>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phoneticPr fontId="68" type="noConversion"/>
  </si>
  <si>
    <t>Scarlet Dawn</t>
    <phoneticPr fontId="68" type="noConversion"/>
  </si>
  <si>
    <t>汲影术</t>
    <phoneticPr fontId="68" type="noConversion"/>
  </si>
  <si>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phoneticPr fontId="68" type="noConversion"/>
  </si>
  <si>
    <t>Shadow Drain</t>
    <phoneticPr fontId="68" type="noConversion"/>
  </si>
  <si>
    <t>活埋术</t>
    <phoneticPr fontId="68" type="noConversion"/>
  </si>
  <si>
    <t>一撮坟土</t>
    <phoneticPr fontId="68" type="noConversion"/>
  </si>
  <si>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phoneticPr fontId="68" type="noConversion"/>
  </si>
  <si>
    <t>Buried Alive</t>
    <phoneticPr fontId="68" type="noConversion"/>
  </si>
  <si>
    <t>野性呼唤</t>
    <phoneticPr fontId="68" type="noConversion"/>
  </si>
  <si>
    <t>少许兽毛或兽皮</t>
    <phoneticPr fontId="68" type="noConversion"/>
  </si>
  <si>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phoneticPr fontId="68" type="noConversion"/>
  </si>
  <si>
    <t>Call of the Wild</t>
    <phoneticPr fontId="68" type="noConversion"/>
  </si>
  <si>
    <t>薪火焚身</t>
    <phoneticPr fontId="68" type="noConversion"/>
  </si>
  <si>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phoneticPr fontId="68" type="noConversion"/>
  </si>
  <si>
    <t>Consuming Pyre</t>
    <phoneticPr fontId="68" type="noConversion"/>
  </si>
  <si>
    <t>绝望侵袭</t>
    <phoneticPr fontId="68" type="noConversion"/>
  </si>
  <si>
    <t>一朵曼陀罗花</t>
    <phoneticPr fontId="68" type="noConversion"/>
  </si>
  <si>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phoneticPr fontId="68" type="noConversion"/>
  </si>
  <si>
    <t>Intrusive Despair</t>
    <phoneticPr fontId="68" type="noConversion"/>
  </si>
  <si>
    <t>凶杀鸦群</t>
    <phoneticPr fontId="68" type="noConversion"/>
  </si>
  <si>
    <t>一根乌鸦羽毛</t>
    <phoneticPr fontId="68" type="noConversion"/>
  </si>
  <si>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phoneticPr fontId="68" type="noConversion"/>
  </si>
  <si>
    <t>Murder of Crows</t>
    <phoneticPr fontId="68" type="noConversion"/>
  </si>
  <si>
    <t>傀儡掌控</t>
    <phoneticPr fontId="68" type="noConversion"/>
  </si>
  <si>
    <t>一根提线木偶的丝线</t>
    <phoneticPr fontId="68" type="noConversion"/>
  </si>
  <si>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phoneticPr fontId="68" type="noConversion"/>
  </si>
  <si>
    <t>Puppet Master</t>
    <phoneticPr fontId="68" type="noConversion"/>
  </si>
  <si>
    <t>祭献虹吸</t>
    <phoneticPr fontId="68" type="noConversion"/>
  </si>
  <si>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phoneticPr fontId="68" type="noConversion"/>
  </si>
  <si>
    <t>Sacrificial Siphon</t>
    <phoneticPr fontId="68" type="noConversion"/>
  </si>
  <si>
    <t>牧人圣所</t>
    <phoneticPr fontId="68" type="noConversion"/>
  </si>
  <si>
    <t>价值200+GP的精金粉或钻石粉，作为该法术的耗材</t>
    <phoneticPr fontId="68" type="noConversion"/>
  </si>
  <si>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phoneticPr fontId="68" type="noConversion"/>
  </si>
  <si>
    <t>Sanctum of the Shepherd</t>
    <phoneticPr fontId="68" type="noConversion"/>
  </si>
  <si>
    <t>收割场</t>
    <phoneticPr fontId="68" type="noConversion"/>
  </si>
  <si>
    <t>一粒干燥的玉米壳或小麦壳</t>
    <phoneticPr fontId="68" type="noConversion"/>
  </si>
  <si>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phoneticPr fontId="68" type="noConversion"/>
  </si>
  <si>
    <t>Field of Reaping</t>
    <phoneticPr fontId="68" type="noConversion"/>
  </si>
  <si>
    <t>幸运符</t>
    <phoneticPr fontId="68" type="noConversion"/>
  </si>
  <si>
    <t>一片四叶草和一块镜子碎片</t>
    <phoneticPr fontId="68" type="noConversion"/>
  </si>
  <si>
    <t>你触碰一个非魔法的微型物件，在持续时间内将你的一部分运气注入其中。当另一个生物携带该物件期间，该生物在D20检定中具有优势，而你在D20检定中具有劣势。</t>
    <phoneticPr fontId="68" type="noConversion"/>
  </si>
  <si>
    <t>镜像痛苦</t>
    <phoneticPr fontId="68" type="noConversion"/>
  </si>
  <si>
    <t>反应，60尺内一个你可见的生物对你的盟友造成伤害时可用</t>
    <phoneticPr fontId="68" type="noConversion"/>
  </si>
  <si>
    <t>一根别针或针</t>
    <phoneticPr fontId="68" type="noConversion"/>
  </si>
  <si>
    <t>触发生物必须进行一次感知豁免。若豁免失败，则其受到等于对你盟友所造成伤害的心灵伤害。若豁免成功，则其受到一半伤害。</t>
    <phoneticPr fontId="68" type="noConversion"/>
  </si>
  <si>
    <t>Mirrored Agony</t>
    <phoneticPr fontId="68" type="noConversion"/>
  </si>
  <si>
    <t>惊怖冲锋</t>
    <phoneticPr fontId="68" type="noConversion"/>
  </si>
  <si>
    <t>一块旗帜碎片</t>
    <phoneticPr fontId="68" type="noConversion"/>
  </si>
  <si>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phoneticPr fontId="68" type="noConversion"/>
  </si>
  <si>
    <t>Ghastly Charge</t>
    <phoneticPr fontId="68" type="noConversion"/>
  </si>
  <si>
    <t>暗蚀</t>
    <phoneticPr fontId="68" type="noConversion"/>
  </si>
  <si>
    <t>特性</t>
    <phoneticPr fontId="68" type="noConversion"/>
  </si>
  <si>
    <t>感知</t>
    <phoneticPr fontId="68" type="noConversion"/>
  </si>
  <si>
    <t>特殊能力</t>
    <phoneticPr fontId="68" type="noConversion"/>
  </si>
  <si>
    <t>属性</t>
    <phoneticPr fontId="68" type="noConversion"/>
  </si>
  <si>
    <t>描述</t>
    <phoneticPr fontId="68" type="noConversion"/>
  </si>
  <si>
    <t>消耗品</t>
    <phoneticPr fontId="68" type="noConversion"/>
  </si>
  <si>
    <t>/</t>
    <phoneticPr fontId="68" type="noConversion"/>
  </si>
  <si>
    <t>筑灭师</t>
    <phoneticPr fontId="68" type="noConversion"/>
  </si>
  <si>
    <t>狱言家</t>
    <phoneticPr fontId="68" type="noConversion"/>
  </si>
  <si>
    <t>恐惧屠戮者</t>
    <phoneticPr fontId="68" type="noConversion"/>
  </si>
  <si>
    <t>猩红骑士</t>
    <phoneticPr fontId="68" type="noConversion"/>
  </si>
  <si>
    <t>影宗</t>
    <phoneticPr fontId="68" type="noConversion"/>
  </si>
  <si>
    <t>邪狱使</t>
    <phoneticPr fontId="68" type="noConversion"/>
  </si>
  <si>
    <t>极恶禁令</t>
  </si>
  <si>
    <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</si>
  <si>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t>焚灭缄印</t>
  </si>
  <si>
    <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</si>
  <si>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t>禁令豁免</t>
  </si>
  <si>
    <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</si>
  <si>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t>叉舌</t>
  </si>
  <si>
    <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</si>
  <si>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战斗精通</t>
  </si>
  <si>
    <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</si>
  <si>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禁令</t>
  </si>
  <si>
    <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</si>
  <si>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极恶之契</t>
  </si>
  <si>
    <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</si>
  <si>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招引狱力</t>
  </si>
  <si>
    <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</si>
  <si>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</si>
  <si>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t>额外攻击</t>
  </si>
  <si>
    <t>你在自己回合内执行攻击动作时，可以发动两次攻击而非一次。</t>
  </si>
  <si>
    <t>炼狱交移</t>
  </si>
  <si>
    <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</si>
  <si>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t>血之代价</t>
  </si>
  <si>
    <t>你能够以牺牲生命力为代价，强化你的防御力。每当你豁免失败时，你可以消耗一枚生命骰，掷骰并将结果加入你的豁免检定中。</t>
  </si>
  <si>
    <t>骇怖伟力</t>
  </si>
  <si>
    <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</si>
  <si>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高阶禁令</t>
  </si>
  <si>
    <t>你的缄印造成的伤害无视目标具有的任何抗性。_x000D_
此外，若你没有剩余的缄印，你能够以附赠动作重获一枚缄印。一旦你以此法重获缄印，直至完成长休你都无法再如此做。</t>
  </si>
  <si>
    <t>炼狱威仪</t>
  </si>
  <si>
    <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</si>
  <si>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t>九狱之主</t>
  </si>
  <si>
    <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</si>
  <si>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1"/>
        <charset val="134"/>
      </rPr>
      <t>体质与魅力</t>
    </r>
    <r>
      <rPr>
        <sz val="10"/>
        <color theme="1"/>
        <rFont val="Times New Roman"/>
        <family val="1"/>
      </rPr>
      <t xml:space="preserve"> </t>
    </r>
    <phoneticPr fontId="68" type="noConversion"/>
  </si>
  <si>
    <t>轻甲、中甲和盾牌</t>
    <phoneticPr fontId="68" type="noConversion"/>
  </si>
  <si>
    <t>简易和军用武器</t>
    <phoneticPr fontId="68" type="noConversion"/>
  </si>
  <si>
    <r>
      <rPr>
        <sz val="10"/>
        <color theme="1"/>
        <rFont val="宋体"/>
        <family val="1"/>
        <charset val="134"/>
      </rPr>
      <t>选择</t>
    </r>
    <r>
      <rPr>
        <sz val="10"/>
        <color theme="1"/>
        <rFont val="Times New Roman"/>
        <family val="1"/>
      </rPr>
      <t>2</t>
    </r>
    <r>
      <rPr>
        <sz val="10"/>
        <color theme="1"/>
        <rFont val="宋体"/>
        <family val="1"/>
        <charset val="134"/>
      </rPr>
      <t>项：奥秘、运动、欺瞒、洞悉、威吓、调查、游说、宗教、隐匿</t>
    </r>
    <phoneticPr fontId="68" type="noConversion"/>
  </si>
  <si>
    <t>缓弱缄印</t>
  </si>
  <si>
    <t>当一名你可见的生物对你或位于你30尺内的盟友造成伤害时，你能够以反应消耗一枚缄印，来减少目标受到的伤害，减少量等于1d10+你的邪狱使等级的一半（向下取整）。</t>
  </si>
  <si>
    <t>凌虐</t>
  </si>
  <si>
    <t>当你焚灭受禁生物身上的缄印时，你可以激活此恩惠（无需动作）。目标在其下回合结束前进行的下一次豁免检定承受等于你熟练加值的减值。</t>
  </si>
  <si>
    <t>噬魂夺魄</t>
  </si>
  <si>
    <t>当你焚灭受禁生物身上的缄印时，你可以激活此恩惠（无需动作）以获得等于你邪狱使等级的临时生命值。</t>
  </si>
  <si>
    <t>冥河寂寒</t>
  </si>
  <si>
    <t>当你焚灭受禁生物身上的缄印时，你能够以反应令目标被超常的寒意充满。目标无法执行反应，直至其下回合结束。</t>
  </si>
  <si>
    <t>极速惩戒（被动）</t>
  </si>
  <si>
    <t>当一名受禁生物引发你的借机攻击时，你能够不消耗反应的发动借机攻击，但你不能在无法执行反应时发动该攻击。该恩惠一经使用，直至你的下一回合开始你才能再如此做。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</si>
  <si>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</si>
  <si>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</si>
  <si>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t>焱燃通道</t>
  </si>
  <si>
    <t>你能够以附赠动作消耗一枚缄印，传送至多60尺的距离，到一处你可见的未占据空间中。</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</si>
  <si>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</si>
  <si>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</si>
  <si>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t>陌影之笼</t>
  </si>
  <si>
    <t>你能够以附赠动作消耗一枚缄印，在你或你触碰的生物身周编织一层半固态的阴影。目标AC获得+2加值，持续1分钟。</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</si>
  <si>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</si>
  <si>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</si>
  <si>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t>怨仇射击</t>
  </si>
  <si>
    <t>当一名生物对你或位于你30尺内你可见的盟友发动远程攻击时，你能够以反应消耗一枚缄印，对攻击者发动一次远程武器攻击。攻击命中则额外造成等于你邪狱使等级一半的伤害（向下取整）。</t>
  </si>
  <si>
    <t>迪斯的猛攻（被动）</t>
  </si>
  <si>
    <t>每当你使用附赠动作施加或转移缄印时，作为该附赠动作的一部分，你可以发动一次武器攻击。</t>
  </si>
  <si>
    <t>磺色闪光</t>
  </si>
  <si>
    <t>当你施加或转移缄印时，你可以激活此恩惠（无需动作）以传送至位于目标5尺内你可见的未占据空间中。</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</si>
  <si>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</si>
  <si>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</si>
  <si>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狱视力</t>
  </si>
  <si>
    <t>以一个动作，你可以消耗一枚缄印获得60尺真实视觉，持续1小时。</t>
  </si>
  <si>
    <t>流星一条</t>
  </si>
  <si>
    <t>当你以远程武器攻击命中一名受禁生物时，你能够以附赠动作消耗一枚缄印在其防御上创造弱点。该生物的AC受到等于你熟练加值的减值，直至你的下一回合结束。</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</si>
  <si>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</si>
  <si>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</si>
  <si>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</si>
  <si>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</si>
  <si>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t>魄劫</t>
  </si>
  <si>
    <t>当你使用附赠动作施加或转移缄印时，你能够将缄印烙入其灵魂。此后每当该受禁生物受到伤害时，其额外受到等于你熟练加值的伤害，持续1分钟。</t>
  </si>
  <si>
    <r>
      <rPr>
        <sz val="10"/>
        <color theme="1"/>
        <rFont val="宋体"/>
        <family val="1"/>
        <charset val="134"/>
      </rPr>
      <t>你携带以下装备（以及你背景提供的物品）开始游戏：</t>
    </r>
    <r>
      <rPr>
        <sz val="10"/>
        <color theme="1"/>
        <rFont val="Times New Roman"/>
        <family val="1"/>
      </rPr>
      <t xml:space="preserve">
(a) 2</t>
    </r>
    <r>
      <rPr>
        <sz val="10"/>
        <color theme="1"/>
        <rFont val="宋体"/>
        <family val="1"/>
        <charset val="134"/>
      </rPr>
      <t>把军用武器或</t>
    </r>
    <r>
      <rPr>
        <sz val="10"/>
        <color theme="1"/>
        <rFont val="Times New Roman"/>
        <family val="1"/>
      </rPr>
      <t>(b) 1</t>
    </r>
    <r>
      <rPr>
        <sz val="10"/>
        <color theme="1"/>
        <rFont val="宋体"/>
        <family val="1"/>
        <charset val="134"/>
      </rPr>
      <t>把军用武器加</t>
    </r>
    <r>
      <rPr>
        <sz val="10"/>
        <color theme="1"/>
        <rFont val="Times New Roman"/>
        <family val="1"/>
      </rPr>
      <t>1</t>
    </r>
    <r>
      <rPr>
        <sz val="10"/>
        <color theme="1"/>
        <rFont val="宋体"/>
        <family val="1"/>
        <charset val="134"/>
      </rPr>
      <t>面盾牌</t>
    </r>
    <r>
      <rPr>
        <sz val="10"/>
        <color theme="1"/>
        <rFont val="Times New Roman"/>
        <family val="1"/>
      </rPr>
      <t xml:space="preserve">
(a) </t>
    </r>
    <r>
      <rPr>
        <sz val="10"/>
        <color theme="1"/>
        <rFont val="宋体"/>
        <family val="1"/>
        <charset val="134"/>
      </rPr>
      <t>链甲衫或</t>
    </r>
    <r>
      <rPr>
        <sz val="10"/>
        <color theme="1"/>
        <rFont val="Times New Roman"/>
        <family val="1"/>
      </rPr>
      <t xml:space="preserve">(b) </t>
    </r>
    <r>
      <rPr>
        <sz val="10"/>
        <color theme="1"/>
        <rFont val="宋体"/>
        <family val="1"/>
        <charset val="134"/>
      </rPr>
      <t>皮甲、长弓外加</t>
    </r>
    <r>
      <rPr>
        <sz val="10"/>
        <color theme="1"/>
        <rFont val="Times New Roman"/>
        <family val="1"/>
      </rPr>
      <t>20</t>
    </r>
    <r>
      <rPr>
        <sz val="10"/>
        <color theme="1"/>
        <rFont val="宋体"/>
        <family val="1"/>
        <charset val="134"/>
      </rPr>
      <t>支箭矢</t>
    </r>
    <r>
      <rPr>
        <sz val="10"/>
        <color theme="1"/>
        <rFont val="Times New Roman"/>
        <family val="1"/>
      </rPr>
      <t xml:space="preserve">
(a) </t>
    </r>
    <r>
      <rPr>
        <sz val="10"/>
        <color theme="1"/>
        <rFont val="宋体"/>
        <family val="1"/>
        <charset val="134"/>
      </rPr>
      <t>祭司套组或</t>
    </r>
    <r>
      <rPr>
        <sz val="10"/>
        <color theme="1"/>
        <rFont val="Times New Roman"/>
        <family val="1"/>
      </rPr>
      <t xml:space="preserve"> (b) </t>
    </r>
    <r>
      <rPr>
        <sz val="10"/>
        <color theme="1"/>
        <rFont val="宋体"/>
        <family val="1"/>
        <charset val="134"/>
      </rPr>
      <t>地城套组</t>
    </r>
    <r>
      <rPr>
        <sz val="10"/>
        <color theme="1"/>
        <rFont val="Times New Roman"/>
        <family val="1"/>
      </rPr>
      <t xml:space="preserve">
5</t>
    </r>
    <r>
      <rPr>
        <sz val="10"/>
        <color theme="1"/>
        <rFont val="宋体"/>
        <family val="1"/>
        <charset val="134"/>
      </rPr>
      <t>把标枪</t>
    </r>
    <r>
      <rPr>
        <sz val="10"/>
        <color theme="1"/>
        <rFont val="Times New Roman"/>
        <family val="1"/>
      </rPr>
      <t xml:space="preserve"> 
</t>
    </r>
    <r>
      <rPr>
        <sz val="10"/>
        <color theme="1"/>
        <rFont val="宋体"/>
        <family val="1"/>
        <charset val="134"/>
      </rPr>
      <t>你也可以选择放弃上述装备，以</t>
    </r>
    <r>
      <rPr>
        <sz val="10"/>
        <color theme="1"/>
        <rFont val="Times New Roman"/>
        <family val="1"/>
      </rPr>
      <t>5d4×10GP</t>
    </r>
    <r>
      <rPr>
        <sz val="10"/>
        <color theme="1"/>
        <rFont val="宋体"/>
        <family val="1"/>
        <charset val="134"/>
      </rPr>
      <t>开始游戏。</t>
    </r>
    <phoneticPr fontId="68" type="noConversion"/>
  </si>
  <si>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</si>
  <si>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</si>
  <si>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t>阿斯蒙蒂斯之赐</t>
  </si>
  <si>
    <t>当阿斯蒙蒂斯接纳你成为筑灭师时，你将获得来自炼狱的学识。你获得以下技能之一的熟练：奥秘、历史、自然或宗教。_x000D_
此外，你现在可以读或写叉舌特性赋予你的语言，而非仅仅是说。</t>
  </si>
  <si>
    <t>已知法术</t>
  </si>
  <si>
    <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</si>
  <si>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</si>
  <si>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</si>
  <si>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</si>
  <si>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炼狱多面手</t>
  </si>
  <si>
    <t>每个你的回合一次，你可以施展一道你已知的邪狱使戏法替换额外攻击特性赋予你的其中一次攻击。</t>
  </si>
  <si>
    <t>阿斯蒙蒂斯之禁令</t>
  </si>
  <si>
    <t>你可以在标注的等级习得下列额外禁令恩惠。一旦你习得此特性赋予的禁令恩惠，你将始终已知该恩惠，并且该恩惠不计入你的已知禁令恩惠数量。</t>
  </si>
  <si>
    <t>公理缄印（被动）</t>
  </si>
  <si>
    <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</si>
  <si>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破法者</t>
  </si>
  <si>
    <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</si>
  <si>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九狱魔师（被动）</t>
  </si>
  <si>
    <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</si>
  <si>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屈服</t>
  </si>
  <si>
    <t>当你施展你已知的邪狱使法术时，你可以焚灭受禁生物身上的两枚缄印（无需动作），令其对抗此法术的豁免检定具有劣势。</t>
  </si>
  <si>
    <t>邪秽幻变</t>
  </si>
  <si>
    <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</si>
  <si>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r>
      <rPr>
        <sz val="10"/>
        <color theme="1"/>
        <rFont val="宋体"/>
        <family val="1"/>
        <charset val="134"/>
      </rPr>
      <t>你已知两道你选择的筑灭师戏法（筑灭师法术列表见子职末）。当你的邪狱使等级到达</t>
    </r>
    <r>
      <rPr>
        <sz val="10"/>
        <color theme="1"/>
        <rFont val="Times New Roman"/>
        <family val="1"/>
      </rPr>
      <t>10</t>
    </r>
    <r>
      <rPr>
        <sz val="10"/>
        <color theme="1"/>
        <rFont val="宋体"/>
        <family val="1"/>
        <charset val="134"/>
      </rPr>
      <t>级时，另选一道筑灭师戏法并习得。</t>
    </r>
    <r>
      <rPr>
        <sz val="10"/>
        <color theme="1"/>
        <rFont val="Times New Roman"/>
        <family val="1"/>
      </rPr>
      <t xml:space="preserve"> 
</t>
    </r>
    <r>
      <rPr>
        <sz val="10"/>
        <color theme="1"/>
        <rFont val="宋体"/>
        <family val="1"/>
        <charset val="134"/>
      </rPr>
      <t>法术位</t>
    </r>
    <r>
      <rPr>
        <sz val="10"/>
        <color theme="1"/>
        <rFont val="Times New Roman"/>
        <family val="1"/>
      </rPr>
      <t>Spell Slots</t>
    </r>
    <r>
      <rPr>
        <sz val="10"/>
        <color theme="1"/>
        <rFont val="宋体"/>
        <family val="1"/>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1"/>
        <charset val="134"/>
      </rPr>
      <t>例如，若你已知一环法术炼狱叱喝</t>
    </r>
    <r>
      <rPr>
        <sz val="10"/>
        <color theme="1"/>
        <rFont val="Times New Roman"/>
        <family val="1"/>
      </rPr>
      <t>Hellish Rebuke</t>
    </r>
    <r>
      <rPr>
        <sz val="10"/>
        <color theme="1"/>
        <rFont val="宋体"/>
        <family val="1"/>
        <charset val="134"/>
      </rPr>
      <t>，并且有一枚可用的一环法术位和一枚可用的二环法术位，则这两个法术位都可以用来施展该法术。</t>
    </r>
    <phoneticPr fontId="68" type="noConversion"/>
  </si>
  <si>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phoneticPr fontId="68" type="noConversion"/>
  </si>
  <si>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</si>
  <si>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</si>
  <si>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t>摩洛克之赐</t>
  </si>
  <si>
    <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</si>
  <si>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t>魅惑众敌</t>
  </si>
  <si>
    <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</si>
  <si>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</si>
  <si>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t>摩洛克之禁令</t>
  </si>
  <si>
    <t>红色套话</t>
  </si>
  <si>
    <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</si>
  <si>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t>奸猾鬼谋</t>
  </si>
  <si>
    <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</si>
  <si>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t>无可辩驳（被动）</t>
  </si>
  <si>
    <r>
      <t>先决：邪狱使等级</t>
    </r>
    <r>
      <rPr>
        <sz val="10"/>
        <color theme="1"/>
        <rFont val="Times New Roman"/>
        <family val="1"/>
      </rPr>
      <t>18+</t>
    </r>
    <r>
      <rPr>
        <sz val="10"/>
        <color theme="1"/>
        <rFont val="宋体"/>
        <family val="3"/>
        <charset val="134"/>
      </rPr>
      <t>（狱言家）_x000D_
受禁生物的感知和魅力豁免具有劣势。</t>
    </r>
  </si>
  <si>
    <t>寸步不让</t>
  </si>
  <si>
    <r>
      <t>在你清醒期间，你和每个位于你</t>
    </r>
    <r>
      <rPr>
        <sz val="10"/>
        <color theme="1"/>
        <rFont val="Times New Roman"/>
        <family val="1"/>
      </rPr>
      <t>10</t>
    </r>
    <r>
      <rPr>
        <sz val="10"/>
        <color theme="1"/>
        <rFont val="宋体"/>
        <family val="3"/>
        <charset val="134"/>
      </rPr>
      <t>尺内你选择的生物具有对魅惑状态的免疫。</t>
    </r>
  </si>
  <si>
    <t>交易成立</t>
  </si>
  <si>
    <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</si>
  <si>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t>等价交换</t>
  </si>
  <si>
    <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</si>
  <si>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</si>
  <si>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</si>
  <si>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迪斯帕特之赐</t>
  </si>
  <si>
    <t>当迪斯帕特接纳你成为他的邪狱使时，你获得重甲熟练。</t>
  </si>
  <si>
    <t>毁灭使徒</t>
  </si>
  <si>
    <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</si>
  <si>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</si>
  <si>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迪斯帕特之禁令</t>
  </si>
  <si>
    <t>念动缄印</t>
  </si>
  <si>
    <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</si>
  <si>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扼喉</t>
  </si>
  <si>
    <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</si>
  <si>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t>至高迪斯帕特（被动）</t>
  </si>
  <si>
    <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</si>
  <si>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t>吾令汝命</t>
  </si>
  <si>
    <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</si>
  <si>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</si>
  <si>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</si>
  <si>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血之戒律</t>
  </si>
  <si>
    <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</si>
  <si>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t>赤血流转</t>
  </si>
  <si>
    <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</si>
  <si>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t>苏特赫之赐</t>
  </si>
  <si>
    <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</si>
  <si>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</si>
  <si>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t>苏特赫之禁令</t>
  </si>
  <si>
    <t>淤秽调换</t>
  </si>
  <si>
    <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</si>
  <si>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t>赤血杀法</t>
  </si>
  <si>
    <t>保护盟友的魔法现在也会削弱敌人的力量。当一名具有你赤血流转赋予的临时生命值的盟友被近战攻击命中时，攻击者将受到寒冷、火焰或暗蚀伤害（由你选择），伤害等于你的邪狱使等级。</t>
  </si>
  <si>
    <t>猩红礼物</t>
  </si>
  <si>
    <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</si>
  <si>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灵血交换</t>
  </si>
  <si>
    <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</si>
  <si>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血债血偿（被动）</t>
  </si>
  <si>
    <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</si>
  <si>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</si>
  <si>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</si>
  <si>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死亡印记</t>
  </si>
  <si>
    <t>你善于应对被你标记为死亡的敌人。在你的每个回合中，你对受禁生物发动的首次攻击具有优势。</t>
  </si>
  <si>
    <t>暗袭</t>
  </si>
  <si>
    <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</si>
  <si>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</si>
  <si>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t>彼列之禁令</t>
  </si>
  <si>
    <t>谎言面纱</t>
  </si>
  <si>
    <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</si>
  <si>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t>幽影杀手</t>
  </si>
  <si>
    <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</si>
  <si>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t>狱影刺客（被动）</t>
  </si>
  <si>
    <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</si>
  <si>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t>影定之亡</t>
  </si>
  <si>
    <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</si>
  <si>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t>深黯诅咒（被动）</t>
  </si>
  <si>
    <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</si>
  <si>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t>地狱火</t>
  </si>
  <si>
    <t>Hellfire</t>
  </si>
  <si>
    <t>仇杀剑</t>
  </si>
  <si>
    <t>一把价值1GP+的近战武器</t>
  </si>
  <si>
    <t>Vengeful Blade</t>
  </si>
  <si>
    <t>狱之笞</t>
  </si>
  <si>
    <t>蛇信子</t>
  </si>
  <si>
    <t>Hell's Lash</t>
  </si>
  <si>
    <t>戕狱对决</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</si>
  <si>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</si>
  <si>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</si>
  <si>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</si>
  <si>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</si>
  <si>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</si>
  <si>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</si>
  <si>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</si>
  <si>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</si>
  <si>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</si>
  <si>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</si>
  <si>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Maligned Weapon</t>
  </si>
  <si>
    <t>死灭墙</t>
  </si>
  <si>
    <t>一块玛瑙碎片</t>
  </si>
  <si>
    <t>Wall of Death</t>
  </si>
  <si>
    <t>Holy Word</t>
  </si>
  <si>
    <t>匍匐之触</t>
  </si>
  <si>
    <t>Creeping Touch</t>
  </si>
  <si>
    <t>放血术</t>
  </si>
  <si>
    <t>Bloodletter</t>
  </si>
  <si>
    <t>生命链接</t>
  </si>
  <si>
    <t>Life Tether</t>
  </si>
  <si>
    <t>御电而行</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</si>
  <si>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</si>
  <si>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</si>
  <si>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</si>
  <si>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</si>
  <si>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</si>
  <si>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</si>
  <si>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</si>
  <si>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</si>
  <si>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</si>
  <si>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</si>
  <si>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</si>
  <si>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</si>
  <si>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</si>
  <si>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</si>
  <si>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Phoenix Flames</t>
  </si>
  <si>
    <t xml:space="preserve"> 动作</t>
  </si>
  <si>
    <t>鬼魅幽谷</t>
    <phoneticPr fontId="68" type="noConversion"/>
  </si>
  <si>
    <t>据点设施</t>
    <phoneticPr fontId="68" type="noConversion"/>
  </si>
  <si>
    <t>据点设施-基础设施</t>
    <phoneticPr fontId="68" type="noConversion"/>
  </si>
  <si>
    <t>先决条件</t>
    <phoneticPr fontId="68" type="noConversion"/>
  </si>
  <si>
    <t>空间</t>
    <phoneticPr fontId="68" type="noConversion"/>
  </si>
  <si>
    <t>雇员</t>
    <phoneticPr fontId="68" type="noConversion"/>
  </si>
  <si>
    <t>指令</t>
    <phoneticPr fontId="68" type="noConversion"/>
  </si>
  <si>
    <t>据点设施-特色设施</t>
    <phoneticPr fontId="68" type="noConversion"/>
  </si>
  <si>
    <t>奥术研究室</t>
  </si>
  <si>
    <t>据点</t>
    <phoneticPr fontId="68" type="noConversion"/>
  </si>
  <si>
    <t>宽敞</t>
  </si>
  <si>
    <t>制造</t>
    <phoneticPr fontId="68" type="noConversion"/>
  </si>
  <si>
    <t>增强</t>
  </si>
  <si>
    <t>收获</t>
  </si>
  <si>
    <t>维护</t>
  </si>
  <si>
    <t>招募</t>
  </si>
  <si>
    <t>贸易</t>
  </si>
  <si>
    <t>庞大</t>
  </si>
  <si>
    <t>狭窄</t>
  </si>
  <si>
    <t>护甲</t>
    <phoneticPr fontId="68" type="noConversion"/>
  </si>
  <si>
    <t>武器</t>
    <phoneticPr fontId="68" type="noConversion"/>
  </si>
  <si>
    <t>盾牌</t>
    <phoneticPr fontId="68" type="noConversion"/>
  </si>
  <si>
    <t>个人据点</t>
    <phoneticPr fontId="68" type="noConversion"/>
  </si>
  <si>
    <t>特色设施速查</t>
    <phoneticPr fontId="68" type="noConversion"/>
  </si>
  <si>
    <t>———据点资金———</t>
    <phoneticPr fontId="68" type="noConversion"/>
  </si>
  <si>
    <t>冒险装备</t>
    <phoneticPr fontId="68" type="noConversion"/>
  </si>
  <si>
    <t>据点 Bastion</t>
    <phoneticPr fontId="68" type="noConversion"/>
  </si>
  <si>
    <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phoneticPr fontId="68" type="noConversion"/>
  </si>
  <si>
    <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phoneticPr fontId="68" type="noConversion"/>
  </si>
  <si>
    <t>备注</t>
    <phoneticPr fontId="68" type="noConversion"/>
  </si>
  <si>
    <r>
      <rPr>
        <sz val="11"/>
        <color theme="1"/>
        <rFont val="宋体"/>
        <family val="3"/>
        <charset val="134"/>
      </rPr>
      <t>据点</t>
    </r>
    <phoneticPr fontId="68" type="noConversion"/>
  </si>
  <si>
    <r>
      <rPr>
        <sz val="11"/>
        <color theme="1"/>
        <rFont val="宋体"/>
        <family val="3"/>
        <charset val="134"/>
      </rPr>
      <t>先决条件</t>
    </r>
    <phoneticPr fontId="68" type="noConversion"/>
  </si>
  <si>
    <r>
      <rPr>
        <sz val="11"/>
        <color theme="1"/>
        <rFont val="宋体"/>
        <family val="3"/>
        <charset val="134"/>
      </rPr>
      <t>空间</t>
    </r>
    <phoneticPr fontId="68" type="noConversion"/>
  </si>
  <si>
    <r>
      <rPr>
        <sz val="11"/>
        <color theme="1"/>
        <rFont val="宋体"/>
        <family val="3"/>
        <charset val="134"/>
      </rPr>
      <t>雇员</t>
    </r>
    <phoneticPr fontId="68" type="noConversion"/>
  </si>
  <si>
    <r>
      <rPr>
        <sz val="11"/>
        <color theme="1"/>
        <rFont val="宋体"/>
        <family val="3"/>
        <charset val="134"/>
      </rPr>
      <t>指令</t>
    </r>
    <phoneticPr fontId="68" type="noConversion"/>
  </si>
  <si>
    <r>
      <rPr>
        <sz val="11"/>
        <color theme="1"/>
        <rFont val="宋体"/>
        <family val="3"/>
        <charset val="134"/>
      </rPr>
      <t>描述</t>
    </r>
    <phoneticPr fontId="68" type="noConversion"/>
  </si>
  <si>
    <r>
      <rPr>
        <sz val="11"/>
        <color theme="1"/>
        <rFont val="微软雅黑"/>
        <family val="1"/>
        <charset val="134"/>
      </rPr>
      <t>奥术研究室</t>
    </r>
    <phoneticPr fontId="68" type="noConversion"/>
  </si>
  <si>
    <r>
      <rPr>
        <sz val="11"/>
        <color theme="1"/>
        <rFont val="宋体"/>
        <family val="1"/>
        <charset val="134"/>
      </rPr>
      <t>宽敞</t>
    </r>
    <phoneticPr fontId="68" type="noConversion"/>
  </si>
  <si>
    <r>
      <rPr>
        <sz val="11"/>
        <color theme="1"/>
        <rFont val="宋体"/>
        <family val="1"/>
        <charset val="134"/>
      </rPr>
      <t>制造</t>
    </r>
    <phoneticPr fontId="68" type="noConversion"/>
  </si>
  <si>
    <r>
      <rPr>
        <sz val="11"/>
        <color theme="1"/>
        <rFont val="宋体"/>
        <family val="1"/>
        <charset val="134"/>
      </rPr>
      <t>奥术研究室是一个安静的实验场所，包含一台或更多的书桌与书架。</t>
    </r>
    <r>
      <rPr>
        <sz val="11"/>
        <color theme="1"/>
        <rFont val="Times New Roman"/>
        <family val="1"/>
      </rPr>
      <t xml:space="preserve">
</t>
    </r>
    <r>
      <rPr>
        <sz val="11"/>
        <color theme="1"/>
        <rFont val="宋体"/>
        <family val="1"/>
        <charset val="134"/>
      </rPr>
      <t>秘学护咒</t>
    </r>
    <r>
      <rPr>
        <sz val="11"/>
        <color theme="1"/>
        <rFont val="Times New Roman"/>
        <family val="1"/>
      </rPr>
      <t xml:space="preserve"> Arcane Study Charm </t>
    </r>
    <r>
      <rPr>
        <sz val="11"/>
        <color theme="1"/>
        <rFont val="宋体"/>
        <family val="1"/>
        <charset val="134"/>
      </rPr>
      <t>：当你在据点内进行一次长休后，你获得一个魔法护咒</t>
    </r>
    <r>
      <rPr>
        <sz val="11"/>
        <color theme="1"/>
        <rFont val="Times New Roman"/>
        <family val="1"/>
      </rPr>
      <t>Charm</t>
    </r>
    <r>
      <rPr>
        <sz val="11"/>
        <color theme="1"/>
        <rFont val="宋体"/>
        <family val="1"/>
        <charset val="134"/>
      </rPr>
      <t>（见第三章</t>
    </r>
    <r>
      <rPr>
        <sz val="11"/>
        <color theme="1"/>
        <rFont val="Times New Roman"/>
        <family val="1"/>
      </rPr>
      <t>“</t>
    </r>
    <r>
      <rPr>
        <sz val="11"/>
        <color theme="1"/>
        <rFont val="宋体"/>
        <family val="1"/>
        <charset val="134"/>
      </rPr>
      <t>超自然恩惠</t>
    </r>
    <r>
      <rPr>
        <sz val="11"/>
        <color theme="1"/>
        <rFont val="Times New Roman"/>
        <family val="1"/>
      </rPr>
      <t xml:space="preserve"> Supernatural Gifts”</t>
    </r>
    <r>
      <rPr>
        <sz val="11"/>
        <color theme="1"/>
        <rFont val="宋体"/>
        <family val="1"/>
        <charset val="134"/>
      </rPr>
      <t>一节），此护咒持续</t>
    </r>
    <r>
      <rPr>
        <sz val="11"/>
        <color theme="1"/>
        <rFont val="Times New Roman"/>
        <family val="1"/>
      </rPr>
      <t>7</t>
    </r>
    <r>
      <rPr>
        <sz val="11"/>
        <color theme="1"/>
        <rFont val="宋体"/>
        <family val="1"/>
        <charset val="134"/>
      </rPr>
      <t>天或持续至你将其使用为止。此护咒允许你施展一次鉴定术</t>
    </r>
    <r>
      <rPr>
        <sz val="11"/>
        <color theme="1"/>
        <rFont val="Times New Roman"/>
        <family val="1"/>
      </rPr>
      <t xml:space="preserve">Identify </t>
    </r>
    <r>
      <rPr>
        <sz val="11"/>
        <color theme="1"/>
        <rFont val="宋体"/>
        <family val="1"/>
        <charset val="134"/>
      </rPr>
      <t>，无需消耗法术位也无需准备施法材料。你无法在已拥有该护咒时再次获得它。</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制造：奥术法器</t>
    </r>
    <r>
      <rPr>
        <sz val="11"/>
        <color theme="1"/>
        <rFont val="Times New Roman"/>
        <family val="1"/>
      </rPr>
      <t xml:space="preserve"> Craft: Arcane Focus </t>
    </r>
    <r>
      <rPr>
        <sz val="11"/>
        <color theme="1"/>
        <rFont val="宋体"/>
        <family val="1"/>
        <charset val="134"/>
      </rPr>
      <t>：你委托该设施的雇员制造一个奥术法器</t>
    </r>
    <r>
      <rPr>
        <sz val="11"/>
        <color theme="1"/>
        <rFont val="Times New Roman"/>
        <family val="1"/>
      </rPr>
      <t>Arcane Focus</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r>
      <rPr>
        <sz val="11"/>
        <color theme="1"/>
        <rFont val="Times New Roman"/>
        <family val="1"/>
      </rPr>
      <t xml:space="preserve">
</t>
    </r>
    <r>
      <rPr>
        <sz val="11"/>
        <color theme="1"/>
        <rFont val="宋体"/>
        <family val="1"/>
        <charset val="134"/>
      </rPr>
      <t>制造：书卷</t>
    </r>
    <r>
      <rPr>
        <sz val="11"/>
        <color theme="1"/>
        <rFont val="Times New Roman"/>
        <family val="1"/>
      </rPr>
      <t xml:space="preserve"> Craft</t>
    </r>
    <r>
      <rPr>
        <sz val="11"/>
        <color theme="1"/>
        <rFont val="宋体"/>
        <family val="1"/>
        <charset val="134"/>
      </rPr>
      <t>：</t>
    </r>
    <r>
      <rPr>
        <sz val="11"/>
        <color theme="1"/>
        <rFont val="Times New Roman"/>
        <family val="1"/>
      </rPr>
      <t xml:space="preserve">Book </t>
    </r>
    <r>
      <rPr>
        <sz val="11"/>
        <color theme="1"/>
        <rFont val="宋体"/>
        <family val="1"/>
        <charset val="134"/>
      </rPr>
      <t>：你委托该设施的雇员制造一本空白的书。</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天并且需要花费</t>
    </r>
    <r>
      <rPr>
        <sz val="11"/>
        <color theme="1"/>
        <rFont val="Times New Roman"/>
        <family val="1"/>
      </rPr>
      <t>10GP</t>
    </r>
    <r>
      <rPr>
        <sz val="11"/>
        <color theme="1"/>
        <rFont val="宋体"/>
        <family val="1"/>
        <charset val="134"/>
      </rPr>
      <t>。在你将其领取前，造出的书会留在你的据点内。</t>
    </r>
    <r>
      <rPr>
        <sz val="11"/>
        <color theme="1"/>
        <rFont val="Times New Roman"/>
        <family val="1"/>
      </rPr>
      <t xml:space="preserve">
</t>
    </r>
    <r>
      <rPr>
        <sz val="11"/>
        <color theme="1"/>
        <rFont val="宋体"/>
        <family val="1"/>
        <charset val="134"/>
      </rPr>
      <t>制造：魔法物品</t>
    </r>
    <r>
      <rPr>
        <sz val="11"/>
        <color theme="1"/>
        <rFont val="Times New Roman"/>
        <family val="1"/>
      </rPr>
      <t>(</t>
    </r>
    <r>
      <rPr>
        <sz val="11"/>
        <color theme="1"/>
        <rFont val="宋体"/>
        <family val="1"/>
        <charset val="134"/>
      </rPr>
      <t>奥秘</t>
    </r>
    <r>
      <rPr>
        <sz val="11"/>
        <color theme="1"/>
        <rFont val="Times New Roman"/>
        <family val="1"/>
      </rPr>
      <t>)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Arcana</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t>
    </r>
    <r>
      <rPr>
        <sz val="11"/>
        <color theme="1"/>
        <rFont val="Times New Roman"/>
        <family val="1"/>
      </rPr>
      <t>Common</t>
    </r>
    <r>
      <rPr>
        <sz val="11"/>
        <color theme="1"/>
        <rFont val="宋体"/>
        <family val="1"/>
        <charset val="134"/>
      </rPr>
      <t>或非普通</t>
    </r>
    <r>
      <rPr>
        <sz val="11"/>
        <color theme="1"/>
        <rFont val="Times New Roman"/>
        <family val="1"/>
      </rPr>
      <t>Uncommon</t>
    </r>
    <r>
      <rPr>
        <sz val="11"/>
        <color theme="1"/>
        <rFont val="宋体"/>
        <family val="1"/>
        <charset val="134"/>
      </rPr>
      <t>魔法物品，该物品必须来自第七章的奥秘</t>
    </r>
    <r>
      <rPr>
        <sz val="11"/>
        <color theme="1"/>
        <rFont val="Times New Roman"/>
        <family val="1"/>
      </rPr>
      <t>Arcana</t>
    </r>
    <r>
      <rPr>
        <sz val="11"/>
        <color theme="1"/>
        <rFont val="宋体"/>
        <family val="1"/>
        <charset val="134"/>
      </rPr>
      <t>表格。此设施拥有制造该物品所需的工具，而其雇员拥有该工具的熟练以及奥秘</t>
    </r>
    <r>
      <rPr>
        <sz val="11"/>
        <color theme="1"/>
        <rFont val="Times New Roman"/>
        <family val="1"/>
      </rPr>
      <t>Arcana</t>
    </r>
    <r>
      <rPr>
        <sz val="11"/>
        <color theme="1"/>
        <rFont val="宋体"/>
        <family val="1"/>
        <charset val="134"/>
      </rPr>
      <t>技能的熟练。参考第七章</t>
    </r>
    <r>
      <rPr>
        <sz val="11"/>
        <color theme="1"/>
        <rFont val="Times New Roman"/>
        <family val="1"/>
      </rPr>
      <t>“</t>
    </r>
    <r>
      <rPr>
        <sz val="11"/>
        <color theme="1"/>
        <rFont val="宋体"/>
        <family val="1"/>
        <charset val="134"/>
      </rPr>
      <t>制造魔法物品</t>
    </r>
    <r>
      <rPr>
        <sz val="11"/>
        <color theme="1"/>
        <rFont val="Times New Roman"/>
        <family val="1"/>
      </rPr>
      <t xml:space="preserve"> Crafting Magic Items”</t>
    </r>
    <r>
      <rPr>
        <sz val="11"/>
        <color theme="1"/>
        <rFont val="宋体"/>
        <family val="1"/>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phoneticPr fontId="68" type="noConversion"/>
  </si>
  <si>
    <r>
      <rPr>
        <sz val="11"/>
        <color theme="1"/>
        <rFont val="微软雅黑"/>
        <family val="1"/>
        <charset val="134"/>
      </rPr>
      <t>军械库</t>
    </r>
    <phoneticPr fontId="68" type="noConversion"/>
  </si>
  <si>
    <r>
      <rPr>
        <sz val="11"/>
        <color theme="1"/>
        <rFont val="微软雅黑"/>
        <family val="1"/>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1"/>
        <charset val="134"/>
      </rPr>
      <t>贸易：补充军械库</t>
    </r>
    <r>
      <rPr>
        <sz val="11"/>
        <color theme="1"/>
        <rFont val="Times New Roman"/>
        <family val="1"/>
      </rPr>
      <t xml:space="preserve"> Trade</t>
    </r>
    <r>
      <rPr>
        <sz val="11"/>
        <color theme="1"/>
        <rFont val="微软雅黑"/>
        <family val="1"/>
        <charset val="134"/>
      </rPr>
      <t>：</t>
    </r>
    <r>
      <rPr>
        <sz val="11"/>
        <color theme="1"/>
        <rFont val="Times New Roman"/>
        <family val="1"/>
      </rPr>
      <t xml:space="preserve">Stock Armory </t>
    </r>
    <r>
      <rPr>
        <sz val="11"/>
        <color theme="1"/>
        <rFont val="微软雅黑"/>
        <family val="1"/>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1"/>
        <charset val="134"/>
      </rPr>
      <t>，据点内每有一个据点卫兵就需要额外花费</t>
    </r>
    <r>
      <rPr>
        <sz val="11"/>
        <color theme="1"/>
        <rFont val="Times New Roman"/>
        <family val="1"/>
      </rPr>
      <t xml:space="preserve"> 100 GP </t>
    </r>
    <r>
      <rPr>
        <sz val="11"/>
        <color theme="1"/>
        <rFont val="微软雅黑"/>
        <family val="1"/>
        <charset val="134"/>
      </rPr>
      <t>。如果你的据点拥有铁匠铺，总价格将减半。</t>
    </r>
    <r>
      <rPr>
        <sz val="11"/>
        <color theme="1"/>
        <rFont val="Times New Roman"/>
        <family val="1"/>
      </rPr>
      <t xml:space="preserve">
</t>
    </r>
    <r>
      <rPr>
        <sz val="11"/>
        <color theme="1"/>
        <rFont val="微软雅黑"/>
        <family val="1"/>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1"/>
        <charset val="134"/>
      </rPr>
      <t>，而非</t>
    </r>
    <r>
      <rPr>
        <sz val="11"/>
        <color theme="1"/>
        <rFont val="Times New Roman"/>
        <family val="1"/>
      </rPr>
      <t>d6</t>
    </r>
    <r>
      <rPr>
        <sz val="11"/>
        <color theme="1"/>
        <rFont val="微软雅黑"/>
        <family val="1"/>
        <charset val="134"/>
      </rPr>
      <t>。在该事件结束后，无论是否有据点卫兵损失，你储存的装备都会被消耗。这会导致你的军械库失去作用，直至你再次对其下达贸易指令来重新补货。</t>
    </r>
    <phoneticPr fontId="68" type="noConversion"/>
  </si>
  <si>
    <t>可以使用奥术法器或可以将工具作为施法法器</t>
    <phoneticPr fontId="68" type="noConversion"/>
  </si>
  <si>
    <t>种植园</t>
    <phoneticPr fontId="68" type="noConversion"/>
  </si>
  <si>
    <r>
      <rPr>
        <sz val="11"/>
        <color theme="1"/>
        <rFont val="宋体"/>
        <family val="1"/>
        <charset val="134"/>
      </rPr>
      <t>每个据点可以拥有多个种植园。当一座种植园被加入你的据点时，你从种植园类型</t>
    </r>
    <r>
      <rPr>
        <sz val="11"/>
        <color theme="1"/>
        <rFont val="Times New Roman"/>
        <family val="1"/>
      </rPr>
      <t>Garden Types</t>
    </r>
    <r>
      <rPr>
        <sz val="11"/>
        <color theme="1"/>
        <rFont val="宋体"/>
        <family val="1"/>
        <charset val="134"/>
      </rPr>
      <t>表格中选择该种植园的类型。</t>
    </r>
    <r>
      <rPr>
        <sz val="11"/>
        <color theme="1"/>
        <rFont val="Times New Roman"/>
        <family val="1"/>
      </rPr>
      <t xml:space="preserve">
</t>
    </r>
    <r>
      <rPr>
        <sz val="11"/>
        <color theme="1"/>
        <rFont val="宋体"/>
        <family val="1"/>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1"/>
        <charset val="134"/>
      </rPr>
      <t>天，在这段时间内，此设施无法进行其他活动。</t>
    </r>
    <r>
      <rPr>
        <sz val="11"/>
        <color theme="1"/>
        <rFont val="Times New Roman"/>
        <family val="1"/>
      </rPr>
      <t xml:space="preserve">
</t>
    </r>
    <r>
      <rPr>
        <sz val="11"/>
        <color theme="1"/>
        <rFont val="宋体"/>
        <family val="1"/>
        <charset val="134"/>
      </rPr>
      <t>收获：种植园产物</t>
    </r>
    <r>
      <rPr>
        <sz val="11"/>
        <color theme="1"/>
        <rFont val="Times New Roman"/>
        <family val="1"/>
      </rPr>
      <t xml:space="preserve"> Harvest</t>
    </r>
    <r>
      <rPr>
        <sz val="11"/>
        <color theme="1"/>
        <rFont val="宋体"/>
        <family val="1"/>
        <charset val="134"/>
      </rPr>
      <t>：</t>
    </r>
    <r>
      <rPr>
        <sz val="11"/>
        <color theme="1"/>
        <rFont val="Times New Roman"/>
        <family val="1"/>
      </rPr>
      <t xml:space="preserve">Garden Growth </t>
    </r>
    <r>
      <rPr>
        <sz val="11"/>
        <color theme="1"/>
        <rFont val="宋体"/>
        <family val="1"/>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1"/>
        <charset val="134"/>
      </rPr>
      <t>天时间且无需花费任何金钱。</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1"/>
        <charset val="134"/>
      </rPr>
      <t>种植园类型</t>
    </r>
    <r>
      <rPr>
        <sz val="11"/>
        <color theme="1"/>
        <rFont val="Times New Roman"/>
        <family val="1"/>
      </rPr>
      <t xml:space="preserve"> Garden Types
</t>
    </r>
    <r>
      <rPr>
        <sz val="11"/>
        <color theme="1"/>
        <rFont val="宋体"/>
        <family val="1"/>
        <charset val="134"/>
      </rPr>
      <t>种植园类型</t>
    </r>
    <r>
      <rPr>
        <sz val="11"/>
        <color theme="1"/>
        <rFont val="Times New Roman"/>
        <family val="1"/>
      </rPr>
      <t xml:space="preserve"> </t>
    </r>
    <r>
      <rPr>
        <sz val="11"/>
        <color theme="1"/>
        <rFont val="宋体"/>
        <family val="1"/>
        <charset val="134"/>
      </rPr>
      <t>描述</t>
    </r>
    <r>
      <rPr>
        <sz val="11"/>
        <color theme="1"/>
        <rFont val="Times New Roman"/>
        <family val="1"/>
      </rPr>
      <t xml:space="preserve"> </t>
    </r>
    <r>
      <rPr>
        <sz val="11"/>
        <color theme="1"/>
        <rFont val="宋体"/>
        <family val="1"/>
        <charset val="134"/>
      </rPr>
      <t>收获</t>
    </r>
    <r>
      <rPr>
        <sz val="11"/>
        <color theme="1"/>
        <rFont val="Times New Roman"/>
        <family val="1"/>
      </rPr>
      <t xml:space="preserve">
</t>
    </r>
    <r>
      <rPr>
        <sz val="11"/>
        <color theme="1"/>
        <rFont val="宋体"/>
        <family val="1"/>
        <charset val="134"/>
      </rPr>
      <t>花园</t>
    </r>
    <r>
      <rPr>
        <sz val="11"/>
        <color theme="1"/>
        <rFont val="Times New Roman"/>
        <family val="1"/>
      </rPr>
      <t xml:space="preserve"> </t>
    </r>
    <r>
      <rPr>
        <sz val="11"/>
        <color theme="1"/>
        <rFont val="宋体"/>
        <family val="1"/>
        <charset val="134"/>
      </rPr>
      <t>经过精心打理的花园，长满了花丛和灌木。</t>
    </r>
    <r>
      <rPr>
        <sz val="11"/>
        <color theme="1"/>
        <rFont val="Times New Roman"/>
        <family val="1"/>
      </rPr>
      <t xml:space="preserve"> 10 </t>
    </r>
    <r>
      <rPr>
        <sz val="11"/>
        <color theme="1"/>
        <rFont val="宋体"/>
        <family val="1"/>
        <charset val="134"/>
      </rPr>
      <t>株美丽的花束（每株价值</t>
    </r>
    <r>
      <rPr>
        <sz val="11"/>
        <color theme="1"/>
        <rFont val="Times New Roman"/>
        <family val="1"/>
      </rPr>
      <t xml:space="preserve"> 5 GP </t>
    </r>
    <r>
      <rPr>
        <sz val="11"/>
        <color theme="1"/>
        <rFont val="宋体"/>
        <family val="1"/>
        <charset val="134"/>
      </rPr>
      <t>）、或</t>
    </r>
    <r>
      <rPr>
        <sz val="11"/>
        <color theme="1"/>
        <rFont val="Times New Roman"/>
        <family val="1"/>
      </rPr>
      <t>10</t>
    </r>
    <r>
      <rPr>
        <sz val="11"/>
        <color theme="1"/>
        <rFont val="宋体"/>
        <family val="1"/>
        <charset val="134"/>
      </rPr>
      <t>瓶香水</t>
    </r>
    <r>
      <rPr>
        <sz val="11"/>
        <color theme="1"/>
        <rFont val="Times New Roman"/>
        <family val="1"/>
      </rPr>
      <t xml:space="preserve"> Perfume</t>
    </r>
    <r>
      <rPr>
        <sz val="11"/>
        <color theme="1"/>
        <rFont val="宋体"/>
        <family val="1"/>
        <charset val="134"/>
      </rPr>
      <t>、或</t>
    </r>
    <r>
      <rPr>
        <sz val="11"/>
        <color theme="1"/>
        <rFont val="Times New Roman"/>
        <family val="1"/>
      </rPr>
      <t>10</t>
    </r>
    <r>
      <rPr>
        <sz val="11"/>
        <color theme="1"/>
        <rFont val="宋体"/>
        <family val="1"/>
        <charset val="134"/>
      </rPr>
      <t>支蜡烛</t>
    </r>
    <r>
      <rPr>
        <sz val="11"/>
        <color theme="1"/>
        <rFont val="Times New Roman"/>
        <family val="1"/>
      </rPr>
      <t xml:space="preserve"> Candles</t>
    </r>
    <r>
      <rPr>
        <sz val="11"/>
        <color theme="1"/>
        <rFont val="宋体"/>
        <family val="1"/>
        <charset val="134"/>
      </rPr>
      <t>。</t>
    </r>
    <r>
      <rPr>
        <sz val="11"/>
        <color theme="1"/>
        <rFont val="Times New Roman"/>
        <family val="1"/>
      </rPr>
      <t xml:space="preserve">
</t>
    </r>
    <r>
      <rPr>
        <sz val="11"/>
        <color theme="1"/>
        <rFont val="宋体"/>
        <family val="1"/>
        <charset val="134"/>
      </rPr>
      <t>菜园</t>
    </r>
    <r>
      <rPr>
        <sz val="11"/>
        <color theme="1"/>
        <rFont val="Times New Roman"/>
        <family val="1"/>
      </rPr>
      <t xml:space="preserve"> </t>
    </r>
    <r>
      <rPr>
        <sz val="11"/>
        <color theme="1"/>
        <rFont val="宋体"/>
        <family val="1"/>
        <charset val="134"/>
      </rPr>
      <t>菜园种植着美味的蔬菜和菌类。</t>
    </r>
    <r>
      <rPr>
        <sz val="11"/>
        <color theme="1"/>
        <rFont val="Times New Roman"/>
        <family val="1"/>
      </rPr>
      <t xml:space="preserve"> 100 </t>
    </r>
    <r>
      <rPr>
        <sz val="11"/>
        <color theme="1"/>
        <rFont val="宋体"/>
        <family val="1"/>
        <charset val="134"/>
      </rPr>
      <t>天的口粮</t>
    </r>
    <r>
      <rPr>
        <sz val="11"/>
        <color theme="1"/>
        <rFont val="Times New Roman"/>
        <family val="1"/>
      </rPr>
      <t xml:space="preserve"> Rations </t>
    </r>
    <r>
      <rPr>
        <sz val="11"/>
        <color theme="1"/>
        <rFont val="宋体"/>
        <family val="1"/>
        <charset val="134"/>
      </rPr>
      <t>。</t>
    </r>
    <r>
      <rPr>
        <sz val="11"/>
        <color theme="1"/>
        <rFont val="Times New Roman"/>
        <family val="1"/>
      </rPr>
      <t xml:space="preserve">
</t>
    </r>
    <r>
      <rPr>
        <sz val="11"/>
        <color theme="1"/>
        <rFont val="宋体"/>
        <family val="1"/>
        <charset val="134"/>
      </rPr>
      <t>草药园</t>
    </r>
    <r>
      <rPr>
        <sz val="11"/>
        <color theme="1"/>
        <rFont val="Times New Roman"/>
        <family val="1"/>
      </rPr>
      <t xml:space="preserve"> </t>
    </r>
    <r>
      <rPr>
        <sz val="11"/>
        <color theme="1"/>
        <rFont val="宋体"/>
        <family val="1"/>
        <charset val="134"/>
      </rPr>
      <t>草药园种植着稀有的草药，其中某些草药具有药用价值。</t>
    </r>
    <r>
      <rPr>
        <sz val="11"/>
        <color theme="1"/>
        <rFont val="Times New Roman"/>
        <family val="1"/>
      </rPr>
      <t xml:space="preserve"> </t>
    </r>
    <r>
      <rPr>
        <sz val="11"/>
        <color theme="1"/>
        <rFont val="宋体"/>
        <family val="1"/>
        <charset val="134"/>
      </rPr>
      <t>足以制造</t>
    </r>
    <r>
      <rPr>
        <sz val="11"/>
        <color theme="1"/>
        <rFont val="Times New Roman"/>
        <family val="1"/>
      </rPr>
      <t>10</t>
    </r>
    <r>
      <rPr>
        <sz val="11"/>
        <color theme="1"/>
        <rFont val="宋体"/>
        <family val="1"/>
        <charset val="134"/>
      </rPr>
      <t>个急救包</t>
    </r>
    <r>
      <rPr>
        <sz val="11"/>
        <color theme="1"/>
        <rFont val="Times New Roman"/>
        <family val="1"/>
      </rPr>
      <t xml:space="preserve"> Healer‘s Kits </t>
    </r>
    <r>
      <rPr>
        <sz val="11"/>
        <color theme="1"/>
        <rFont val="宋体"/>
        <family val="1"/>
        <charset val="134"/>
      </rPr>
      <t>或</t>
    </r>
    <r>
      <rPr>
        <sz val="11"/>
        <color theme="1"/>
        <rFont val="Times New Roman"/>
        <family val="1"/>
      </rPr>
      <t>1</t>
    </r>
    <r>
      <rPr>
        <sz val="11"/>
        <color theme="1"/>
        <rFont val="宋体"/>
        <family val="1"/>
        <charset val="134"/>
      </rPr>
      <t>瓶治疗药水</t>
    </r>
    <r>
      <rPr>
        <sz val="11"/>
        <color theme="1"/>
        <rFont val="Times New Roman"/>
        <family val="1"/>
      </rPr>
      <t xml:space="preserve"> Potion of Healing </t>
    </r>
    <r>
      <rPr>
        <sz val="11"/>
        <color theme="1"/>
        <rFont val="宋体"/>
        <family val="1"/>
        <charset val="134"/>
      </rPr>
      <t>的草药。</t>
    </r>
    <r>
      <rPr>
        <sz val="11"/>
        <color theme="1"/>
        <rFont val="Times New Roman"/>
        <family val="1"/>
      </rPr>
      <t xml:space="preserve">
</t>
    </r>
    <r>
      <rPr>
        <sz val="11"/>
        <color theme="1"/>
        <rFont val="宋体"/>
        <family val="1"/>
        <charset val="134"/>
      </rPr>
      <t>毒药园</t>
    </r>
    <r>
      <rPr>
        <sz val="11"/>
        <color theme="1"/>
        <rFont val="Times New Roman"/>
        <family val="1"/>
      </rPr>
      <t xml:space="preserve"> </t>
    </r>
    <r>
      <rPr>
        <sz val="11"/>
        <color theme="1"/>
        <rFont val="宋体"/>
        <family val="1"/>
        <charset val="134"/>
      </rPr>
      <t>毒药园种满了可以用于提取毒素和抗毒剂的植物和真菌。</t>
    </r>
    <r>
      <rPr>
        <sz val="11"/>
        <color theme="1"/>
        <rFont val="Times New Roman"/>
        <family val="1"/>
      </rPr>
      <t xml:space="preserve"> </t>
    </r>
    <r>
      <rPr>
        <sz val="11"/>
        <color theme="1"/>
        <rFont val="宋体"/>
        <family val="1"/>
        <charset val="134"/>
      </rPr>
      <t>足以制造</t>
    </r>
    <r>
      <rPr>
        <sz val="11"/>
        <color theme="1"/>
        <rFont val="Times New Roman"/>
        <family val="1"/>
      </rPr>
      <t>2</t>
    </r>
    <r>
      <rPr>
        <sz val="11"/>
        <color theme="1"/>
        <rFont val="宋体"/>
        <family val="1"/>
        <charset val="134"/>
      </rPr>
      <t>瓶抗毒剂</t>
    </r>
    <r>
      <rPr>
        <sz val="11"/>
        <color theme="1"/>
        <rFont val="Times New Roman"/>
        <family val="1"/>
      </rPr>
      <t xml:space="preserve"> Antitoxin </t>
    </r>
    <r>
      <rPr>
        <sz val="11"/>
        <color theme="1"/>
        <rFont val="宋体"/>
        <family val="1"/>
        <charset val="134"/>
      </rPr>
      <t>或</t>
    </r>
    <r>
      <rPr>
        <sz val="11"/>
        <color theme="1"/>
        <rFont val="Times New Roman"/>
        <family val="1"/>
      </rPr>
      <t>1</t>
    </r>
    <r>
      <rPr>
        <sz val="11"/>
        <color theme="1"/>
        <rFont val="宋体"/>
        <family val="1"/>
        <charset val="134"/>
      </rPr>
      <t>瓶基础毒药</t>
    </r>
    <r>
      <rPr>
        <sz val="11"/>
        <color theme="1"/>
        <rFont val="Times New Roman"/>
        <family val="1"/>
      </rPr>
      <t xml:space="preserve"> Basic Poison </t>
    </r>
    <r>
      <rPr>
        <sz val="11"/>
        <color theme="1"/>
        <rFont val="宋体"/>
        <family val="1"/>
        <charset val="134"/>
      </rPr>
      <t>的植物。</t>
    </r>
    <phoneticPr fontId="68" type="noConversion"/>
  </si>
  <si>
    <t>图书馆</t>
    <phoneticPr fontId="68" type="noConversion"/>
  </si>
  <si>
    <r>
      <rPr>
        <sz val="11"/>
        <color theme="1"/>
        <rFont val="宋体"/>
        <family val="1"/>
        <charset val="134"/>
      </rPr>
      <t>调查：专题报告</t>
    </r>
    <r>
      <rPr>
        <sz val="11"/>
        <color theme="1"/>
        <rFont val="Times New Roman"/>
        <family val="1"/>
      </rPr>
      <t xml:space="preserve"> Research</t>
    </r>
    <r>
      <rPr>
        <sz val="11"/>
        <color theme="1"/>
        <rFont val="宋体"/>
        <family val="1"/>
        <charset val="134"/>
      </rPr>
      <t>：</t>
    </r>
    <r>
      <rPr>
        <sz val="11"/>
        <color theme="1"/>
        <rFont val="Times New Roman"/>
        <family val="1"/>
      </rPr>
      <t xml:space="preserve">Topical Lore </t>
    </r>
    <r>
      <rPr>
        <sz val="11"/>
        <color theme="1"/>
        <rFont val="宋体"/>
        <family val="1"/>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phoneticPr fontId="68" type="noConversion"/>
  </si>
  <si>
    <r>
      <rPr>
        <sz val="11"/>
        <color theme="1"/>
        <rFont val="宋体"/>
        <family val="1"/>
        <charset val="134"/>
      </rPr>
      <t>圣坛提供了一个安静的敬拜场所，你宗教的标志挂在圣坛的墙壁上。</t>
    </r>
    <r>
      <rPr>
        <sz val="11"/>
        <color theme="1"/>
        <rFont val="Times New Roman"/>
        <family val="1"/>
      </rPr>
      <t xml:space="preserve">
</t>
    </r>
    <r>
      <rPr>
        <sz val="11"/>
        <color theme="1"/>
        <rFont val="宋体"/>
        <family val="1"/>
        <charset val="134"/>
      </rPr>
      <t>圣坛护咒</t>
    </r>
    <r>
      <rPr>
        <sz val="11"/>
        <color theme="1"/>
        <rFont val="Times New Roman"/>
        <family val="1"/>
      </rPr>
      <t xml:space="preserve"> Sanctuary Charm </t>
    </r>
    <r>
      <rPr>
        <sz val="11"/>
        <color theme="1"/>
        <rFont val="宋体"/>
        <family val="1"/>
        <charset val="134"/>
      </rPr>
      <t>：当你在据点内完成一次长休后，你获得一个魔法护咒</t>
    </r>
    <r>
      <rPr>
        <sz val="11"/>
        <color theme="1"/>
        <rFont val="Times New Roman"/>
        <family val="1"/>
      </rPr>
      <t xml:space="preserve"> Charm</t>
    </r>
    <r>
      <rPr>
        <sz val="11"/>
        <color theme="1"/>
        <rFont val="宋体"/>
        <family val="1"/>
        <charset val="134"/>
      </rPr>
      <t>（见第三章“超自然恩惠</t>
    </r>
    <r>
      <rPr>
        <sz val="11"/>
        <color theme="1"/>
        <rFont val="Times New Roman"/>
        <family val="1"/>
      </rPr>
      <t xml:space="preserve"> Supernatural Gifts”</t>
    </r>
    <r>
      <rPr>
        <sz val="11"/>
        <color theme="1"/>
        <rFont val="宋体"/>
        <family val="1"/>
        <charset val="134"/>
      </rPr>
      <t>一节），该护咒持续</t>
    </r>
    <r>
      <rPr>
        <sz val="11"/>
        <color theme="1"/>
        <rFont val="Times New Roman"/>
        <family val="1"/>
      </rPr>
      <t>7</t>
    </r>
    <r>
      <rPr>
        <sz val="11"/>
        <color theme="1"/>
        <rFont val="宋体"/>
        <family val="1"/>
        <charset val="134"/>
      </rPr>
      <t>天或持续至你将其使用为止。该护咒允许你施展一次治愈真言</t>
    </r>
    <r>
      <rPr>
        <sz val="11"/>
        <color theme="1"/>
        <rFont val="Times New Roman"/>
        <family val="1"/>
      </rPr>
      <t xml:space="preserve"> Healing Word </t>
    </r>
    <r>
      <rPr>
        <sz val="11"/>
        <color theme="1"/>
        <rFont val="宋体"/>
        <family val="1"/>
        <charset val="134"/>
      </rPr>
      <t>，无需消耗法术位。你无法在已拥有该护咒时再次获得它。</t>
    </r>
    <r>
      <rPr>
        <sz val="11"/>
        <color theme="1"/>
        <rFont val="Times New Roman"/>
        <family val="1"/>
      </rPr>
      <t xml:space="preserve">
</t>
    </r>
    <r>
      <rPr>
        <sz val="11"/>
        <color theme="1"/>
        <rFont val="宋体"/>
        <family val="1"/>
        <charset val="134"/>
      </rPr>
      <t>制造：神圣法器</t>
    </r>
    <r>
      <rPr>
        <sz val="11"/>
        <color theme="1"/>
        <rFont val="Times New Roman"/>
        <family val="1"/>
      </rPr>
      <t xml:space="preserve"> Craft</t>
    </r>
    <r>
      <rPr>
        <sz val="11"/>
        <color theme="1"/>
        <rFont val="宋体"/>
        <family val="1"/>
        <charset val="134"/>
      </rPr>
      <t>：</t>
    </r>
    <r>
      <rPr>
        <sz val="11"/>
        <color theme="1"/>
        <rFont val="Times New Roman"/>
        <family val="1"/>
      </rPr>
      <t xml:space="preserve">Sacred Focus </t>
    </r>
    <r>
      <rPr>
        <sz val="11"/>
        <color theme="1"/>
        <rFont val="宋体"/>
        <family val="1"/>
        <charset val="134"/>
      </rPr>
      <t>：你委托该设施的雇员制造一个德鲁伊法器（木杖）</t>
    </r>
    <r>
      <rPr>
        <sz val="11"/>
        <color theme="1"/>
        <rFont val="Times New Roman"/>
        <family val="1"/>
      </rPr>
      <t>Druidic Focus</t>
    </r>
    <r>
      <rPr>
        <sz val="11"/>
        <color theme="1"/>
        <rFont val="宋体"/>
        <family val="1"/>
        <charset val="134"/>
      </rPr>
      <t>（</t>
    </r>
    <r>
      <rPr>
        <sz val="11"/>
        <color theme="1"/>
        <rFont val="Times New Roman"/>
        <family val="1"/>
      </rPr>
      <t>Wooden Staff</t>
    </r>
    <r>
      <rPr>
        <sz val="11"/>
        <color theme="1"/>
        <rFont val="宋体"/>
        <family val="1"/>
        <charset val="134"/>
      </rPr>
      <t>）或者一个圣徽</t>
    </r>
    <r>
      <rPr>
        <sz val="11"/>
        <color theme="1"/>
        <rFont val="Times New Roman"/>
        <family val="1"/>
      </rPr>
      <t xml:space="preserve"> Holy Symbol</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phoneticPr fontId="68" type="noConversion"/>
  </si>
  <si>
    <t>圣坛</t>
    <phoneticPr fontId="68" type="noConversion"/>
  </si>
  <si>
    <r>
      <rPr>
        <sz val="11"/>
        <color theme="1"/>
        <rFont val="宋体"/>
        <family val="1"/>
        <charset val="134"/>
      </rPr>
      <t>可以使用圣徽或德鲁伊法器作为施法法器</t>
    </r>
    <r>
      <rPr>
        <sz val="11"/>
        <color theme="1"/>
        <rFont val="Times New Roman"/>
        <family val="1"/>
      </rPr>
      <t xml:space="preserve"> </t>
    </r>
    <phoneticPr fontId="68" type="noConversion"/>
  </si>
  <si>
    <t>铁匠铺</t>
    <phoneticPr fontId="68" type="noConversion"/>
  </si>
  <si>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制造：铁匠工具</t>
    </r>
    <r>
      <rPr>
        <sz val="11"/>
        <color theme="1"/>
        <rFont val="Times New Roman"/>
        <family val="1"/>
      </rPr>
      <t xml:space="preserve"> Craft</t>
    </r>
    <r>
      <rPr>
        <sz val="11"/>
        <color theme="1"/>
        <rFont val="宋体"/>
        <family val="1"/>
        <charset val="134"/>
      </rPr>
      <t>：</t>
    </r>
    <r>
      <rPr>
        <sz val="11"/>
        <color theme="1"/>
        <rFont val="Times New Roman"/>
        <family val="1"/>
      </rPr>
      <t xml:space="preserve">Smith’s Tools </t>
    </r>
    <r>
      <rPr>
        <sz val="11"/>
        <color theme="1"/>
        <rFont val="宋体"/>
        <family val="1"/>
        <charset val="134"/>
      </rPr>
      <t>：设施雇员制造任意能用铁匠工具</t>
    </r>
    <r>
      <rPr>
        <sz val="11"/>
        <color theme="1"/>
        <rFont val="Times New Roman"/>
        <family val="1"/>
      </rPr>
      <t>Smith’s Tools</t>
    </r>
    <r>
      <rPr>
        <sz val="11"/>
        <color theme="1"/>
        <rFont val="宋体"/>
        <family val="1"/>
        <charset val="134"/>
      </rPr>
      <t>制造的物品，使用玩家手册的相关规则。</t>
    </r>
    <r>
      <rPr>
        <sz val="11"/>
        <color theme="1"/>
        <rFont val="Times New Roman"/>
        <family val="1"/>
      </rPr>
      <t xml:space="preserve">
</t>
    </r>
    <r>
      <rPr>
        <sz val="11"/>
        <color theme="1"/>
        <rFont val="宋体"/>
        <family val="1"/>
        <charset val="134"/>
      </rPr>
      <t>制造：魔法物品（武具）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Armament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章的武具</t>
    </r>
    <r>
      <rPr>
        <sz val="11"/>
        <color theme="1"/>
        <rFont val="Times New Roman"/>
        <family val="1"/>
      </rPr>
      <t>Armament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t>
    </r>
    <r>
      <rPr>
        <sz val="11"/>
        <color theme="1"/>
        <rFont val="Times New Roman"/>
        <family val="1"/>
      </rPr>
      <t xml:space="preserve"> ”</t>
    </r>
    <r>
      <rPr>
        <sz val="11"/>
        <color theme="1"/>
        <rFont val="宋体"/>
        <family val="1"/>
        <charset val="134"/>
      </rPr>
      <t>一节来决定制造该物品所需的时间与金钱。如果该物品允许使用者用它施展任何法术，你必须亲自制造它（设施雇员可以协助你），并且在制造该物品期间，你每天都必须准备所有该物品可以施展的法术。</t>
    </r>
    <phoneticPr fontId="68" type="noConversion"/>
  </si>
  <si>
    <t>仓库</t>
    <phoneticPr fontId="68" type="noConversion"/>
  </si>
  <si>
    <r>
      <rPr>
        <sz val="11"/>
        <color theme="1"/>
        <rFont val="宋体"/>
        <family val="1"/>
        <charset val="134"/>
      </rPr>
      <t>仓库是一个凉爽而阴暗的空间，用于存放贸易物品，这些物品来自本书第七章的</t>
    </r>
    <r>
      <rPr>
        <sz val="11"/>
        <color theme="1"/>
        <rFont val="Times New Roman"/>
        <family val="1"/>
      </rPr>
      <t xml:space="preserve"> </t>
    </r>
    <r>
      <rPr>
        <sz val="11"/>
        <color theme="1"/>
        <rFont val="宋体"/>
        <family val="1"/>
        <charset val="134"/>
      </rPr>
      <t>贸易商品</t>
    </r>
    <r>
      <rPr>
        <sz val="11"/>
        <color theme="1"/>
        <rFont val="Times New Roman"/>
        <family val="1"/>
      </rPr>
      <t>Trade Goods</t>
    </r>
    <r>
      <rPr>
        <sz val="11"/>
        <color theme="1"/>
        <rFont val="宋体"/>
        <family val="1"/>
        <charset val="134"/>
      </rPr>
      <t>表和玩家手册第六章的冒险装备。</t>
    </r>
    <r>
      <rPr>
        <sz val="11"/>
        <color theme="1"/>
        <rFont val="Times New Roman"/>
        <family val="1"/>
      </rPr>
      <t xml:space="preserve">
</t>
    </r>
    <r>
      <rPr>
        <sz val="11"/>
        <color theme="1"/>
        <rFont val="宋体"/>
        <family val="1"/>
        <charset val="134"/>
      </rPr>
      <t>贸易：商品</t>
    </r>
    <r>
      <rPr>
        <sz val="11"/>
        <color theme="1"/>
        <rFont val="Times New Roman"/>
        <family val="1"/>
      </rPr>
      <t xml:space="preserve"> Trade</t>
    </r>
    <r>
      <rPr>
        <sz val="11"/>
        <color theme="1"/>
        <rFont val="宋体"/>
        <family val="1"/>
        <charset val="134"/>
      </rPr>
      <t>：</t>
    </r>
    <r>
      <rPr>
        <sz val="11"/>
        <color theme="1"/>
        <rFont val="Times New Roman"/>
        <family val="1"/>
      </rPr>
      <t xml:space="preserve">Goods </t>
    </r>
    <r>
      <rPr>
        <sz val="11"/>
        <color theme="1"/>
        <rFont val="宋体"/>
        <family val="1"/>
        <charset val="134"/>
      </rPr>
      <t>：当你对此设施下达贸易指令时，你委托设施雇员在之后</t>
    </r>
    <r>
      <rPr>
        <sz val="11"/>
        <color theme="1"/>
        <rFont val="Times New Roman"/>
        <family val="1"/>
      </rPr>
      <t>7</t>
    </r>
    <r>
      <rPr>
        <sz val="11"/>
        <color theme="1"/>
        <rFont val="宋体"/>
        <family val="1"/>
        <charset val="134"/>
      </rPr>
      <t>天里购买总价不超过</t>
    </r>
    <r>
      <rPr>
        <sz val="11"/>
        <color theme="1"/>
        <rFont val="Times New Roman"/>
        <family val="1"/>
      </rPr>
      <t xml:space="preserve"> 500 GP </t>
    </r>
    <r>
      <rPr>
        <sz val="11"/>
        <color theme="1"/>
        <rFont val="宋体"/>
        <family val="1"/>
        <charset val="134"/>
      </rPr>
      <t>的非魔法物品，并将其储存在仓库中；或者，你委托设施雇员花费</t>
    </r>
    <r>
      <rPr>
        <sz val="11"/>
        <color theme="1"/>
        <rFont val="Times New Roman"/>
        <family val="1"/>
      </rPr>
      <t>7</t>
    </r>
    <r>
      <rPr>
        <sz val="11"/>
        <color theme="1"/>
        <rFont val="宋体"/>
        <family val="1"/>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1"/>
        <charset val="134"/>
      </rPr>
      <t>级时提升至</t>
    </r>
    <r>
      <rPr>
        <sz val="11"/>
        <color theme="1"/>
        <rFont val="Times New Roman"/>
        <family val="1"/>
      </rPr>
      <t xml:space="preserve"> 2000 GP </t>
    </r>
    <r>
      <rPr>
        <sz val="11"/>
        <color theme="1"/>
        <rFont val="宋体"/>
        <family val="1"/>
        <charset val="134"/>
      </rPr>
      <t>，</t>
    </r>
    <r>
      <rPr>
        <sz val="11"/>
        <color theme="1"/>
        <rFont val="Times New Roman"/>
        <family val="1"/>
      </rPr>
      <t xml:space="preserve"> 13 </t>
    </r>
    <r>
      <rPr>
        <sz val="11"/>
        <color theme="1"/>
        <rFont val="宋体"/>
        <family val="1"/>
        <charset val="134"/>
      </rPr>
      <t>级时提升至</t>
    </r>
    <r>
      <rPr>
        <sz val="11"/>
        <color theme="1"/>
        <rFont val="Times New Roman"/>
        <family val="1"/>
      </rPr>
      <t xml:space="preserve"> 5000 GP </t>
    </r>
    <r>
      <rPr>
        <sz val="11"/>
        <color theme="1"/>
        <rFont val="宋体"/>
        <family val="1"/>
        <charset val="134"/>
      </rPr>
      <t>。</t>
    </r>
    <r>
      <rPr>
        <sz val="11"/>
        <color theme="1"/>
        <rFont val="Times New Roman"/>
        <family val="1"/>
      </rPr>
      <t xml:space="preserve">
</t>
    </r>
    <r>
      <rPr>
        <sz val="11"/>
        <color theme="1"/>
        <rFont val="宋体"/>
        <family val="1"/>
        <charset val="134"/>
      </rPr>
      <t>当你从仓库中出售商品时，买家会额外支付你</t>
    </r>
    <r>
      <rPr>
        <sz val="11"/>
        <color theme="1"/>
        <rFont val="Times New Roman"/>
        <family val="1"/>
      </rPr>
      <t xml:space="preserve"> 10% </t>
    </r>
    <r>
      <rPr>
        <sz val="11"/>
        <color theme="1"/>
        <rFont val="宋体"/>
        <family val="1"/>
        <charset val="134"/>
      </rPr>
      <t>于标准价格的酬金；额外酬金将在你达到</t>
    </r>
    <r>
      <rPr>
        <sz val="11"/>
        <color theme="1"/>
        <rFont val="Times New Roman"/>
        <family val="1"/>
      </rPr>
      <t xml:space="preserve"> 9 </t>
    </r>
    <r>
      <rPr>
        <sz val="11"/>
        <color theme="1"/>
        <rFont val="宋体"/>
        <family val="1"/>
        <charset val="134"/>
      </rPr>
      <t>级后提升至</t>
    </r>
    <r>
      <rPr>
        <sz val="11"/>
        <color theme="1"/>
        <rFont val="Times New Roman"/>
        <family val="1"/>
      </rPr>
      <t xml:space="preserve"> 20% </t>
    </r>
    <r>
      <rPr>
        <sz val="11"/>
        <color theme="1"/>
        <rFont val="宋体"/>
        <family val="1"/>
        <charset val="134"/>
      </rPr>
      <t>、</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phoneticPr fontId="68" type="noConversion"/>
  </si>
  <si>
    <t>工坊</t>
    <phoneticPr fontId="68" type="noConversion"/>
  </si>
  <si>
    <r>
      <rPr>
        <sz val="11"/>
        <color theme="1"/>
        <rFont val="宋体"/>
        <family val="1"/>
        <charset val="134"/>
      </rPr>
      <t>工匠工具</t>
    </r>
    <r>
      <rPr>
        <sz val="11"/>
        <color theme="1"/>
        <rFont val="Times New Roman"/>
        <family val="1"/>
      </rPr>
      <t xml:space="preserve"> Artisans’s Tools </t>
    </r>
    <r>
      <rPr>
        <sz val="11"/>
        <color theme="1"/>
        <rFont val="宋体"/>
        <family val="1"/>
        <charset val="134"/>
      </rPr>
      <t>：工坊被加入据点时，其内有六种工匠工具</t>
    </r>
    <r>
      <rPr>
        <sz val="11"/>
        <color theme="1"/>
        <rFont val="Times New Roman"/>
        <family val="1"/>
      </rPr>
      <t>Artisans’s Tools</t>
    </r>
    <r>
      <rPr>
        <sz val="11"/>
        <color theme="1"/>
        <rFont val="宋体"/>
        <family val="1"/>
        <charset val="134"/>
      </rPr>
      <t>可以投入使用。从下述列表中进行选择：</t>
    </r>
    <r>
      <rPr>
        <sz val="11"/>
        <color theme="1"/>
        <rFont val="Times New Roman"/>
        <family val="1"/>
      </rPr>
      <t xml:space="preserve">
</t>
    </r>
    <r>
      <rPr>
        <sz val="11"/>
        <color theme="1"/>
        <rFont val="宋体"/>
        <family val="1"/>
        <charset val="134"/>
      </rPr>
      <t>木工工具</t>
    </r>
    <r>
      <rPr>
        <sz val="11"/>
        <color theme="1"/>
        <rFont val="Times New Roman"/>
        <family val="1"/>
      </rPr>
      <t xml:space="preserve"> Carpenter’s Tools </t>
    </r>
    <r>
      <rPr>
        <sz val="11"/>
        <color theme="1"/>
        <rFont val="宋体"/>
        <family val="1"/>
        <charset val="134"/>
      </rPr>
      <t>，鞋匠工具</t>
    </r>
    <r>
      <rPr>
        <sz val="11"/>
        <color theme="1"/>
        <rFont val="Times New Roman"/>
        <family val="1"/>
      </rPr>
      <t xml:space="preserve"> Cobbler’s Tools</t>
    </r>
    <r>
      <rPr>
        <sz val="11"/>
        <color theme="1"/>
        <rFont val="宋体"/>
        <family val="1"/>
        <charset val="134"/>
      </rPr>
      <t>，玻璃匠工具</t>
    </r>
    <r>
      <rPr>
        <sz val="11"/>
        <color theme="1"/>
        <rFont val="Times New Roman"/>
        <family val="1"/>
      </rPr>
      <t xml:space="preserve"> Glassblower’s Tools </t>
    </r>
    <r>
      <rPr>
        <sz val="11"/>
        <color theme="1"/>
        <rFont val="宋体"/>
        <family val="1"/>
        <charset val="134"/>
      </rPr>
      <t xml:space="preserve">
珠宝匠工具</t>
    </r>
    <r>
      <rPr>
        <sz val="11"/>
        <color theme="1"/>
        <rFont val="Times New Roman"/>
        <family val="1"/>
      </rPr>
      <t xml:space="preserve"> Jeweler’s Tools </t>
    </r>
    <r>
      <rPr>
        <sz val="11"/>
        <color theme="1"/>
        <rFont val="宋体"/>
        <family val="1"/>
        <charset val="134"/>
      </rPr>
      <t>，皮革匠工具</t>
    </r>
    <r>
      <rPr>
        <sz val="11"/>
        <color theme="1"/>
        <rFont val="Times New Roman"/>
        <family val="1"/>
      </rPr>
      <t xml:space="preserve"> Leatherworker’s Tools </t>
    </r>
    <r>
      <rPr>
        <sz val="11"/>
        <color theme="1"/>
        <rFont val="宋体"/>
        <family val="1"/>
        <charset val="134"/>
      </rPr>
      <t>，画家工具</t>
    </r>
    <r>
      <rPr>
        <sz val="11"/>
        <color theme="1"/>
        <rFont val="Times New Roman"/>
        <family val="1"/>
      </rPr>
      <t xml:space="preserve"> Pianter’s Tools</t>
    </r>
    <r>
      <rPr>
        <sz val="11"/>
        <color theme="1"/>
        <rFont val="宋体"/>
        <family val="1"/>
        <charset val="134"/>
      </rPr>
      <t xml:space="preserve">
陶艺工具</t>
    </r>
    <r>
      <rPr>
        <sz val="11"/>
        <color theme="1"/>
        <rFont val="Times New Roman"/>
        <family val="1"/>
      </rPr>
      <t xml:space="preserve"> Potter’s Tools </t>
    </r>
    <r>
      <rPr>
        <sz val="11"/>
        <color theme="1"/>
        <rFont val="宋体"/>
        <family val="1"/>
        <charset val="134"/>
      </rPr>
      <t>，石匠工具</t>
    </r>
    <r>
      <rPr>
        <sz val="11"/>
        <color theme="1"/>
        <rFont val="Times New Roman"/>
        <family val="1"/>
      </rPr>
      <t xml:space="preserve"> Mason’s Tools</t>
    </r>
    <r>
      <rPr>
        <sz val="11"/>
        <color theme="1"/>
        <rFont val="宋体"/>
        <family val="1"/>
        <charset val="134"/>
      </rPr>
      <t>，修补工具</t>
    </r>
    <r>
      <rPr>
        <sz val="11"/>
        <color theme="1"/>
        <rFont val="Times New Roman"/>
        <family val="1"/>
      </rPr>
      <t xml:space="preserve"> Tinker’s Tools</t>
    </r>
    <r>
      <rPr>
        <sz val="11"/>
        <color theme="1"/>
        <rFont val="宋体"/>
        <family val="1"/>
        <charset val="134"/>
      </rPr>
      <t xml:space="preserve">
织布工具</t>
    </r>
    <r>
      <rPr>
        <sz val="11"/>
        <color theme="1"/>
        <rFont val="Times New Roman"/>
        <family val="1"/>
      </rPr>
      <t xml:space="preserve"> Weaver’s Tools</t>
    </r>
    <r>
      <rPr>
        <sz val="11"/>
        <color theme="1"/>
        <rFont val="宋体"/>
        <family val="1"/>
        <charset val="134"/>
      </rPr>
      <t>，木雕工具</t>
    </r>
    <r>
      <rPr>
        <sz val="11"/>
        <color theme="1"/>
        <rFont val="Times New Roman"/>
        <family val="1"/>
      </rPr>
      <t xml:space="preserve"> Woodcarver’s Tools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制造：冒险装备</t>
    </r>
    <r>
      <rPr>
        <sz val="11"/>
        <color theme="1"/>
        <rFont val="Times New Roman"/>
        <family val="1"/>
      </rPr>
      <t xml:space="preserve"> Craft</t>
    </r>
    <r>
      <rPr>
        <sz val="11"/>
        <color theme="1"/>
        <rFont val="宋体"/>
        <family val="1"/>
        <charset val="134"/>
      </rPr>
      <t>：</t>
    </r>
    <r>
      <rPr>
        <sz val="11"/>
        <color theme="1"/>
        <rFont val="Times New Roman"/>
        <family val="1"/>
      </rPr>
      <t xml:space="preserve">Adventuring Gear </t>
    </r>
    <r>
      <rPr>
        <sz val="11"/>
        <color theme="1"/>
        <rFont val="宋体"/>
        <family val="1"/>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1"/>
        <charset val="134"/>
      </rPr>
      <t>制造：魔法物品（器具）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Implement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 xml:space="preserve"> 9 </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章的器具</t>
    </r>
    <r>
      <rPr>
        <sz val="11"/>
        <color theme="1"/>
        <rFont val="Times New Roman"/>
        <family val="1"/>
      </rPr>
      <t xml:space="preserve"> Implement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灵感之源</t>
    </r>
    <r>
      <rPr>
        <sz val="11"/>
        <color theme="1"/>
        <rFont val="Times New Roman"/>
        <family val="1"/>
      </rPr>
      <t xml:space="preserve"> Source of Inspiration </t>
    </r>
    <r>
      <rPr>
        <sz val="11"/>
        <color theme="1"/>
        <rFont val="宋体"/>
        <family val="1"/>
        <charset val="134"/>
      </rPr>
      <t>：当你在工坊内完成一次完整的短休后，你获得英雄激励</t>
    </r>
    <r>
      <rPr>
        <sz val="11"/>
        <color theme="1"/>
        <rFont val="Times New Roman"/>
        <family val="1"/>
      </rPr>
      <t xml:space="preserve"> Heroic Inspiration</t>
    </r>
    <r>
      <rPr>
        <sz val="11"/>
        <color theme="1"/>
        <rFont val="宋体"/>
        <family val="1"/>
        <charset val="134"/>
      </rPr>
      <t>。你在完成一次长休前不能再次获得此增益。</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，将工坊扩大为庞大设施。这样做之后，工坊获得额外两位雇员以及额外三种工匠工具（从上述列表中选择）。</t>
    </r>
    <phoneticPr fontId="68" type="noConversion"/>
  </si>
  <si>
    <t>马厩</t>
    <phoneticPr fontId="68" type="noConversion"/>
  </si>
  <si>
    <r>
      <rPr>
        <sz val="11"/>
        <color theme="1"/>
        <rFont val="宋体"/>
        <family val="1"/>
        <charset val="134"/>
      </rPr>
      <t>每个据点可以拥有多个马厩，马厩在加入据点时默认带有一匹骑用马</t>
    </r>
    <r>
      <rPr>
        <sz val="11"/>
        <color theme="1"/>
        <rFont val="Times New Roman"/>
        <family val="1"/>
      </rPr>
      <t xml:space="preserve"> Riding Horse</t>
    </r>
    <r>
      <rPr>
        <sz val="11"/>
        <color theme="1"/>
        <rFont val="宋体"/>
        <family val="1"/>
        <charset val="134"/>
      </rPr>
      <t>或骆驼</t>
    </r>
    <r>
      <rPr>
        <sz val="11"/>
        <color theme="1"/>
        <rFont val="Times New Roman"/>
        <family val="1"/>
      </rPr>
      <t xml:space="preserve"> Camel</t>
    </r>
    <r>
      <rPr>
        <sz val="11"/>
        <color theme="1"/>
        <rFont val="宋体"/>
        <family val="1"/>
        <charset val="134"/>
      </rPr>
      <t>，外加两匹矮种马</t>
    </r>
    <r>
      <rPr>
        <sz val="11"/>
        <color theme="1"/>
        <rFont val="Times New Roman"/>
        <family val="1"/>
      </rPr>
      <t xml:space="preserve"> Ponies</t>
    </r>
    <r>
      <rPr>
        <sz val="11"/>
        <color theme="1"/>
        <rFont val="宋体"/>
        <family val="1"/>
        <charset val="134"/>
      </rPr>
      <t>或骡子</t>
    </r>
    <r>
      <rPr>
        <sz val="11"/>
        <color theme="1"/>
        <rFont val="Times New Roman"/>
        <family val="1"/>
      </rPr>
      <t xml:space="preserve"> Mules</t>
    </r>
    <r>
      <rPr>
        <sz val="11"/>
        <color theme="1"/>
        <rFont val="宋体"/>
        <family val="1"/>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1"/>
        <charset val="134"/>
      </rPr>
      <t>当一只可以作为坐骑的野兽</t>
    </r>
    <r>
      <rPr>
        <sz val="11"/>
        <color theme="1"/>
        <rFont val="Times New Roman"/>
        <family val="1"/>
      </rPr>
      <t xml:space="preserve"> Beast</t>
    </r>
    <r>
      <rPr>
        <sz val="11"/>
        <color theme="1"/>
        <rFont val="宋体"/>
        <family val="1"/>
        <charset val="134"/>
      </rPr>
      <t>在这里待了超过</t>
    </r>
    <r>
      <rPr>
        <sz val="11"/>
        <color theme="1"/>
        <rFont val="Times New Roman"/>
        <family val="1"/>
      </rPr>
      <t>14</t>
    </r>
    <r>
      <rPr>
        <sz val="11"/>
        <color theme="1"/>
        <rFont val="宋体"/>
        <family val="1"/>
        <charset val="134"/>
      </rPr>
      <t>天后，任何在尊重它的前提下对它所做的感知（驯兽）检定具有优势。</t>
    </r>
    <r>
      <rPr>
        <sz val="11"/>
        <color theme="1"/>
        <rFont val="Times New Roman"/>
        <family val="1"/>
      </rPr>
      <t xml:space="preserve">
</t>
    </r>
    <r>
      <rPr>
        <sz val="11"/>
        <color theme="1"/>
        <rFont val="宋体"/>
        <family val="1"/>
        <charset val="134"/>
      </rPr>
      <t>贸易：动物</t>
    </r>
    <r>
      <rPr>
        <sz val="11"/>
        <color theme="1"/>
        <rFont val="Times New Roman"/>
        <family val="1"/>
      </rPr>
      <t xml:space="preserve"> Trade</t>
    </r>
    <r>
      <rPr>
        <sz val="11"/>
        <color theme="1"/>
        <rFont val="宋体"/>
        <family val="1"/>
        <charset val="134"/>
      </rPr>
      <t>：</t>
    </r>
    <r>
      <rPr>
        <sz val="11"/>
        <color theme="1"/>
        <rFont val="Times New Roman"/>
        <family val="1"/>
      </rPr>
      <t xml:space="preserve">Animals </t>
    </r>
    <r>
      <rPr>
        <sz val="11"/>
        <color theme="1"/>
        <rFont val="宋体"/>
        <family val="1"/>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1"/>
        <charset val="134"/>
      </rPr>
      <t>天时间，</t>
    </r>
    <r>
      <rPr>
        <sz val="11"/>
        <color theme="1"/>
        <rFont val="Times New Roman"/>
        <family val="1"/>
      </rPr>
      <t xml:space="preserve"> DM </t>
    </r>
    <r>
      <rPr>
        <sz val="11"/>
        <color theme="1"/>
        <rFont val="宋体"/>
        <family val="1"/>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1"/>
        <charset val="134"/>
      </rPr>
      <t>表格给出了不同坐骑的标准价格。你需要支付购买这些坐骑的总花费。</t>
    </r>
    <r>
      <rPr>
        <sz val="11"/>
        <color theme="1"/>
        <rFont val="Times New Roman"/>
        <family val="1"/>
      </rPr>
      <t xml:space="preserve">
</t>
    </r>
    <r>
      <rPr>
        <sz val="11"/>
        <color theme="1"/>
        <rFont val="宋体"/>
        <family val="1"/>
        <charset val="134"/>
      </rPr>
      <t>当你从马厩里出售坐骑时，买家会额外支付你</t>
    </r>
    <r>
      <rPr>
        <sz val="11"/>
        <color theme="1"/>
        <rFont val="Times New Roman"/>
        <family val="1"/>
      </rPr>
      <t xml:space="preserve"> 20% </t>
    </r>
    <r>
      <rPr>
        <sz val="11"/>
        <color theme="1"/>
        <rFont val="宋体"/>
        <family val="1"/>
        <charset val="134"/>
      </rPr>
      <t>于标准价格的酬金；额外酬金将在你达到</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，将马厩扩大为庞大设施。这样做之后，马厩将能够容纳六只大型动物。</t>
    </r>
    <phoneticPr fontId="68" type="noConversion"/>
  </si>
  <si>
    <t>游戏厅</t>
    <phoneticPr fontId="68" type="noConversion"/>
  </si>
  <si>
    <r>
      <rPr>
        <sz val="11"/>
        <color theme="1"/>
        <rFont val="宋体"/>
        <family val="1"/>
        <charset val="134"/>
      </rPr>
      <t>贸易：赌场</t>
    </r>
    <r>
      <rPr>
        <sz val="11"/>
        <color theme="1"/>
        <rFont val="Times New Roman"/>
        <family val="1"/>
      </rPr>
      <t xml:space="preserve"> Gambling Hall </t>
    </r>
    <r>
      <rPr>
        <sz val="11"/>
        <color theme="1"/>
        <rFont val="宋体"/>
        <family val="1"/>
        <charset val="134"/>
      </rPr>
      <t>：当你对此设施下达贸易指令时，设施雇员将游戏厅变为一个赌场，持续</t>
    </r>
    <r>
      <rPr>
        <sz val="11"/>
        <color theme="1"/>
        <rFont val="Times New Roman"/>
        <family val="1"/>
      </rPr>
      <t xml:space="preserve"> 7 </t>
    </r>
    <r>
      <rPr>
        <sz val="11"/>
        <color theme="1"/>
        <rFont val="宋体"/>
        <family val="1"/>
        <charset val="134"/>
      </rPr>
      <t>天时间。在第七天结束时，掷</t>
    </r>
    <r>
      <rPr>
        <sz val="11"/>
        <color theme="1"/>
        <rFont val="Times New Roman"/>
        <family val="1"/>
      </rPr>
      <t xml:space="preserve"> d100 </t>
    </r>
    <r>
      <rPr>
        <sz val="11"/>
        <color theme="1"/>
        <rFont val="宋体"/>
        <family val="1"/>
        <charset val="134"/>
      </rPr>
      <t>并根据下列表格来决定你作为庄家赚了多少钱。</t>
    </r>
    <r>
      <rPr>
        <sz val="11"/>
        <color theme="1"/>
        <rFont val="Times New Roman"/>
        <family val="1"/>
      </rPr>
      <t xml:space="preserve">
d100</t>
    </r>
    <r>
      <rPr>
        <sz val="11"/>
        <color theme="1"/>
        <rFont val="宋体"/>
        <family val="1"/>
        <charset val="134"/>
      </rPr>
      <t>骰点</t>
    </r>
    <r>
      <rPr>
        <sz val="11"/>
        <color theme="1"/>
        <rFont val="Times New Roman"/>
        <family val="1"/>
      </rPr>
      <t xml:space="preserve"> </t>
    </r>
    <r>
      <rPr>
        <sz val="11"/>
        <color theme="1"/>
        <rFont val="宋体"/>
        <family val="1"/>
        <charset val="134"/>
      </rPr>
      <t>赢得的钱</t>
    </r>
    <r>
      <rPr>
        <sz val="11"/>
        <color theme="1"/>
        <rFont val="Times New Roman"/>
        <family val="1"/>
      </rPr>
      <t xml:space="preserve">
01-50  1d6*10GP
50-85  2d6*10GP
86-95  4d6*10GP
96-100  10d6*10GP</t>
    </r>
    <phoneticPr fontId="68" type="noConversion"/>
  </si>
  <si>
    <t>温室</t>
    <phoneticPr fontId="68" type="noConversion"/>
  </si>
  <si>
    <r>
      <rPr>
        <sz val="11"/>
        <color theme="1"/>
        <rFont val="宋体"/>
        <family val="1"/>
        <charset val="134"/>
      </rPr>
      <t>温室是在受控气候下培育稀有真菌和植物的场所。</t>
    </r>
    <r>
      <rPr>
        <sz val="11"/>
        <color theme="1"/>
        <rFont val="Times New Roman"/>
        <family val="1"/>
      </rPr>
      <t xml:space="preserve">
</t>
    </r>
    <r>
      <rPr>
        <sz val="11"/>
        <color theme="1"/>
        <rFont val="宋体"/>
        <family val="1"/>
        <charset val="134"/>
      </rPr>
      <t>复原之果</t>
    </r>
    <r>
      <rPr>
        <sz val="11"/>
        <color theme="1"/>
        <rFont val="Times New Roman"/>
        <family val="1"/>
      </rPr>
      <t xml:space="preserve"> Fruit of Restoration </t>
    </r>
    <r>
      <rPr>
        <sz val="11"/>
        <color theme="1"/>
        <rFont val="宋体"/>
        <family val="1"/>
        <charset val="134"/>
      </rPr>
      <t>：你温室里的一株植物上长有三颗魔法果实。吃下这三颗果实之一的生物将获得</t>
    </r>
    <r>
      <rPr>
        <sz val="11"/>
        <color theme="1"/>
        <rFont val="Times New Roman"/>
        <family val="1"/>
      </rPr>
      <t xml:space="preserve"> </t>
    </r>
    <r>
      <rPr>
        <sz val="11"/>
        <color theme="1"/>
        <rFont val="宋体"/>
        <family val="1"/>
        <charset val="134"/>
      </rPr>
      <t>次等复原术</t>
    </r>
    <r>
      <rPr>
        <sz val="11"/>
        <color theme="1"/>
        <rFont val="Times New Roman"/>
        <family val="1"/>
      </rPr>
      <t xml:space="preserve"> Lesser Restoration </t>
    </r>
    <r>
      <rPr>
        <sz val="11"/>
        <color theme="1"/>
        <rFont val="宋体"/>
        <family val="1"/>
        <charset val="134"/>
      </rPr>
      <t>的增益。如果魔法果实在被摘下后</t>
    </r>
    <r>
      <rPr>
        <sz val="11"/>
        <color theme="1"/>
        <rFont val="Times New Roman"/>
        <family val="1"/>
      </rPr>
      <t>24</t>
    </r>
    <r>
      <rPr>
        <sz val="11"/>
        <color theme="1"/>
        <rFont val="宋体"/>
        <family val="1"/>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1"/>
        <charset val="134"/>
      </rPr>
      <t>收获选项</t>
    </r>
    <r>
      <rPr>
        <sz val="11"/>
        <color theme="1"/>
        <rFont val="Times New Roman"/>
        <family val="1"/>
      </rPr>
      <t xml:space="preserve"> Harvest Options </t>
    </r>
    <r>
      <rPr>
        <sz val="11"/>
        <color theme="1"/>
        <rFont val="宋体"/>
        <family val="1"/>
        <charset val="134"/>
      </rPr>
      <t>：当你对此设施下达收获指令时，从以下选项中选择一项：</t>
    </r>
    <r>
      <rPr>
        <sz val="11"/>
        <color theme="1"/>
        <rFont val="Times New Roman"/>
        <family val="1"/>
      </rPr>
      <t xml:space="preserve">
</t>
    </r>
    <r>
      <rPr>
        <sz val="11"/>
        <color theme="1"/>
        <rFont val="宋体"/>
        <family val="1"/>
        <charset val="134"/>
      </rPr>
      <t>收获：治疗草药</t>
    </r>
    <r>
      <rPr>
        <sz val="11"/>
        <color theme="1"/>
        <rFont val="Times New Roman"/>
        <family val="1"/>
      </rPr>
      <t xml:space="preserve"> Harvest: Healing Herb </t>
    </r>
    <r>
      <rPr>
        <sz val="11"/>
        <color theme="1"/>
        <rFont val="宋体"/>
        <family val="1"/>
        <charset val="134"/>
      </rPr>
      <t>：你委托设施雇员用温室内种植的治疗草药制作一瓶治疗药水（高等）</t>
    </r>
    <r>
      <rPr>
        <sz val="11"/>
        <color theme="1"/>
        <rFont val="Times New Roman"/>
        <family val="1"/>
      </rPr>
      <t xml:space="preserve"> Potion of Healing</t>
    </r>
    <r>
      <rPr>
        <sz val="11"/>
        <color theme="1"/>
        <rFont val="宋体"/>
        <family val="1"/>
        <charset val="134"/>
      </rPr>
      <t>（</t>
    </r>
    <r>
      <rPr>
        <sz val="11"/>
        <color theme="1"/>
        <rFont val="Times New Roman"/>
        <family val="1"/>
      </rPr>
      <t>greater</t>
    </r>
    <r>
      <rPr>
        <sz val="11"/>
        <color theme="1"/>
        <rFont val="宋体"/>
        <family val="1"/>
        <charset val="134"/>
      </rPr>
      <t>）</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天时间并且不花费任何金钱。</t>
    </r>
    <r>
      <rPr>
        <sz val="11"/>
        <color theme="1"/>
        <rFont val="Times New Roman"/>
        <family val="1"/>
      </rPr>
      <t xml:space="preserve">
</t>
    </r>
    <r>
      <rPr>
        <sz val="11"/>
        <color theme="1"/>
        <rFont val="宋体"/>
        <family val="1"/>
        <charset val="134"/>
      </rPr>
      <t>收获：毒药</t>
    </r>
    <r>
      <rPr>
        <sz val="11"/>
        <color theme="1"/>
        <rFont val="Times New Roman"/>
        <family val="1"/>
      </rPr>
      <t xml:space="preserve"> Harvest</t>
    </r>
    <r>
      <rPr>
        <sz val="11"/>
        <color theme="1"/>
        <rFont val="宋体"/>
        <family val="1"/>
        <charset val="134"/>
      </rPr>
      <t>：</t>
    </r>
    <r>
      <rPr>
        <sz val="11"/>
        <color theme="1"/>
        <rFont val="Times New Roman"/>
        <family val="1"/>
      </rPr>
      <t xml:space="preserve">Posion </t>
    </r>
    <r>
      <rPr>
        <sz val="11"/>
        <color theme="1"/>
        <rFont val="宋体"/>
        <family val="1"/>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1"/>
        <charset val="134"/>
      </rPr>
      <t>、怨恨</t>
    </r>
    <r>
      <rPr>
        <sz val="11"/>
        <color theme="1"/>
        <rFont val="Times New Roman"/>
        <family val="1"/>
      </rPr>
      <t xml:space="preserve"> Malice</t>
    </r>
    <r>
      <rPr>
        <sz val="11"/>
        <color theme="1"/>
        <rFont val="宋体"/>
        <family val="1"/>
        <charset val="134"/>
      </rPr>
      <t>、苍白酊剂</t>
    </r>
    <r>
      <rPr>
        <sz val="11"/>
        <color theme="1"/>
        <rFont val="Times New Roman"/>
        <family val="1"/>
      </rPr>
      <t xml:space="preserve"> Pale Tincture</t>
    </r>
    <r>
      <rPr>
        <sz val="11"/>
        <color theme="1"/>
        <rFont val="宋体"/>
        <family val="1"/>
        <charset val="134"/>
      </rPr>
      <t>、真理血清</t>
    </r>
    <r>
      <rPr>
        <sz val="11"/>
        <color theme="1"/>
        <rFont val="Times New Roman"/>
        <family val="1"/>
      </rPr>
      <t>Turth Serum</t>
    </r>
    <r>
      <rPr>
        <sz val="11"/>
        <color theme="1"/>
        <rFont val="宋体"/>
        <family val="1"/>
        <charset val="134"/>
      </rPr>
      <t>。它们的具体功效见第三章“毒药</t>
    </r>
    <r>
      <rPr>
        <sz val="11"/>
        <color theme="1"/>
        <rFont val="Times New Roman"/>
        <family val="1"/>
      </rPr>
      <t xml:space="preserve"> Posion”</t>
    </r>
    <r>
      <rPr>
        <sz val="11"/>
        <color theme="1"/>
        <rFont val="宋体"/>
        <family val="1"/>
        <charset val="134"/>
      </rPr>
      <t>一节。收获完成后，毒药将被保存在一个小瓶中。这项工作需要</t>
    </r>
    <r>
      <rPr>
        <sz val="11"/>
        <color theme="1"/>
        <rFont val="Times New Roman"/>
        <family val="1"/>
      </rPr>
      <t>7</t>
    </r>
    <r>
      <rPr>
        <sz val="11"/>
        <color theme="1"/>
        <rFont val="宋体"/>
        <family val="1"/>
        <charset val="134"/>
      </rPr>
      <t>天时间并且不花费任何金钱。</t>
    </r>
    <phoneticPr fontId="68" type="noConversion"/>
  </si>
  <si>
    <t>实验室</t>
    <phoneticPr fontId="68" type="noConversion"/>
  </si>
  <si>
    <r>
      <rPr>
        <sz val="11"/>
        <color theme="1"/>
        <rFont val="宋体"/>
        <family val="1"/>
        <charset val="134"/>
      </rPr>
      <t>实验室包含了存放炼金材料的储藏间以及制造各类调和物的工作间。</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：当你对此设施下达制造指令时，从下列选项中选择一项：</t>
    </r>
    <r>
      <rPr>
        <sz val="11"/>
        <color theme="1"/>
        <rFont val="Times New Roman"/>
        <family val="1"/>
      </rPr>
      <t xml:space="preserve">
</t>
    </r>
    <r>
      <rPr>
        <sz val="11"/>
        <color theme="1"/>
        <rFont val="宋体"/>
        <family val="1"/>
        <charset val="134"/>
      </rPr>
      <t>制造：炼金工具</t>
    </r>
    <r>
      <rPr>
        <sz val="11"/>
        <color theme="1"/>
        <rFont val="Times New Roman"/>
        <family val="1"/>
      </rPr>
      <t xml:space="preserve"> Craft</t>
    </r>
    <r>
      <rPr>
        <sz val="11"/>
        <color theme="1"/>
        <rFont val="宋体"/>
        <family val="1"/>
        <charset val="134"/>
      </rPr>
      <t>：</t>
    </r>
    <r>
      <rPr>
        <sz val="11"/>
        <color theme="1"/>
        <rFont val="Times New Roman"/>
        <family val="1"/>
      </rPr>
      <t xml:space="preserve">Alchemist’s Supplies </t>
    </r>
    <r>
      <rPr>
        <sz val="11"/>
        <color theme="1"/>
        <rFont val="宋体"/>
        <family val="1"/>
        <charset val="134"/>
      </rPr>
      <t>：设施雇员制造任意能用炼金工具</t>
    </r>
    <r>
      <rPr>
        <sz val="11"/>
        <color theme="1"/>
        <rFont val="Times New Roman"/>
        <family val="1"/>
      </rPr>
      <t xml:space="preserve"> Alchemist’s Supplies</t>
    </r>
    <r>
      <rPr>
        <sz val="11"/>
        <color theme="1"/>
        <rFont val="宋体"/>
        <family val="1"/>
        <charset val="134"/>
      </rPr>
      <t>制造的物品，使用玩家手册和本书第七章的相关规则。</t>
    </r>
    <r>
      <rPr>
        <sz val="11"/>
        <color theme="1"/>
        <rFont val="Times New Roman"/>
        <family val="1"/>
      </rPr>
      <t xml:space="preserve">
</t>
    </r>
    <r>
      <rPr>
        <sz val="11"/>
        <color theme="1"/>
        <rFont val="宋体"/>
        <family val="1"/>
        <charset val="134"/>
      </rPr>
      <t>制造：毒药</t>
    </r>
    <r>
      <rPr>
        <sz val="11"/>
        <color theme="1"/>
        <rFont val="Times New Roman"/>
        <family val="1"/>
      </rPr>
      <t xml:space="preserve"> Craft</t>
    </r>
    <r>
      <rPr>
        <sz val="11"/>
        <color theme="1"/>
        <rFont val="宋体"/>
        <family val="1"/>
        <charset val="134"/>
      </rPr>
      <t>：</t>
    </r>
    <r>
      <rPr>
        <sz val="11"/>
        <color theme="1"/>
        <rFont val="Times New Roman"/>
        <family val="1"/>
      </rPr>
      <t xml:space="preserve">Posion </t>
    </r>
    <r>
      <rPr>
        <sz val="11"/>
        <color theme="1"/>
        <rFont val="宋体"/>
        <family val="1"/>
        <charset val="134"/>
      </rPr>
      <t>：你委托设施雇员制造一小瓶毒药。该毒药可以是下列任意一种：焦引熏烟</t>
    </r>
    <r>
      <rPr>
        <sz val="11"/>
        <color theme="1"/>
        <rFont val="Times New Roman"/>
        <family val="1"/>
      </rPr>
      <t xml:space="preserve"> Burnt Othur Fumes</t>
    </r>
    <r>
      <rPr>
        <sz val="11"/>
        <color theme="1"/>
        <rFont val="宋体"/>
        <family val="1"/>
        <charset val="134"/>
      </rPr>
      <t>、乙醚精</t>
    </r>
    <r>
      <rPr>
        <sz val="11"/>
        <color theme="1"/>
        <rFont val="Times New Roman"/>
        <family val="1"/>
      </rPr>
      <t xml:space="preserve"> Essence of Ether</t>
    </r>
    <r>
      <rPr>
        <sz val="11"/>
        <color theme="1"/>
        <rFont val="宋体"/>
        <family val="1"/>
        <charset val="134"/>
      </rPr>
      <t>、蒙汗药</t>
    </r>
    <r>
      <rPr>
        <sz val="11"/>
        <color theme="1"/>
        <rFont val="Times New Roman"/>
        <family val="1"/>
      </rPr>
      <t xml:space="preserve"> Tropor</t>
    </r>
    <r>
      <rPr>
        <sz val="11"/>
        <color theme="1"/>
        <rFont val="宋体"/>
        <family val="1"/>
        <charset val="134"/>
      </rPr>
      <t>。这项工作需要</t>
    </r>
    <r>
      <rPr>
        <sz val="11"/>
        <color theme="1"/>
        <rFont val="Times New Roman"/>
        <family val="1"/>
      </rPr>
      <t>7</t>
    </r>
    <r>
      <rPr>
        <sz val="11"/>
        <color theme="1"/>
        <rFont val="宋体"/>
        <family val="1"/>
        <charset val="134"/>
      </rPr>
      <t>天，你必须支付毒药价格一半的成本费用。该毒药的具体功效和价格见第三章“毒药”一节。</t>
    </r>
    <phoneticPr fontId="68" type="noConversion"/>
  </si>
  <si>
    <t>圣器室</t>
    <phoneticPr fontId="68" type="noConversion"/>
  </si>
  <si>
    <r>
      <rPr>
        <sz val="11"/>
        <color theme="1"/>
        <rFont val="宋体"/>
        <family val="1"/>
        <charset val="134"/>
      </rPr>
      <t>圣器室是圣物和宗教长袍的存放室和准备室。</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：当你对此设施下达制造命令时，从下列选项中选择一项：</t>
    </r>
    <r>
      <rPr>
        <sz val="11"/>
        <color theme="1"/>
        <rFont val="Times New Roman"/>
        <family val="1"/>
      </rPr>
      <t xml:space="preserve">
</t>
    </r>
    <r>
      <rPr>
        <sz val="11"/>
        <color theme="1"/>
        <rFont val="宋体"/>
        <family val="1"/>
        <charset val="134"/>
      </rPr>
      <t>制造：圣水</t>
    </r>
    <r>
      <rPr>
        <sz val="11"/>
        <color theme="1"/>
        <rFont val="Times New Roman"/>
        <family val="1"/>
      </rPr>
      <t xml:space="preserve"> Craft</t>
    </r>
    <r>
      <rPr>
        <sz val="11"/>
        <color theme="1"/>
        <rFont val="宋体"/>
        <family val="1"/>
        <charset val="134"/>
      </rPr>
      <t>：</t>
    </r>
    <r>
      <rPr>
        <sz val="11"/>
        <color theme="1"/>
        <rFont val="Times New Roman"/>
        <family val="1"/>
      </rPr>
      <t xml:space="preserve">Holy Water </t>
    </r>
    <r>
      <rPr>
        <sz val="11"/>
        <color theme="1"/>
        <rFont val="宋体"/>
        <family val="1"/>
        <charset val="134"/>
      </rPr>
      <t>：你委托设施雇员制造一瓶圣水</t>
    </r>
    <r>
      <rPr>
        <sz val="11"/>
        <color theme="1"/>
        <rFont val="Times New Roman"/>
        <family val="1"/>
      </rPr>
      <t xml:space="preserve"> Holy Water</t>
    </r>
    <r>
      <rPr>
        <sz val="11"/>
        <color theme="1"/>
        <rFont val="宋体"/>
        <family val="1"/>
        <charset val="134"/>
      </rPr>
      <t>。这项工作需要</t>
    </r>
    <r>
      <rPr>
        <sz val="11"/>
        <color theme="1"/>
        <rFont val="Times New Roman"/>
        <family val="1"/>
      </rPr>
      <t>7</t>
    </r>
    <r>
      <rPr>
        <sz val="11"/>
        <color theme="1"/>
        <rFont val="宋体"/>
        <family val="1"/>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1"/>
        <charset val="134"/>
      </rPr>
      <t>，圣水的伤害便增加</t>
    </r>
    <r>
      <rPr>
        <sz val="11"/>
        <color theme="1"/>
        <rFont val="Times New Roman"/>
        <family val="1"/>
      </rPr>
      <t xml:space="preserve"> 1d8 </t>
    </r>
    <r>
      <rPr>
        <sz val="11"/>
        <color theme="1"/>
        <rFont val="宋体"/>
        <family val="1"/>
        <charset val="134"/>
      </rPr>
      <t>。以此法最多额外花费</t>
    </r>
    <r>
      <rPr>
        <sz val="11"/>
        <color theme="1"/>
        <rFont val="Times New Roman"/>
        <family val="1"/>
      </rPr>
      <t xml:space="preserve"> 500 GP </t>
    </r>
    <r>
      <rPr>
        <sz val="11"/>
        <color theme="1"/>
        <rFont val="宋体"/>
        <family val="1"/>
        <charset val="134"/>
      </rPr>
      <t>。</t>
    </r>
    <r>
      <rPr>
        <sz val="11"/>
        <color theme="1"/>
        <rFont val="Times New Roman"/>
        <family val="1"/>
      </rPr>
      <t xml:space="preserve">
</t>
    </r>
    <r>
      <rPr>
        <sz val="11"/>
        <color theme="1"/>
        <rFont val="宋体"/>
        <family val="1"/>
        <charset val="134"/>
      </rPr>
      <t>制造：魔法物品（圣物）</t>
    </r>
    <r>
      <rPr>
        <sz val="11"/>
        <color theme="1"/>
        <rFont val="Times New Roman"/>
        <family val="1"/>
      </rPr>
      <t>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Relic</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1"/>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法术刷新</t>
    </r>
    <r>
      <rPr>
        <sz val="11"/>
        <color theme="1"/>
        <rFont val="Times New Roman"/>
        <family val="1"/>
      </rPr>
      <t xml:space="preserve"> Spell Refreshment </t>
    </r>
    <r>
      <rPr>
        <sz val="11"/>
        <color theme="1"/>
        <rFont val="宋体"/>
        <family val="1"/>
        <charset val="134"/>
      </rPr>
      <t>：建造圣器室后，如果你在整个短休</t>
    </r>
    <r>
      <rPr>
        <sz val="11"/>
        <color theme="1"/>
        <rFont val="Times New Roman"/>
        <family val="1"/>
      </rPr>
      <t xml:space="preserve"> Short Rest</t>
    </r>
    <r>
      <rPr>
        <sz val="11"/>
        <color theme="1"/>
        <rFont val="宋体"/>
        <family val="1"/>
        <charset val="134"/>
      </rPr>
      <t>期间都待在自己的据点内，你可以恢复一个五环或更低环阶的法术位。你在完成一次长休前不能再次获得此增益。</t>
    </r>
    <phoneticPr fontId="68" type="noConversion"/>
  </si>
  <si>
    <t>抄写室</t>
    <phoneticPr fontId="68" type="noConversion"/>
  </si>
  <si>
    <r>
      <rPr>
        <sz val="11"/>
        <color theme="1"/>
        <rFont val="宋体"/>
        <family val="1"/>
        <charset val="134"/>
      </rPr>
      <t>抄写室包含桌子和书写工具。</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制造：书卷抄本</t>
    </r>
    <r>
      <rPr>
        <sz val="11"/>
        <color theme="1"/>
        <rFont val="Times New Roman"/>
        <family val="1"/>
      </rPr>
      <t xml:space="preserve"> Craft</t>
    </r>
    <r>
      <rPr>
        <sz val="11"/>
        <color theme="1"/>
        <rFont val="宋体"/>
        <family val="1"/>
        <charset val="134"/>
      </rPr>
      <t>：</t>
    </r>
    <r>
      <rPr>
        <sz val="11"/>
        <color theme="1"/>
        <rFont val="Times New Roman"/>
        <family val="1"/>
      </rPr>
      <t xml:space="preserve">Book Replica </t>
    </r>
    <r>
      <rPr>
        <sz val="11"/>
        <color theme="1"/>
        <rFont val="宋体"/>
        <family val="1"/>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1"/>
        <charset val="134"/>
      </rPr>
      <t>天时间。</t>
    </r>
    <r>
      <rPr>
        <sz val="11"/>
        <color theme="1"/>
        <rFont val="Times New Roman"/>
        <family val="1"/>
      </rPr>
      <t xml:space="preserve">
</t>
    </r>
    <r>
      <rPr>
        <sz val="11"/>
        <color theme="1"/>
        <rFont val="宋体"/>
        <family val="1"/>
        <charset val="134"/>
      </rPr>
      <t>制造：法术卷轴</t>
    </r>
    <r>
      <rPr>
        <sz val="11"/>
        <color theme="1"/>
        <rFont val="Times New Roman"/>
        <family val="1"/>
      </rPr>
      <t xml:space="preserve"> Craft: Spell Scroll </t>
    </r>
    <r>
      <rPr>
        <sz val="11"/>
        <color theme="1"/>
        <rFont val="宋体"/>
        <family val="1"/>
        <charset val="134"/>
      </rPr>
      <t>：你委托设施雇员制造一张法术卷轴</t>
    </r>
    <r>
      <rPr>
        <sz val="11"/>
        <color theme="1"/>
        <rFont val="Times New Roman"/>
        <family val="1"/>
      </rPr>
      <t xml:space="preserve"> Spell Scroll</t>
    </r>
    <r>
      <rPr>
        <sz val="11"/>
        <color theme="1"/>
        <rFont val="宋体"/>
        <family val="1"/>
        <charset val="134"/>
      </rPr>
      <t>，该卷轴包含一道牧师法术或法师法术，其环位不得超过</t>
    </r>
    <r>
      <rPr>
        <sz val="11"/>
        <color theme="1"/>
        <rFont val="Times New Roman"/>
        <family val="1"/>
      </rPr>
      <t xml:space="preserve"> 3 </t>
    </r>
    <r>
      <rPr>
        <sz val="11"/>
        <color theme="1"/>
        <rFont val="宋体"/>
        <family val="1"/>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1"/>
        <charset val="134"/>
      </rPr>
      <t>制作装备</t>
    </r>
    <r>
      <rPr>
        <sz val="11"/>
        <color theme="1"/>
        <rFont val="Times New Roman"/>
        <family val="1"/>
      </rPr>
      <t xml:space="preserve"> Crafting Equipment ”</t>
    </r>
    <r>
      <rPr>
        <sz val="11"/>
        <color theme="1"/>
        <rFont val="宋体"/>
        <family val="1"/>
        <charset val="134"/>
      </rPr>
      <t>一节所示，你必须支付相应的金钱。</t>
    </r>
    <r>
      <rPr>
        <sz val="11"/>
        <color theme="1"/>
        <rFont val="Times New Roman"/>
        <family val="1"/>
      </rPr>
      <t xml:space="preserve">
</t>
    </r>
    <r>
      <rPr>
        <sz val="11"/>
        <color theme="1"/>
        <rFont val="宋体"/>
        <family val="1"/>
        <charset val="134"/>
      </rPr>
      <t>制造：文书工作</t>
    </r>
    <r>
      <rPr>
        <sz val="11"/>
        <color theme="1"/>
        <rFont val="Times New Roman"/>
        <family val="1"/>
      </rPr>
      <t xml:space="preserve"> Paperwork </t>
    </r>
    <r>
      <rPr>
        <sz val="11"/>
        <color theme="1"/>
        <rFont val="宋体"/>
        <family val="1"/>
        <charset val="134"/>
      </rPr>
      <t>：你委托设施雇员制造最多</t>
    </r>
    <r>
      <rPr>
        <sz val="11"/>
        <color theme="1"/>
        <rFont val="Times New Roman"/>
        <family val="1"/>
      </rPr>
      <t>50</t>
    </r>
    <r>
      <rPr>
        <sz val="11"/>
        <color theme="1"/>
        <rFont val="宋体"/>
        <family val="1"/>
        <charset val="134"/>
      </rPr>
      <t>份单幅大报纸、纸质小册子或者其他活页纸质产品。这项工作需要</t>
    </r>
    <r>
      <rPr>
        <sz val="11"/>
        <color theme="1"/>
        <rFont val="Times New Roman"/>
        <family val="1"/>
      </rPr>
      <t xml:space="preserve"> 7 </t>
    </r>
    <r>
      <rPr>
        <sz val="11"/>
        <color theme="1"/>
        <rFont val="宋体"/>
        <family val="1"/>
        <charset val="134"/>
      </rPr>
      <t>天时间，每一份产品都需要花费</t>
    </r>
    <r>
      <rPr>
        <sz val="11"/>
        <color theme="1"/>
        <rFont val="Times New Roman"/>
        <family val="1"/>
      </rPr>
      <t xml:space="preserve"> 1 GP </t>
    </r>
    <r>
      <rPr>
        <sz val="11"/>
        <color theme="1"/>
        <rFont val="宋体"/>
        <family val="1"/>
        <charset val="134"/>
      </rPr>
      <t>。此外，设施雇员可以将这些产品分发到你据点</t>
    </r>
    <r>
      <rPr>
        <sz val="11"/>
        <color theme="1"/>
        <rFont val="Times New Roman"/>
        <family val="1"/>
      </rPr>
      <t xml:space="preserve"> 50 </t>
    </r>
    <r>
      <rPr>
        <sz val="11"/>
        <color theme="1"/>
        <rFont val="宋体"/>
        <family val="1"/>
        <charset val="134"/>
      </rPr>
      <t>里以内的一个或多个地点，无需花费额外的时间和金钱。</t>
    </r>
    <phoneticPr fontId="68" type="noConversion"/>
  </si>
  <si>
    <t>传送法阵</t>
    <phoneticPr fontId="68" type="noConversion"/>
  </si>
  <si>
    <r>
      <rPr>
        <sz val="11"/>
        <color theme="1"/>
        <rFont val="宋体"/>
        <family val="1"/>
        <charset val="134"/>
      </rPr>
      <t>一个由法术</t>
    </r>
    <r>
      <rPr>
        <sz val="11"/>
        <color theme="1"/>
        <rFont val="Times New Roman"/>
        <family val="1"/>
      </rPr>
      <t xml:space="preserve"> </t>
    </r>
    <r>
      <rPr>
        <sz val="11"/>
        <color theme="1"/>
        <rFont val="宋体"/>
        <family val="1"/>
        <charset val="134"/>
      </rPr>
      <t>传送法阵</t>
    </r>
    <r>
      <rPr>
        <sz val="11"/>
        <color theme="1"/>
        <rFont val="Times New Roman"/>
        <family val="1"/>
      </rPr>
      <t xml:space="preserve"> Teleportation Circle </t>
    </r>
    <r>
      <rPr>
        <sz val="11"/>
        <color theme="1"/>
        <rFont val="宋体"/>
        <family val="1"/>
        <charset val="134"/>
      </rPr>
      <t>制造的永久法阵铭刻在这个房间的地板上。</t>
    </r>
    <r>
      <rPr>
        <sz val="11"/>
        <color theme="1"/>
        <rFont val="Times New Roman"/>
        <family val="1"/>
      </rPr>
      <t xml:space="preserve"> 
</t>
    </r>
    <r>
      <rPr>
        <sz val="11"/>
        <color theme="1"/>
        <rFont val="宋体"/>
        <family val="1"/>
        <charset val="134"/>
      </rPr>
      <t>招募：施法者</t>
    </r>
    <r>
      <rPr>
        <sz val="11"/>
        <color theme="1"/>
        <rFont val="Times New Roman"/>
        <family val="1"/>
      </rPr>
      <t xml:space="preserve"> Recurit</t>
    </r>
    <r>
      <rPr>
        <sz val="11"/>
        <color theme="1"/>
        <rFont val="宋体"/>
        <family val="1"/>
        <charset val="134"/>
      </rPr>
      <t>：</t>
    </r>
    <r>
      <rPr>
        <sz val="11"/>
        <color theme="1"/>
        <rFont val="Times New Roman"/>
        <family val="1"/>
      </rPr>
      <t xml:space="preserve">Spellcaster </t>
    </r>
    <r>
      <rPr>
        <sz val="11"/>
        <color theme="1"/>
        <rFont val="宋体"/>
        <family val="1"/>
        <charset val="134"/>
      </rPr>
      <t>：当你对此设施下达招募指令时，设施雇员会向一个</t>
    </r>
    <r>
      <rPr>
        <sz val="11"/>
        <color theme="1"/>
        <rFont val="Times New Roman"/>
        <family val="1"/>
      </rPr>
      <t xml:space="preserve"> </t>
    </r>
    <r>
      <rPr>
        <sz val="11"/>
        <color theme="1"/>
        <rFont val="宋体"/>
        <family val="1"/>
        <charset val="134"/>
      </rPr>
      <t>友善</t>
    </r>
    <r>
      <rPr>
        <sz val="11"/>
        <color theme="1"/>
        <rFont val="Times New Roman"/>
        <family val="1"/>
      </rPr>
      <t xml:space="preserve"> Friendly </t>
    </r>
    <r>
      <rPr>
        <sz val="11"/>
        <color theme="1"/>
        <rFont val="宋体"/>
        <family val="1"/>
        <charset val="134"/>
      </rPr>
      <t>的</t>
    </r>
    <r>
      <rPr>
        <sz val="11"/>
        <color theme="1"/>
        <rFont val="Times New Roman"/>
        <family val="1"/>
      </rPr>
      <t xml:space="preserve"> </t>
    </r>
    <r>
      <rPr>
        <sz val="11"/>
        <color theme="1"/>
        <rFont val="宋体"/>
        <family val="1"/>
        <charset val="134"/>
      </rPr>
      <t>非玩家角色</t>
    </r>
    <r>
      <rPr>
        <sz val="11"/>
        <color theme="1"/>
        <rFont val="Times New Roman"/>
        <family val="1"/>
      </rPr>
      <t xml:space="preserve"> NPC</t>
    </r>
    <r>
      <rPr>
        <sz val="11"/>
        <color theme="1"/>
        <rFont val="宋体"/>
        <family val="1"/>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1"/>
        <charset val="134"/>
      </rPr>
      <t>在你位于据点内时，你可以请求这位施法者为你施展一个不超过</t>
    </r>
    <r>
      <rPr>
        <sz val="11"/>
        <color theme="1"/>
        <rFont val="Times New Roman"/>
        <family val="1"/>
      </rPr>
      <t>4</t>
    </r>
    <r>
      <rPr>
        <sz val="11"/>
        <color theme="1"/>
        <rFont val="宋体"/>
        <family val="1"/>
        <charset val="134"/>
      </rPr>
      <t>环的法师法术</t>
    </r>
    <r>
      <rPr>
        <sz val="11"/>
        <color theme="1"/>
        <rFont val="Times New Roman"/>
        <family val="1"/>
      </rPr>
      <t xml:space="preserve"> Wizard Spell</t>
    </r>
    <r>
      <rPr>
        <sz val="11"/>
        <color theme="1"/>
        <rFont val="宋体"/>
        <family val="1"/>
        <charset val="134"/>
      </rPr>
      <t>；在你达到</t>
    </r>
    <r>
      <rPr>
        <sz val="11"/>
        <color theme="1"/>
        <rFont val="Times New Roman"/>
        <family val="1"/>
      </rPr>
      <t>17</t>
    </r>
    <r>
      <rPr>
        <sz val="11"/>
        <color theme="1"/>
        <rFont val="宋体"/>
        <family val="1"/>
        <charset val="134"/>
      </rPr>
      <t>级后，能施展的法术环位限制提高到</t>
    </r>
    <r>
      <rPr>
        <sz val="11"/>
        <color theme="1"/>
        <rFont val="Times New Roman"/>
        <family val="1"/>
      </rPr>
      <t>8</t>
    </r>
    <r>
      <rPr>
        <sz val="11"/>
        <color theme="1"/>
        <rFont val="宋体"/>
        <family val="1"/>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1"/>
        <charset val="134"/>
      </rPr>
      <t>这位施法者会在</t>
    </r>
    <r>
      <rPr>
        <sz val="11"/>
        <color theme="1"/>
        <rFont val="Times New Roman"/>
        <family val="1"/>
      </rPr>
      <t>14</t>
    </r>
    <r>
      <rPr>
        <sz val="11"/>
        <color theme="1"/>
        <rFont val="宋体"/>
        <family val="1"/>
        <charset val="134"/>
      </rPr>
      <t>天后或他为你施展一个法术后离开。他不会帮忙防御你的据点，并且在据点遭受攻击（见“据点事件”）时立刻离开。</t>
    </r>
    <phoneticPr fontId="68" type="noConversion"/>
  </si>
  <si>
    <t>剧院</t>
    <phoneticPr fontId="68" type="noConversion"/>
  </si>
  <si>
    <r>
      <rPr>
        <sz val="11"/>
        <color theme="1"/>
        <rFont val="宋体"/>
        <family val="1"/>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1"/>
        <charset val="134"/>
      </rPr>
      <t>增强：剧场演出</t>
    </r>
    <r>
      <rPr>
        <sz val="11"/>
        <color theme="1"/>
        <rFont val="Times New Roman"/>
        <family val="1"/>
      </rPr>
      <t xml:space="preserve"> Empower</t>
    </r>
    <r>
      <rPr>
        <sz val="11"/>
        <color theme="1"/>
        <rFont val="宋体"/>
        <family val="1"/>
        <charset val="134"/>
      </rPr>
      <t>：</t>
    </r>
    <r>
      <rPr>
        <sz val="11"/>
        <color theme="1"/>
        <rFont val="Times New Roman"/>
        <family val="1"/>
      </rPr>
      <t xml:space="preserve">Theatrical Event </t>
    </r>
    <r>
      <rPr>
        <sz val="11"/>
        <color theme="1"/>
        <rFont val="宋体"/>
        <family val="1"/>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1"/>
        <charset val="134"/>
      </rPr>
      <t>天，而之后的演出会持续至少</t>
    </r>
    <r>
      <rPr>
        <sz val="11"/>
        <color theme="1"/>
        <rFont val="Times New Roman"/>
        <family val="1"/>
      </rPr>
      <t xml:space="preserve"> 7 </t>
    </r>
    <r>
      <rPr>
        <sz val="11"/>
        <color theme="1"/>
        <rFont val="宋体"/>
        <family val="1"/>
        <charset val="134"/>
      </rPr>
      <t>天。演出可以无限期地进行下去，直至新的节目上演。</t>
    </r>
    <r>
      <rPr>
        <sz val="11"/>
        <color theme="1"/>
        <rFont val="Times New Roman"/>
        <family val="1"/>
      </rPr>
      <t xml:space="preserve">
</t>
    </r>
    <r>
      <rPr>
        <sz val="11"/>
        <color theme="1"/>
        <rFont val="宋体"/>
        <family val="1"/>
        <charset val="134"/>
      </rPr>
      <t>你或其他角色可以选择用下列方式参与节目：</t>
    </r>
    <r>
      <rPr>
        <sz val="11"/>
        <color theme="1"/>
        <rFont val="Times New Roman"/>
        <family val="1"/>
      </rPr>
      <t xml:space="preserve">
</t>
    </r>
    <r>
      <rPr>
        <sz val="11"/>
        <color theme="1"/>
        <rFont val="宋体"/>
        <family val="1"/>
        <charset val="134"/>
      </rPr>
      <t>作曲家</t>
    </r>
    <r>
      <rPr>
        <sz val="11"/>
        <color theme="1"/>
        <rFont val="Times New Roman"/>
        <family val="1"/>
      </rPr>
      <t>/</t>
    </r>
    <r>
      <rPr>
        <sz val="11"/>
        <color theme="1"/>
        <rFont val="宋体"/>
        <family val="1"/>
        <charset val="134"/>
      </rPr>
      <t>作家</t>
    </r>
    <r>
      <rPr>
        <sz val="11"/>
        <color theme="1"/>
        <rFont val="Times New Roman"/>
        <family val="1"/>
      </rPr>
      <t xml:space="preserve"> Composer/Writer </t>
    </r>
    <r>
      <rPr>
        <sz val="11"/>
        <color theme="1"/>
        <rFont val="宋体"/>
        <family val="1"/>
        <charset val="134"/>
      </rPr>
      <t>：角色可以给音乐会创作曲目或者给戏剧编写剧本，这项工作需要</t>
    </r>
    <r>
      <rPr>
        <sz val="11"/>
        <color theme="1"/>
        <rFont val="Times New Roman"/>
        <family val="1"/>
      </rPr>
      <t xml:space="preserve"> 14 </t>
    </r>
    <r>
      <rPr>
        <sz val="11"/>
        <color theme="1"/>
        <rFont val="宋体"/>
        <family val="1"/>
        <charset val="134"/>
      </rPr>
      <t>天，并且必须在节目开始排练前完成。</t>
    </r>
    <r>
      <rPr>
        <sz val="11"/>
        <color theme="1"/>
        <rFont val="Times New Roman"/>
        <family val="1"/>
      </rPr>
      <t xml:space="preserve">
</t>
    </r>
    <r>
      <rPr>
        <sz val="11"/>
        <color theme="1"/>
        <rFont val="宋体"/>
        <family val="1"/>
        <charset val="134"/>
      </rPr>
      <t>指挥家</t>
    </r>
    <r>
      <rPr>
        <sz val="11"/>
        <color theme="1"/>
        <rFont val="Times New Roman"/>
        <family val="1"/>
      </rPr>
      <t>/</t>
    </r>
    <r>
      <rPr>
        <sz val="11"/>
        <color theme="1"/>
        <rFont val="宋体"/>
        <family val="1"/>
        <charset val="134"/>
      </rPr>
      <t>导演</t>
    </r>
    <r>
      <rPr>
        <sz val="11"/>
        <color theme="1"/>
        <rFont val="Times New Roman"/>
        <family val="1"/>
      </rPr>
      <t xml:space="preserve"> Conductor/Director </t>
    </r>
    <r>
      <rPr>
        <sz val="11"/>
        <color theme="1"/>
        <rFont val="宋体"/>
        <family val="1"/>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1"/>
        <charset val="134"/>
      </rPr>
      <t>演奏家</t>
    </r>
    <r>
      <rPr>
        <sz val="11"/>
        <color theme="1"/>
        <rFont val="Times New Roman"/>
        <family val="1"/>
      </rPr>
      <t>/</t>
    </r>
    <r>
      <rPr>
        <sz val="11"/>
        <color theme="1"/>
        <rFont val="宋体"/>
        <family val="1"/>
        <charset val="134"/>
      </rPr>
      <t>演员</t>
    </r>
    <r>
      <rPr>
        <sz val="11"/>
        <color theme="1"/>
        <rFont val="Times New Roman"/>
        <family val="1"/>
      </rPr>
      <t xml:space="preserve"> Performer </t>
    </r>
    <r>
      <rPr>
        <sz val="11"/>
        <color theme="1"/>
        <rFont val="宋体"/>
        <family val="1"/>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1"/>
        <charset val="134"/>
      </rPr>
      <t>在排练结束时，每个参与了节目编排的角色都可以进行一次</t>
    </r>
    <r>
      <rPr>
        <sz val="11"/>
        <color theme="1"/>
        <rFont val="Times New Roman"/>
        <family val="1"/>
      </rPr>
      <t>DC15</t>
    </r>
    <r>
      <rPr>
        <sz val="11"/>
        <color theme="1"/>
        <rFont val="宋体"/>
        <family val="1"/>
        <charset val="134"/>
      </rPr>
      <t>的魅力（表演）检定。如果检定成功的人数多于失败的人数，那么所有进行了检定的角色都将获得一枚</t>
    </r>
    <r>
      <rPr>
        <sz val="11"/>
        <color theme="1"/>
        <rFont val="Times New Roman"/>
        <family val="1"/>
      </rPr>
      <t>d6</t>
    </r>
    <r>
      <rPr>
        <sz val="11"/>
        <color theme="1"/>
        <rFont val="宋体"/>
        <family val="1"/>
        <charset val="134"/>
      </rPr>
      <t>的剧院骰</t>
    </r>
    <r>
      <rPr>
        <sz val="11"/>
        <color theme="1"/>
        <rFont val="Times New Roman"/>
        <family val="1"/>
      </rPr>
      <t>Theater die</t>
    </r>
    <r>
      <rPr>
        <sz val="11"/>
        <color theme="1"/>
        <rFont val="宋体"/>
        <family val="1"/>
        <charset val="134"/>
      </rPr>
      <t>。剧院骰在你达到</t>
    </r>
    <r>
      <rPr>
        <sz val="11"/>
        <color theme="1"/>
        <rFont val="Times New Roman"/>
        <family val="1"/>
      </rPr>
      <t xml:space="preserve"> 13 </t>
    </r>
    <r>
      <rPr>
        <sz val="11"/>
        <color theme="1"/>
        <rFont val="宋体"/>
        <family val="1"/>
        <charset val="134"/>
      </rPr>
      <t>级时提升为</t>
    </r>
    <r>
      <rPr>
        <sz val="11"/>
        <color theme="1"/>
        <rFont val="Times New Roman"/>
        <family val="1"/>
      </rPr>
      <t xml:space="preserve"> d8</t>
    </r>
    <r>
      <rPr>
        <sz val="11"/>
        <color theme="1"/>
        <rFont val="宋体"/>
        <family val="1"/>
        <charset val="134"/>
      </rPr>
      <t>，</t>
    </r>
    <r>
      <rPr>
        <sz val="11"/>
        <color theme="1"/>
        <rFont val="Times New Roman"/>
        <family val="1"/>
      </rPr>
      <t xml:space="preserve">17 </t>
    </r>
    <r>
      <rPr>
        <sz val="11"/>
        <color theme="1"/>
        <rFont val="宋体"/>
        <family val="1"/>
        <charset val="134"/>
      </rPr>
      <t>级时提升为</t>
    </r>
    <r>
      <rPr>
        <sz val="11"/>
        <color theme="1"/>
        <rFont val="Times New Roman"/>
        <family val="1"/>
      </rPr>
      <t xml:space="preserve"> d10 </t>
    </r>
    <r>
      <rPr>
        <sz val="11"/>
        <color theme="1"/>
        <rFont val="宋体"/>
        <family val="1"/>
        <charset val="134"/>
      </rPr>
      <t>。此后，拥有剧院骰的角色可以在进行一次</t>
    </r>
    <r>
      <rPr>
        <sz val="11"/>
        <color theme="1"/>
        <rFont val="Times New Roman"/>
        <family val="1"/>
      </rPr>
      <t xml:space="preserve"> D20 </t>
    </r>
    <r>
      <rPr>
        <sz val="11"/>
        <color theme="1"/>
        <rFont val="宋体"/>
        <family val="1"/>
        <charset val="134"/>
      </rPr>
      <t>检定后立刻投掷自己的剧院骰，将其结果加到检定结果上。如果一个角色在已有一枚剧院骰时再次获得剧院骰，他将失去先前的剧院骰。</t>
    </r>
    <phoneticPr fontId="68" type="noConversion"/>
  </si>
  <si>
    <t>训练场</t>
    <phoneticPr fontId="68" type="noConversion"/>
  </si>
  <si>
    <r>
      <rPr>
        <sz val="11"/>
        <color theme="1"/>
        <rFont val="宋体"/>
        <family val="1"/>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1"/>
        <charset val="134"/>
      </rPr>
      <t>当训练场被加入到你的据点时，从</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t>
    </r>
    <r>
      <rPr>
        <sz val="11"/>
        <color theme="1"/>
        <rFont val="宋体"/>
        <family val="1"/>
        <charset val="134"/>
      </rPr>
      <t>表格中选择一位教练。你可以在每个据点回合内更改一次专业教练的类型。</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
</t>
    </r>
    <r>
      <rPr>
        <sz val="11"/>
        <color theme="1"/>
        <rFont val="宋体"/>
        <family val="1"/>
        <charset val="134"/>
      </rPr>
      <t>专业教练</t>
    </r>
    <r>
      <rPr>
        <sz val="11"/>
        <color theme="1"/>
        <rFont val="Times New Roman"/>
        <family val="1"/>
      </rPr>
      <t xml:space="preserve"> </t>
    </r>
    <r>
      <rPr>
        <sz val="11"/>
        <color theme="1"/>
        <rFont val="宋体"/>
        <family val="1"/>
        <charset val="134"/>
      </rPr>
      <t>增强效应</t>
    </r>
    <r>
      <rPr>
        <sz val="11"/>
        <color theme="1"/>
        <rFont val="Times New Roman"/>
        <family val="1"/>
      </rPr>
      <t xml:space="preserve">
</t>
    </r>
    <r>
      <rPr>
        <sz val="11"/>
        <color theme="1"/>
        <rFont val="宋体"/>
        <family val="1"/>
        <charset val="134"/>
      </rPr>
      <t>战斗专家</t>
    </r>
    <r>
      <rPr>
        <sz val="11"/>
        <color theme="1"/>
        <rFont val="Times New Roman"/>
        <family val="1"/>
      </rPr>
      <t xml:space="preserve"> </t>
    </r>
    <r>
      <rPr>
        <sz val="11"/>
        <color theme="1"/>
        <rFont val="宋体"/>
        <family val="1"/>
        <charset val="134"/>
      </rPr>
      <t>当你受到来自武器或徒手打击的伤害时，你可以用反应将伤害减少</t>
    </r>
    <r>
      <rPr>
        <sz val="11"/>
        <color theme="1"/>
        <rFont val="Times New Roman"/>
        <family val="1"/>
      </rPr>
      <t xml:space="preserve"> 1d4 </t>
    </r>
    <r>
      <rPr>
        <sz val="11"/>
        <color theme="1"/>
        <rFont val="宋体"/>
        <family val="1"/>
        <charset val="134"/>
      </rPr>
      <t>点。</t>
    </r>
    <r>
      <rPr>
        <sz val="11"/>
        <color theme="1"/>
        <rFont val="Times New Roman"/>
        <family val="1"/>
      </rPr>
      <t xml:space="preserve">
</t>
    </r>
    <r>
      <rPr>
        <sz val="11"/>
        <color theme="1"/>
        <rFont val="宋体"/>
        <family val="1"/>
        <charset val="134"/>
      </rPr>
      <t>技能专家</t>
    </r>
    <r>
      <rPr>
        <sz val="11"/>
        <color theme="1"/>
        <rFont val="Times New Roman"/>
        <family val="1"/>
      </rPr>
      <t xml:space="preserve"> </t>
    </r>
    <r>
      <rPr>
        <sz val="11"/>
        <color theme="1"/>
        <rFont val="宋体"/>
        <family val="1"/>
        <charset val="134"/>
      </rPr>
      <t>你选择下列技能之一并获得它的熟练：特技、运动、表演、巧手或隐匿。</t>
    </r>
    <r>
      <rPr>
        <sz val="11"/>
        <color theme="1"/>
        <rFont val="Times New Roman"/>
        <family val="1"/>
      </rPr>
      <t xml:space="preserve">
</t>
    </r>
    <r>
      <rPr>
        <sz val="11"/>
        <color theme="1"/>
        <rFont val="宋体"/>
        <family val="1"/>
        <charset val="134"/>
      </rPr>
      <t>工具专家</t>
    </r>
    <r>
      <rPr>
        <sz val="11"/>
        <color theme="1"/>
        <rFont val="Times New Roman"/>
        <family val="1"/>
      </rPr>
      <t xml:space="preserve"> </t>
    </r>
    <r>
      <rPr>
        <sz val="11"/>
        <color theme="1"/>
        <rFont val="宋体"/>
        <family val="1"/>
        <charset val="134"/>
      </rPr>
      <t>你选择一项工具并获得它的熟练。</t>
    </r>
    <r>
      <rPr>
        <sz val="11"/>
        <color theme="1"/>
        <rFont val="Times New Roman"/>
        <family val="1"/>
      </rPr>
      <t xml:space="preserve">
</t>
    </r>
    <r>
      <rPr>
        <sz val="11"/>
        <color theme="1"/>
        <rFont val="宋体"/>
        <family val="1"/>
        <charset val="134"/>
      </rPr>
      <t>徒手战斗专家</t>
    </r>
    <r>
      <rPr>
        <sz val="11"/>
        <color theme="1"/>
        <rFont val="Times New Roman"/>
        <family val="1"/>
      </rPr>
      <t xml:space="preserve"> </t>
    </r>
    <r>
      <rPr>
        <sz val="11"/>
        <color theme="1"/>
        <rFont val="宋体"/>
        <family val="1"/>
        <charset val="134"/>
      </rPr>
      <t>当你以徒手打击命中并造成伤害时，该次攻击造成额外</t>
    </r>
    <r>
      <rPr>
        <sz val="11"/>
        <color theme="1"/>
        <rFont val="Times New Roman"/>
        <family val="1"/>
      </rPr>
      <t xml:space="preserve"> 1d4 </t>
    </r>
    <r>
      <rPr>
        <sz val="11"/>
        <color theme="1"/>
        <rFont val="宋体"/>
        <family val="1"/>
        <charset val="134"/>
      </rPr>
      <t>点伤害。</t>
    </r>
    <r>
      <rPr>
        <sz val="11"/>
        <color theme="1"/>
        <rFont val="Times New Roman"/>
        <family val="1"/>
      </rPr>
      <t xml:space="preserve">
</t>
    </r>
    <r>
      <rPr>
        <sz val="11"/>
        <color theme="1"/>
        <rFont val="宋体"/>
        <family val="1"/>
        <charset val="134"/>
      </rPr>
      <t>武器专家</t>
    </r>
    <r>
      <rPr>
        <sz val="11"/>
        <color theme="1"/>
        <rFont val="Times New Roman"/>
        <family val="1"/>
      </rPr>
      <t xml:space="preserve"> </t>
    </r>
    <r>
      <rPr>
        <sz val="11"/>
        <color theme="1"/>
        <rFont val="宋体"/>
        <family val="1"/>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1"/>
        <charset val="134"/>
      </rPr>
      <t>增强：训练</t>
    </r>
    <r>
      <rPr>
        <sz val="11"/>
        <color theme="1"/>
        <rFont val="Times New Roman"/>
        <family val="1"/>
      </rPr>
      <t xml:space="preserve"> Empower</t>
    </r>
    <r>
      <rPr>
        <sz val="11"/>
        <color theme="1"/>
        <rFont val="宋体"/>
        <family val="1"/>
        <charset val="134"/>
      </rPr>
      <t>：</t>
    </r>
    <r>
      <rPr>
        <sz val="11"/>
        <color theme="1"/>
        <rFont val="Times New Roman"/>
        <family val="1"/>
      </rPr>
      <t xml:space="preserve">Training </t>
    </r>
    <r>
      <rPr>
        <sz val="11"/>
        <color theme="1"/>
        <rFont val="宋体"/>
        <family val="1"/>
        <charset val="134"/>
      </rPr>
      <t>：当你对此设施下达增强指令时，设施雇员将在之后</t>
    </r>
    <r>
      <rPr>
        <sz val="11"/>
        <color theme="1"/>
        <rFont val="Times New Roman"/>
        <family val="1"/>
      </rPr>
      <t>7</t>
    </r>
    <r>
      <rPr>
        <sz val="11"/>
        <color theme="1"/>
        <rFont val="宋体"/>
        <family val="1"/>
        <charset val="134"/>
      </rPr>
      <t>天里开展训练课程。任何角色只要在这</t>
    </r>
    <r>
      <rPr>
        <sz val="11"/>
        <color theme="1"/>
        <rFont val="Times New Roman"/>
        <family val="1"/>
      </rPr>
      <t>7</t>
    </r>
    <r>
      <rPr>
        <sz val="11"/>
        <color theme="1"/>
        <rFont val="宋体"/>
        <family val="1"/>
        <charset val="134"/>
      </rPr>
      <t>天内每天花费至少</t>
    </r>
    <r>
      <rPr>
        <sz val="11"/>
        <color theme="1"/>
        <rFont val="Times New Roman"/>
        <family val="1"/>
      </rPr>
      <t>8</t>
    </r>
    <r>
      <rPr>
        <sz val="11"/>
        <color theme="1"/>
        <rFont val="宋体"/>
        <family val="1"/>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1"/>
        <charset val="134"/>
      </rPr>
      <t>天时间。</t>
    </r>
    <phoneticPr fontId="68" type="noConversion"/>
  </si>
  <si>
    <t>陈列室</t>
    <phoneticPr fontId="68" type="noConversion"/>
  </si>
  <si>
    <r>
      <rPr>
        <sz val="11"/>
        <color theme="1"/>
        <rFont val="宋体"/>
        <family val="1"/>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1"/>
        <charset val="134"/>
      </rPr>
      <t>调查选项</t>
    </r>
    <r>
      <rPr>
        <sz val="11"/>
        <color theme="1"/>
        <rFont val="Times New Roman"/>
        <family val="1"/>
      </rPr>
      <t xml:space="preserve"> Research Options </t>
    </r>
    <r>
      <rPr>
        <sz val="11"/>
        <color theme="1"/>
        <rFont val="宋体"/>
        <family val="1"/>
        <charset val="134"/>
      </rPr>
      <t>：当你对此设施下达调查指令时，从以下选项中选择一项：</t>
    </r>
    <r>
      <rPr>
        <sz val="11"/>
        <color theme="1"/>
        <rFont val="Times New Roman"/>
        <family val="1"/>
      </rPr>
      <t xml:space="preserve">
</t>
    </r>
    <r>
      <rPr>
        <sz val="11"/>
        <color theme="1"/>
        <rFont val="宋体"/>
        <family val="1"/>
        <charset val="134"/>
      </rPr>
      <t>调查：学识</t>
    </r>
    <r>
      <rPr>
        <sz val="11"/>
        <color theme="1"/>
        <rFont val="Times New Roman"/>
        <family val="1"/>
      </rPr>
      <t xml:space="preserve"> Research</t>
    </r>
    <r>
      <rPr>
        <sz val="11"/>
        <color theme="1"/>
        <rFont val="宋体"/>
        <family val="1"/>
        <charset val="134"/>
      </rPr>
      <t>：</t>
    </r>
    <r>
      <rPr>
        <sz val="11"/>
        <color theme="1"/>
        <rFont val="Times New Roman"/>
        <family val="1"/>
      </rPr>
      <t xml:space="preserve">Lore </t>
    </r>
    <r>
      <rPr>
        <sz val="11"/>
        <color theme="1"/>
        <rFont val="宋体"/>
        <family val="1"/>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r>
      <rPr>
        <sz val="11"/>
        <color theme="1"/>
        <rFont val="Times New Roman"/>
        <family val="1"/>
      </rPr>
      <t xml:space="preserve">
</t>
    </r>
    <r>
      <rPr>
        <sz val="11"/>
        <color theme="1"/>
        <rFont val="宋体"/>
        <family val="1"/>
        <charset val="134"/>
      </rPr>
      <t>调查：饰品收藏</t>
    </r>
    <r>
      <rPr>
        <sz val="11"/>
        <color theme="1"/>
        <rFont val="Times New Roman"/>
        <family val="1"/>
      </rPr>
      <t xml:space="preserve"> Research</t>
    </r>
    <r>
      <rPr>
        <sz val="11"/>
        <color theme="1"/>
        <rFont val="宋体"/>
        <family val="1"/>
        <charset val="134"/>
      </rPr>
      <t>：</t>
    </r>
    <r>
      <rPr>
        <sz val="11"/>
        <color theme="1"/>
        <rFont val="Times New Roman"/>
        <family val="1"/>
      </rPr>
      <t xml:space="preserve">Trinket Trophy </t>
    </r>
    <r>
      <rPr>
        <sz val="11"/>
        <color theme="1"/>
        <rFont val="宋体"/>
        <family val="1"/>
        <charset val="134"/>
      </rPr>
      <t>：你委托设施雇员寻找一件可能对你有用的饰品。这项工作需要</t>
    </r>
    <r>
      <rPr>
        <sz val="11"/>
        <color theme="1"/>
        <rFont val="Times New Roman"/>
        <family val="1"/>
      </rPr>
      <t xml:space="preserve"> 7 </t>
    </r>
    <r>
      <rPr>
        <sz val="11"/>
        <color theme="1"/>
        <rFont val="宋体"/>
        <family val="1"/>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1"/>
        <charset val="134"/>
      </rPr>
      <t>表格中掷骰以决定你获得了哪件物品。</t>
    </r>
    <phoneticPr fontId="68" type="noConversion"/>
  </si>
  <si>
    <t>档案馆</t>
    <phoneticPr fontId="68" type="noConversion"/>
  </si>
  <si>
    <r>
      <rPr>
        <sz val="11"/>
        <color theme="1"/>
        <rFont val="宋体"/>
        <family val="1"/>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1"/>
        <charset val="134"/>
      </rPr>
      <t>调查：有益学识</t>
    </r>
    <r>
      <rPr>
        <sz val="11"/>
        <color theme="1"/>
        <rFont val="Times New Roman"/>
        <family val="1"/>
      </rPr>
      <t xml:space="preserve"> Research</t>
    </r>
    <r>
      <rPr>
        <sz val="11"/>
        <color theme="1"/>
        <rFont val="宋体"/>
        <family val="1"/>
        <charset val="134"/>
      </rPr>
      <t>：</t>
    </r>
    <r>
      <rPr>
        <sz val="11"/>
        <color theme="1"/>
        <rFont val="Times New Roman"/>
        <family val="1"/>
      </rPr>
      <t xml:space="preserve">Helpful Lore </t>
    </r>
    <r>
      <rPr>
        <sz val="11"/>
        <color theme="1"/>
        <rFont val="宋体"/>
        <family val="1"/>
        <charset val="134"/>
      </rPr>
      <t>：当你对此设施下达调查指令时，你委托设施的雇员搜索档案馆，寻找需要的知识。这项工作需要</t>
    </r>
    <r>
      <rPr>
        <sz val="11"/>
        <color theme="1"/>
        <rFont val="Times New Roman"/>
        <family val="1"/>
      </rPr>
      <t>7</t>
    </r>
    <r>
      <rPr>
        <sz val="11"/>
        <color theme="1"/>
        <rFont val="宋体"/>
        <family val="1"/>
        <charset val="134"/>
      </rPr>
      <t>天时间。雇员将如同施展了通晓传奇</t>
    </r>
    <r>
      <rPr>
        <sz val="11"/>
        <color theme="1"/>
        <rFont val="Times New Roman"/>
        <family val="1"/>
      </rPr>
      <t xml:space="preserve"> Legend Lore </t>
    </r>
    <r>
      <rPr>
        <sz val="11"/>
        <color theme="1"/>
        <rFont val="宋体"/>
        <family val="1"/>
        <charset val="134"/>
      </rPr>
      <t>法术那样获得相关的知识。在你下次和他对话时，雇员将这些知识传达给你。</t>
    </r>
    <r>
      <rPr>
        <sz val="11"/>
        <color theme="1"/>
        <rFont val="Times New Roman"/>
        <family val="1"/>
      </rPr>
      <t xml:space="preserve">
</t>
    </r>
    <r>
      <rPr>
        <sz val="11"/>
        <color theme="1"/>
        <rFont val="宋体"/>
        <family val="1"/>
        <charset val="134"/>
      </rPr>
      <t>参考书</t>
    </r>
    <r>
      <rPr>
        <sz val="11"/>
        <color theme="1"/>
        <rFont val="Times New Roman"/>
        <family val="1"/>
      </rPr>
      <t xml:space="preserve"> Reference Book </t>
    </r>
    <r>
      <rPr>
        <sz val="11"/>
        <color theme="1"/>
        <rFont val="宋体"/>
        <family val="1"/>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1"/>
        <charset val="134"/>
      </rPr>
      <t>可能会创作额外的选项）：</t>
    </r>
    <r>
      <rPr>
        <sz val="11"/>
        <color theme="1"/>
        <rFont val="Times New Roman"/>
        <family val="1"/>
      </rPr>
      <t xml:space="preserve">
</t>
    </r>
    <r>
      <rPr>
        <sz val="11"/>
        <color theme="1"/>
        <rFont val="宋体"/>
        <family val="1"/>
        <charset val="134"/>
      </rPr>
      <t>毕格比之手边奥术原典</t>
    </r>
    <r>
      <rPr>
        <sz val="11"/>
        <color theme="1"/>
        <rFont val="Times New Roman"/>
        <family val="1"/>
      </rPr>
      <t xml:space="preserve"> Bigdy’s Handy Arcana Codex </t>
    </r>
    <r>
      <rPr>
        <sz val="11"/>
        <color theme="1"/>
        <rFont val="宋体"/>
        <family val="1"/>
        <charset val="134"/>
      </rPr>
      <t>：当你执行研究</t>
    </r>
    <r>
      <rPr>
        <sz val="11"/>
        <color theme="1"/>
        <rFont val="Times New Roman"/>
        <family val="1"/>
      </rPr>
      <t xml:space="preserve"> Study</t>
    </r>
    <r>
      <rPr>
        <sz val="11"/>
        <color theme="1"/>
        <rFont val="宋体"/>
        <family val="1"/>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1"/>
        <charset val="134"/>
      </rPr>
      <t>库若尼普斯编年史</t>
    </r>
    <r>
      <rPr>
        <sz val="11"/>
        <color theme="1"/>
        <rFont val="Times New Roman"/>
        <family val="1"/>
      </rPr>
      <t xml:space="preserve"> The Chronepsis Chronicles </t>
    </r>
    <r>
      <rPr>
        <sz val="11"/>
        <color theme="1"/>
        <rFont val="宋体"/>
        <family val="1"/>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1"/>
        <charset val="134"/>
      </rPr>
      <t>调查员的调查报告</t>
    </r>
    <r>
      <rPr>
        <sz val="11"/>
        <color theme="1"/>
        <rFont val="Times New Roman"/>
        <family val="1"/>
      </rPr>
      <t xml:space="preserve"> Investigations of the Inquisitive </t>
    </r>
    <r>
      <rPr>
        <sz val="11"/>
        <color theme="1"/>
        <rFont val="宋体"/>
        <family val="1"/>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1"/>
        <charset val="134"/>
      </rPr>
      <t>对于世界本质的物质性思考</t>
    </r>
    <r>
      <rPr>
        <sz val="11"/>
        <color theme="1"/>
        <rFont val="Times New Roman"/>
        <family val="1"/>
      </rPr>
      <t xml:space="preserve"> Material Musing of the Nature of the World </t>
    </r>
    <r>
      <rPr>
        <sz val="11"/>
        <color theme="1"/>
        <rFont val="宋体"/>
        <family val="1"/>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1"/>
        <charset val="134"/>
      </rPr>
      <t>旧日信仰和其他宗教</t>
    </r>
    <r>
      <rPr>
        <sz val="11"/>
        <color theme="1"/>
        <rFont val="Times New Roman"/>
        <family val="1"/>
      </rPr>
      <t xml:space="preserve"> The Old Faith and Ohter Religion </t>
    </r>
    <r>
      <rPr>
        <sz val="11"/>
        <color theme="1"/>
        <rFont val="宋体"/>
        <family val="1"/>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，将档案馆扩大为庞大设施。这样做之后，你从上述列表中获得额外两本参考书。</t>
    </r>
    <phoneticPr fontId="68" type="noConversion"/>
  </si>
  <si>
    <t>冥想间</t>
    <phoneticPr fontId="68" type="noConversion"/>
  </si>
  <si>
    <t>狭窄</t>
    <phoneticPr fontId="68" type="noConversion"/>
  </si>
  <si>
    <r>
      <rPr>
        <sz val="11"/>
        <color theme="1"/>
        <rFont val="宋体"/>
        <family val="1"/>
        <charset val="134"/>
      </rPr>
      <t>增强：内心宁静</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Inner Peace </t>
    </r>
    <r>
      <rPr>
        <sz val="11"/>
        <color theme="1"/>
        <rFont val="宋体"/>
        <family val="1"/>
        <charset val="134"/>
      </rPr>
      <t>：当你对此设施下达增强指令时，你据点的雇员可以使用冥想间以获取内心的宁静。当你下次掷骰决定据点事件时，你可以掷两次并选择其中一个结果。</t>
    </r>
    <r>
      <rPr>
        <sz val="11"/>
        <color theme="1"/>
        <rFont val="Times New Roman"/>
        <family val="1"/>
        <charset val="134"/>
      </rPr>
      <t xml:space="preserve">
</t>
    </r>
    <r>
      <rPr>
        <sz val="11"/>
        <color theme="1"/>
        <rFont val="宋体"/>
        <family val="1"/>
        <charset val="134"/>
      </rPr>
      <t>自我强化</t>
    </r>
    <r>
      <rPr>
        <sz val="11"/>
        <color theme="1"/>
        <rFont val="Times New Roman"/>
        <family val="1"/>
        <charset val="134"/>
      </rPr>
      <t xml:space="preserve"> Forify Self </t>
    </r>
    <r>
      <rPr>
        <sz val="11"/>
        <color theme="1"/>
        <rFont val="宋体"/>
        <family val="1"/>
        <charset val="134"/>
      </rPr>
      <t>：你可以在连续</t>
    </r>
    <r>
      <rPr>
        <sz val="11"/>
        <color theme="1"/>
        <rFont val="Times New Roman"/>
        <family val="1"/>
        <charset val="134"/>
      </rPr>
      <t>7</t>
    </r>
    <r>
      <rPr>
        <sz val="11"/>
        <color theme="1"/>
        <rFont val="宋体"/>
        <family val="1"/>
        <charset val="134"/>
      </rPr>
      <t>天时间里，在此设施内进行冥想。如果你在此期间离开了据点，你不会获得任何增益。反之，在第七天结束时，你于之后</t>
    </r>
    <r>
      <rPr>
        <sz val="11"/>
        <color theme="1"/>
        <rFont val="Times New Roman"/>
        <family val="1"/>
        <charset val="134"/>
      </rPr>
      <t>7</t>
    </r>
    <r>
      <rPr>
        <sz val="11"/>
        <color theme="1"/>
        <rFont val="宋体"/>
        <family val="1"/>
        <charset val="134"/>
      </rPr>
      <t>天内在两种属性豁免</t>
    </r>
    <r>
      <rPr>
        <sz val="11"/>
        <color theme="1"/>
        <rFont val="Times New Roman"/>
        <family val="1"/>
        <charset val="134"/>
      </rPr>
      <t xml:space="preserve"> Ability Saving Throws</t>
    </r>
    <r>
      <rPr>
        <sz val="11"/>
        <color theme="1"/>
        <rFont val="宋体"/>
        <family val="1"/>
        <charset val="134"/>
      </rPr>
      <t>上获得优势。从下列表格中掷骰两次以随机决定你获得了哪两种属性豁免的优势，出现重复结果则重投。</t>
    </r>
    <r>
      <rPr>
        <sz val="11"/>
        <color theme="1"/>
        <rFont val="Times New Roman"/>
        <family val="1"/>
        <charset val="134"/>
      </rPr>
      <t xml:space="preserve">
d6</t>
    </r>
    <r>
      <rPr>
        <sz val="11"/>
        <color theme="1"/>
        <rFont val="宋体"/>
        <family val="1"/>
        <charset val="134"/>
      </rPr>
      <t>骰点</t>
    </r>
    <r>
      <rPr>
        <sz val="11"/>
        <color theme="1"/>
        <rFont val="Times New Roman"/>
        <family val="1"/>
        <charset val="134"/>
      </rPr>
      <t xml:space="preserve"> </t>
    </r>
    <r>
      <rPr>
        <sz val="11"/>
        <color theme="1"/>
        <rFont val="宋体"/>
        <family val="1"/>
        <charset val="134"/>
      </rPr>
      <t>豁免</t>
    </r>
    <r>
      <rPr>
        <sz val="11"/>
        <color theme="1"/>
        <rFont val="Times New Roman"/>
        <family val="1"/>
        <charset val="134"/>
      </rPr>
      <t xml:space="preserve">
1 </t>
    </r>
    <r>
      <rPr>
        <sz val="11"/>
        <color theme="1"/>
        <rFont val="宋体"/>
        <family val="1"/>
        <charset val="134"/>
      </rPr>
      <t>力量</t>
    </r>
    <r>
      <rPr>
        <sz val="11"/>
        <color theme="1"/>
        <rFont val="Times New Roman"/>
        <family val="1"/>
        <charset val="134"/>
      </rPr>
      <t xml:space="preserve">
2 </t>
    </r>
    <r>
      <rPr>
        <sz val="11"/>
        <color theme="1"/>
        <rFont val="宋体"/>
        <family val="1"/>
        <charset val="134"/>
      </rPr>
      <t>敏捷</t>
    </r>
    <r>
      <rPr>
        <sz val="11"/>
        <color theme="1"/>
        <rFont val="Times New Roman"/>
        <family val="1"/>
        <charset val="134"/>
      </rPr>
      <t xml:space="preserve">
3 </t>
    </r>
    <r>
      <rPr>
        <sz val="11"/>
        <color theme="1"/>
        <rFont val="宋体"/>
        <family val="1"/>
        <charset val="134"/>
      </rPr>
      <t>体质</t>
    </r>
    <r>
      <rPr>
        <sz val="11"/>
        <color theme="1"/>
        <rFont val="Times New Roman"/>
        <family val="1"/>
        <charset val="134"/>
      </rPr>
      <t xml:space="preserve">
4 </t>
    </r>
    <r>
      <rPr>
        <sz val="11"/>
        <color theme="1"/>
        <rFont val="宋体"/>
        <family val="1"/>
        <charset val="134"/>
      </rPr>
      <t>智力</t>
    </r>
    <r>
      <rPr>
        <sz val="11"/>
        <color theme="1"/>
        <rFont val="Times New Roman"/>
        <family val="1"/>
        <charset val="134"/>
      </rPr>
      <t xml:space="preserve">
5 </t>
    </r>
    <r>
      <rPr>
        <sz val="11"/>
        <color theme="1"/>
        <rFont val="宋体"/>
        <family val="1"/>
        <charset val="134"/>
      </rPr>
      <t>感知</t>
    </r>
    <r>
      <rPr>
        <sz val="11"/>
        <color theme="1"/>
        <rFont val="Times New Roman"/>
        <family val="1"/>
        <charset val="134"/>
      </rPr>
      <t xml:space="preserve">
6 </t>
    </r>
    <r>
      <rPr>
        <sz val="11"/>
        <color theme="1"/>
        <rFont val="宋体"/>
        <family val="1"/>
        <charset val="134"/>
      </rPr>
      <t>魅力</t>
    </r>
    <phoneticPr fontId="68" type="noConversion"/>
  </si>
  <si>
    <t>兽栏</t>
    <phoneticPr fontId="68" type="noConversion"/>
  </si>
  <si>
    <r>
      <rPr>
        <sz val="11"/>
        <color theme="1"/>
        <rFont val="宋体"/>
        <family val="1"/>
        <charset val="134"/>
      </rPr>
      <t>兽栏有着足以容纳四只</t>
    </r>
    <r>
      <rPr>
        <sz val="11"/>
        <color theme="1"/>
        <rFont val="Times New Roman"/>
        <family val="1"/>
        <charset val="134"/>
      </rPr>
      <t xml:space="preserve"> </t>
    </r>
    <r>
      <rPr>
        <sz val="11"/>
        <color theme="1"/>
        <rFont val="宋体"/>
        <family val="1"/>
        <charset val="134"/>
      </rPr>
      <t>大型</t>
    </r>
    <r>
      <rPr>
        <sz val="11"/>
        <color theme="1"/>
        <rFont val="Times New Roman"/>
        <family val="1"/>
        <charset val="134"/>
      </rPr>
      <t>Huge</t>
    </r>
    <r>
      <rPr>
        <sz val="11"/>
        <color theme="1"/>
        <rFont val="宋体"/>
        <family val="1"/>
        <charset val="134"/>
      </rPr>
      <t>生物的围墙。每四只</t>
    </r>
    <r>
      <rPr>
        <sz val="11"/>
        <color theme="1"/>
        <rFont val="Times New Roman"/>
        <family val="1"/>
        <charset val="134"/>
      </rPr>
      <t xml:space="preserve"> </t>
    </r>
    <r>
      <rPr>
        <sz val="11"/>
        <color theme="1"/>
        <rFont val="宋体"/>
        <family val="1"/>
        <charset val="134"/>
      </rPr>
      <t>中型</t>
    </r>
    <r>
      <rPr>
        <sz val="11"/>
        <color theme="1"/>
        <rFont val="Times New Roman"/>
        <family val="1"/>
        <charset val="134"/>
      </rPr>
      <t xml:space="preserve"> Medium</t>
    </r>
    <r>
      <rPr>
        <sz val="11"/>
        <color theme="1"/>
        <rFont val="宋体"/>
        <family val="1"/>
        <charset val="134"/>
      </rPr>
      <t>或</t>
    </r>
    <r>
      <rPr>
        <sz val="11"/>
        <color theme="1"/>
        <rFont val="Times New Roman"/>
        <family val="1"/>
        <charset val="134"/>
      </rPr>
      <t xml:space="preserve"> </t>
    </r>
    <r>
      <rPr>
        <sz val="11"/>
        <color theme="1"/>
        <rFont val="宋体"/>
        <family val="1"/>
        <charset val="134"/>
      </rPr>
      <t>小型</t>
    </r>
    <r>
      <rPr>
        <sz val="11"/>
        <color theme="1"/>
        <rFont val="Times New Roman"/>
        <family val="1"/>
        <charset val="134"/>
      </rPr>
      <t xml:space="preserve"> Small</t>
    </r>
    <r>
      <rPr>
        <sz val="11"/>
        <color theme="1"/>
        <rFont val="宋体"/>
        <family val="1"/>
        <charset val="134"/>
      </rPr>
      <t>生物在这里占据的空间等同于一只大型生物。</t>
    </r>
    <r>
      <rPr>
        <sz val="11"/>
        <color theme="1"/>
        <rFont val="Times New Roman"/>
        <family val="1"/>
        <charset val="134"/>
      </rPr>
      <t xml:space="preserve">
</t>
    </r>
    <r>
      <rPr>
        <sz val="11"/>
        <color theme="1"/>
        <rFont val="宋体"/>
        <family val="1"/>
        <charset val="134"/>
      </rPr>
      <t>招募：生物</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Creature </t>
    </r>
    <r>
      <rPr>
        <sz val="11"/>
        <color theme="1"/>
        <rFont val="宋体"/>
        <family val="1"/>
        <charset val="134"/>
      </rPr>
      <t>：当你对此设施下达招募指令时，你委托设施雇员向兽栏内加入一只生物，从兽栏生物</t>
    </r>
    <r>
      <rPr>
        <sz val="11"/>
        <color theme="1"/>
        <rFont val="Times New Roman"/>
        <family val="1"/>
        <charset val="134"/>
      </rPr>
      <t xml:space="preserve"> Menagerie Creature</t>
    </r>
    <r>
      <rPr>
        <sz val="11"/>
        <color theme="1"/>
        <rFont val="宋体"/>
        <family val="1"/>
        <charset val="134"/>
      </rPr>
      <t>表格中选择。这项工作需要</t>
    </r>
    <r>
      <rPr>
        <sz val="11"/>
        <color theme="1"/>
        <rFont val="Times New Roman"/>
        <family val="1"/>
        <charset val="134"/>
      </rPr>
      <t>7</t>
    </r>
    <r>
      <rPr>
        <sz val="11"/>
        <color theme="1"/>
        <rFont val="宋体"/>
        <family val="1"/>
        <charset val="134"/>
      </rPr>
      <t>天时间，所需的金钱如表格所示。设施雇员会照顾这些生物。</t>
    </r>
    <r>
      <rPr>
        <sz val="11"/>
        <color theme="1"/>
        <rFont val="Times New Roman"/>
        <family val="1"/>
        <charset val="134"/>
      </rPr>
      <t xml:space="preserve">
</t>
    </r>
    <r>
      <rPr>
        <sz val="11"/>
        <color theme="1"/>
        <rFont val="宋体"/>
        <family val="1"/>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charset val="134"/>
      </rPr>
      <t xml:space="preserve"> Monster Manual</t>
    </r>
    <r>
      <rPr>
        <sz val="11"/>
        <color theme="1"/>
        <rFont val="宋体"/>
        <family val="1"/>
        <charset val="134"/>
      </rPr>
      <t>中的数据。</t>
    </r>
    <r>
      <rPr>
        <sz val="11"/>
        <color theme="1"/>
        <rFont val="Times New Roman"/>
        <family val="1"/>
        <charset val="134"/>
      </rPr>
      <t xml:space="preserve">
</t>
    </r>
    <r>
      <rPr>
        <sz val="11"/>
        <color theme="1"/>
        <rFont val="宋体"/>
        <family val="1"/>
        <charset val="134"/>
      </rPr>
      <t>兽栏生物</t>
    </r>
    <r>
      <rPr>
        <sz val="11"/>
        <color theme="1"/>
        <rFont val="Times New Roman"/>
        <family val="1"/>
        <charset val="134"/>
      </rPr>
      <t xml:space="preserve"> Menagerie Creature
</t>
    </r>
    <r>
      <rPr>
        <sz val="11"/>
        <color theme="1"/>
        <rFont val="宋体"/>
        <family val="1"/>
        <charset val="134"/>
      </rPr>
      <t>生物</t>
    </r>
    <r>
      <rPr>
        <sz val="11"/>
        <color theme="1"/>
        <rFont val="Times New Roman"/>
        <family val="1"/>
        <charset val="134"/>
      </rPr>
      <t xml:space="preserve"> </t>
    </r>
    <r>
      <rPr>
        <sz val="11"/>
        <color theme="1"/>
        <rFont val="宋体"/>
        <family val="1"/>
        <charset val="134"/>
      </rPr>
      <t>体型</t>
    </r>
    <r>
      <rPr>
        <sz val="11"/>
        <color theme="1"/>
        <rFont val="Times New Roman"/>
        <family val="1"/>
        <charset val="134"/>
      </rPr>
      <t xml:space="preserve"> </t>
    </r>
    <r>
      <rPr>
        <sz val="11"/>
        <color theme="1"/>
        <rFont val="宋体"/>
        <family val="1"/>
        <charset val="134"/>
      </rPr>
      <t>花费</t>
    </r>
    <r>
      <rPr>
        <sz val="11"/>
        <color theme="1"/>
        <rFont val="Times New Roman"/>
        <family val="1"/>
        <charset val="134"/>
      </rPr>
      <t xml:space="preserve">
</t>
    </r>
    <r>
      <rPr>
        <sz val="11"/>
        <color theme="1"/>
        <rFont val="宋体"/>
        <family val="1"/>
        <charset val="134"/>
      </rPr>
      <t>猿</t>
    </r>
    <r>
      <rPr>
        <sz val="11"/>
        <color theme="1"/>
        <rFont val="Times New Roman"/>
        <family val="1"/>
        <charset val="134"/>
      </rPr>
      <t xml:space="preserve"> Ape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黑熊</t>
    </r>
    <r>
      <rPr>
        <sz val="11"/>
        <color theme="1"/>
        <rFont val="Times New Roman"/>
        <family val="1"/>
        <charset val="134"/>
      </rPr>
      <t xml:space="preserve"> Black Bear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棕熊</t>
    </r>
    <r>
      <rPr>
        <sz val="11"/>
        <color theme="1"/>
        <rFont val="Times New Roman"/>
        <family val="1"/>
        <charset val="134"/>
      </rPr>
      <t xml:space="preserve"> Brown Bear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蟒蛇</t>
    </r>
    <r>
      <rPr>
        <sz val="11"/>
        <color theme="1"/>
        <rFont val="Times New Roman"/>
        <family val="1"/>
        <charset val="134"/>
      </rPr>
      <t xml:space="preserve"> Constrictor Snake
 </t>
    </r>
    <r>
      <rPr>
        <sz val="11"/>
        <color theme="1"/>
        <rFont val="宋体"/>
        <family val="1"/>
        <charset val="134"/>
      </rPr>
      <t>大型</t>
    </r>
    <r>
      <rPr>
        <sz val="11"/>
        <color theme="1"/>
        <rFont val="Times New Roman"/>
        <family val="1"/>
        <charset val="134"/>
      </rPr>
      <t xml:space="preserve"> 250 GP
</t>
    </r>
    <r>
      <rPr>
        <sz val="11"/>
        <color theme="1"/>
        <rFont val="宋体"/>
        <family val="1"/>
        <charset val="134"/>
      </rPr>
      <t>鳄鱼</t>
    </r>
    <r>
      <rPr>
        <sz val="11"/>
        <color theme="1"/>
        <rFont val="Times New Roman"/>
        <family val="1"/>
        <charset val="134"/>
      </rPr>
      <t xml:space="preserve"> Crocodile  </t>
    </r>
    <r>
      <rPr>
        <sz val="11"/>
        <color theme="1"/>
        <rFont val="宋体"/>
        <family val="1"/>
        <charset val="134"/>
      </rPr>
      <t>大型</t>
    </r>
    <r>
      <rPr>
        <sz val="11"/>
        <color theme="1"/>
        <rFont val="Times New Roman"/>
        <family val="1"/>
        <charset val="134"/>
      </rPr>
      <t xml:space="preserve"> 500 GP
</t>
    </r>
    <r>
      <rPr>
        <sz val="11"/>
        <color theme="1"/>
        <rFont val="宋体"/>
        <family val="1"/>
        <charset val="134"/>
      </rPr>
      <t>恐狼</t>
    </r>
    <r>
      <rPr>
        <sz val="11"/>
        <color theme="1"/>
        <rFont val="Times New Roman"/>
        <family val="1"/>
        <charset val="134"/>
      </rPr>
      <t xml:space="preserve"> Dire Wolf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巨秃鹫</t>
    </r>
    <r>
      <rPr>
        <sz val="11"/>
        <color theme="1"/>
        <rFont val="Times New Roman"/>
        <family val="1"/>
        <charset val="134"/>
      </rPr>
      <t xml:space="preserve"> Gaint Vulture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鬣狗</t>
    </r>
    <r>
      <rPr>
        <sz val="11"/>
        <color theme="1"/>
        <rFont val="Times New Roman"/>
        <family val="1"/>
        <charset val="134"/>
      </rPr>
      <t xml:space="preserve"> Hyena  </t>
    </r>
    <r>
      <rPr>
        <sz val="11"/>
        <color theme="1"/>
        <rFont val="宋体"/>
        <family val="1"/>
        <charset val="134"/>
      </rPr>
      <t>中型</t>
    </r>
    <r>
      <rPr>
        <sz val="11"/>
        <color theme="1"/>
        <rFont val="Times New Roman"/>
        <family val="1"/>
        <charset val="134"/>
      </rPr>
      <t xml:space="preserve"> 50 GP
</t>
    </r>
    <r>
      <rPr>
        <sz val="11"/>
        <color theme="1"/>
        <rFont val="宋体"/>
        <family val="1"/>
        <charset val="134"/>
      </rPr>
      <t>豺狼</t>
    </r>
    <r>
      <rPr>
        <sz val="11"/>
        <color theme="1"/>
        <rFont val="Times New Roman"/>
        <family val="1"/>
        <charset val="134"/>
      </rPr>
      <t xml:space="preserve"> Jackal  </t>
    </r>
    <r>
      <rPr>
        <sz val="11"/>
        <color theme="1"/>
        <rFont val="宋体"/>
        <family val="1"/>
        <charset val="134"/>
      </rPr>
      <t>小型</t>
    </r>
    <r>
      <rPr>
        <sz val="11"/>
        <color theme="1"/>
        <rFont val="Times New Roman"/>
        <family val="1"/>
        <charset val="134"/>
      </rPr>
      <t xml:space="preserve"> 50 GP
</t>
    </r>
    <r>
      <rPr>
        <sz val="11"/>
        <color theme="1"/>
        <rFont val="宋体"/>
        <family val="1"/>
        <charset val="134"/>
      </rPr>
      <t>狮子</t>
    </r>
    <r>
      <rPr>
        <sz val="11"/>
        <color theme="1"/>
        <rFont val="Times New Roman"/>
        <family val="1"/>
        <charset val="134"/>
      </rPr>
      <t xml:space="preserve"> Lion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枭熊</t>
    </r>
    <r>
      <rPr>
        <sz val="11"/>
        <color theme="1"/>
        <rFont val="Times New Roman"/>
        <family val="1"/>
        <charset val="134"/>
      </rPr>
      <t xml:space="preserve"> Owlbear  </t>
    </r>
    <r>
      <rPr>
        <sz val="11"/>
        <color theme="1"/>
        <rFont val="宋体"/>
        <family val="1"/>
        <charset val="134"/>
      </rPr>
      <t>大型</t>
    </r>
    <r>
      <rPr>
        <sz val="11"/>
        <color theme="1"/>
        <rFont val="Times New Roman"/>
        <family val="1"/>
        <charset val="134"/>
      </rPr>
      <t xml:space="preserve"> 3500 GP
</t>
    </r>
    <r>
      <rPr>
        <sz val="11"/>
        <color theme="1"/>
        <rFont val="宋体"/>
        <family val="1"/>
        <charset val="134"/>
      </rPr>
      <t>豹</t>
    </r>
    <r>
      <rPr>
        <sz val="11"/>
        <color theme="1"/>
        <rFont val="Times New Roman"/>
        <family val="1"/>
        <charset val="134"/>
      </rPr>
      <t xml:space="preserve">Panther  </t>
    </r>
    <r>
      <rPr>
        <sz val="11"/>
        <color theme="1"/>
        <rFont val="宋体"/>
        <family val="1"/>
        <charset val="134"/>
      </rPr>
      <t>中型</t>
    </r>
    <r>
      <rPr>
        <sz val="11"/>
        <color theme="1"/>
        <rFont val="Times New Roman"/>
        <family val="1"/>
        <charset val="134"/>
      </rPr>
      <t xml:space="preserve"> 250 GP
</t>
    </r>
    <r>
      <rPr>
        <sz val="11"/>
        <color theme="1"/>
        <rFont val="宋体"/>
        <family val="1"/>
        <charset val="134"/>
      </rPr>
      <t>老虎</t>
    </r>
    <r>
      <rPr>
        <sz val="11"/>
        <color theme="1"/>
        <rFont val="Times New Roman"/>
        <family val="1"/>
        <charset val="134"/>
      </rPr>
      <t xml:space="preserve"> Tiger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在</t>
    </r>
    <r>
      <rPr>
        <sz val="11"/>
        <color theme="1"/>
        <rFont val="Times New Roman"/>
        <family val="1"/>
        <charset val="134"/>
      </rPr>
      <t>DM</t>
    </r>
    <r>
      <rPr>
        <sz val="11"/>
        <color theme="1"/>
        <rFont val="宋体"/>
        <family val="1"/>
        <charset val="134"/>
      </rPr>
      <t>的允许下，你也可以向兽栏内加入上述表格之外的生物。生物的价格取决于它们的挑战等级，如下列表格所示。一般而言，只有野兽</t>
    </r>
    <r>
      <rPr>
        <sz val="11"/>
        <color theme="1"/>
        <rFont val="Times New Roman"/>
        <family val="1"/>
        <charset val="134"/>
      </rPr>
      <t>Beasts</t>
    </r>
    <r>
      <rPr>
        <sz val="11"/>
        <color theme="1"/>
        <rFont val="宋体"/>
        <family val="1"/>
        <charset val="134"/>
      </rPr>
      <t>和某些怪兽</t>
    </r>
    <r>
      <rPr>
        <sz val="11"/>
        <color theme="1"/>
        <rFont val="Times New Roman"/>
        <family val="1"/>
        <charset val="134"/>
      </rPr>
      <t>Monstrosities</t>
    </r>
    <r>
      <rPr>
        <sz val="11"/>
        <color theme="1"/>
        <rFont val="宋体"/>
        <family val="1"/>
        <charset val="134"/>
      </rPr>
      <t>能被安置在兽栏内，不过其他生物也有可能得到</t>
    </r>
    <r>
      <rPr>
        <sz val="11"/>
        <color theme="1"/>
        <rFont val="Times New Roman"/>
        <family val="1"/>
        <charset val="134"/>
      </rPr>
      <t>DM</t>
    </r>
    <r>
      <rPr>
        <sz val="11"/>
        <color theme="1"/>
        <rFont val="宋体"/>
        <family val="1"/>
        <charset val="134"/>
      </rPr>
      <t>的许可。</t>
    </r>
    <r>
      <rPr>
        <sz val="11"/>
        <color theme="1"/>
        <rFont val="Times New Roman"/>
        <family val="1"/>
        <charset val="134"/>
      </rPr>
      <t xml:space="preserve">
</t>
    </r>
    <r>
      <rPr>
        <sz val="11"/>
        <color theme="1"/>
        <rFont val="宋体"/>
        <family val="1"/>
        <charset val="134"/>
      </rPr>
      <t>按照挑战等级的生物价格</t>
    </r>
    <r>
      <rPr>
        <sz val="11"/>
        <color theme="1"/>
        <rFont val="Times New Roman"/>
        <family val="1"/>
        <charset val="134"/>
      </rPr>
      <t xml:space="preserve"> Creature Cost by Challenge Rating
</t>
    </r>
    <r>
      <rPr>
        <sz val="11"/>
        <color theme="1"/>
        <rFont val="宋体"/>
        <family val="1"/>
        <charset val="134"/>
      </rPr>
      <t>挑战等级</t>
    </r>
    <r>
      <rPr>
        <sz val="11"/>
        <color theme="1"/>
        <rFont val="Times New Roman"/>
        <family val="1"/>
        <charset val="134"/>
      </rPr>
      <t xml:space="preserve"> </t>
    </r>
    <r>
      <rPr>
        <sz val="11"/>
        <color theme="1"/>
        <rFont val="宋体"/>
        <family val="1"/>
        <charset val="134"/>
      </rPr>
      <t>价格</t>
    </r>
    <r>
      <rPr>
        <sz val="11"/>
        <color theme="1"/>
        <rFont val="Times New Roman"/>
        <family val="1"/>
        <charset val="134"/>
      </rPr>
      <t xml:space="preserve">
0</t>
    </r>
    <r>
      <rPr>
        <sz val="11"/>
        <color theme="1"/>
        <rFont val="宋体"/>
        <family val="1"/>
        <charset val="134"/>
      </rPr>
      <t>或</t>
    </r>
    <r>
      <rPr>
        <sz val="11"/>
        <color theme="1"/>
        <rFont val="Times New Roman"/>
        <family val="1"/>
        <charset val="134"/>
      </rPr>
      <t>1/8 50 GP
1/4  250 GP
1/2 500 GP
1 1000 GP
2 2000 GP
3 3500 GP</t>
    </r>
    <phoneticPr fontId="68" type="noConversion"/>
  </si>
  <si>
    <t>天文台</t>
    <phoneticPr fontId="68" type="noConversion"/>
  </si>
  <si>
    <t>可以使用施法法器</t>
    <phoneticPr fontId="68" type="noConversion"/>
  </si>
  <si>
    <r>
      <rPr>
        <sz val="11"/>
        <color theme="1"/>
        <rFont val="宋体"/>
        <family val="1"/>
        <charset val="134"/>
      </rPr>
      <t>天文台坐落在你据点的最高处，其中包含一座直指夜空的望远镜。</t>
    </r>
    <r>
      <rPr>
        <sz val="11"/>
        <color theme="1"/>
        <rFont val="Times New Roman"/>
        <family val="1"/>
        <charset val="134"/>
      </rPr>
      <t xml:space="preserve">
</t>
    </r>
    <r>
      <rPr>
        <sz val="11"/>
        <color theme="1"/>
        <rFont val="宋体"/>
        <family val="1"/>
        <charset val="134"/>
      </rPr>
      <t>天文护咒</t>
    </r>
    <r>
      <rPr>
        <sz val="11"/>
        <color theme="1"/>
        <rFont val="Times New Roman"/>
        <family val="1"/>
        <charset val="134"/>
      </rPr>
      <t xml:space="preserve"> Observatory Charm </t>
    </r>
    <r>
      <rPr>
        <sz val="11"/>
        <color theme="1"/>
        <rFont val="宋体"/>
        <family val="1"/>
        <charset val="134"/>
      </rPr>
      <t>：你可以用天文台观察到荒宇和星光位面的遥远角落。当你在天文台内完成一次长休后，你获得一个魔法护咒</t>
    </r>
    <r>
      <rPr>
        <sz val="11"/>
        <color theme="1"/>
        <rFont val="Times New Roman"/>
        <family val="1"/>
        <charset val="134"/>
      </rPr>
      <t xml:space="preserve"> Charm</t>
    </r>
    <r>
      <rPr>
        <sz val="11"/>
        <color theme="1"/>
        <rFont val="宋体"/>
        <family val="1"/>
        <charset val="134"/>
      </rPr>
      <t>（见第三章“超自然恩惠”一节），此护咒持续</t>
    </r>
    <r>
      <rPr>
        <sz val="11"/>
        <color theme="1"/>
        <rFont val="Times New Roman"/>
        <family val="1"/>
        <charset val="134"/>
      </rPr>
      <t>7</t>
    </r>
    <r>
      <rPr>
        <sz val="11"/>
        <color theme="1"/>
        <rFont val="宋体"/>
        <family val="1"/>
        <charset val="134"/>
      </rPr>
      <t>天或持续至你将其使用为止。此护咒允许你施展一次异界探知</t>
    </r>
    <r>
      <rPr>
        <sz val="11"/>
        <color theme="1"/>
        <rFont val="Times New Roman"/>
        <family val="1"/>
        <charset val="134"/>
      </rPr>
      <t xml:space="preserve"> Contact Other Plane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增强：奇异发现</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Eldritch Discovery </t>
    </r>
    <r>
      <rPr>
        <sz val="11"/>
        <color theme="1"/>
        <rFont val="宋体"/>
        <family val="1"/>
        <charset val="134"/>
      </rPr>
      <t>：当你对此设施下达增强指令时，你让自己或设施雇员在连续</t>
    </r>
    <r>
      <rPr>
        <sz val="11"/>
        <color theme="1"/>
        <rFont val="Times New Roman"/>
        <family val="1"/>
        <charset val="134"/>
      </rPr>
      <t>7</t>
    </r>
    <r>
      <rPr>
        <sz val="11"/>
        <color theme="1"/>
        <rFont val="宋体"/>
        <family val="1"/>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charset val="134"/>
      </rPr>
      <t>Charm</t>
    </r>
    <r>
      <rPr>
        <sz val="11"/>
        <color theme="1"/>
        <rFont val="宋体"/>
        <family val="1"/>
        <charset val="134"/>
      </rPr>
      <t>。该护咒为下列护咒之一：黑暗视觉护咒</t>
    </r>
    <r>
      <rPr>
        <sz val="11"/>
        <color theme="1"/>
        <rFont val="Times New Roman"/>
        <family val="1"/>
        <charset val="134"/>
      </rPr>
      <t xml:space="preserve"> Charm of Darkvision</t>
    </r>
    <r>
      <rPr>
        <sz val="11"/>
        <color theme="1"/>
        <rFont val="宋体"/>
        <family val="1"/>
        <charset val="134"/>
      </rPr>
      <t>、英雄气概护咒</t>
    </r>
    <r>
      <rPr>
        <sz val="11"/>
        <color theme="1"/>
        <rFont val="Times New Roman"/>
        <family val="1"/>
        <charset val="134"/>
      </rPr>
      <t>Charm of Heroism</t>
    </r>
    <r>
      <rPr>
        <sz val="11"/>
        <color theme="1"/>
        <rFont val="宋体"/>
        <family val="1"/>
        <charset val="134"/>
      </rPr>
      <t>、活力护咒</t>
    </r>
    <r>
      <rPr>
        <sz val="11"/>
        <color theme="1"/>
        <rFont val="Times New Roman"/>
        <family val="1"/>
        <charset val="134"/>
      </rPr>
      <t>Charm of Vitality</t>
    </r>
    <r>
      <rPr>
        <sz val="11"/>
        <color theme="1"/>
        <rFont val="宋体"/>
        <family val="1"/>
        <charset val="134"/>
      </rPr>
      <t>（详细描述均见第三章）。</t>
    </r>
    <phoneticPr fontId="68" type="noConversion"/>
  </si>
  <si>
    <t>酒馆</t>
    <phoneticPr fontId="68" type="noConversion"/>
  </si>
  <si>
    <r>
      <rPr>
        <sz val="11"/>
        <color theme="1"/>
        <rFont val="宋体"/>
        <family val="1"/>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charset val="134"/>
      </rPr>
      <t xml:space="preserve">
</t>
    </r>
    <r>
      <rPr>
        <sz val="11"/>
        <color theme="1"/>
        <rFont val="宋体"/>
        <family val="1"/>
        <charset val="134"/>
      </rPr>
      <t>调查：情报收集</t>
    </r>
    <r>
      <rPr>
        <sz val="11"/>
        <color theme="1"/>
        <rFont val="Times New Roman"/>
        <family val="1"/>
        <charset val="134"/>
      </rPr>
      <t xml:space="preserve"> Research</t>
    </r>
    <r>
      <rPr>
        <sz val="11"/>
        <color theme="1"/>
        <rFont val="宋体"/>
        <family val="1"/>
        <charset val="134"/>
      </rPr>
      <t>：</t>
    </r>
    <r>
      <rPr>
        <sz val="11"/>
        <color theme="1"/>
        <rFont val="Times New Roman"/>
        <family val="1"/>
        <charset val="134"/>
      </rPr>
      <t xml:space="preserve">Information Gathering </t>
    </r>
    <r>
      <rPr>
        <sz val="11"/>
        <color theme="1"/>
        <rFont val="宋体"/>
        <family val="1"/>
        <charset val="134"/>
      </rPr>
      <t>：当你对此设施下达调查指令时，你委托酒馆的酒保从情报网的间谍处收集情报。这些间谍对未来</t>
    </r>
    <r>
      <rPr>
        <sz val="11"/>
        <color theme="1"/>
        <rFont val="Times New Roman"/>
        <family val="1"/>
        <charset val="134"/>
      </rPr>
      <t xml:space="preserve"> 7 </t>
    </r>
    <r>
      <rPr>
        <sz val="11"/>
        <color theme="1"/>
        <rFont val="宋体"/>
        <family val="1"/>
        <charset val="134"/>
      </rPr>
      <t>天中将在你据点周围</t>
    </r>
    <r>
      <rPr>
        <sz val="11"/>
        <color theme="1"/>
        <rFont val="Times New Roman"/>
        <family val="1"/>
        <charset val="134"/>
      </rPr>
      <t xml:space="preserve"> 10 </t>
    </r>
    <r>
      <rPr>
        <sz val="11"/>
        <color theme="1"/>
        <rFont val="宋体"/>
        <family val="1"/>
        <charset val="134"/>
      </rPr>
      <t>里内发生的重大事件了如指掌；他们也将在未来</t>
    </r>
    <r>
      <rPr>
        <sz val="11"/>
        <color theme="1"/>
        <rFont val="Times New Roman"/>
        <family val="1"/>
        <charset val="134"/>
      </rPr>
      <t>7</t>
    </r>
    <r>
      <rPr>
        <sz val="11"/>
        <color theme="1"/>
        <rFont val="宋体"/>
        <family val="1"/>
        <charset val="134"/>
      </rPr>
      <t>天内掌握任何你熟知的生物的具体位置，只要该生物位于你据点</t>
    </r>
    <r>
      <rPr>
        <sz val="11"/>
        <color theme="1"/>
        <rFont val="Times New Roman"/>
        <family val="1"/>
        <charset val="134"/>
      </rPr>
      <t xml:space="preserve"> 50 </t>
    </r>
    <r>
      <rPr>
        <sz val="11"/>
        <color theme="1"/>
        <rFont val="宋体"/>
        <family val="1"/>
        <charset val="134"/>
      </rPr>
      <t>里以内，并且没有被魔法隐藏起来或身处</t>
    </r>
    <r>
      <rPr>
        <sz val="11"/>
        <color theme="1"/>
        <rFont val="Times New Roman"/>
        <family val="1"/>
        <charset val="134"/>
      </rPr>
      <t xml:space="preserve"> DM </t>
    </r>
    <r>
      <rPr>
        <sz val="11"/>
        <color theme="1"/>
        <rFont val="宋体"/>
        <family val="1"/>
        <charset val="134"/>
      </rPr>
      <t>认为间谍无法追踪到的地点。如果一个生物的位置被间谍掌握到了，那么间谍同时也会得知该生物在之前的</t>
    </r>
    <r>
      <rPr>
        <sz val="11"/>
        <color theme="1"/>
        <rFont val="Times New Roman"/>
        <family val="1"/>
        <charset val="134"/>
      </rPr>
      <t>7</t>
    </r>
    <r>
      <rPr>
        <sz val="11"/>
        <color theme="1"/>
        <rFont val="宋体"/>
        <family val="1"/>
        <charset val="134"/>
      </rPr>
      <t>天时间里到达过的位置。</t>
    </r>
    <r>
      <rPr>
        <sz val="11"/>
        <color theme="1"/>
        <rFont val="Times New Roman"/>
        <family val="1"/>
        <charset val="134"/>
      </rPr>
      <t xml:space="preserve">
</t>
    </r>
    <r>
      <rPr>
        <sz val="11"/>
        <color theme="1"/>
        <rFont val="宋体"/>
        <family val="1"/>
        <charset val="134"/>
      </rPr>
      <t>酒馆特饮</t>
    </r>
    <r>
      <rPr>
        <sz val="11"/>
        <color theme="1"/>
        <rFont val="Times New Roman"/>
        <family val="1"/>
        <charset val="134"/>
      </rPr>
      <t xml:space="preserve"> Pub’s Special </t>
    </r>
    <r>
      <rPr>
        <sz val="11"/>
        <color theme="1"/>
        <rFont val="宋体"/>
        <family val="1"/>
        <charset val="134"/>
      </rPr>
      <t>：酒馆供应一种魔法饮料，从下列选项中选择一项：</t>
    </r>
    <r>
      <rPr>
        <sz val="11"/>
        <color theme="1"/>
        <rFont val="Times New Roman"/>
        <family val="1"/>
        <charset val="134"/>
      </rPr>
      <t xml:space="preserve">
</t>
    </r>
    <r>
      <rPr>
        <sz val="11"/>
        <color theme="1"/>
        <rFont val="宋体"/>
        <family val="1"/>
        <charset val="134"/>
      </rPr>
      <t>毕格比之重</t>
    </r>
    <r>
      <rPr>
        <sz val="11"/>
        <color theme="1"/>
        <rFont val="Times New Roman"/>
        <family val="1"/>
        <charset val="134"/>
      </rPr>
      <t xml:space="preserve"> Bigby’s Burden </t>
    </r>
    <r>
      <rPr>
        <sz val="11"/>
        <color theme="1"/>
        <rFont val="宋体"/>
        <family val="1"/>
        <charset val="134"/>
      </rPr>
      <t>：喝下一品脱这种饮料，你将获得法术变大</t>
    </r>
    <r>
      <rPr>
        <sz val="11"/>
        <color theme="1"/>
        <rFont val="Times New Roman"/>
        <family val="1"/>
        <charset val="134"/>
      </rPr>
      <t>/</t>
    </r>
    <r>
      <rPr>
        <sz val="11"/>
        <color theme="1"/>
        <rFont val="宋体"/>
        <family val="1"/>
        <charset val="134"/>
      </rPr>
      <t>缩小术</t>
    </r>
    <r>
      <rPr>
        <sz val="11"/>
        <color theme="1"/>
        <rFont val="Times New Roman"/>
        <family val="1"/>
        <charset val="134"/>
      </rPr>
      <t xml:space="preserve"> Enlarge/Reduce </t>
    </r>
    <r>
      <rPr>
        <sz val="11"/>
        <color theme="1"/>
        <rFont val="宋体"/>
        <family val="1"/>
        <charset val="134"/>
      </rPr>
      <t>中“变大”的效应，该效应持续</t>
    </r>
    <r>
      <rPr>
        <sz val="11"/>
        <color theme="1"/>
        <rFont val="Times New Roman"/>
        <family val="1"/>
        <charset val="134"/>
      </rPr>
      <t>24</t>
    </r>
    <r>
      <rPr>
        <sz val="11"/>
        <color theme="1"/>
        <rFont val="宋体"/>
        <family val="1"/>
        <charset val="134"/>
      </rPr>
      <t>小时（无法进行豁免）。</t>
    </r>
    <r>
      <rPr>
        <sz val="11"/>
        <color theme="1"/>
        <rFont val="Times New Roman"/>
        <family val="1"/>
        <charset val="134"/>
      </rPr>
      <t xml:space="preserve">
</t>
    </r>
    <r>
      <rPr>
        <sz val="11"/>
        <color theme="1"/>
        <rFont val="宋体"/>
        <family val="1"/>
        <charset val="134"/>
      </rPr>
      <t>蛛后之吻</t>
    </r>
    <r>
      <rPr>
        <sz val="11"/>
        <color theme="1"/>
        <rFont val="Times New Roman"/>
        <family val="1"/>
        <charset val="134"/>
      </rPr>
      <t xml:space="preserve"> Kiss of the Spider Queen </t>
    </r>
    <r>
      <rPr>
        <sz val="11"/>
        <color theme="1"/>
        <rFont val="宋体"/>
        <family val="1"/>
        <charset val="134"/>
      </rPr>
      <t>：喝下一品脱这种饮料，你将获得法术蛛行术</t>
    </r>
    <r>
      <rPr>
        <sz val="11"/>
        <color theme="1"/>
        <rFont val="Times New Roman"/>
        <family val="1"/>
        <charset val="134"/>
      </rPr>
      <t xml:space="preserve"> Spider Climb </t>
    </r>
    <r>
      <rPr>
        <sz val="11"/>
        <color theme="1"/>
        <rFont val="宋体"/>
        <family val="1"/>
        <charset val="134"/>
      </rPr>
      <t>的效应，该效应持续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月光小夜曲</t>
    </r>
    <r>
      <rPr>
        <sz val="11"/>
        <color theme="1"/>
        <rFont val="Times New Roman"/>
        <family val="1"/>
        <charset val="134"/>
      </rPr>
      <t xml:space="preserve"> Moonlight Serenade </t>
    </r>
    <r>
      <rPr>
        <sz val="11"/>
        <color theme="1"/>
        <rFont val="宋体"/>
        <family val="1"/>
        <charset val="134"/>
      </rPr>
      <t>：喝下一品脱这种饮料，你将获得</t>
    </r>
    <r>
      <rPr>
        <sz val="11"/>
        <color theme="1"/>
        <rFont val="Times New Roman"/>
        <family val="1"/>
        <charset val="134"/>
      </rPr>
      <t>60</t>
    </r>
    <r>
      <rPr>
        <sz val="11"/>
        <color theme="1"/>
        <rFont val="宋体"/>
        <family val="1"/>
        <charset val="134"/>
      </rPr>
      <t>尺黑暗视觉</t>
    </r>
    <r>
      <rPr>
        <sz val="11"/>
        <color theme="1"/>
        <rFont val="Times New Roman"/>
        <family val="1"/>
        <charset val="134"/>
      </rPr>
      <t xml:space="preserve"> Darkvision</t>
    </r>
    <r>
      <rPr>
        <sz val="11"/>
        <color theme="1"/>
        <rFont val="宋体"/>
        <family val="1"/>
        <charset val="134"/>
      </rPr>
      <t>，持续</t>
    </r>
    <r>
      <rPr>
        <sz val="11"/>
        <color theme="1"/>
        <rFont val="Times New Roman"/>
        <family val="1"/>
        <charset val="134"/>
      </rPr>
      <t>24</t>
    </r>
    <r>
      <rPr>
        <sz val="11"/>
        <color theme="1"/>
        <rFont val="宋体"/>
        <family val="1"/>
        <charset val="134"/>
      </rPr>
      <t>小时。如果你已经拥有黑暗视觉，则其范围扩大</t>
    </r>
    <r>
      <rPr>
        <sz val="11"/>
        <color theme="1"/>
        <rFont val="Times New Roman"/>
        <family val="1"/>
        <charset val="134"/>
      </rPr>
      <t>60</t>
    </r>
    <r>
      <rPr>
        <sz val="11"/>
        <color theme="1"/>
        <rFont val="宋体"/>
        <family val="1"/>
        <charset val="134"/>
      </rPr>
      <t>尺，持续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正能量支援</t>
    </r>
    <r>
      <rPr>
        <sz val="11"/>
        <color theme="1"/>
        <rFont val="Times New Roman"/>
        <family val="1"/>
        <charset val="134"/>
      </rPr>
      <t xml:space="preserve"> Positive Reinforcement </t>
    </r>
    <r>
      <rPr>
        <sz val="11"/>
        <color theme="1"/>
        <rFont val="宋体"/>
        <family val="1"/>
        <charset val="134"/>
      </rPr>
      <t>：喝下一品脱这种饮料，你将获得对暗蚀</t>
    </r>
    <r>
      <rPr>
        <sz val="11"/>
        <color theme="1"/>
        <rFont val="Times New Roman"/>
        <family val="1"/>
        <charset val="134"/>
      </rPr>
      <t xml:space="preserve"> Necrotic</t>
    </r>
    <r>
      <rPr>
        <sz val="11"/>
        <color theme="1"/>
        <rFont val="宋体"/>
        <family val="1"/>
        <charset val="134"/>
      </rPr>
      <t>伤害的抗性</t>
    </r>
    <r>
      <rPr>
        <sz val="11"/>
        <color theme="1"/>
        <rFont val="Times New Roman"/>
        <family val="1"/>
        <charset val="134"/>
      </rPr>
      <t xml:space="preserve"> Resistance</t>
    </r>
    <r>
      <rPr>
        <sz val="11"/>
        <color theme="1"/>
        <rFont val="宋体"/>
        <family val="1"/>
        <charset val="134"/>
      </rPr>
      <t>，持续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坚强特饮</t>
    </r>
    <r>
      <rPr>
        <sz val="11"/>
        <color theme="1"/>
        <rFont val="Times New Roman"/>
        <family val="1"/>
        <charset val="134"/>
      </rPr>
      <t xml:space="preserve"> Sterner Stuff </t>
    </r>
    <r>
      <rPr>
        <sz val="11"/>
        <color theme="1"/>
        <rFont val="宋体"/>
        <family val="1"/>
        <charset val="134"/>
      </rPr>
      <t>：喝下一品脱这种饮料，你将在所有为避免或结束恐慌</t>
    </r>
    <r>
      <rPr>
        <sz val="11"/>
        <color theme="1"/>
        <rFont val="Times New Roman"/>
        <family val="1"/>
        <charset val="134"/>
      </rPr>
      <t xml:space="preserve"> Frightened</t>
    </r>
    <r>
      <rPr>
        <sz val="11"/>
        <color theme="1"/>
        <rFont val="宋体"/>
        <family val="1"/>
        <charset val="134"/>
      </rPr>
      <t>状态所做的豁免中自动成功，此效应持续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在每个据点回合开始时，你可以改变魔法饮料的种类。</t>
    </r>
    <r>
      <rPr>
        <sz val="11"/>
        <color theme="1"/>
        <rFont val="Times New Roman"/>
        <family val="1"/>
        <charset val="134"/>
      </rPr>
      <t>DM</t>
    </r>
    <r>
      <rPr>
        <sz val="11"/>
        <color theme="1"/>
        <rFont val="宋体"/>
        <family val="1"/>
        <charset val="134"/>
      </rPr>
      <t>可以创作更多可选的魔法饮料。魔法饮料如果在被倒出后的</t>
    </r>
    <r>
      <rPr>
        <sz val="11"/>
        <color theme="1"/>
        <rFont val="Times New Roman"/>
        <family val="1"/>
        <charset val="134"/>
      </rPr>
      <t xml:space="preserve"> 24 </t>
    </r>
    <r>
      <rPr>
        <sz val="11"/>
        <color theme="1"/>
        <rFont val="宋体"/>
        <family val="1"/>
        <charset val="134"/>
      </rPr>
      <t>小时内没有被喝下，就会失去魔力。</t>
    </r>
    <r>
      <rPr>
        <sz val="11"/>
        <color theme="1"/>
        <rFont val="Times New Roman"/>
        <family val="1"/>
        <charset val="134"/>
      </rPr>
      <t xml:space="preserve">
</t>
    </r>
    <r>
      <rPr>
        <sz val="11"/>
        <color theme="1"/>
        <rFont val="宋体"/>
        <family val="1"/>
        <charset val="134"/>
      </rPr>
      <t>扩大设施</t>
    </r>
    <r>
      <rPr>
        <sz val="11"/>
        <color theme="1"/>
        <rFont val="Times New Roman"/>
        <family val="1"/>
        <charset val="134"/>
      </rPr>
      <t xml:space="preserve"> Enlarging the Facility </t>
    </r>
    <r>
      <rPr>
        <sz val="11"/>
        <color theme="1"/>
        <rFont val="宋体"/>
        <family val="1"/>
        <charset val="134"/>
      </rPr>
      <t>：你可以花费</t>
    </r>
    <r>
      <rPr>
        <sz val="11"/>
        <color theme="1"/>
        <rFont val="Times New Roman"/>
        <family val="1"/>
        <charset val="134"/>
      </rPr>
      <t xml:space="preserve"> 2000 GP </t>
    </r>
    <r>
      <rPr>
        <sz val="11"/>
        <color theme="1"/>
        <rFont val="宋体"/>
        <family val="1"/>
        <charset val="134"/>
      </rPr>
      <t>，将酒馆扩大为庞大设施。这样做之后，酒馆将同时供应两种酒馆特饮。庞大的酒馆获得额外三名雇员，共计四名雇员。新招募的雇员将担任酒馆的服务生，你可以按自己的喜好为他们分配姓名和个性。</t>
    </r>
    <phoneticPr fontId="68" type="noConversion"/>
  </si>
  <si>
    <t>圣物库</t>
    <phoneticPr fontId="68" type="noConversion"/>
  </si>
  <si>
    <r>
      <rPr>
        <sz val="11"/>
        <color theme="1"/>
        <rFont val="宋体"/>
        <family val="1"/>
        <charset val="134"/>
      </rPr>
      <t>这个宝库存放着神圣物件。</t>
    </r>
    <r>
      <rPr>
        <sz val="11"/>
        <color theme="1"/>
        <rFont val="Times New Roman"/>
        <family val="1"/>
        <charset val="134"/>
      </rPr>
      <t xml:space="preserve">
</t>
    </r>
    <r>
      <rPr>
        <sz val="11"/>
        <color theme="1"/>
        <rFont val="宋体"/>
        <family val="1"/>
        <charset val="134"/>
      </rPr>
      <t>圣物护咒</t>
    </r>
    <r>
      <rPr>
        <sz val="11"/>
        <color theme="1"/>
        <rFont val="Times New Roman"/>
        <family val="1"/>
        <charset val="134"/>
      </rPr>
      <t xml:space="preserve"> Reliquary Charm </t>
    </r>
    <r>
      <rPr>
        <sz val="11"/>
        <color theme="1"/>
        <rFont val="宋体"/>
        <family val="1"/>
        <charset val="134"/>
      </rPr>
      <t>：当你在据点内完成一次长休后，你获得一个魔法护咒</t>
    </r>
    <r>
      <rPr>
        <sz val="11"/>
        <color theme="1"/>
        <rFont val="Times New Roman"/>
        <family val="1"/>
        <charset val="134"/>
      </rPr>
      <t xml:space="preserve"> Charm</t>
    </r>
    <r>
      <rPr>
        <sz val="11"/>
        <color theme="1"/>
        <rFont val="宋体"/>
        <family val="1"/>
        <charset val="134"/>
      </rPr>
      <t>（见第三章“超自然恩惠”一节），该护咒持续</t>
    </r>
    <r>
      <rPr>
        <sz val="11"/>
        <color theme="1"/>
        <rFont val="Times New Roman"/>
        <family val="1"/>
        <charset val="134"/>
      </rPr>
      <t>7</t>
    </r>
    <r>
      <rPr>
        <sz val="11"/>
        <color theme="1"/>
        <rFont val="宋体"/>
        <family val="1"/>
        <charset val="134"/>
      </rPr>
      <t>天或持续至你将其使用为止。该护咒允许你施展一次高等复原术</t>
    </r>
    <r>
      <rPr>
        <sz val="11"/>
        <color theme="1"/>
        <rFont val="Times New Roman"/>
        <family val="1"/>
        <charset val="134"/>
      </rPr>
      <t xml:space="preserve"> Greater Restoration </t>
    </r>
    <r>
      <rPr>
        <sz val="11"/>
        <color theme="1"/>
        <rFont val="宋体"/>
        <family val="1"/>
        <charset val="134"/>
      </rPr>
      <t>，无需消耗法术位也无需材料成分。你无法在已拥有该护咒时再次获得它。</t>
    </r>
    <r>
      <rPr>
        <sz val="11"/>
        <color theme="1"/>
        <rFont val="Times New Roman"/>
        <family val="1"/>
        <charset val="134"/>
      </rPr>
      <t xml:space="preserve">
</t>
    </r>
    <r>
      <rPr>
        <sz val="11"/>
        <color theme="1"/>
        <rFont val="宋体"/>
        <family val="1"/>
        <charset val="134"/>
      </rPr>
      <t>收获：护符</t>
    </r>
    <r>
      <rPr>
        <sz val="11"/>
        <color theme="1"/>
        <rFont val="Times New Roman"/>
        <family val="1"/>
        <charset val="134"/>
      </rPr>
      <t xml:space="preserve"> Harvest</t>
    </r>
    <r>
      <rPr>
        <sz val="11"/>
        <color theme="1"/>
        <rFont val="宋体"/>
        <family val="1"/>
        <charset val="134"/>
      </rPr>
      <t>：</t>
    </r>
    <r>
      <rPr>
        <sz val="11"/>
        <color theme="1"/>
        <rFont val="Times New Roman"/>
        <family val="1"/>
        <charset val="134"/>
      </rPr>
      <t xml:space="preserve">Talisman </t>
    </r>
    <r>
      <rPr>
        <sz val="11"/>
        <color theme="1"/>
        <rFont val="宋体"/>
        <family val="1"/>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charset val="134"/>
      </rPr>
      <t xml:space="preserve"> 7 </t>
    </r>
    <r>
      <rPr>
        <sz val="11"/>
        <color theme="1"/>
        <rFont val="宋体"/>
        <family val="1"/>
        <charset val="134"/>
      </rPr>
      <t>天时间并且不花费任何金钱。你可以用该护符替代任何一个法术的材料成分，只要该法术的材料成分价格不超过</t>
    </r>
    <r>
      <rPr>
        <sz val="11"/>
        <color theme="1"/>
        <rFont val="Times New Roman"/>
        <family val="1"/>
        <charset val="134"/>
      </rPr>
      <t xml:space="preserve"> 1000 GP</t>
    </r>
    <r>
      <rPr>
        <sz val="11"/>
        <color theme="1"/>
        <rFont val="宋体"/>
        <family val="1"/>
        <charset val="134"/>
      </rPr>
      <t>。在护符以这种方式被使用一次之后，它便不能再次被使用，直至你将其送回圣物库并重新下达一次收获指令将其祝圣。</t>
    </r>
    <phoneticPr fontId="68" type="noConversion"/>
  </si>
  <si>
    <t>半位面</t>
    <phoneticPr fontId="68" type="noConversion"/>
  </si>
  <si>
    <r>
      <rPr>
        <sz val="11"/>
        <color theme="1"/>
        <rFont val="宋体"/>
        <family val="1"/>
        <charset val="134"/>
      </rPr>
      <t>一个至多</t>
    </r>
    <r>
      <rPr>
        <sz val="11"/>
        <color theme="1"/>
        <rFont val="Times New Roman"/>
        <family val="1"/>
        <charset val="134"/>
      </rPr>
      <t>5</t>
    </r>
    <r>
      <rPr>
        <sz val="11"/>
        <color theme="1"/>
        <rFont val="宋体"/>
        <family val="1"/>
        <charset val="134"/>
      </rPr>
      <t>尺宽，</t>
    </r>
    <r>
      <rPr>
        <sz val="11"/>
        <color theme="1"/>
        <rFont val="Times New Roman"/>
        <family val="1"/>
        <charset val="134"/>
      </rPr>
      <t>10</t>
    </r>
    <r>
      <rPr>
        <sz val="11"/>
        <color theme="1"/>
        <rFont val="宋体"/>
        <family val="1"/>
        <charset val="134"/>
      </rPr>
      <t>尺高的门出现在你据点里某个设施内的一个平坦，坚硬的表面。其位置由你选择。如果你位于你的据点内，你可以将这道门移动到另一个设施里。</t>
    </r>
    <r>
      <rPr>
        <sz val="11"/>
        <color theme="1"/>
        <rFont val="Times New Roman"/>
        <family val="1"/>
        <charset val="134"/>
      </rPr>
      <t xml:space="preserve">
</t>
    </r>
    <r>
      <rPr>
        <sz val="11"/>
        <color theme="1"/>
        <rFont val="宋体"/>
        <family val="1"/>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charset val="134"/>
      </rPr>
      <t xml:space="preserve">
</t>
    </r>
    <r>
      <rPr>
        <sz val="11"/>
        <color theme="1"/>
        <rFont val="宋体"/>
        <family val="1"/>
        <charset val="134"/>
      </rPr>
      <t>增强：奥术活力</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Arcane Resilience :</t>
    </r>
    <r>
      <rPr>
        <sz val="11"/>
        <color theme="1"/>
        <rFont val="宋体"/>
        <family val="1"/>
        <charset val="134"/>
      </rPr>
      <t>当你对此设施下达增强指令时，魔法符文将在半位面的墙壁上浮现，持续</t>
    </r>
    <r>
      <rPr>
        <sz val="11"/>
        <color theme="1"/>
        <rFont val="Times New Roman"/>
        <family val="1"/>
        <charset val="134"/>
      </rPr>
      <t>7</t>
    </r>
    <r>
      <rPr>
        <sz val="11"/>
        <color theme="1"/>
        <rFont val="宋体"/>
        <family val="1"/>
        <charset val="134"/>
      </rPr>
      <t>天时间。在符文消失前，如果你在半位面内进行了一整个长休</t>
    </r>
    <r>
      <rPr>
        <sz val="11"/>
        <color theme="1"/>
        <rFont val="Times New Roman"/>
        <family val="1"/>
        <charset val="134"/>
      </rPr>
      <t xml:space="preserve"> Long Rest</t>
    </r>
    <r>
      <rPr>
        <sz val="11"/>
        <color theme="1"/>
        <rFont val="宋体"/>
        <family val="1"/>
        <charset val="134"/>
      </rPr>
      <t>，你将获得等同于你等级</t>
    </r>
    <r>
      <rPr>
        <sz val="11"/>
        <color theme="1"/>
        <rFont val="Times New Roman"/>
        <family val="1"/>
        <charset val="134"/>
      </rPr>
      <t>5</t>
    </r>
    <r>
      <rPr>
        <sz val="11"/>
        <color theme="1"/>
        <rFont val="宋体"/>
        <family val="1"/>
        <charset val="134"/>
      </rPr>
      <t>倍的临时生命值</t>
    </r>
    <r>
      <rPr>
        <sz val="11"/>
        <color theme="1"/>
        <rFont val="Times New Roman"/>
        <family val="1"/>
        <charset val="134"/>
      </rPr>
      <t xml:space="preserve"> Temporary Hit Point</t>
    </r>
    <r>
      <rPr>
        <sz val="11"/>
        <color theme="1"/>
        <rFont val="宋体"/>
        <family val="1"/>
        <charset val="134"/>
      </rPr>
      <t>。</t>
    </r>
    <r>
      <rPr>
        <sz val="11"/>
        <color theme="1"/>
        <rFont val="Times New Roman"/>
        <family val="1"/>
        <charset val="134"/>
      </rPr>
      <t xml:space="preserve">
</t>
    </r>
    <r>
      <rPr>
        <sz val="11"/>
        <color theme="1"/>
        <rFont val="宋体"/>
        <family val="1"/>
        <charset val="134"/>
      </rPr>
      <t>造物</t>
    </r>
    <r>
      <rPr>
        <sz val="11"/>
        <color theme="1"/>
        <rFont val="Times New Roman"/>
        <family val="1"/>
        <charset val="134"/>
      </rPr>
      <t xml:space="preserve"> Fabrication :</t>
    </r>
    <r>
      <rPr>
        <sz val="11"/>
        <color theme="1"/>
        <rFont val="宋体"/>
        <family val="1"/>
        <charset val="134"/>
      </rPr>
      <t>位于半位面内时，你可以用一个魔法</t>
    </r>
    <r>
      <rPr>
        <sz val="11"/>
        <color theme="1"/>
        <rFont val="Times New Roman"/>
        <family val="1"/>
        <charset val="134"/>
      </rPr>
      <t xml:space="preserve"> Magic</t>
    </r>
    <r>
      <rPr>
        <sz val="11"/>
        <color theme="1"/>
        <rFont val="宋体"/>
        <family val="1"/>
        <charset val="134"/>
      </rPr>
      <t>动作，凭空创造一个你所选择的非魔法物件。该物件会出现在半位面内的一个未被占据的空间。该物件不能在任何方向上超过</t>
    </r>
    <r>
      <rPr>
        <sz val="11"/>
        <color theme="1"/>
        <rFont val="Times New Roman"/>
        <family val="1"/>
        <charset val="134"/>
      </rPr>
      <t>5</t>
    </r>
    <r>
      <rPr>
        <sz val="11"/>
        <color theme="1"/>
        <rFont val="宋体"/>
        <family val="1"/>
        <charset val="134"/>
      </rPr>
      <t>尺长，其价值不能超过</t>
    </r>
    <r>
      <rPr>
        <sz val="11"/>
        <color theme="1"/>
        <rFont val="Times New Roman"/>
        <family val="1"/>
        <charset val="134"/>
      </rPr>
      <t xml:space="preserve"> 5 GP</t>
    </r>
    <r>
      <rPr>
        <sz val="11"/>
        <color theme="1"/>
        <rFont val="宋体"/>
        <family val="1"/>
        <charset val="134"/>
      </rPr>
      <t>，并且必须由木头、石头、黏土、陶瓷、纸张、无价值的水晶或者非贵重金属构成。你不能再次使用该魔法动作，直至你完成一次长休。</t>
    </r>
    <phoneticPr fontId="68" type="noConversion"/>
  </si>
  <si>
    <t>公会大厅</t>
    <phoneticPr fontId="68" type="noConversion"/>
  </si>
  <si>
    <t>专精于一项技能</t>
    <phoneticPr fontId="68" type="noConversion"/>
  </si>
  <si>
    <r>
      <rPr>
        <sz val="11"/>
        <color theme="1"/>
        <rFont val="宋体"/>
        <family val="1"/>
        <charset val="134"/>
      </rPr>
      <t>建立公会大厅意味着一个公会的成立，而你就是公会的会长。从范例公会</t>
    </r>
    <r>
      <rPr>
        <sz val="11"/>
        <color theme="1"/>
        <rFont val="Times New Roman"/>
        <family val="1"/>
        <charset val="134"/>
      </rPr>
      <t xml:space="preserve"> Sample Guilds </t>
    </r>
    <r>
      <rPr>
        <sz val="11"/>
        <color theme="1"/>
        <rFont val="宋体"/>
        <family val="1"/>
        <charset val="134"/>
      </rPr>
      <t>表格中选择一项，或者和</t>
    </r>
    <r>
      <rPr>
        <sz val="11"/>
        <color theme="1"/>
        <rFont val="Times New Roman"/>
        <family val="1"/>
        <charset val="134"/>
      </rPr>
      <t>DM</t>
    </r>
    <r>
      <rPr>
        <sz val="11"/>
        <color theme="1"/>
        <rFont val="宋体"/>
        <family val="1"/>
        <charset val="134"/>
      </rPr>
      <t>协商来创造一种新的公会。此设施是你公会的会议室，在这里，你公会的成员们可以在你面前讨论各种重要事项。</t>
    </r>
    <r>
      <rPr>
        <sz val="11"/>
        <color theme="1"/>
        <rFont val="Times New Roman"/>
        <family val="1"/>
        <charset val="134"/>
      </rPr>
      <t xml:space="preserve">
</t>
    </r>
    <r>
      <rPr>
        <sz val="11"/>
        <color theme="1"/>
        <rFont val="宋体"/>
        <family val="1"/>
        <charset val="134"/>
      </rPr>
      <t xml:space="preserve">你的公会由大约五十名技艺精湛的成员组成，他们在居住和工作在你据点之外的地方，通常是靠近这里的聚落。
</t>
    </r>
    <r>
      <rPr>
        <sz val="11"/>
        <color theme="1"/>
        <rFont val="Times New Roman"/>
        <family val="1"/>
        <charset val="134"/>
      </rPr>
      <t xml:space="preserve">
</t>
    </r>
    <r>
      <rPr>
        <sz val="11"/>
        <color theme="1"/>
        <rFont val="宋体"/>
        <family val="1"/>
        <charset val="134"/>
      </rPr>
      <t>招募：公会任务</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Guild Assignment </t>
    </r>
    <r>
      <rPr>
        <sz val="11"/>
        <color theme="1"/>
        <rFont val="宋体"/>
        <family val="1"/>
        <charset val="134"/>
      </rPr>
      <t>：每当你对此设施下达招募指令时，你委托设施雇员招募公会成员来执行一项特别任务。范例公会表格中给出了每个公会的任务形式。在</t>
    </r>
    <r>
      <rPr>
        <sz val="11"/>
        <color theme="1"/>
        <rFont val="Times New Roman"/>
        <family val="1"/>
        <charset val="134"/>
      </rPr>
      <t>DM</t>
    </r>
    <r>
      <rPr>
        <sz val="11"/>
        <color theme="1"/>
        <rFont val="宋体"/>
        <family val="1"/>
        <charset val="134"/>
      </rPr>
      <t>的协助下，你可以创作新的任务交给公会成员执行。</t>
    </r>
    <r>
      <rPr>
        <sz val="11"/>
        <color theme="1"/>
        <rFont val="Times New Roman"/>
        <family val="1"/>
        <charset val="134"/>
      </rPr>
      <t xml:space="preserve">
</t>
    </r>
    <r>
      <rPr>
        <sz val="11"/>
        <color theme="1"/>
        <rFont val="宋体"/>
        <family val="1"/>
        <charset val="134"/>
      </rPr>
      <t>范例公会</t>
    </r>
    <r>
      <rPr>
        <sz val="11"/>
        <color theme="1"/>
        <rFont val="Times New Roman"/>
        <family val="1"/>
        <charset val="134"/>
      </rPr>
      <t xml:space="preserve"> Sample Guilds
</t>
    </r>
    <r>
      <rPr>
        <sz val="11"/>
        <color theme="1"/>
        <rFont val="宋体"/>
        <family val="1"/>
        <charset val="134"/>
      </rPr>
      <t>公会</t>
    </r>
    <r>
      <rPr>
        <sz val="11"/>
        <color theme="1"/>
        <rFont val="Times New Roman"/>
        <family val="1"/>
        <charset val="134"/>
      </rPr>
      <t xml:space="preserve">  </t>
    </r>
    <r>
      <rPr>
        <sz val="11"/>
        <color theme="1"/>
        <rFont val="宋体"/>
        <family val="1"/>
        <charset val="134"/>
      </rPr>
      <t>标志</t>
    </r>
    <r>
      <rPr>
        <sz val="11"/>
        <color theme="1"/>
        <rFont val="Times New Roman"/>
        <family val="1"/>
        <charset val="134"/>
      </rPr>
      <t xml:space="preserve"> </t>
    </r>
    <r>
      <rPr>
        <sz val="11"/>
        <color theme="1"/>
        <rFont val="宋体"/>
        <family val="1"/>
        <charset val="134"/>
      </rPr>
      <t>任务</t>
    </r>
    <r>
      <rPr>
        <sz val="11"/>
        <color theme="1"/>
        <rFont val="Times New Roman"/>
        <family val="1"/>
        <charset val="134"/>
      </rPr>
      <t xml:space="preserve">
</t>
    </r>
    <r>
      <rPr>
        <sz val="11"/>
        <color theme="1"/>
        <rFont val="宋体"/>
        <family val="1"/>
        <charset val="134"/>
      </rPr>
      <t>冒险者公会</t>
    </r>
    <r>
      <rPr>
        <sz val="11"/>
        <color theme="1"/>
        <rFont val="Times New Roman"/>
        <family val="1"/>
        <charset val="134"/>
      </rPr>
      <t xml:space="preserve"> </t>
    </r>
    <r>
      <rPr>
        <sz val="11"/>
        <color theme="1"/>
        <rFont val="宋体"/>
        <family val="1"/>
        <charset val="134"/>
      </rPr>
      <t>点燃的火炬</t>
    </r>
    <r>
      <rPr>
        <sz val="11"/>
        <color theme="1"/>
        <rFont val="Times New Roman"/>
        <family val="1"/>
        <charset val="134"/>
      </rPr>
      <t xml:space="preserve">
 </t>
    </r>
    <r>
      <rPr>
        <sz val="11"/>
        <color theme="1"/>
        <rFont val="宋体"/>
        <family val="1"/>
        <charset val="134"/>
      </rPr>
      <t>你委托冒险者去追捕一只挑战等级</t>
    </r>
    <r>
      <rPr>
        <sz val="11"/>
        <color theme="1"/>
        <rFont val="Times New Roman"/>
        <family val="1"/>
        <charset val="134"/>
      </rPr>
      <t xml:space="preserve"> Challenge Rating</t>
    </r>
    <r>
      <rPr>
        <sz val="11"/>
        <color theme="1"/>
        <rFont val="宋体"/>
        <family val="1"/>
        <charset val="134"/>
      </rPr>
      <t>不高于</t>
    </r>
    <r>
      <rPr>
        <sz val="11"/>
        <color theme="1"/>
        <rFont val="Times New Roman"/>
        <family val="1"/>
        <charset val="134"/>
      </rPr>
      <t>2</t>
    </r>
    <r>
      <rPr>
        <sz val="11"/>
        <color theme="1"/>
        <rFont val="宋体"/>
        <family val="1"/>
        <charset val="134"/>
      </rPr>
      <t>的野兽</t>
    </r>
    <r>
      <rPr>
        <sz val="11"/>
        <color theme="1"/>
        <rFont val="Times New Roman"/>
        <family val="1"/>
        <charset val="134"/>
      </rPr>
      <t xml:space="preserve"> Beast</t>
    </r>
    <r>
      <rPr>
        <sz val="11"/>
        <color theme="1"/>
        <rFont val="宋体"/>
        <family val="1"/>
        <charset val="134"/>
      </rPr>
      <t>，该野兽被认为栖息在你据点周围</t>
    </r>
    <r>
      <rPr>
        <sz val="11"/>
        <color theme="1"/>
        <rFont val="Times New Roman"/>
        <family val="1"/>
        <charset val="134"/>
      </rPr>
      <t>50</t>
    </r>
    <r>
      <rPr>
        <sz val="11"/>
        <color theme="1"/>
        <rFont val="宋体"/>
        <family val="1"/>
        <charset val="134"/>
      </rPr>
      <t>里内。冒险者们在</t>
    </r>
    <r>
      <rPr>
        <sz val="11"/>
        <color theme="1"/>
        <rFont val="Times New Roman"/>
        <family val="1"/>
        <charset val="134"/>
      </rPr>
      <t>1d6+1</t>
    </r>
    <r>
      <rPr>
        <sz val="11"/>
        <color theme="1"/>
        <rFont val="宋体"/>
        <family val="1"/>
        <charset val="134"/>
      </rPr>
      <t>天内杀死或捕获该生物（由你选择）。如果该生物被杀死而你的据点内有一个陈列室</t>
    </r>
    <r>
      <rPr>
        <sz val="11"/>
        <color theme="1"/>
        <rFont val="Times New Roman"/>
        <family val="1"/>
        <charset val="134"/>
      </rPr>
      <t xml:space="preserve"> Trophy Room</t>
    </r>
    <r>
      <rPr>
        <sz val="11"/>
        <color theme="1"/>
        <rFont val="宋体"/>
        <family val="1"/>
        <charset val="134"/>
      </rPr>
      <t>，你可以将一份从该生物身上获取的猎获添加到陈列室内。如果该生物被捕获而你的据点内有一个动物园</t>
    </r>
    <r>
      <rPr>
        <sz val="11"/>
        <color theme="1"/>
        <rFont val="Times New Roman"/>
        <family val="1"/>
        <charset val="134"/>
      </rPr>
      <t xml:space="preserve"> Menagerie </t>
    </r>
    <r>
      <rPr>
        <sz val="11"/>
        <color theme="1"/>
        <rFont val="宋体"/>
        <family val="1"/>
        <charset val="134"/>
      </rPr>
      <t>，你可以将该生物添加到动物园内，前提是该设施有空间容纳它。</t>
    </r>
    <r>
      <rPr>
        <sz val="11"/>
        <color theme="1"/>
        <rFont val="Times New Roman"/>
        <family val="1"/>
        <charset val="134"/>
      </rPr>
      <t xml:space="preserve">
</t>
    </r>
    <r>
      <rPr>
        <sz val="11"/>
        <color theme="1"/>
        <rFont val="宋体"/>
        <family val="1"/>
        <charset val="134"/>
      </rPr>
      <t>烘培师公会</t>
    </r>
    <r>
      <rPr>
        <sz val="11"/>
        <color theme="1"/>
        <rFont val="Times New Roman"/>
        <family val="1"/>
        <charset val="134"/>
      </rPr>
      <t xml:space="preserve"> </t>
    </r>
    <r>
      <rPr>
        <sz val="11"/>
        <color theme="1"/>
        <rFont val="宋体"/>
        <family val="1"/>
        <charset val="134"/>
      </rPr>
      <t>甜点</t>
    </r>
    <r>
      <rPr>
        <sz val="11"/>
        <color theme="1"/>
        <rFont val="Times New Roman"/>
        <family val="1"/>
        <charset val="134"/>
      </rPr>
      <t xml:space="preserve">
 </t>
    </r>
    <r>
      <rPr>
        <sz val="11"/>
        <color theme="1"/>
        <rFont val="宋体"/>
        <family val="1"/>
        <charset val="134"/>
      </rPr>
      <t>你委托烘培师为即将在</t>
    </r>
    <r>
      <rPr>
        <sz val="11"/>
        <color theme="1"/>
        <rFont val="Times New Roman"/>
        <family val="1"/>
        <charset val="134"/>
      </rPr>
      <t xml:space="preserve"> 7 </t>
    </r>
    <r>
      <rPr>
        <sz val="11"/>
        <color theme="1"/>
        <rFont val="宋体"/>
        <family val="1"/>
        <charset val="134"/>
      </rPr>
      <t>天内举行的一场重要活动烘培食品。你可以选择以金钱形式获得报酬（</t>
    </r>
    <r>
      <rPr>
        <sz val="11"/>
        <color theme="1"/>
        <rFont val="Times New Roman"/>
        <family val="1"/>
        <charset val="134"/>
      </rPr>
      <t xml:space="preserve"> 500 GP </t>
    </r>
    <r>
      <rPr>
        <sz val="11"/>
        <color theme="1"/>
        <rFont val="宋体"/>
        <family val="1"/>
        <charset val="134"/>
      </rPr>
      <t>）</t>
    </r>
    <r>
      <rPr>
        <sz val="11"/>
        <color theme="1"/>
        <rFont val="Times New Roman"/>
        <family val="1"/>
        <charset val="134"/>
      </rPr>
      <t>,</t>
    </r>
    <r>
      <rPr>
        <sz val="11"/>
        <color theme="1"/>
        <rFont val="宋体"/>
        <family val="1"/>
        <charset val="134"/>
      </rPr>
      <t>或者活动举办者会欠你一个人情，具体情况由你和</t>
    </r>
    <r>
      <rPr>
        <sz val="11"/>
        <color theme="1"/>
        <rFont val="Times New Roman"/>
        <family val="1"/>
        <charset val="134"/>
      </rPr>
      <t xml:space="preserve"> DM </t>
    </r>
    <r>
      <rPr>
        <sz val="11"/>
        <color theme="1"/>
        <rFont val="宋体"/>
        <family val="1"/>
        <charset val="134"/>
      </rPr>
      <t>决定。</t>
    </r>
    <r>
      <rPr>
        <sz val="11"/>
        <color theme="1"/>
        <rFont val="Times New Roman"/>
        <family val="1"/>
        <charset val="134"/>
      </rPr>
      <t xml:space="preserve">
</t>
    </r>
    <r>
      <rPr>
        <sz val="11"/>
        <color theme="1"/>
        <rFont val="宋体"/>
        <family val="1"/>
        <charset val="134"/>
      </rPr>
      <t>酿酒师公会</t>
    </r>
    <r>
      <rPr>
        <sz val="11"/>
        <color theme="1"/>
        <rFont val="Times New Roman"/>
        <family val="1"/>
        <charset val="134"/>
      </rPr>
      <t xml:space="preserve"> </t>
    </r>
    <r>
      <rPr>
        <sz val="11"/>
        <color theme="1"/>
        <rFont val="宋体"/>
        <family val="1"/>
        <charset val="134"/>
      </rPr>
      <t>冒泡的酒杯</t>
    </r>
    <r>
      <rPr>
        <sz val="11"/>
        <color theme="1"/>
        <rFont val="Times New Roman"/>
        <family val="1"/>
        <charset val="134"/>
      </rPr>
      <t xml:space="preserve">
 </t>
    </r>
    <r>
      <rPr>
        <sz val="11"/>
        <color theme="1"/>
        <rFont val="宋体"/>
        <family val="1"/>
        <charset val="134"/>
      </rPr>
      <t>你委托酿酒师在</t>
    </r>
    <r>
      <rPr>
        <sz val="11"/>
        <color theme="1"/>
        <rFont val="Times New Roman"/>
        <family val="1"/>
        <charset val="134"/>
      </rPr>
      <t xml:space="preserve"> 7 </t>
    </r>
    <r>
      <rPr>
        <sz val="11"/>
        <color theme="1"/>
        <rFont val="宋体"/>
        <family val="1"/>
        <charset val="134"/>
      </rPr>
      <t>天内将</t>
    </r>
    <r>
      <rPr>
        <sz val="11"/>
        <color theme="1"/>
        <rFont val="Times New Roman"/>
        <family val="1"/>
        <charset val="134"/>
      </rPr>
      <t xml:space="preserve"> 50 </t>
    </r>
    <r>
      <rPr>
        <sz val="11"/>
        <color theme="1"/>
        <rFont val="宋体"/>
        <family val="1"/>
        <charset val="134"/>
      </rPr>
      <t>桶麦酒送到你的据点内，每桶麦酒重</t>
    </r>
    <r>
      <rPr>
        <sz val="11"/>
        <color theme="1"/>
        <rFont val="Times New Roman"/>
        <family val="1"/>
        <charset val="134"/>
      </rPr>
      <t xml:space="preserve"> 40 </t>
    </r>
    <r>
      <rPr>
        <sz val="11"/>
        <color theme="1"/>
        <rFont val="宋体"/>
        <family val="1"/>
        <charset val="134"/>
      </rPr>
      <t>加仑，并且能以</t>
    </r>
    <r>
      <rPr>
        <sz val="11"/>
        <color theme="1"/>
        <rFont val="Times New Roman"/>
        <family val="1"/>
        <charset val="134"/>
      </rPr>
      <t xml:space="preserve"> 10 GP</t>
    </r>
    <r>
      <rPr>
        <sz val="11"/>
        <color theme="1"/>
        <rFont val="宋体"/>
        <family val="1"/>
        <charset val="134"/>
      </rPr>
      <t>的价格卖出。</t>
    </r>
    <r>
      <rPr>
        <sz val="11"/>
        <color theme="1"/>
        <rFont val="Times New Roman"/>
        <family val="1"/>
        <charset val="134"/>
      </rPr>
      <t xml:space="preserve">
</t>
    </r>
    <r>
      <rPr>
        <sz val="11"/>
        <color theme="1"/>
        <rFont val="宋体"/>
        <family val="1"/>
        <charset val="134"/>
      </rPr>
      <t>石匠公会</t>
    </r>
    <r>
      <rPr>
        <sz val="11"/>
        <color theme="1"/>
        <rFont val="Times New Roman"/>
        <family val="1"/>
        <charset val="134"/>
      </rPr>
      <t xml:space="preserve"> </t>
    </r>
    <r>
      <rPr>
        <sz val="11"/>
        <color theme="1"/>
        <rFont val="宋体"/>
        <family val="1"/>
        <charset val="134"/>
      </rPr>
      <t>石制面具</t>
    </r>
    <r>
      <rPr>
        <sz val="11"/>
        <color theme="1"/>
        <rFont val="Times New Roman"/>
        <family val="1"/>
        <charset val="134"/>
      </rPr>
      <t xml:space="preserve">
 </t>
    </r>
    <r>
      <rPr>
        <sz val="11"/>
        <color theme="1"/>
        <rFont val="宋体"/>
        <family val="1"/>
        <charset val="134"/>
      </rPr>
      <t>你委托石匠免费为你的据点建造防御墙</t>
    </r>
    <r>
      <rPr>
        <sz val="11"/>
        <color theme="1"/>
        <rFont val="Times New Roman"/>
        <family val="1"/>
        <charset val="134"/>
      </rPr>
      <t>Defend Wall</t>
    </r>
    <r>
      <rPr>
        <sz val="11"/>
        <color theme="1"/>
        <rFont val="宋体"/>
        <family val="1"/>
        <charset val="134"/>
      </rPr>
      <t>。或者，你可以派他们去给另一位玩家的据点建造防御墙，只要该据点位于你的据点</t>
    </r>
    <r>
      <rPr>
        <sz val="11"/>
        <color theme="1"/>
        <rFont val="Times New Roman"/>
        <family val="1"/>
        <charset val="134"/>
      </rPr>
      <t>1</t>
    </r>
    <r>
      <rPr>
        <sz val="11"/>
        <color theme="1"/>
        <rFont val="宋体"/>
        <family val="1"/>
        <charset val="134"/>
      </rPr>
      <t>里之内。以此法建造每</t>
    </r>
    <r>
      <rPr>
        <sz val="11"/>
        <color theme="1"/>
        <rFont val="Times New Roman"/>
        <family val="1"/>
        <charset val="134"/>
      </rPr>
      <t>5</t>
    </r>
    <r>
      <rPr>
        <sz val="11"/>
        <color theme="1"/>
        <rFont val="宋体"/>
        <family val="1"/>
        <charset val="134"/>
      </rPr>
      <t>尺方格的防御墙需要</t>
    </r>
    <r>
      <rPr>
        <sz val="11"/>
        <color theme="1"/>
        <rFont val="Times New Roman"/>
        <family val="1"/>
        <charset val="134"/>
      </rPr>
      <t>1</t>
    </r>
    <r>
      <rPr>
        <sz val="11"/>
        <color theme="1"/>
        <rFont val="宋体"/>
        <family val="1"/>
        <charset val="134"/>
      </rPr>
      <t>天而非</t>
    </r>
    <r>
      <rPr>
        <sz val="11"/>
        <color theme="1"/>
        <rFont val="Times New Roman"/>
        <family val="1"/>
        <charset val="134"/>
      </rPr>
      <t>10</t>
    </r>
    <r>
      <rPr>
        <sz val="11"/>
        <color theme="1"/>
        <rFont val="宋体"/>
        <family val="1"/>
        <charset val="134"/>
      </rPr>
      <t>天（见“据点地图”一节）。</t>
    </r>
    <r>
      <rPr>
        <sz val="11"/>
        <color theme="1"/>
        <rFont val="Times New Roman"/>
        <family val="1"/>
        <charset val="134"/>
      </rPr>
      <t xml:space="preserve">
</t>
    </r>
    <r>
      <rPr>
        <sz val="11"/>
        <color theme="1"/>
        <rFont val="宋体"/>
        <family val="1"/>
        <charset val="134"/>
      </rPr>
      <t>造船师公会</t>
    </r>
    <r>
      <rPr>
        <sz val="11"/>
        <color theme="1"/>
        <rFont val="Times New Roman"/>
        <family val="1"/>
        <charset val="134"/>
      </rPr>
      <t xml:space="preserve"> </t>
    </r>
    <r>
      <rPr>
        <sz val="11"/>
        <color theme="1"/>
        <rFont val="宋体"/>
        <family val="1"/>
        <charset val="134"/>
      </rPr>
      <t>交叉的船桨</t>
    </r>
    <r>
      <rPr>
        <sz val="11"/>
        <color theme="1"/>
        <rFont val="Times New Roman"/>
        <family val="1"/>
        <charset val="134"/>
      </rPr>
      <t xml:space="preserve">
 </t>
    </r>
    <r>
      <rPr>
        <sz val="11"/>
        <color theme="1"/>
        <rFont val="宋体"/>
        <family val="1"/>
        <charset val="134"/>
      </rPr>
      <t>你委托造船师建造一艘载具，该载具必须来自玩家手册</t>
    </r>
    <r>
      <rPr>
        <sz val="11"/>
        <color theme="1"/>
        <rFont val="Times New Roman"/>
        <family val="1"/>
        <charset val="134"/>
      </rPr>
      <t>Player’s Handbook</t>
    </r>
    <r>
      <rPr>
        <sz val="11"/>
        <color theme="1"/>
        <rFont val="宋体"/>
        <family val="1"/>
        <charset val="134"/>
      </rPr>
      <t>中的空运和水运载具</t>
    </r>
    <r>
      <rPr>
        <sz val="11"/>
        <color theme="1"/>
        <rFont val="Times New Roman"/>
        <family val="1"/>
        <charset val="134"/>
      </rPr>
      <t>Airborne and Waterborne Vehicles</t>
    </r>
    <r>
      <rPr>
        <sz val="11"/>
        <color theme="1"/>
        <rFont val="宋体"/>
        <family val="1"/>
        <charset val="134"/>
      </rPr>
      <t>表格。你需要支付该载具的全价，该载具每有</t>
    </r>
    <r>
      <rPr>
        <sz val="11"/>
        <color theme="1"/>
        <rFont val="Times New Roman"/>
        <family val="1"/>
        <charset val="134"/>
      </rPr>
      <t>1000GP</t>
    </r>
    <r>
      <rPr>
        <sz val="11"/>
        <color theme="1"/>
        <rFont val="宋体"/>
        <family val="1"/>
        <charset val="134"/>
      </rPr>
      <t>成本便需要</t>
    </r>
    <r>
      <rPr>
        <sz val="11"/>
        <color theme="1"/>
        <rFont val="Times New Roman"/>
        <family val="1"/>
        <charset val="134"/>
      </rPr>
      <t>1</t>
    </r>
    <r>
      <rPr>
        <sz val="11"/>
        <color theme="1"/>
        <rFont val="宋体"/>
        <family val="1"/>
        <charset val="134"/>
      </rPr>
      <t>天时间进行建造</t>
    </r>
    <r>
      <rPr>
        <sz val="11"/>
        <color theme="1"/>
        <rFont val="Times New Roman"/>
        <family val="1"/>
        <charset val="134"/>
      </rPr>
      <t>(</t>
    </r>
    <r>
      <rPr>
        <sz val="11"/>
        <color theme="1"/>
        <rFont val="宋体"/>
        <family val="1"/>
        <charset val="134"/>
      </rPr>
      <t>划艇</t>
    </r>
    <r>
      <rPr>
        <sz val="11"/>
        <color theme="1"/>
        <rFont val="Times New Roman"/>
        <family val="1"/>
        <charset val="134"/>
      </rPr>
      <t>Rowboat</t>
    </r>
    <r>
      <rPr>
        <sz val="11"/>
        <color theme="1"/>
        <rFont val="宋体"/>
        <family val="1"/>
        <charset val="134"/>
      </rPr>
      <t>可以在</t>
    </r>
    <r>
      <rPr>
        <sz val="11"/>
        <color theme="1"/>
        <rFont val="Times New Roman"/>
        <family val="1"/>
        <charset val="134"/>
      </rPr>
      <t>1</t>
    </r>
    <r>
      <rPr>
        <sz val="11"/>
        <color theme="1"/>
        <rFont val="宋体"/>
        <family val="1"/>
        <charset val="134"/>
      </rPr>
      <t>天内建造完成</t>
    </r>
    <r>
      <rPr>
        <sz val="11"/>
        <color theme="1"/>
        <rFont val="Times New Roman"/>
        <family val="1"/>
        <charset val="134"/>
      </rPr>
      <t>)</t>
    </r>
    <r>
      <rPr>
        <sz val="11"/>
        <color theme="1"/>
        <rFont val="宋体"/>
        <family val="1"/>
        <charset val="134"/>
      </rPr>
      <t>。</t>
    </r>
    <r>
      <rPr>
        <sz val="11"/>
        <color theme="1"/>
        <rFont val="Times New Roman"/>
        <family val="1"/>
        <charset val="134"/>
      </rPr>
      <t xml:space="preserve">
</t>
    </r>
    <r>
      <rPr>
        <sz val="11"/>
        <color theme="1"/>
        <rFont val="宋体"/>
        <family val="1"/>
        <charset val="134"/>
      </rPr>
      <t>盗贼公会</t>
    </r>
    <r>
      <rPr>
        <sz val="11"/>
        <color theme="1"/>
        <rFont val="Times New Roman"/>
        <family val="1"/>
        <charset val="134"/>
      </rPr>
      <t xml:space="preserve"> </t>
    </r>
    <r>
      <rPr>
        <sz val="11"/>
        <color theme="1"/>
        <rFont val="宋体"/>
        <family val="1"/>
        <charset val="134"/>
      </rPr>
      <t>白色的钥匙</t>
    </r>
    <r>
      <rPr>
        <sz val="11"/>
        <color theme="1"/>
        <rFont val="Times New Roman"/>
        <family val="1"/>
        <charset val="134"/>
      </rPr>
      <t xml:space="preserve">
 </t>
    </r>
    <r>
      <rPr>
        <sz val="11"/>
        <color theme="1"/>
        <rFont val="宋体"/>
        <family val="1"/>
        <charset val="134"/>
      </rPr>
      <t>你委托盗贼渗透到你据点</t>
    </r>
    <r>
      <rPr>
        <sz val="11"/>
        <color theme="1"/>
        <rFont val="Times New Roman"/>
        <family val="1"/>
        <charset val="134"/>
      </rPr>
      <t>50</t>
    </r>
    <r>
      <rPr>
        <sz val="11"/>
        <color theme="1"/>
        <rFont val="宋体"/>
        <family val="1"/>
        <charset val="134"/>
      </rPr>
      <t>里内的一个地点，并从那里偷窃一件非魔法物件。该物件不能在任何方向上超过</t>
    </r>
    <r>
      <rPr>
        <sz val="11"/>
        <color theme="1"/>
        <rFont val="Times New Roman"/>
        <family val="1"/>
        <charset val="134"/>
      </rPr>
      <t xml:space="preserve"> 5 </t>
    </r>
    <r>
      <rPr>
        <sz val="11"/>
        <color theme="1"/>
        <rFont val="宋体"/>
        <family val="1"/>
        <charset val="134"/>
      </rPr>
      <t>尺。该物件会在</t>
    </r>
    <r>
      <rPr>
        <sz val="11"/>
        <color theme="1"/>
        <rFont val="Times New Roman"/>
        <family val="1"/>
        <charset val="134"/>
      </rPr>
      <t xml:space="preserve"> 1d6+1 </t>
    </r>
    <r>
      <rPr>
        <sz val="11"/>
        <color theme="1"/>
        <rFont val="宋体"/>
        <family val="1"/>
        <charset val="134"/>
      </rPr>
      <t>天之内被送到你的据点。</t>
    </r>
    <r>
      <rPr>
        <sz val="11"/>
        <color theme="1"/>
        <rFont val="Times New Roman"/>
        <family val="1"/>
        <charset val="134"/>
      </rPr>
      <t xml:space="preserve">DM </t>
    </r>
    <r>
      <rPr>
        <sz val="11"/>
        <color theme="1"/>
        <rFont val="宋体"/>
        <family val="1"/>
        <charset val="134"/>
      </rPr>
      <t>可能会认为这项行为有使你面临法律制裁或受害者报复的风险。</t>
    </r>
    <phoneticPr fontId="68" type="noConversion"/>
  </si>
  <si>
    <t>圣所</t>
    <phoneticPr fontId="68" type="noConversion"/>
  </si>
  <si>
    <r>
      <rPr>
        <sz val="11"/>
        <color theme="1"/>
        <rFont val="宋体"/>
        <family val="1"/>
        <charset val="134"/>
      </rPr>
      <t>圣所是提供抚慰和治愈的地方。</t>
    </r>
    <r>
      <rPr>
        <sz val="11"/>
        <color theme="1"/>
        <rFont val="Times New Roman"/>
        <family val="1"/>
        <charset val="134"/>
      </rPr>
      <t xml:space="preserve">
</t>
    </r>
    <r>
      <rPr>
        <sz val="11"/>
        <color theme="1"/>
        <rFont val="宋体"/>
        <family val="1"/>
        <charset val="134"/>
      </rPr>
      <t>圣所护咒</t>
    </r>
    <r>
      <rPr>
        <sz val="11"/>
        <color theme="1"/>
        <rFont val="Times New Roman"/>
        <family val="1"/>
        <charset val="134"/>
      </rPr>
      <t xml:space="preserve"> Sanctum Charm </t>
    </r>
    <r>
      <rPr>
        <sz val="11"/>
        <color theme="1"/>
        <rFont val="宋体"/>
        <family val="1"/>
        <charset val="134"/>
      </rPr>
      <t>：当你在据点内完成一次长休后，你获得一个魔法</t>
    </r>
    <r>
      <rPr>
        <sz val="11"/>
        <color theme="1"/>
        <rFont val="Times New Roman"/>
        <family val="1"/>
        <charset val="134"/>
      </rPr>
      <t xml:space="preserve"> </t>
    </r>
    <r>
      <rPr>
        <sz val="11"/>
        <color theme="1"/>
        <rFont val="宋体"/>
        <family val="1"/>
        <charset val="134"/>
      </rPr>
      <t>护咒（见第三章“</t>
    </r>
    <r>
      <rPr>
        <sz val="11"/>
        <color theme="1"/>
        <rFont val="Times New Roman"/>
        <family val="1"/>
        <charset val="134"/>
      </rPr>
      <t xml:space="preserve"> </t>
    </r>
    <r>
      <rPr>
        <sz val="11"/>
        <color theme="1"/>
        <rFont val="宋体"/>
        <family val="1"/>
        <charset val="134"/>
      </rPr>
      <t>超自然恩惠”一节），该护咒持续</t>
    </r>
    <r>
      <rPr>
        <sz val="11"/>
        <color theme="1"/>
        <rFont val="Times New Roman"/>
        <family val="1"/>
        <charset val="134"/>
      </rPr>
      <t>7</t>
    </r>
    <r>
      <rPr>
        <sz val="11"/>
        <color theme="1"/>
        <rFont val="宋体"/>
        <family val="1"/>
        <charset val="134"/>
      </rPr>
      <t>天或持续至你将其使用为止。该护咒允许你施展一次医疗术</t>
    </r>
    <r>
      <rPr>
        <sz val="11"/>
        <color theme="1"/>
        <rFont val="Times New Roman"/>
        <family val="1"/>
        <charset val="134"/>
      </rPr>
      <t xml:space="preserve"> Heal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增强：韧性仪式</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Fortified </t>
    </r>
    <r>
      <rPr>
        <sz val="11"/>
        <color theme="1"/>
        <rFont val="宋体"/>
        <family val="1"/>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charset val="134"/>
      </rPr>
      <t>7</t>
    </r>
    <r>
      <rPr>
        <sz val="11"/>
        <color theme="1"/>
        <rFont val="宋体"/>
        <family val="1"/>
        <charset val="134"/>
      </rPr>
      <t>天内，每当受益者完成一次长休，他都会获得等同于你等级的临时生命值。</t>
    </r>
    <r>
      <rPr>
        <sz val="11"/>
        <color theme="1"/>
        <rFont val="Times New Roman"/>
        <family val="1"/>
        <charset val="134"/>
      </rPr>
      <t xml:space="preserve">
</t>
    </r>
    <r>
      <rPr>
        <sz val="11"/>
        <color theme="1"/>
        <rFont val="宋体"/>
        <family val="1"/>
        <charset val="134"/>
      </rPr>
      <t>圣所回返</t>
    </r>
    <r>
      <rPr>
        <sz val="11"/>
        <color theme="1"/>
        <rFont val="Times New Roman"/>
        <family val="1"/>
        <charset val="134"/>
      </rPr>
      <t xml:space="preserve"> Sanctum Recall </t>
    </r>
    <r>
      <rPr>
        <sz val="11"/>
        <color theme="1"/>
        <rFont val="宋体"/>
        <family val="1"/>
        <charset val="134"/>
      </rPr>
      <t>：只要圣所仍然屹立，你便总是准备了法术回返真言</t>
    </r>
    <r>
      <rPr>
        <sz val="11"/>
        <color theme="1"/>
        <rFont val="Times New Roman"/>
        <family val="1"/>
        <charset val="134"/>
      </rPr>
      <t xml:space="preserve"> Word of Recall</t>
    </r>
    <r>
      <rPr>
        <sz val="11"/>
        <color theme="1"/>
        <rFont val="宋体"/>
        <family val="1"/>
        <charset val="134"/>
      </rPr>
      <t>。在你施展该法术时，你可以将圣所作为目的地，取代你先前设定的目的地；并且，你可以选择由该法术传送到圣所的生物之一，该生物获得法术医疗术</t>
    </r>
    <r>
      <rPr>
        <sz val="11"/>
        <color theme="1"/>
        <rFont val="Times New Roman"/>
        <family val="1"/>
        <charset val="134"/>
      </rPr>
      <t xml:space="preserve"> Heal </t>
    </r>
    <r>
      <rPr>
        <sz val="11"/>
        <color theme="1"/>
        <rFont val="宋体"/>
        <family val="1"/>
        <charset val="134"/>
      </rPr>
      <t>的增益。</t>
    </r>
    <phoneticPr fontId="68" type="noConversion"/>
  </si>
  <si>
    <t>作战指挥室</t>
    <phoneticPr fontId="68" type="noConversion"/>
  </si>
  <si>
    <t>战斗风格特性或无甲防御特性</t>
    <phoneticPr fontId="68" type="noConversion"/>
  </si>
  <si>
    <r>
      <t>2+</t>
    </r>
    <r>
      <rPr>
        <sz val="11"/>
        <color theme="1"/>
        <rFont val="宋体"/>
        <family val="1"/>
        <charset val="134"/>
      </rPr>
      <t>（见下文）</t>
    </r>
    <r>
      <rPr>
        <sz val="11"/>
        <color theme="1"/>
        <rFont val="Times New Roman"/>
        <family val="1"/>
      </rPr>
      <t xml:space="preserve"> </t>
    </r>
    <phoneticPr fontId="68" type="noConversion"/>
  </si>
  <si>
    <r>
      <rPr>
        <sz val="11"/>
        <color theme="1"/>
        <rFont val="宋体"/>
        <family val="1"/>
        <charset val="134"/>
      </rPr>
      <t>作战指挥室是你和你忠诚的副官们一起商讨作战计划的地方。每位副官都是身经百战的</t>
    </r>
    <r>
      <rPr>
        <sz val="11"/>
        <color theme="1"/>
        <rFont val="Times New Roman"/>
        <family val="1"/>
        <charset val="134"/>
      </rPr>
      <t xml:space="preserve"> </t>
    </r>
    <r>
      <rPr>
        <sz val="11"/>
        <color theme="1"/>
        <rFont val="宋体"/>
        <family val="1"/>
        <charset val="134"/>
      </rPr>
      <t>历战武者</t>
    </r>
    <r>
      <rPr>
        <sz val="11"/>
        <color theme="1"/>
        <rFont val="Times New Roman"/>
        <family val="1"/>
        <charset val="134"/>
      </rPr>
      <t xml:space="preserve"> Veteran Warrior</t>
    </r>
    <r>
      <rPr>
        <sz val="11"/>
        <color theme="1"/>
        <rFont val="宋体"/>
        <family val="1"/>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charset val="134"/>
      </rPr>
      <t xml:space="preserve"> </t>
    </r>
    <r>
      <rPr>
        <sz val="11"/>
        <color theme="1"/>
        <rFont val="宋体"/>
        <family val="1"/>
        <charset val="134"/>
      </rPr>
      <t>据点事件”一节）</t>
    </r>
    <r>
      <rPr>
        <sz val="11"/>
        <color theme="1"/>
        <rFont val="Times New Roman"/>
        <family val="1"/>
        <charset val="134"/>
      </rPr>
      <t>,</t>
    </r>
    <r>
      <rPr>
        <sz val="11"/>
        <color theme="1"/>
        <rFont val="宋体"/>
        <family val="1"/>
        <charset val="134"/>
      </rPr>
      <t>那么在为决定据点卫兵损失数量所作的掷骰中，每位副官将使需要投掷的骰子数量减少</t>
    </r>
    <r>
      <rPr>
        <sz val="11"/>
        <color theme="1"/>
        <rFont val="Times New Roman"/>
        <family val="1"/>
        <charset val="134"/>
      </rPr>
      <t>1</t>
    </r>
    <r>
      <rPr>
        <sz val="11"/>
        <color theme="1"/>
        <rFont val="宋体"/>
        <family val="1"/>
        <charset val="134"/>
      </rPr>
      <t>。</t>
    </r>
    <r>
      <rPr>
        <sz val="11"/>
        <color theme="1"/>
        <rFont val="Times New Roman"/>
        <family val="1"/>
        <charset val="134"/>
      </rPr>
      <t xml:space="preserve">
</t>
    </r>
    <r>
      <rPr>
        <sz val="11"/>
        <color theme="1"/>
        <rFont val="宋体"/>
        <family val="1"/>
        <charset val="134"/>
      </rPr>
      <t>作战指挥室里摆放着战争纪念品，以及一张大桌子，桌子周围摆放着足够你和副官一一就座的椅子。</t>
    </r>
    <r>
      <rPr>
        <sz val="11"/>
        <color theme="1"/>
        <rFont val="Times New Roman"/>
        <family val="1"/>
        <charset val="134"/>
      </rPr>
      <t xml:space="preserve">
</t>
    </r>
    <r>
      <rPr>
        <sz val="11"/>
        <color theme="1"/>
        <rFont val="宋体"/>
        <family val="1"/>
        <charset val="134"/>
      </rPr>
      <t>招募选项</t>
    </r>
    <r>
      <rPr>
        <sz val="11"/>
        <color theme="1"/>
        <rFont val="Times New Roman"/>
        <family val="1"/>
        <charset val="134"/>
      </rPr>
      <t xml:space="preserve"> Recruit Options </t>
    </r>
    <r>
      <rPr>
        <sz val="11"/>
        <color theme="1"/>
        <rFont val="宋体"/>
        <family val="1"/>
        <charset val="134"/>
      </rPr>
      <t>：当你对此设施下达招募指令时，从下列选项中选择一项：</t>
    </r>
    <r>
      <rPr>
        <sz val="11"/>
        <color theme="1"/>
        <rFont val="Times New Roman"/>
        <family val="1"/>
        <charset val="134"/>
      </rPr>
      <t xml:space="preserve">
</t>
    </r>
    <r>
      <rPr>
        <sz val="11"/>
        <color theme="1"/>
        <rFont val="宋体"/>
        <family val="1"/>
        <charset val="134"/>
      </rPr>
      <t>招募：副官</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Lieutenant </t>
    </r>
    <r>
      <rPr>
        <sz val="11"/>
        <color theme="1"/>
        <rFont val="宋体"/>
        <family val="1"/>
        <charset val="134"/>
      </rPr>
      <t>：你获得一位新副官。你最多同时拥有十名副官。你可以按自己的喜好为他们分配姓名和个性。</t>
    </r>
    <r>
      <rPr>
        <sz val="11"/>
        <color theme="1"/>
        <rFont val="Times New Roman"/>
        <family val="1"/>
        <charset val="134"/>
      </rPr>
      <t xml:space="preserve">
</t>
    </r>
    <r>
      <rPr>
        <sz val="11"/>
        <color theme="1"/>
        <rFont val="宋体"/>
        <family val="1"/>
        <charset val="134"/>
      </rPr>
      <t>招募：士兵</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Soldiers </t>
    </r>
    <r>
      <rPr>
        <sz val="11"/>
        <color theme="1"/>
        <rFont val="宋体"/>
        <family val="1"/>
        <charset val="134"/>
      </rPr>
      <t>：你委托一位或更多副官集结一支小型军队。每位副官可以在</t>
    </r>
    <r>
      <rPr>
        <sz val="11"/>
        <color theme="1"/>
        <rFont val="Times New Roman"/>
        <family val="1"/>
        <charset val="134"/>
      </rPr>
      <t>7</t>
    </r>
    <r>
      <rPr>
        <sz val="11"/>
        <color theme="1"/>
        <rFont val="宋体"/>
        <family val="1"/>
        <charset val="134"/>
      </rPr>
      <t>天时间里召集最多</t>
    </r>
    <r>
      <rPr>
        <sz val="11"/>
        <color theme="1"/>
        <rFont val="Times New Roman"/>
        <family val="1"/>
        <charset val="134"/>
      </rPr>
      <t>100</t>
    </r>
    <r>
      <rPr>
        <sz val="11"/>
        <color theme="1"/>
        <rFont val="宋体"/>
        <family val="1"/>
        <charset val="134"/>
      </rPr>
      <t>名守卫</t>
    </r>
    <r>
      <rPr>
        <sz val="11"/>
        <color theme="1"/>
        <rFont val="Times New Roman"/>
        <family val="1"/>
        <charset val="134"/>
      </rPr>
      <t xml:space="preserve"> Guards</t>
    </r>
    <r>
      <rPr>
        <sz val="11"/>
        <color theme="1"/>
        <rFont val="宋体"/>
        <family val="1"/>
        <charset val="134"/>
      </rPr>
      <t>（见怪物图鉴），为你的事业而战。如果你希望为这些士兵配备骑用马</t>
    </r>
    <r>
      <rPr>
        <sz val="11"/>
        <color theme="1"/>
        <rFont val="Times New Roman"/>
        <family val="1"/>
        <charset val="134"/>
      </rPr>
      <t xml:space="preserve"> Riding Horse</t>
    </r>
    <r>
      <rPr>
        <sz val="11"/>
        <color theme="1"/>
        <rFont val="宋体"/>
        <family val="1"/>
        <charset val="134"/>
      </rPr>
      <t>（见怪物图鉴），那么每位副官只能召集</t>
    </r>
    <r>
      <rPr>
        <sz val="11"/>
        <color theme="1"/>
        <rFont val="Times New Roman"/>
        <family val="1"/>
        <charset val="134"/>
      </rPr>
      <t xml:space="preserve"> 20 </t>
    </r>
    <r>
      <rPr>
        <sz val="11"/>
        <color theme="1"/>
        <rFont val="宋体"/>
        <family val="1"/>
        <charset val="134"/>
      </rPr>
      <t>名这样的骑兵。你每天需要为军队内的每位士兵与每只马匹花费</t>
    </r>
    <r>
      <rPr>
        <sz val="11"/>
        <color theme="1"/>
        <rFont val="Times New Roman"/>
        <family val="1"/>
        <charset val="134"/>
      </rPr>
      <t xml:space="preserve"> 1 GP </t>
    </r>
    <r>
      <rPr>
        <sz val="11"/>
        <color theme="1"/>
        <rFont val="宋体"/>
        <family val="1"/>
        <charset val="134"/>
      </rPr>
      <t>以满足他们的粮草供应。军队在任何时候都必须由你本人或至少一位你的副官领导着，没有领导者的军队会立即解散。在</t>
    </r>
    <r>
      <rPr>
        <sz val="11"/>
        <color theme="1"/>
        <rFont val="Times New Roman"/>
        <family val="1"/>
        <charset val="134"/>
      </rPr>
      <t>1</t>
    </r>
    <r>
      <rPr>
        <sz val="11"/>
        <color theme="1"/>
        <rFont val="宋体"/>
        <family val="1"/>
        <charset val="134"/>
      </rPr>
      <t>天时间里没有获得粮草供应的军队也会立即解散。如果上述情况没有发生，军队将维持至他们被击溃，或者维持至你命令他们解散。在你当前拥有的军队被击溃或解散之前，你不能招募新的军队。</t>
    </r>
    <phoneticPr fontId="68" type="noConversion"/>
  </si>
  <si>
    <t>枉替之子</t>
  </si>
  <si>
    <t>无形之灵</t>
  </si>
  <si>
    <t>25尺</t>
    <phoneticPr fontId="68" type="noConversion"/>
  </si>
  <si>
    <t>寿命</t>
    <phoneticPr fontId="68" type="noConversion"/>
  </si>
  <si>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phoneticPr fontId="68" type="noConversion"/>
  </si>
  <si>
    <t>人造之物</t>
    <phoneticPr fontId="68" type="noConversion"/>
  </si>
  <si>
    <t xml:space="preserve">作为一名构装生物，你的身体机能与一般人有所不同。你在对抗中毒效应的豁免中具有优势，且你拥有对毒素伤害的抗性。你免疫疾病。你不需要吃，喝，睡觉及呼吸。但你依然被视为类人生物。 </t>
    <phoneticPr fontId="68" type="noConversion"/>
  </si>
  <si>
    <t>仙灵的魅惑力</t>
    <phoneticPr fontId="68" type="noConversion"/>
  </si>
  <si>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phoneticPr fontId="68" type="noConversion"/>
  </si>
  <si>
    <t>孩童般的灵敏</t>
    <phoneticPr fontId="68" type="noConversion"/>
  </si>
  <si>
    <t xml:space="preserve">你可以穿过任何体型大于你的生物的空间。你获得特技技能的熟练。 </t>
    <phoneticPr fontId="68" type="noConversion"/>
  </si>
  <si>
    <t>销身遁形</t>
    <phoneticPr fontId="68" type="noConversion"/>
  </si>
  <si>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phoneticPr fontId="68" type="noConversion"/>
  </si>
  <si>
    <t>位面浪人</t>
    <phoneticPr fontId="68" type="noConversion"/>
  </si>
  <si>
    <t xml:space="preserve">你可以每天施展一次羽落术Feather Fall，但仅能以你自己为目标。当你到达3级时，你可以每天施展一次朦胧术Blur。当你到达5级时，你可以每天施展一次闪现术Blink 。你施展这些法术的施法属性为智力。 </t>
    <phoneticPr fontId="68" type="noConversion"/>
  </si>
  <si>
    <t>奥法起源</t>
    <phoneticPr fontId="68" type="noConversion"/>
  </si>
  <si>
    <t xml:space="preserve">你获得奥秘技能的熟练。 </t>
    <phoneticPr fontId="68" type="noConversion"/>
  </si>
  <si>
    <t>种族</t>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</si>
  <si>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你知晓三种自选战技，详见后文列表。你在第</t>
    </r>
    <r>
      <rPr>
        <sz val="10"/>
        <color theme="1"/>
        <rFont val="Times New Roman"/>
        <family val="1"/>
      </rPr>
      <t>6</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13</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1"/>
        <charset val="134"/>
      </rPr>
      <t>战技运用</t>
    </r>
    <r>
      <rPr>
        <sz val="10"/>
        <color theme="1"/>
        <rFont val="Times New Roman"/>
        <family val="1"/>
      </rPr>
      <t>Using Maneuvers</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 xml:space="preserve">DC= 8 + </t>
    </r>
    <r>
      <rPr>
        <sz val="10"/>
        <color theme="1"/>
        <rFont val="宋体"/>
        <family val="1"/>
        <charset val="134"/>
      </rPr>
      <t>你的熟练加值</t>
    </r>
    <r>
      <rPr>
        <sz val="10"/>
        <color theme="1"/>
        <rFont val="Times New Roman"/>
        <family val="1"/>
      </rPr>
      <t xml:space="preserve"> + </t>
    </r>
    <r>
      <rPr>
        <sz val="10"/>
        <color theme="1"/>
        <rFont val="宋体"/>
        <family val="1"/>
        <charset val="134"/>
      </rPr>
      <t>你的体质调整值</t>
    </r>
    <r>
      <rPr>
        <sz val="10"/>
        <color theme="1"/>
        <rFont val="Times New Roman"/>
        <family val="1"/>
      </rPr>
      <t xml:space="preserve">
</t>
    </r>
    <r>
      <rPr>
        <sz val="10"/>
        <color theme="1"/>
        <rFont val="宋体"/>
        <family val="1"/>
        <charset val="134"/>
      </rPr>
      <t>腐鸦道途</t>
    </r>
    <r>
      <rPr>
        <sz val="10"/>
        <color theme="1"/>
        <rFont val="Times New Roman"/>
        <family val="1"/>
      </rPr>
      <t xml:space="preserve">Path of the Carrion Raven </t>
    </r>
    <r>
      <rPr>
        <sz val="10"/>
        <color theme="1"/>
        <rFont val="宋体"/>
        <family val="1"/>
        <charset val="134"/>
      </rPr>
      <t>野蛮人等级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3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4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5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6 
18</t>
    </r>
    <r>
      <rPr>
        <sz val="10"/>
        <color theme="1"/>
        <rFont val="宋体"/>
        <family val="1"/>
        <charset val="134"/>
      </rPr>
      <t>级</t>
    </r>
    <r>
      <rPr>
        <sz val="10"/>
        <color theme="1"/>
        <rFont val="Times New Roman"/>
        <family val="1"/>
      </rPr>
      <t xml:space="preserve"> 36 6 
19</t>
    </r>
    <r>
      <rPr>
        <sz val="10"/>
        <color theme="1"/>
        <rFont val="宋体"/>
        <family val="1"/>
        <charset val="134"/>
      </rPr>
      <t>级</t>
    </r>
    <r>
      <rPr>
        <sz val="10"/>
        <color theme="1"/>
        <rFont val="Times New Roman"/>
        <family val="1"/>
      </rPr>
      <t xml:space="preserve"> 38 6 
20</t>
    </r>
    <r>
      <rPr>
        <sz val="10"/>
        <color theme="1"/>
        <rFont val="宋体"/>
        <family val="1"/>
        <charset val="134"/>
      </rPr>
      <t>级</t>
    </r>
    <r>
      <rPr>
        <sz val="10"/>
        <color theme="1"/>
        <rFont val="Times New Roman"/>
        <family val="1"/>
      </rPr>
      <t xml:space="preserve"> 40 6 </t>
    </r>
    <phoneticPr fontId="68" type="noConversion"/>
  </si>
  <si>
    <t>传承战技</t>
    <phoneticPr fontId="68" type="noConversion"/>
  </si>
  <si>
    <t>荒野神速</t>
  </si>
  <si>
    <t>狂暴赋予你动物般的行动速度。作为进入狂暴的附赠动作的一部分，你能够发动一次武器攻击。此外，你还获得即使处在狂暴期间也可以专注于战技的能力。但你仍无法在狂暴期间专注于法术。</t>
  </si>
  <si>
    <t>鸦之魂</t>
  </si>
  <si>
    <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</si>
  <si>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凶残狂暴</t>
  </si>
  <si>
    <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</si>
  <si>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死暴饥狂</t>
  </si>
  <si>
    <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</si>
  <si>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</si>
  <si>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</si>
  <si>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</si>
  <si>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</si>
  <si>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</si>
  <si>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</si>
  <si>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</si>
  <si>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</si>
  <si>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</si>
  <si>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</si>
  <si>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</si>
  <si>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</si>
  <si>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</si>
  <si>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</si>
  <si>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</si>
  <si>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</si>
  <si>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</si>
  <si>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鹰击长空</t>
    <phoneticPr fontId="68" type="noConversion"/>
  </si>
  <si>
    <t>蛮野狂击</t>
    <phoneticPr fontId="68" type="noConversion"/>
  </si>
  <si>
    <t>集群领袖</t>
    <phoneticPr fontId="68" type="noConversion"/>
  </si>
  <si>
    <t>滑滑水獭</t>
    <phoneticPr fontId="68" type="noConversion"/>
  </si>
  <si>
    <t>血猎犬嗅</t>
    <phoneticPr fontId="68" type="noConversion"/>
  </si>
  <si>
    <t>狩心怒嚎</t>
    <phoneticPr fontId="68" type="noConversion"/>
  </si>
  <si>
    <t>坚毅牛魂</t>
    <phoneticPr fontId="68" type="noConversion"/>
  </si>
  <si>
    <t>绒兽坚守</t>
    <phoneticPr fontId="68" type="noConversion"/>
  </si>
  <si>
    <t>蝾螈再生</t>
    <phoneticPr fontId="68" type="noConversion"/>
  </si>
  <si>
    <t>巨兽之形</t>
    <phoneticPr fontId="68" type="noConversion"/>
  </si>
  <si>
    <t>奔牛践踏</t>
    <phoneticPr fontId="68" type="noConversion"/>
  </si>
  <si>
    <t>猛犸凶獠</t>
    <phoneticPr fontId="68" type="noConversion"/>
  </si>
  <si>
    <t>腐肉飨宴</t>
    <phoneticPr fontId="68" type="noConversion"/>
  </si>
  <si>
    <r>
      <t>巅峰霸临（</t>
    </r>
    <r>
      <rPr>
        <sz val="10"/>
        <color theme="1"/>
        <rFont val="Times New Roman"/>
        <family val="1"/>
      </rPr>
      <t>5</t>
    </r>
    <r>
      <rPr>
        <sz val="10"/>
        <color theme="1"/>
        <rFont val="宋体"/>
        <family val="3"/>
        <charset val="134"/>
      </rPr>
      <t>点）</t>
    </r>
    <phoneticPr fontId="68" type="noConversion"/>
  </si>
  <si>
    <r>
      <t>兽王召令（</t>
    </r>
    <r>
      <rPr>
        <sz val="10"/>
        <color theme="1"/>
        <rFont val="Times New Roman"/>
        <family val="1"/>
      </rPr>
      <t>5</t>
    </r>
    <r>
      <rPr>
        <sz val="10"/>
        <color theme="1"/>
        <rFont val="宋体"/>
        <family val="3"/>
        <charset val="134"/>
      </rPr>
      <t>点）</t>
    </r>
    <phoneticPr fontId="68" type="noConversion"/>
  </si>
  <si>
    <r>
      <t>冬眠熊愈（</t>
    </r>
    <r>
      <rPr>
        <sz val="10"/>
        <color theme="1"/>
        <rFont val="Times New Roman"/>
        <family val="1"/>
      </rPr>
      <t>5</t>
    </r>
    <r>
      <rPr>
        <sz val="10"/>
        <color theme="1"/>
        <rFont val="宋体"/>
        <family val="3"/>
        <charset val="134"/>
      </rPr>
      <t>点）</t>
    </r>
    <phoneticPr fontId="68" type="noConversion"/>
  </si>
  <si>
    <t>兽形化身</t>
    <phoneticPr fontId="68" type="noConversion"/>
  </si>
  <si>
    <t>厄运使者</t>
  </si>
  <si>
    <t>狂热之誓</t>
  </si>
  <si>
    <t>破锋者</t>
  </si>
  <si>
    <t>审判领域</t>
  </si>
  <si>
    <t>安魂学院</t>
  </si>
  <si>
    <t>腐鸦道途</t>
  </si>
  <si>
    <t>寒颤旋律</t>
  </si>
  <si>
    <t>拨动心弦</t>
  </si>
  <si>
    <t>唤醒骸骨</t>
  </si>
  <si>
    <t>灭亡之舞</t>
  </si>
  <si>
    <t>你从任意法术列表中习得两个死灵学派的戏法。这些戏法对你来说视为吟游诗人戏法，但不计入以你已知的戏法总数。</t>
    <phoneticPr fontId="68" type="noConversion"/>
  </si>
  <si>
    <r>
      <t>你获得用你的诗人激励去拨动它人</t>
    </r>
    <r>
      <rPr>
        <sz val="10"/>
        <color theme="1"/>
        <rFont val="宋体"/>
        <family val="1"/>
        <charset val="134"/>
      </rPr>
      <t>“</t>
    </r>
    <r>
      <rPr>
        <sz val="10"/>
        <color theme="1"/>
        <rFont val="宋体"/>
        <family val="3"/>
        <charset val="134"/>
      </rPr>
      <t>生命之弦</t>
    </r>
    <r>
      <rPr>
        <sz val="10"/>
        <color theme="1"/>
        <rFont val="宋体"/>
        <family val="1"/>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phoneticPr fontId="68" type="noConversion"/>
  </si>
  <si>
    <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phoneticPr fontId="68" type="noConversion"/>
  </si>
  <si>
    <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phoneticPr fontId="68" type="noConversion"/>
  </si>
  <si>
    <t>审判领域法术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</si>
  <si>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侦测魔法</t>
    </r>
    <r>
      <rPr>
        <sz val="10"/>
        <color theme="1"/>
        <rFont val="Times New Roman"/>
        <family val="1"/>
      </rPr>
      <t>Detect Magic</t>
    </r>
    <r>
      <rPr>
        <sz val="10"/>
        <color theme="1"/>
        <rFont val="宋体"/>
        <family val="1"/>
        <charset val="134"/>
      </rPr>
      <t>，鉴定术</t>
    </r>
    <r>
      <rPr>
        <sz val="10"/>
        <color theme="1"/>
        <rFont val="Times New Roman"/>
        <family val="1"/>
      </rPr>
      <t xml:space="preserve">Identify  
3rd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5th </t>
    </r>
    <r>
      <rPr>
        <sz val="10"/>
        <color theme="1"/>
        <rFont val="宋体"/>
        <family val="1"/>
        <charset val="134"/>
      </rPr>
      <t>解除魔法</t>
    </r>
    <r>
      <rPr>
        <sz val="10"/>
        <color theme="1"/>
        <rFont val="Times New Roman"/>
        <family val="1"/>
      </rPr>
      <t>Dispel Magic</t>
    </r>
    <r>
      <rPr>
        <sz val="10"/>
        <color theme="1"/>
        <rFont val="宋体"/>
        <family val="1"/>
        <charset val="134"/>
      </rPr>
      <t>，移除诅咒</t>
    </r>
    <r>
      <rPr>
        <sz val="10"/>
        <color theme="1"/>
        <rFont val="Times New Roman"/>
        <family val="1"/>
      </rPr>
      <t xml:space="preserve">Remove Curse  
7th </t>
    </r>
    <r>
      <rPr>
        <sz val="10"/>
        <color theme="1"/>
        <rFont val="宋体"/>
        <family val="1"/>
        <charset val="134"/>
      </rPr>
      <t>秘法眼</t>
    </r>
    <r>
      <rPr>
        <sz val="10"/>
        <color theme="1"/>
        <rFont val="Times New Roman"/>
        <family val="1"/>
      </rPr>
      <t>Arcane Eye</t>
    </r>
    <r>
      <rPr>
        <sz val="10"/>
        <color theme="1"/>
        <rFont val="宋体"/>
        <family val="1"/>
        <charset val="134"/>
      </rPr>
      <t>，生物定位术</t>
    </r>
    <r>
      <rPr>
        <sz val="10"/>
        <color theme="1"/>
        <rFont val="Times New Roman"/>
        <family val="1"/>
      </rPr>
      <t xml:space="preserve">Locate Creature  
9th </t>
    </r>
    <r>
      <rPr>
        <sz val="10"/>
        <color theme="1"/>
        <rFont val="宋体"/>
        <family val="1"/>
        <charset val="134"/>
      </rPr>
      <t>造物术</t>
    </r>
    <r>
      <rPr>
        <sz val="10"/>
        <color theme="1"/>
        <rFont val="Times New Roman"/>
        <family val="1"/>
      </rPr>
      <t>Creation</t>
    </r>
    <r>
      <rPr>
        <sz val="10"/>
        <color theme="1"/>
        <rFont val="宋体"/>
        <family val="1"/>
        <charset val="134"/>
      </rPr>
      <t>，圣居</t>
    </r>
    <r>
      <rPr>
        <sz val="10"/>
        <color theme="1"/>
        <rFont val="Times New Roman"/>
        <family val="1"/>
      </rPr>
      <t xml:space="preserve">Hallow </t>
    </r>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</si>
  <si>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t>
    </r>
    <r>
      <rPr>
        <sz val="10"/>
        <color theme="1"/>
        <rFont val="Times New Roman"/>
        <family val="1"/>
      </rPr>
      <t>5</t>
    </r>
    <r>
      <rPr>
        <sz val="10"/>
        <color theme="1"/>
        <rFont val="宋体"/>
        <family val="1"/>
        <charset val="134"/>
      </rPr>
      <t>级、</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t>
    </r>
    <r>
      <rPr>
        <sz val="10"/>
        <color theme="1"/>
        <rFont val="Times New Roman"/>
        <family val="1"/>
      </rPr>
      <t xml:space="preserve"> </t>
    </r>
    <r>
      <rPr>
        <sz val="10"/>
        <color theme="1"/>
        <rFont val="宋体"/>
        <family val="1"/>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1"/>
        <charset val="134"/>
      </rPr>
      <t>使用战技</t>
    </r>
    <r>
      <rPr>
        <sz val="10"/>
        <color theme="1"/>
        <rFont val="Times New Roman"/>
        <family val="1"/>
      </rPr>
      <t>Using Maneuvers</t>
    </r>
    <r>
      <rPr>
        <sz val="10"/>
        <color theme="1"/>
        <rFont val="宋体"/>
        <family val="1"/>
        <charset val="134"/>
      </rPr>
      <t>。</t>
    </r>
    <r>
      <rPr>
        <sz val="10"/>
        <color theme="1"/>
        <rFont val="Times New Roman"/>
        <family val="1"/>
      </rPr>
      <t xml:space="preserve"> </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DC = 8</t>
    </r>
    <r>
      <rPr>
        <sz val="10"/>
        <color theme="1"/>
        <rFont val="宋体"/>
        <family val="1"/>
        <charset val="134"/>
      </rPr>
      <t>＋你的熟练加值＋你的力量或敏捷调整值（由你选择）</t>
    </r>
    <r>
      <rPr>
        <sz val="10"/>
        <color theme="1"/>
        <rFont val="Times New Roman"/>
        <family val="1"/>
      </rPr>
      <t xml:space="preserve"> 
</t>
    </r>
    <r>
      <rPr>
        <sz val="10"/>
        <color theme="1"/>
        <rFont val="宋体"/>
        <family val="1"/>
        <charset val="134"/>
      </rPr>
      <t>破锋者</t>
    </r>
    <r>
      <rPr>
        <sz val="10"/>
        <color theme="1"/>
        <rFont val="Times New Roman"/>
        <family val="1"/>
      </rPr>
      <t xml:space="preserve"> Blade Breaker 
</t>
    </r>
    <r>
      <rPr>
        <sz val="10"/>
        <color theme="1"/>
        <rFont val="宋体"/>
        <family val="1"/>
        <charset val="134"/>
      </rPr>
      <t>战士等级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4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5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6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7 
18</t>
    </r>
    <r>
      <rPr>
        <sz val="10"/>
        <color theme="1"/>
        <rFont val="宋体"/>
        <family val="1"/>
        <charset val="134"/>
      </rPr>
      <t>级</t>
    </r>
    <r>
      <rPr>
        <sz val="10"/>
        <color theme="1"/>
        <rFont val="Times New Roman"/>
        <family val="1"/>
      </rPr>
      <t xml:space="preserve"> 36 7 
19</t>
    </r>
    <r>
      <rPr>
        <sz val="10"/>
        <color theme="1"/>
        <rFont val="宋体"/>
        <family val="1"/>
        <charset val="134"/>
      </rPr>
      <t>级</t>
    </r>
    <r>
      <rPr>
        <sz val="10"/>
        <color theme="1"/>
        <rFont val="Times New Roman"/>
        <family val="1"/>
      </rPr>
      <t xml:space="preserve"> 38 7 
20</t>
    </r>
    <r>
      <rPr>
        <sz val="10"/>
        <color theme="1"/>
        <rFont val="宋体"/>
        <family val="1"/>
        <charset val="134"/>
      </rPr>
      <t>级</t>
    </r>
    <r>
      <rPr>
        <sz val="10"/>
        <color theme="1"/>
        <rFont val="Times New Roman"/>
        <family val="1"/>
      </rPr>
      <t xml:space="preserve"> 40 7 </t>
    </r>
    <phoneticPr fontId="68" type="noConversion"/>
  </si>
  <si>
    <t>破锋架势</t>
    <phoneticPr fontId="68" type="noConversion"/>
  </si>
  <si>
    <r>
      <rPr>
        <sz val="10"/>
        <color theme="1"/>
        <rFont val="宋体"/>
        <family val="1"/>
        <charset val="134"/>
      </rPr>
      <t>你的军事训练允许你从下面的列表中选择一个战斗姿势。你在第</t>
    </r>
    <r>
      <rPr>
        <sz val="10"/>
        <color theme="1"/>
        <rFont val="Times New Roman"/>
        <family val="1"/>
      </rPr>
      <t>7</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 xml:space="preserve">15 </t>
    </r>
    <r>
      <rPr>
        <sz val="10"/>
        <color theme="1"/>
        <rFont val="宋体"/>
        <family val="1"/>
        <charset val="134"/>
      </rPr>
      <t>级时会获得一个额外的姿势。</t>
    </r>
    <r>
      <rPr>
        <sz val="10"/>
        <color theme="1"/>
        <rFont val="Times New Roman"/>
        <family val="1"/>
      </rPr>
      <t xml:space="preserve"> 
</t>
    </r>
    <r>
      <rPr>
        <sz val="10"/>
        <color theme="1"/>
        <rFont val="宋体"/>
        <family val="1"/>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1"/>
        <charset val="134"/>
      </rPr>
      <t>精钢沉牛</t>
    </r>
    <r>
      <rPr>
        <sz val="10"/>
        <color theme="1"/>
        <rFont val="Times New Roman"/>
        <family val="1"/>
      </rPr>
      <t>Adamantine Bull</t>
    </r>
    <r>
      <rPr>
        <sz val="10"/>
        <color theme="1"/>
        <rFont val="宋体"/>
        <family val="1"/>
        <charset val="134"/>
      </rPr>
      <t>。</t>
    </r>
    <r>
      <rPr>
        <sz val="10"/>
        <color theme="1"/>
        <rFont val="Times New Roman"/>
        <family val="1"/>
      </rPr>
      <t xml:space="preserve"> </t>
    </r>
    <r>
      <rPr>
        <sz val="10"/>
        <color theme="1"/>
        <rFont val="宋体"/>
        <family val="1"/>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1"/>
        <charset val="134"/>
      </rPr>
      <t>尺远。</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级后，目标将被推离</t>
    </r>
    <r>
      <rPr>
        <sz val="10"/>
        <color theme="1"/>
        <rFont val="Times New Roman"/>
        <family val="1"/>
      </rPr>
      <t>10</t>
    </r>
    <r>
      <rPr>
        <sz val="10"/>
        <color theme="1"/>
        <rFont val="宋体"/>
        <family val="1"/>
        <charset val="134"/>
      </rPr>
      <t>尺远。</t>
    </r>
    <r>
      <rPr>
        <sz val="10"/>
        <color theme="1"/>
        <rFont val="Times New Roman"/>
        <family val="1"/>
      </rPr>
      <t xml:space="preserve"> 
</t>
    </r>
    <r>
      <rPr>
        <sz val="10"/>
        <color theme="1"/>
        <rFont val="宋体"/>
        <family val="1"/>
        <charset val="134"/>
      </rPr>
      <t>铁血刑者</t>
    </r>
    <r>
      <rPr>
        <sz val="10"/>
        <color theme="1"/>
        <rFont val="Times New Roman"/>
        <family val="1"/>
      </rPr>
      <t>lron Punisher</t>
    </r>
    <r>
      <rPr>
        <sz val="10"/>
        <color theme="1"/>
        <rFont val="宋体"/>
        <family val="1"/>
        <charset val="134"/>
      </rPr>
      <t>。</t>
    </r>
    <r>
      <rPr>
        <sz val="10"/>
        <color theme="1"/>
        <rFont val="Times New Roman"/>
        <family val="1"/>
      </rPr>
      <t xml:space="preserve"> </t>
    </r>
    <r>
      <rPr>
        <sz val="10"/>
        <color theme="1"/>
        <rFont val="宋体"/>
        <family val="1"/>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1"/>
        <charset val="134"/>
      </rPr>
      <t>所有近战武器攻击具有优势。同时，所有对你发动的攻击检定也将具有优势。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级后，你的近战武器攻击会额外造成</t>
    </r>
    <r>
      <rPr>
        <sz val="10"/>
        <color theme="1"/>
        <rFont val="Times New Roman"/>
        <family val="1"/>
      </rPr>
      <t>2d6</t>
    </r>
    <r>
      <rPr>
        <sz val="10"/>
        <color theme="1"/>
        <rFont val="宋体"/>
        <family val="1"/>
        <charset val="134"/>
      </rPr>
      <t>点伤害。</t>
    </r>
    <r>
      <rPr>
        <sz val="10"/>
        <color theme="1"/>
        <rFont val="Times New Roman"/>
        <family val="1"/>
      </rPr>
      <t xml:space="preserve"> 
</t>
    </r>
    <r>
      <rPr>
        <sz val="10"/>
        <color theme="1"/>
        <rFont val="宋体"/>
        <family val="1"/>
        <charset val="134"/>
      </rPr>
      <t>铁铸长蛇</t>
    </r>
    <r>
      <rPr>
        <sz val="10"/>
        <color theme="1"/>
        <rFont val="Times New Roman"/>
        <family val="1"/>
      </rPr>
      <t>Steel Serpent</t>
    </r>
    <r>
      <rPr>
        <sz val="10"/>
        <color theme="1"/>
        <rFont val="宋体"/>
        <family val="1"/>
        <charset val="134"/>
      </rPr>
      <t>。</t>
    </r>
    <r>
      <rPr>
        <sz val="10"/>
        <color theme="1"/>
        <rFont val="Times New Roman"/>
        <family val="1"/>
      </rPr>
      <t xml:space="preserve"> </t>
    </r>
    <r>
      <rPr>
        <sz val="10"/>
        <color theme="1"/>
        <rFont val="宋体"/>
        <family val="1"/>
        <charset val="134"/>
      </rPr>
      <t>你将你的重心前移，准备像毒蛇一样出击。处于此架势期间，在你的回合内你的触及范围增加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级后，即使不在你的回合内，你的触及范围也会增加。</t>
    </r>
    <r>
      <rPr>
        <sz val="10"/>
        <color theme="1"/>
        <rFont val="Times New Roman"/>
        <family val="1"/>
      </rPr>
      <t xml:space="preserve"> 
</t>
    </r>
    <r>
      <rPr>
        <sz val="10"/>
        <color theme="1"/>
        <rFont val="宋体"/>
        <family val="1"/>
        <charset val="134"/>
      </rPr>
      <t>轻灵秘银</t>
    </r>
    <r>
      <rPr>
        <sz val="10"/>
        <color theme="1"/>
        <rFont val="Times New Roman"/>
        <family val="1"/>
      </rPr>
      <t>Weightless Mithral</t>
    </r>
    <r>
      <rPr>
        <sz val="10"/>
        <color theme="1"/>
        <rFont val="宋体"/>
        <family val="1"/>
        <charset val="134"/>
      </rPr>
      <t>。</t>
    </r>
    <r>
      <rPr>
        <sz val="10"/>
        <color theme="1"/>
        <rFont val="Times New Roman"/>
        <family val="1"/>
      </rPr>
      <t xml:space="preserve"> </t>
    </r>
    <r>
      <rPr>
        <sz val="10"/>
        <color theme="1"/>
        <rFont val="宋体"/>
        <family val="1"/>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级后，你可以以一个附赠动作执行回避动作。</t>
    </r>
    <r>
      <rPr>
        <sz val="10"/>
        <color theme="1"/>
        <rFont val="Times New Roman"/>
        <family val="1"/>
      </rPr>
      <t xml:space="preserve"> </t>
    </r>
    <phoneticPr fontId="68" type="noConversion"/>
  </si>
  <si>
    <t>额外熟练</t>
  </si>
  <si>
    <t>猎巫打击</t>
  </si>
  <si>
    <t>引导神力：术法护盾</t>
  </si>
  <si>
    <t>审判官</t>
  </si>
  <si>
    <t>神之守护</t>
  </si>
  <si>
    <t>你获得军用武器和重甲的熟练。</t>
    <phoneticPr fontId="68" type="noConversion"/>
  </si>
  <si>
    <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phoneticPr fontId="68" type="noConversion"/>
  </si>
  <si>
    <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phoneticPr fontId="68" type="noConversion"/>
  </si>
  <si>
    <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phoneticPr fontId="68" type="noConversion"/>
  </si>
  <si>
    <r>
      <t>当你使用术法护盾时，你可以选择至多等于你感知调整值数量的生物（至少</t>
    </r>
    <r>
      <rPr>
        <sz val="10"/>
        <color theme="1"/>
        <rFont val="Times New Roman"/>
        <family val="1"/>
      </rPr>
      <t>2</t>
    </r>
    <r>
      <rPr>
        <sz val="10"/>
        <color theme="1"/>
        <rFont val="宋体"/>
        <family val="3"/>
        <charset val="134"/>
      </rPr>
      <t>名）而非一名生物。</t>
    </r>
    <phoneticPr fontId="68" type="noConversion"/>
  </si>
  <si>
    <t>不毁决意</t>
  </si>
  <si>
    <t>其上攻心</t>
  </si>
  <si>
    <t>潜能爆发</t>
  </si>
  <si>
    <t>血澄丹府</t>
  </si>
  <si>
    <t>绝意角竞</t>
  </si>
  <si>
    <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</si>
  <si>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无血无痕</t>
  </si>
  <si>
    <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</si>
  <si>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吾心若铁</t>
  </si>
  <si>
    <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</si>
  <si>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弧钢一闪</t>
  </si>
  <si>
    <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</si>
  <si>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凛然掌控</t>
  </si>
  <si>
    <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</si>
  <si>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抛戈猛击</t>
  </si>
  <si>
    <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</si>
  <si>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t>摧坚一掷</t>
  </si>
  <si>
    <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</si>
  <si>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剑刃壁垒</t>
  </si>
  <si>
    <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</si>
  <si>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永亡之刃</t>
  </si>
  <si>
    <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</si>
  <si>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碎甲勇击</t>
  </si>
  <si>
    <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</si>
  <si>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破锋强击</t>
  </si>
  <si>
    <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</si>
  <si>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裂盔断首</t>
  </si>
  <si>
    <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</si>
  <si>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钢风铁雨</t>
  </si>
  <si>
    <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</si>
  <si>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phoneticPr fontId="68" type="noConversion"/>
  </si>
  <si>
    <t>你那不可撼动的意志使你能够跨越任何困难险阻，在你的回合中，你的豁免检定具有优势。</t>
    <phoneticPr fontId="68" type="noConversion"/>
  </si>
  <si>
    <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phoneticPr fontId="68" type="noConversion"/>
  </si>
  <si>
    <t>战斗的快感会在你体内引起魔法性的共鸣。当你回气时，你回复等同于你战士等级一半的战技点。</t>
    <phoneticPr fontId="68" type="noConversion"/>
  </si>
  <si>
    <t>腹酿道途</t>
  </si>
  <si>
    <t>实验道途</t>
  </si>
  <si>
    <t>面具学院</t>
  </si>
  <si>
    <t>灵哨学院</t>
  </si>
  <si>
    <t>丰收领域</t>
  </si>
  <si>
    <t>落英结社</t>
  </si>
  <si>
    <t>旧途结社</t>
  </si>
  <si>
    <t>柳艺结社</t>
  </si>
  <si>
    <t>附灵</t>
  </si>
  <si>
    <t>陵墓守卫</t>
  </si>
  <si>
    <t>绵龙牧者</t>
  </si>
  <si>
    <t>疫瘴武者</t>
  </si>
  <si>
    <t>川流之誓</t>
  </si>
  <si>
    <t>惩戒之誓</t>
  </si>
  <si>
    <t>侵蚀行者</t>
  </si>
  <si>
    <t>噩兆先驱</t>
  </si>
  <si>
    <t>蜡艺师</t>
  </si>
  <si>
    <t>罪人</t>
  </si>
  <si>
    <t>鬼之血脉</t>
  </si>
  <si>
    <t>猩红术法</t>
  </si>
  <si>
    <t>灯笼</t>
  </si>
  <si>
    <t>愚神宗主</t>
  </si>
  <si>
    <t>角之王宗主</t>
  </si>
  <si>
    <t>折纸魔法师</t>
  </si>
  <si>
    <t>神秘学者</t>
  </si>
  <si>
    <t>贤者</t>
  </si>
  <si>
    <t>狂热之誓法术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</si>
  <si>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狂热圣誓法术</t>
    </r>
    <r>
      <rPr>
        <sz val="10"/>
        <color theme="1"/>
        <rFont val="Times New Roman"/>
        <family val="1"/>
      </rPr>
      <t xml:space="preserve">Oath of Zeal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侦测善恶</t>
    </r>
    <r>
      <rPr>
        <sz val="10"/>
        <color theme="1"/>
        <rFont val="Times New Roman"/>
        <family val="1"/>
      </rPr>
      <t>detect evil and good</t>
    </r>
    <r>
      <rPr>
        <sz val="10"/>
        <color theme="1"/>
        <rFont val="宋体"/>
        <family val="1"/>
        <charset val="134"/>
      </rPr>
      <t>，猎人印记</t>
    </r>
    <r>
      <rPr>
        <sz val="10"/>
        <color theme="1"/>
        <rFont val="Times New Roman"/>
        <family val="1"/>
      </rPr>
      <t xml:space="preserve">hunter’s mark  
5th </t>
    </r>
    <r>
      <rPr>
        <sz val="10"/>
        <color theme="1"/>
        <rFont val="宋体"/>
        <family val="1"/>
        <charset val="134"/>
      </rPr>
      <t>侦测思想</t>
    </r>
    <r>
      <rPr>
        <sz val="10"/>
        <color theme="1"/>
        <rFont val="Times New Roman"/>
        <family val="1"/>
      </rPr>
      <t>detect thoughts</t>
    </r>
    <r>
      <rPr>
        <sz val="10"/>
        <color theme="1"/>
        <rFont val="宋体"/>
        <family val="1"/>
        <charset val="134"/>
      </rPr>
      <t>，敲击术</t>
    </r>
    <r>
      <rPr>
        <sz val="10"/>
        <color theme="1"/>
        <rFont val="Times New Roman"/>
        <family val="1"/>
      </rPr>
      <t xml:space="preserve">knock  
9th </t>
    </r>
    <r>
      <rPr>
        <sz val="10"/>
        <color theme="1"/>
        <rFont val="宋体"/>
        <family val="1"/>
        <charset val="134"/>
      </rPr>
      <t>恐惧术</t>
    </r>
    <r>
      <rPr>
        <sz val="10"/>
        <color theme="1"/>
        <rFont val="Times New Roman"/>
        <family val="1"/>
      </rPr>
      <t>fear</t>
    </r>
    <r>
      <rPr>
        <sz val="10"/>
        <color theme="1"/>
        <rFont val="宋体"/>
        <family val="1"/>
        <charset val="134"/>
      </rPr>
      <t>，巧言术</t>
    </r>
    <r>
      <rPr>
        <sz val="10"/>
        <color theme="1"/>
        <rFont val="Times New Roman"/>
        <family val="1"/>
      </rPr>
      <t xml:space="preserve">tongues 
13th </t>
    </r>
    <r>
      <rPr>
        <sz val="10"/>
        <color theme="1"/>
        <rFont val="宋体"/>
        <family val="1"/>
        <charset val="134"/>
      </rPr>
      <t>预言术</t>
    </r>
    <r>
      <rPr>
        <sz val="10"/>
        <color theme="1"/>
        <rFont val="Times New Roman"/>
        <family val="1"/>
      </rPr>
      <t>divination</t>
    </r>
    <r>
      <rPr>
        <sz val="10"/>
        <color theme="1"/>
        <rFont val="宋体"/>
        <family val="1"/>
        <charset val="134"/>
      </rPr>
      <t>，生物定位术</t>
    </r>
    <r>
      <rPr>
        <sz val="10"/>
        <color theme="1"/>
        <rFont val="Times New Roman"/>
        <family val="1"/>
      </rPr>
      <t xml:space="preserve">locate creature  
17th </t>
    </r>
    <r>
      <rPr>
        <sz val="10"/>
        <color theme="1"/>
        <rFont val="宋体"/>
        <family val="1"/>
        <charset val="134"/>
      </rPr>
      <t>疫病虫群</t>
    </r>
    <r>
      <rPr>
        <sz val="10"/>
        <color theme="1"/>
        <rFont val="Times New Roman"/>
        <family val="1"/>
      </rPr>
      <t>insect plague</t>
    </r>
    <r>
      <rPr>
        <sz val="10"/>
        <color theme="1"/>
        <rFont val="宋体"/>
        <family val="1"/>
        <charset val="134"/>
      </rPr>
      <t>，探知</t>
    </r>
    <r>
      <rPr>
        <sz val="10"/>
        <color theme="1"/>
        <rFont val="Times New Roman"/>
        <family val="1"/>
      </rPr>
      <t xml:space="preserve">Scrying  </t>
    </r>
    <phoneticPr fontId="68" type="noConversion"/>
  </si>
  <si>
    <t>明晰灵光</t>
  </si>
  <si>
    <t>强制告罪</t>
  </si>
  <si>
    <t>末世天启</t>
  </si>
  <si>
    <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1"/>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phoneticPr fontId="68" type="noConversion"/>
  </si>
  <si>
    <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</si>
  <si>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phoneticPr fontId="68" type="noConversion"/>
  </si>
  <si>
    <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phoneticPr fontId="68" type="noConversion"/>
  </si>
  <si>
    <t>厄运</t>
    <phoneticPr fontId="68" type="noConversion"/>
  </si>
  <si>
    <r>
      <rPr>
        <sz val="10"/>
        <color theme="1"/>
        <rFont val="宋体"/>
        <family val="1"/>
        <charset val="134"/>
      </rPr>
      <t>在</t>
    </r>
    <r>
      <rPr>
        <sz val="10"/>
        <color theme="1"/>
        <rFont val="Times New Roman"/>
        <family val="1"/>
      </rPr>
      <t>3</t>
    </r>
    <r>
      <rPr>
        <sz val="10"/>
        <color theme="1"/>
        <rFont val="宋体"/>
        <family val="1"/>
        <charset val="134"/>
      </rPr>
      <t>级起，你学会能够为被你的邪眼标记的生物带来厄运：</t>
    </r>
    <r>
      <rPr>
        <sz val="10"/>
        <color theme="1"/>
        <rFont val="Times New Roman"/>
        <family val="1"/>
      </rPr>
      <t xml:space="preserve"> 
</t>
    </r>
    <r>
      <rPr>
        <sz val="10"/>
        <color theme="1"/>
        <rFont val="宋体"/>
        <family val="1"/>
        <charset val="134"/>
      </rPr>
      <t>厄运</t>
    </r>
    <r>
      <rPr>
        <sz val="10"/>
        <color theme="1"/>
        <rFont val="Times New Roman"/>
        <family val="1"/>
      </rPr>
      <t>Misfortunes</t>
    </r>
    <r>
      <rPr>
        <sz val="10"/>
        <color theme="1"/>
        <rFont val="宋体"/>
        <family val="1"/>
        <charset val="134"/>
      </rPr>
      <t>。</t>
    </r>
    <r>
      <rPr>
        <sz val="10"/>
        <color theme="1"/>
        <rFont val="Times New Roman"/>
        <family val="1"/>
      </rPr>
      <t xml:space="preserve"> </t>
    </r>
    <r>
      <rPr>
        <sz val="10"/>
        <color theme="1"/>
        <rFont val="宋体"/>
        <family val="1"/>
        <charset val="134"/>
      </rPr>
      <t>你学会两种你选择的厄运，详见下文的“厄运”部分。你在</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1"/>
        <charset val="134"/>
      </rPr>
      <t>灾厄点</t>
    </r>
    <r>
      <rPr>
        <sz val="10"/>
        <color theme="1"/>
        <rFont val="Times New Roman"/>
        <family val="1"/>
      </rPr>
      <t>Jinx Points</t>
    </r>
    <r>
      <rPr>
        <sz val="10"/>
        <color theme="1"/>
        <rFont val="宋体"/>
        <family val="1"/>
        <charset val="134"/>
      </rPr>
      <t>。</t>
    </r>
    <r>
      <rPr>
        <sz val="10"/>
        <color theme="1"/>
        <rFont val="Times New Roman"/>
        <family val="1"/>
      </rPr>
      <t xml:space="preserve"> </t>
    </r>
    <r>
      <rPr>
        <sz val="10"/>
        <color theme="1"/>
        <rFont val="宋体"/>
        <family val="1"/>
        <charset val="134"/>
      </rPr>
      <t>你具有</t>
    </r>
    <r>
      <rPr>
        <sz val="10"/>
        <color theme="1"/>
        <rFont val="Times New Roman"/>
        <family val="1"/>
      </rPr>
      <t>3</t>
    </r>
    <r>
      <rPr>
        <sz val="10"/>
        <color theme="1"/>
        <rFont val="宋体"/>
        <family val="1"/>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1"/>
        <charset val="134"/>
      </rPr>
      <t>你在</t>
    </r>
    <r>
      <rPr>
        <sz val="10"/>
        <color theme="1"/>
        <rFont val="Times New Roman"/>
        <family val="1"/>
      </rPr>
      <t>13</t>
    </r>
    <r>
      <rPr>
        <sz val="10"/>
        <color theme="1"/>
        <rFont val="宋体"/>
        <family val="1"/>
        <charset val="134"/>
      </rPr>
      <t>级时额外获得两个灾厄点。</t>
    </r>
    <r>
      <rPr>
        <sz val="10"/>
        <color theme="1"/>
        <rFont val="Times New Roman"/>
        <family val="1"/>
      </rPr>
      <t xml:space="preserve"> 
</t>
    </r>
    <r>
      <rPr>
        <sz val="10"/>
        <color theme="1"/>
        <rFont val="宋体"/>
        <family val="1"/>
        <charset val="134"/>
      </rPr>
      <t>豁免</t>
    </r>
    <r>
      <rPr>
        <sz val="10"/>
        <color theme="1"/>
        <rFont val="Times New Roman"/>
        <family val="1"/>
      </rPr>
      <t>Saving Throws</t>
    </r>
    <r>
      <rPr>
        <sz val="10"/>
        <color theme="1"/>
        <rFont val="宋体"/>
        <family val="1"/>
        <charset val="134"/>
      </rPr>
      <t>。</t>
    </r>
    <r>
      <rPr>
        <sz val="10"/>
        <color theme="1"/>
        <rFont val="Times New Roman"/>
        <family val="1"/>
      </rPr>
      <t xml:space="preserve"> </t>
    </r>
    <r>
      <rPr>
        <sz val="10"/>
        <color theme="1"/>
        <rFont val="宋体"/>
        <family val="1"/>
        <charset val="134"/>
      </rPr>
      <t>你的邪眼，以及你的一部分厄运需要目标进行对抗其效应的豁免。豁免</t>
    </r>
    <r>
      <rPr>
        <sz val="10"/>
        <color theme="1"/>
        <rFont val="Times New Roman"/>
        <family val="1"/>
      </rPr>
      <t>DC</t>
    </r>
    <r>
      <rPr>
        <sz val="10"/>
        <color theme="1"/>
        <rFont val="宋体"/>
        <family val="1"/>
        <charset val="134"/>
      </rPr>
      <t>计算方式如下：</t>
    </r>
    <r>
      <rPr>
        <sz val="10"/>
        <color theme="1"/>
        <rFont val="Times New Roman"/>
        <family val="1"/>
      </rPr>
      <t xml:space="preserve">
</t>
    </r>
    <r>
      <rPr>
        <sz val="10"/>
        <color theme="1"/>
        <rFont val="宋体"/>
        <family val="1"/>
        <charset val="134"/>
      </rPr>
      <t>厄运豁免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你的魅力调整值</t>
    </r>
    <phoneticPr fontId="68" type="noConversion"/>
  </si>
  <si>
    <t>邪眼</t>
  </si>
  <si>
    <t>偷窃幸运</t>
  </si>
  <si>
    <t>诅咒使者</t>
  </si>
  <si>
    <t>衰弱诅咒</t>
  </si>
  <si>
    <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</si>
  <si>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命定诅咒</t>
  </si>
  <si>
    <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</si>
  <si>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无能诅咒</t>
  </si>
  <si>
    <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</si>
  <si>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灾疫诅咒</t>
  </si>
  <si>
    <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</si>
  <si>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惑心诅咒</t>
  </si>
  <si>
    <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</si>
  <si>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灭亡诅咒</t>
  </si>
  <si>
    <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</si>
  <si>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恐惧诅咒</t>
  </si>
  <si>
    <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</si>
  <si>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重伤诅咒</t>
  </si>
  <si>
    <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</si>
  <si>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标记诅咒</t>
  </si>
  <si>
    <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</si>
  <si>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笨拙诅咒</t>
  </si>
  <si>
    <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</si>
  <si>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丧感诅咒</t>
  </si>
  <si>
    <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</si>
  <si>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困倦诅咒</t>
  </si>
  <si>
    <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</si>
  <si>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不幸诅咒</t>
  </si>
  <si>
    <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</si>
  <si>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phoneticPr fontId="68" type="noConversion"/>
  </si>
  <si>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phoneticPr fontId="68" type="noConversion"/>
  </si>
  <si>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phoneticPr fontId="68" type="noConversion"/>
  </si>
  <si>
    <t>未来的你扩展法术</t>
    <phoneticPr fontId="68" type="noConversion"/>
  </si>
  <si>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phoneticPr fontId="68" type="noConversion"/>
  </si>
  <si>
    <t>事情是这样发生的</t>
    <phoneticPr fontId="68" type="noConversion"/>
  </si>
  <si>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phoneticPr fontId="68" type="noConversion"/>
  </si>
  <si>
    <t>我可不想再多几道伤疤</t>
    <phoneticPr fontId="68" type="noConversion"/>
  </si>
  <si>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phoneticPr fontId="68" type="noConversion"/>
  </si>
  <si>
    <t>小心埋伏</t>
    <phoneticPr fontId="68" type="noConversion"/>
  </si>
  <si>
    <t>你在进行先攻检定时具有优势，并且在战斗的第一轮获得对所有伤害的抗性。</t>
    <phoneticPr fontId="68" type="noConversion"/>
  </si>
  <si>
    <t>祖父悖论</t>
    <phoneticPr fontId="68" type="noConversion"/>
  </si>
  <si>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phoneticPr fontId="68" type="noConversion"/>
  </si>
  <si>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phoneticPr fontId="68" type="noConversion"/>
  </si>
  <si>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phoneticPr fontId="68" type="noConversion"/>
  </si>
  <si>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phoneticPr fontId="68" type="noConversion"/>
  </si>
  <si>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phoneticPr fontId="68" type="noConversion"/>
  </si>
  <si>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phoneticPr fontId="68" type="noConversion"/>
  </si>
  <si>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phoneticPr fontId="68" type="noConversion"/>
  </si>
  <si>
    <t>尘风屏障</t>
  </si>
  <si>
    <t>Gust Barrier</t>
  </si>
  <si>
    <t>提升视力</t>
  </si>
  <si>
    <t>Elevated Sight</t>
  </si>
  <si>
    <t>尖刺护盾</t>
  </si>
  <si>
    <t>反应</t>
  </si>
  <si>
    <t>一支小羽毛笔</t>
  </si>
  <si>
    <t>一轮</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</si>
  <si>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</si>
  <si>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</si>
  <si>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</si>
  <si>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</si>
  <si>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</si>
  <si>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</si>
  <si>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</si>
  <si>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Ambush Prey</t>
  </si>
  <si>
    <t>羽化</t>
  </si>
  <si>
    <t>一根小羽毛</t>
  </si>
  <si>
    <t>Feathered Reach</t>
  </si>
  <si>
    <t>暮光法球</t>
  </si>
  <si>
    <t>一滴沥青和一袋闪亮的沙子</t>
  </si>
  <si>
    <t>Globe of Twilight</t>
  </si>
  <si>
    <t>祈求永荣者</t>
  </si>
  <si>
    <t>自身；特殊，见正文</t>
  </si>
  <si>
    <t>一个阿玛兰的圣徽；特殊，见正文</t>
  </si>
  <si>
    <t>Invoke the Amaranthine</t>
  </si>
  <si>
    <t>植物塑形</t>
  </si>
  <si>
    <t>立即（特殊，见正文）</t>
  </si>
  <si>
    <t>Shape Plants</t>
  </si>
  <si>
    <t>恒星之躯</t>
  </si>
  <si>
    <t>特殊，见正文</t>
  </si>
  <si>
    <t>Stellar Bodies</t>
  </si>
  <si>
    <t>10分钟；特殊，见正文</t>
  </si>
  <si>
    <t>鸦族</t>
  </si>
  <si>
    <t>雉族</t>
  </si>
  <si>
    <t>鸽族</t>
  </si>
  <si>
    <t>隼族</t>
  </si>
  <si>
    <t>鸮族</t>
  </si>
  <si>
    <t>鹿族</t>
  </si>
  <si>
    <t>猬族</t>
  </si>
  <si>
    <t>跳鼠族</t>
  </si>
  <si>
    <t>浣熊族</t>
  </si>
  <si>
    <t>狡狐族</t>
  </si>
  <si>
    <t>滑翔</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</si>
  <si>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phoneticPr fontId="68" type="noConversion"/>
  </si>
  <si>
    <t>利爪</t>
    <phoneticPr fontId="68" type="noConversion"/>
  </si>
  <si>
    <t>你锋利的爪子帮助你徒手战斗和攀爬。你的徒手打击造成1d4点穿刺伤害。此外，如果攀爬时爪子能够抓住任何表面，你的力量（运动）检定获得优势。</t>
    <phoneticPr fontId="68" type="noConversion"/>
  </si>
  <si>
    <t>善学</t>
    <phoneticPr fontId="68" type="noConversion"/>
  </si>
  <si>
    <t>你获得一项自选的技能作为熟练项：奥秘、历史、自然或宗教。</t>
    <phoneticPr fontId="68" type="noConversion"/>
  </si>
  <si>
    <t>评估之眼</t>
    <phoneticPr fontId="68" type="noConversion"/>
  </si>
  <si>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phoneticPr fontId="68" type="noConversion"/>
  </si>
  <si>
    <t>昏鸦族</t>
    <phoneticPr fontId="68" type="noConversion"/>
  </si>
  <si>
    <t>煽鸦族</t>
    <phoneticPr fontId="68" type="noConversion"/>
  </si>
  <si>
    <t>靓雉族</t>
    <phoneticPr fontId="68" type="noConversion"/>
  </si>
  <si>
    <t>野雉族</t>
    <phoneticPr fontId="68" type="noConversion"/>
  </si>
  <si>
    <t>黑鸽族</t>
    <phoneticPr fontId="68" type="noConversion"/>
  </si>
  <si>
    <t>艳鸽族</t>
    <phoneticPr fontId="68" type="noConversion"/>
  </si>
  <si>
    <t>海隼族</t>
    <phoneticPr fontId="68" type="noConversion"/>
  </si>
  <si>
    <t>风隼族</t>
    <phoneticPr fontId="68" type="noConversion"/>
  </si>
  <si>
    <t>敦实鸮</t>
    <phoneticPr fontId="68" type="noConversion"/>
  </si>
  <si>
    <t>迅疾鸮</t>
    <phoneticPr fontId="68" type="noConversion"/>
  </si>
  <si>
    <t>林地鹿</t>
    <phoneticPr fontId="68" type="noConversion"/>
  </si>
  <si>
    <t>叉角鹿</t>
    <phoneticPr fontId="68" type="noConversion"/>
  </si>
  <si>
    <t>鬼鬼祟祟</t>
    <phoneticPr fontId="68" type="noConversion"/>
  </si>
  <si>
    <t>昏暗或黑暗环境中，你的敏捷（隐匿）检定获得优势。</t>
    <phoneticPr fontId="68" type="noConversion"/>
  </si>
  <si>
    <t>街头智慧</t>
    <phoneticPr fontId="68" type="noConversion"/>
  </si>
  <si>
    <t>你拥有洞悉技能的熟练项。</t>
    <phoneticPr fontId="68" type="noConversion"/>
  </si>
  <si>
    <t>令人信服</t>
    <phoneticPr fontId="68" type="noConversion"/>
  </si>
  <si>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phoneticPr fontId="68" type="noConversion"/>
  </si>
  <si>
    <t>敏锐思维</t>
    <phoneticPr fontId="68" type="noConversion"/>
  </si>
  <si>
    <t>你可以学习另外一门自选语言，获得一个自选工具的熟练项，并且能够非常清晰地回忆起你在过去一个月里看到或听到的任何事物。</t>
    <phoneticPr fontId="68" type="noConversion"/>
  </si>
  <si>
    <t>襟翼</t>
    <phoneticPr fontId="68" type="noConversion"/>
  </si>
  <si>
    <t>以一个附赠动作，你可以使用强有力手臂上的襟翼推动自身向上移动一段距离，距离等于你移动速度的一半。你擅于有规律的跳跃，但不能在滑翔时使用此能力。</t>
    <phoneticPr fontId="68" type="noConversion"/>
  </si>
  <si>
    <t>社区文化</t>
    <phoneticPr fontId="68" type="noConversion"/>
  </si>
  <si>
    <t>每当你进行与自身种族、文化或社区历史相关的智力（历史）检定时，你被视为拥有历史技能的熟练项，并可以加上双倍熟练加值，而非正常的熟练加值。</t>
    <phoneticPr fontId="68" type="noConversion"/>
  </si>
  <si>
    <t>民兵训练</t>
    <phoneticPr fontId="68" type="noConversion"/>
  </si>
  <si>
    <t>你获得简易武器的熟练项。</t>
    <phoneticPr fontId="68" type="noConversion"/>
  </si>
  <si>
    <t>人民一员</t>
    <phoneticPr fontId="68" type="noConversion"/>
  </si>
  <si>
    <t>你获得一个工匠工具的熟练项：酿酒工具。木匠工具或铁匠工具。</t>
    <phoneticPr fontId="68" type="noConversion"/>
  </si>
  <si>
    <t>激励人心</t>
    <phoneticPr fontId="68" type="noConversion"/>
  </si>
  <si>
    <t>通过一个动作给予建议或鼓励，你可以激励一个能够看到和听到你的盟友。盟友可以掷出一个1d4，并将被掷出的数字添加到他们的下一次属性检定、攻击检定或豁免检定中。</t>
    <phoneticPr fontId="68" type="noConversion"/>
  </si>
  <si>
    <t>感同身受</t>
    <phoneticPr fontId="68" type="noConversion"/>
  </si>
  <si>
    <t>林地之子</t>
    <phoneticPr fontId="68" type="noConversion"/>
  </si>
  <si>
    <t>你拥有自然技能的熟练项。</t>
    <phoneticPr fontId="68" type="noConversion"/>
  </si>
  <si>
    <t>种子之语</t>
    <phoneticPr fontId="68" type="noConversion"/>
  </si>
  <si>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</si>
  <si>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</si>
  <si>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</si>
  <si>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神经兮兮</t>
    <phoneticPr fontId="68" type="noConversion"/>
  </si>
  <si>
    <t>你可以选择一个戏法，从术士法术列表中选择之。其施法属性为魅力。</t>
    <phoneticPr fontId="68" type="noConversion"/>
  </si>
  <si>
    <t>命中注定</t>
    <phoneticPr fontId="68" type="noConversion"/>
  </si>
  <si>
    <t>不管是幸运还是指引你的存在，你似乎总能找到自己的方向。每天1次，你可以选择重掷任何攻击、技能检定或豁免掷骰。你可以在掷骰之后决定这样做，但必须在掷骰结果确定前声明。</t>
    <phoneticPr fontId="68" type="noConversion"/>
  </si>
  <si>
    <t>难以捉摸</t>
    <phoneticPr fontId="68" type="noConversion"/>
  </si>
  <si>
    <t>你与生俱来的怪癖让别人很难了解你。当其他人对你进行感知（洞悉）检定时，他们获得劣势。此外，在针对非鸽族时，你的魅力（欺瞒）检定获得优势。</t>
    <phoneticPr fontId="68" type="noConversion"/>
  </si>
  <si>
    <t>坚韧</t>
    <phoneticPr fontId="68" type="noConversion"/>
  </si>
  <si>
    <t>你进行对抗毒素的豁免时具有优势，并且拥有毒素伤害的抗性。</t>
    <phoneticPr fontId="68" type="noConversion"/>
  </si>
  <si>
    <t>万众瞩目</t>
    <phoneticPr fontId="68" type="noConversion"/>
  </si>
  <si>
    <t>你拥有表演技能的熟练项。</t>
    <phoneticPr fontId="68" type="noConversion"/>
  </si>
  <si>
    <t>鸣禽</t>
    <phoneticPr fontId="68" type="noConversion"/>
  </si>
  <si>
    <t>每当表演时，你能显露源自个人魅力的天生神秘力量。每长休1次，你能够使用“魅惑类人”法术，但不需要任何姿势成分。与该特质相关的施法关键属性为魅力。</t>
    <phoneticPr fontId="68" type="noConversion"/>
  </si>
  <si>
    <t>你拥有察觉技能的熟练项。</t>
    <phoneticPr fontId="68" type="noConversion"/>
  </si>
  <si>
    <t>林地猎手</t>
    <phoneticPr fontId="68" type="noConversion"/>
  </si>
  <si>
    <t>你的精准允许你将你3/4掩护视为半身掩护，并将半身掩护视为没有掩护。</t>
    <phoneticPr fontId="68" type="noConversion"/>
  </si>
  <si>
    <t>猎手训练</t>
    <phoneticPr fontId="68" type="noConversion"/>
  </si>
  <si>
    <t>你拥有长弓、短弓和矛的熟练项。不过熟练长弓意味着它不再被视为一件重型武器。</t>
    <phoneticPr fontId="68" type="noConversion"/>
  </si>
  <si>
    <t>游泳家</t>
    <phoneticPr fontId="68" type="noConversion"/>
  </si>
  <si>
    <t>你拥有25尺游泳速度。</t>
    <phoneticPr fontId="68" type="noConversion"/>
  </si>
  <si>
    <t>耐心</t>
    <phoneticPr fontId="68" type="noConversion"/>
  </si>
  <si>
    <t>当用反应来执行预备动作时，你的第一次攻击掷骰、技能检定或属性检定上获得优势，这属于该动作的一部分。</t>
    <phoneticPr fontId="68" type="noConversion"/>
  </si>
  <si>
    <t>你拥有运动技能的熟练项。</t>
    <phoneticPr fontId="68" type="noConversion"/>
  </si>
  <si>
    <t>空中防御</t>
    <phoneticPr fontId="68" type="noConversion"/>
  </si>
  <si>
    <t>图纹羽毛</t>
    <phoneticPr fontId="68" type="noConversion"/>
  </si>
  <si>
    <t>森林环境中，你在敏捷（隐匿）检定获得优势。</t>
    <phoneticPr fontId="68" type="noConversion"/>
  </si>
  <si>
    <t>威严满满</t>
    <phoneticPr fontId="68" type="noConversion"/>
  </si>
  <si>
    <t>你拥有威吓技能的熟练项。</t>
    <phoneticPr fontId="68" type="noConversion"/>
  </si>
  <si>
    <t>格斗家</t>
    <phoneticPr fontId="68" type="noConversion"/>
  </si>
  <si>
    <t>当你使用利爪成功命中目标时，可以用附赠动作擒抱目标。</t>
    <phoneticPr fontId="68" type="noConversion"/>
  </si>
  <si>
    <t>你的基础步行速度提升至35尺。</t>
    <phoneticPr fontId="68" type="noConversion"/>
  </si>
  <si>
    <t>生存大师</t>
    <phoneticPr fontId="68" type="noConversion"/>
  </si>
  <si>
    <t>你拥有生存技能的熟练项。</t>
    <phoneticPr fontId="68" type="noConversion"/>
  </si>
  <si>
    <t>注重实践</t>
    <phoneticPr fontId="68" type="noConversion"/>
  </si>
  <si>
    <t>鹿族非常注重实践，热衷把时间花在学习对他们林地村落有用的生活技能上。你获得一项自选的技能作为熟练项：运动、医药、自然或生存。</t>
    <phoneticPr fontId="68" type="noConversion"/>
  </si>
  <si>
    <t>活力澎湃</t>
    <phoneticPr fontId="68" type="noConversion"/>
  </si>
  <si>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phoneticPr fontId="68" type="noConversion"/>
  </si>
  <si>
    <t>立定跳远</t>
    <phoneticPr fontId="68" type="noConversion"/>
  </si>
  <si>
    <t>你的基础跳远距离是30尺，基础跳高距离是15尺，并且可以无需助跑。</t>
    <phoneticPr fontId="68" type="noConversion"/>
  </si>
  <si>
    <t>针对你的借机攻击获得劣势。</t>
    <phoneticPr fontId="68" type="noConversion"/>
  </si>
  <si>
    <t>灵敏步法</t>
    <phoneticPr fontId="68" type="noConversion"/>
  </si>
  <si>
    <t>身强力壮</t>
    <phoneticPr fontId="68" type="noConversion"/>
  </si>
  <si>
    <t>在计算自己的负重及拖、拉、拽的重量时，你的负重翻倍。</t>
    <phoneticPr fontId="68" type="noConversion"/>
  </si>
  <si>
    <t>鹿角</t>
    <phoneticPr fontId="68" type="noConversion"/>
  </si>
  <si>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phoneticPr fontId="68" type="noConversion"/>
  </si>
  <si>
    <t>天生掘穴者</t>
    <phoneticPr fontId="68" type="noConversion"/>
  </si>
  <si>
    <t>你拥有15尺掘穴速度。你有能力在松软的泥土中掘穴，但是仅凭你的爪子却无法挖掘任何坚固的东西。</t>
    <phoneticPr fontId="68" type="noConversion"/>
  </si>
  <si>
    <t>多刺的羽发</t>
    <phoneticPr fontId="68" type="noConversion"/>
  </si>
  <si>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phoneticPr fontId="68" type="noConversion"/>
  </si>
  <si>
    <t>蜷缩</t>
    <phoneticPr fontId="68" type="noConversion"/>
  </si>
  <si>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phoneticPr fontId="68" type="noConversion"/>
  </si>
  <si>
    <t>森林魔法</t>
    <phoneticPr fontId="68" type="noConversion"/>
  </si>
  <si>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phoneticPr fontId="68" type="noConversion"/>
  </si>
  <si>
    <t>虫类交谈</t>
    <phoneticPr fontId="68" type="noConversion"/>
  </si>
  <si>
    <t>通过声音和手势，你可以与生物类型为 野兽Beast 的昆虫、蜘蛛、蠕虫和其他令人不安的爬虫交流简单的想法，不论它们的体型大小。</t>
    <phoneticPr fontId="68" type="noConversion"/>
  </si>
  <si>
    <t>你可以穿越任何体形比你大的生物所在空间。</t>
    <phoneticPr fontId="68" type="noConversion"/>
  </si>
  <si>
    <t>振作</t>
    <phoneticPr fontId="68" type="noConversion"/>
  </si>
  <si>
    <t>你的力量豁免检定获得优势。只要你距离你的盟友在5尺之内，彼此能够互相看到听到，并且盟友没有恐慌或失能，你对抗恐慌的豁免检定具有优势。</t>
    <phoneticPr fontId="68" type="noConversion"/>
  </si>
  <si>
    <t>团体战术</t>
    <phoneticPr fontId="68" type="noConversion"/>
  </si>
  <si>
    <t>你能以附赠动作执行协助动作。</t>
    <phoneticPr fontId="68" type="noConversion"/>
  </si>
  <si>
    <t>攀爬专家</t>
    <phoneticPr fontId="68" type="noConversion"/>
  </si>
  <si>
    <t>你拥有20尺攀爬速度。</t>
    <phoneticPr fontId="68" type="noConversion"/>
  </si>
  <si>
    <t>抗性</t>
    <phoneticPr fontId="68" type="noConversion"/>
  </si>
  <si>
    <t>拾荒艺术</t>
    <phoneticPr fontId="68" type="noConversion"/>
  </si>
  <si>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phoneticPr fontId="68" type="noConversion"/>
  </si>
  <si>
    <t>啮咬</t>
    <phoneticPr fontId="68" type="noConversion"/>
  </si>
  <si>
    <t>你的尖牙能够进行天生的啮咬攻击。你能够以啮咬进行徒手攻击，该打击造成1d6的穿刺伤害，你可以用你的力量调整值或敏捷调整值来计算攻击掷骰和伤害加值。</t>
    <phoneticPr fontId="68" type="noConversion"/>
  </si>
  <si>
    <t>反射躲闪</t>
    <phoneticPr fontId="68" type="noConversion"/>
  </si>
  <si>
    <t>你的所有敏捷豁免检定获得加值，数值等于你的智力调整值。</t>
    <phoneticPr fontId="68" type="noConversion"/>
  </si>
  <si>
    <t>迷人诡计</t>
    <phoneticPr fontId="68" type="noConversion"/>
  </si>
  <si>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phoneticPr fontId="68" type="noConversion"/>
  </si>
  <si>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</si>
  <si>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</si>
  <si>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</si>
  <si>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</si>
  <si>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</si>
  <si>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</si>
  <si>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</si>
  <si>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t>GH</t>
    <phoneticPr fontId="68" type="noConversion"/>
  </si>
  <si>
    <t>HW</t>
    <phoneticPr fontId="68" type="noConversion"/>
  </si>
  <si>
    <t>在你坠落、滑翔或跳跃期间，对你发动攻击的生物在其攻击检定中具有劣势。</t>
    <phoneticPr fontId="68" type="noConversion"/>
  </si>
  <si>
    <t>附赠熟练项</t>
    <phoneticPr fontId="68" type="noConversion"/>
  </si>
  <si>
    <r>
      <rPr>
        <sz val="10"/>
        <color theme="1"/>
        <rFont val="微软雅黑"/>
        <family val="1"/>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1"/>
        <charset val="134"/>
      </rPr>
      <t>你获得任意一套赌具（由你选择）的熟练项</t>
    </r>
    <r>
      <rPr>
        <sz val="10"/>
        <color theme="1"/>
        <rFont val="Times New Roman"/>
        <family val="1"/>
      </rPr>
      <t xml:space="preserve">
· </t>
    </r>
    <r>
      <rPr>
        <sz val="10"/>
        <color theme="1"/>
        <rFont val="微软雅黑"/>
        <family val="1"/>
        <charset val="134"/>
      </rPr>
      <t>你获得任意一把军用武器（由你选择）的熟练项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草药工具</t>
    </r>
    <r>
      <rPr>
        <sz val="10"/>
        <color theme="1"/>
        <rFont val="Times New Roman"/>
        <family val="1"/>
      </rPr>
      <t xml:space="preserve">Herbalism Kits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盗贼工具</t>
    </r>
    <r>
      <rPr>
        <sz val="10"/>
        <color theme="1"/>
        <rFont val="Times New Roman"/>
        <family val="1"/>
      </rPr>
      <t xml:space="preserve">Thieves' Tools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你获得任意一项技能（由你选择）的熟练项</t>
    </r>
    <r>
      <rPr>
        <sz val="10"/>
        <color theme="1"/>
        <rFont val="Times New Roman"/>
        <family val="1"/>
      </rPr>
      <t xml:space="preserve">
· </t>
    </r>
    <r>
      <rPr>
        <sz val="10"/>
        <color theme="1"/>
        <rFont val="微软雅黑"/>
        <family val="1"/>
        <charset val="134"/>
      </rPr>
      <t>你学会任意两门语言（由你选择）</t>
    </r>
    <phoneticPr fontId="68" type="noConversion"/>
  </si>
  <si>
    <t>流浪者的逸闻录</t>
    <phoneticPr fontId="68" type="noConversion"/>
  </si>
  <si>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phoneticPr fontId="68" type="noConversion"/>
  </si>
  <si>
    <t>旅行者的技艺簿</t>
    <phoneticPr fontId="68" type="noConversion"/>
  </si>
  <si>
    <r>
      <rPr>
        <sz val="10"/>
        <color theme="1"/>
        <rFont val="微软雅黑"/>
        <family val="1"/>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1"/>
        <charset val="134"/>
      </rPr>
      <t>旅者技艺</t>
    </r>
    <r>
      <rPr>
        <sz val="10"/>
        <color theme="1"/>
        <rFont val="Times New Roman"/>
        <family val="1"/>
      </rPr>
      <t xml:space="preserve">Traveler's Trick </t>
    </r>
    <r>
      <rPr>
        <sz val="10"/>
        <color theme="1"/>
        <rFont val="微软雅黑"/>
        <family val="1"/>
        <charset val="134"/>
      </rPr>
      <t>选项（见旅者技艺选项）。</t>
    </r>
    <r>
      <rPr>
        <sz val="10"/>
        <color theme="1"/>
        <rFont val="Times New Roman"/>
        <family val="1"/>
      </rPr>
      <t xml:space="preserve">
</t>
    </r>
    <r>
      <rPr>
        <sz val="10"/>
        <color theme="1"/>
        <rFont val="微软雅黑"/>
        <family val="1"/>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级时，你会分别知晓一项额外的旅者技艺。</t>
    </r>
    <phoneticPr fontId="68" type="noConversion"/>
  </si>
  <si>
    <t>精进技艺</t>
    <phoneticPr fontId="68" type="noConversion"/>
  </si>
  <si>
    <r>
      <rPr>
        <sz val="10"/>
        <color theme="1"/>
        <rFont val="微软雅黑"/>
        <family val="1"/>
        <charset val="134"/>
      </rPr>
      <t>在第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级时，你对旅者技艺的掌握将愈发精进。通过你的不断练习努力，并与更强大的冒险者们分享知识与心得之后，你的旅者技艺将获得更为强大的效果。</t>
    </r>
    <phoneticPr fontId="68" type="noConversion"/>
  </si>
  <si>
    <t>招牌技艺</t>
    <phoneticPr fontId="68" type="noConversion"/>
  </si>
  <si>
    <r>
      <rPr>
        <sz val="10"/>
        <color theme="1"/>
        <rFont val="微软雅黑"/>
        <family val="1"/>
        <charset val="134"/>
      </rPr>
      <t>你充分掌握了一项旅者技艺，使你可以在需要的时候随意使用它。</t>
    </r>
    <r>
      <rPr>
        <sz val="10"/>
        <color theme="1"/>
        <rFont val="Times New Roman"/>
        <family val="1"/>
      </rPr>
      <t xml:space="preserve">
</t>
    </r>
    <r>
      <rPr>
        <sz val="10"/>
        <color theme="1"/>
        <rFont val="微软雅黑"/>
        <family val="1"/>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1"/>
        <charset val="134"/>
      </rPr>
      <t>在</t>
    </r>
    <r>
      <rPr>
        <sz val="10"/>
        <color theme="1"/>
        <rFont val="Times New Roman"/>
        <family val="1"/>
      </rPr>
      <t>14</t>
    </r>
    <r>
      <rPr>
        <sz val="10"/>
        <color theme="1"/>
        <rFont val="微软雅黑"/>
        <family val="1"/>
        <charset val="134"/>
      </rPr>
      <t>级时，你可以再指定你第二项已习得的旅者技艺，作为你的招牌技艺。</t>
    </r>
    <phoneticPr fontId="68" type="noConversion"/>
  </si>
  <si>
    <t>反射闪避教程</t>
    <phoneticPr fontId="68" type="noConversion"/>
  </si>
  <si>
    <r>
      <rPr>
        <sz val="10"/>
        <color theme="1"/>
        <rFont val="微软雅黑"/>
        <family val="1"/>
        <charset val="134"/>
      </rPr>
      <t>一名狡猾的游荡者曾经给予了你一些关于闪躲与避险的指导。当你或你周围</t>
    </r>
    <r>
      <rPr>
        <sz val="10"/>
        <color theme="1"/>
        <rFont val="Times New Roman"/>
        <family val="1"/>
      </rPr>
      <t>60</t>
    </r>
    <r>
      <rPr>
        <sz val="10"/>
        <color theme="1"/>
        <rFont val="微软雅黑"/>
        <family val="1"/>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级之后，即使技艺目标的豁免失败，它所受的伤害也会减半。</t>
    </r>
    <phoneticPr fontId="68" type="noConversion"/>
  </si>
  <si>
    <t>武器运用教程</t>
    <phoneticPr fontId="68" type="noConversion"/>
  </si>
  <si>
    <r>
      <rPr>
        <sz val="10"/>
        <color theme="1"/>
        <rFont val="微软雅黑"/>
        <family val="1"/>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1"/>
        <charset val="134"/>
      </rPr>
      <t>战斗风格</t>
    </r>
    <r>
      <rPr>
        <sz val="10"/>
        <color theme="1"/>
        <rFont val="Times New Roman"/>
        <family val="1"/>
      </rPr>
      <t xml:space="preserve">Fighting Styles </t>
    </r>
    <r>
      <rPr>
        <sz val="10"/>
        <color theme="1"/>
        <rFont val="微软雅黑"/>
        <family val="1"/>
        <charset val="134"/>
      </rPr>
      <t>中选择一项：</t>
    </r>
    <r>
      <rPr>
        <sz val="10"/>
        <color theme="1"/>
        <rFont val="Times New Roman"/>
        <family val="1"/>
      </rPr>
      <t xml:space="preserve">
· </t>
    </r>
    <r>
      <rPr>
        <sz val="10"/>
        <color theme="1"/>
        <rFont val="微软雅黑"/>
        <family val="1"/>
        <charset val="134"/>
      </rPr>
      <t>箭术</t>
    </r>
    <r>
      <rPr>
        <sz val="10"/>
        <color theme="1"/>
        <rFont val="Times New Roman"/>
        <family val="1"/>
      </rPr>
      <t>Archery</t>
    </r>
    <r>
      <rPr>
        <sz val="10"/>
        <color theme="1"/>
        <rFont val="微软雅黑"/>
        <family val="1"/>
        <charset val="134"/>
      </rPr>
      <t>：你使用远程武器进行攻击检定时具有</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对决</t>
    </r>
    <r>
      <rPr>
        <sz val="10"/>
        <color theme="1"/>
        <rFont val="Times New Roman"/>
        <family val="1"/>
      </rPr>
      <t>Dueling</t>
    </r>
    <r>
      <rPr>
        <sz val="10"/>
        <color theme="1"/>
        <rFont val="微软雅黑"/>
        <family val="1"/>
        <charset val="134"/>
      </rPr>
      <t>：单手持用一把近战武器，且并未同时持用其他武器时，你使用该武器进行攻击的伤害掷骰获得</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巨武器战斗</t>
    </r>
    <r>
      <rPr>
        <sz val="10"/>
        <color theme="1"/>
        <rFont val="Times New Roman"/>
        <family val="1"/>
      </rPr>
      <t>Great Weapon Fighting</t>
    </r>
    <r>
      <rPr>
        <sz val="10"/>
        <color theme="1"/>
        <rFont val="微软雅黑"/>
        <family val="1"/>
        <charset val="134"/>
      </rPr>
      <t>：当你双手持用一把近战武器发动攻击时，如果你的伤害掷骰掷出</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，则可以选择重掷。不过哪怕其仍是</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，你都必须接受重掷的数值。此外，该武器必须具有双手或多用词条。</t>
    </r>
    <r>
      <rPr>
        <sz val="10"/>
        <color theme="1"/>
        <rFont val="Times New Roman"/>
        <family val="1"/>
      </rPr>
      <t xml:space="preserve">
· </t>
    </r>
    <r>
      <rPr>
        <sz val="10"/>
        <color theme="1"/>
        <rFont val="微软雅黑"/>
        <family val="1"/>
        <charset val="134"/>
      </rPr>
      <t>双武器战斗</t>
    </r>
    <r>
      <rPr>
        <sz val="10"/>
        <color theme="1"/>
        <rFont val="Times New Roman"/>
        <family val="1"/>
      </rPr>
      <t>Two-Weapon Fighting</t>
    </r>
    <r>
      <rPr>
        <sz val="10"/>
        <color theme="1"/>
        <rFont val="微软雅黑"/>
        <family val="1"/>
        <charset val="134"/>
      </rPr>
      <t>：使用双持武器战斗时，你可以将相应属性调整值加到第二次攻击的伤害上。</t>
    </r>
    <r>
      <rPr>
        <sz val="10"/>
        <color theme="1"/>
        <rFont val="Times New Roman"/>
        <family val="1"/>
      </rPr>
      <t xml:space="preserve">
</t>
    </r>
    <r>
      <rPr>
        <sz val="10"/>
        <color theme="1"/>
        <rFont val="微软雅黑"/>
        <family val="1"/>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动作时可以发动两次攻击（而非原本的一次）。</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级之后，你学会了如何利用战斗姿态掩盖自己的防御弱点。当你处于战斗风格增益期间，你的</t>
    </r>
    <r>
      <rPr>
        <sz val="10"/>
        <color theme="1"/>
        <rFont val="Times New Roman"/>
        <family val="1"/>
      </rPr>
      <t>AC</t>
    </r>
    <r>
      <rPr>
        <sz val="10"/>
        <color theme="1"/>
        <rFont val="微软雅黑"/>
        <family val="1"/>
        <charset val="134"/>
      </rPr>
      <t>获得</t>
    </r>
    <r>
      <rPr>
        <sz val="10"/>
        <color theme="1"/>
        <rFont val="Times New Roman"/>
        <family val="1"/>
      </rPr>
      <t>+1</t>
    </r>
    <r>
      <rPr>
        <sz val="10"/>
        <color theme="1"/>
        <rFont val="微软雅黑"/>
        <family val="1"/>
        <charset val="134"/>
      </rPr>
      <t>加值。</t>
    </r>
    <phoneticPr fontId="68" type="noConversion"/>
  </si>
  <si>
    <t>伤口包扎术</t>
    <phoneticPr fontId="68" type="noConversion"/>
  </si>
  <si>
    <r>
      <rPr>
        <sz val="10"/>
        <color theme="1"/>
        <rFont val="微软雅黑"/>
        <family val="1"/>
        <charset val="134"/>
      </rPr>
      <t>一位久经沙场的圣武士教给你了一系列战中急救措施的基础知识。当你或你周围</t>
    </r>
    <r>
      <rPr>
        <sz val="10"/>
        <color theme="1"/>
        <rFont val="Times New Roman"/>
        <family val="1"/>
      </rPr>
      <t>5</t>
    </r>
    <r>
      <rPr>
        <sz val="10"/>
        <color theme="1"/>
        <rFont val="微软雅黑"/>
        <family val="1"/>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1"/>
        <charset val="134"/>
      </rPr>
      <t>激励骰骰出结果</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点额外治疗。为便于迅速包扎目标的伤口，你必须空出一只手才能使用此技艺。</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1"/>
        <charset val="134"/>
      </rPr>
      <t>或</t>
    </r>
    <r>
      <rPr>
        <sz val="10"/>
        <color theme="1"/>
        <rFont val="Times New Roman"/>
        <family val="1"/>
      </rPr>
      <t xml:space="preserve"> </t>
    </r>
    <r>
      <rPr>
        <sz val="10"/>
        <color theme="1"/>
        <rFont val="微软雅黑"/>
        <family val="1"/>
        <charset val="134"/>
      </rPr>
      <t>麻痹</t>
    </r>
    <r>
      <rPr>
        <sz val="10"/>
        <color theme="1"/>
        <rFont val="Times New Roman"/>
        <family val="1"/>
      </rPr>
      <t>Paralyzed</t>
    </r>
    <r>
      <rPr>
        <sz val="10"/>
        <color theme="1"/>
        <rFont val="微软雅黑"/>
        <family val="1"/>
        <charset val="134"/>
      </rPr>
      <t>）。</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级之后，你发掘到了战场急救的真正诀窍。你还可以移除此技艺目标正遭受的一项疾病。</t>
    </r>
    <phoneticPr fontId="68" type="noConversion"/>
  </si>
  <si>
    <t>拳击教程</t>
    <phoneticPr fontId="68" type="noConversion"/>
  </si>
  <si>
    <r>
      <rPr>
        <sz val="10"/>
        <color theme="1"/>
        <rFont val="微软雅黑"/>
        <family val="1"/>
        <charset val="134"/>
      </rPr>
      <t>一名悟道的武僧很乐意向你分享拳击与化劲的基本武艺。执行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1"/>
        <charset val="134"/>
      </rPr>
      <t>震慑</t>
    </r>
    <r>
      <rPr>
        <sz val="10"/>
        <color theme="1"/>
        <rFont val="Times New Roman"/>
        <family val="1"/>
      </rPr>
      <t xml:space="preserve">Stunned </t>
    </r>
    <r>
      <rPr>
        <sz val="10"/>
        <color theme="1"/>
        <rFont val="微软雅黑"/>
        <family val="1"/>
        <charset val="134"/>
      </rPr>
      <t>状态，持续直至你的下一回合结束为止。</t>
    </r>
    <phoneticPr fontId="68" type="noConversion"/>
  </si>
  <si>
    <t>林地之精咒唤术</t>
    <phoneticPr fontId="68" type="noConversion"/>
  </si>
  <si>
    <r>
      <rPr>
        <sz val="10"/>
        <color theme="1"/>
        <rFont val="微软雅黑"/>
        <family val="1"/>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1"/>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级之后，你与守卫灵体之间的联系更为紧固。任何受到守卫灵体伤害的生物速度会降至</t>
    </r>
    <r>
      <rPr>
        <sz val="10"/>
        <color theme="1"/>
        <rFont val="Times New Roman"/>
        <family val="1"/>
      </rPr>
      <t>0</t>
    </r>
    <r>
      <rPr>
        <sz val="10"/>
        <color theme="1"/>
        <rFont val="微软雅黑"/>
        <family val="1"/>
        <charset val="134"/>
      </rPr>
      <t>，持续直至该回合结束。</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1"/>
        <charset val="134"/>
      </rPr>
      <t>束缚</t>
    </r>
    <r>
      <rPr>
        <sz val="10"/>
        <color theme="1"/>
        <rFont val="Times New Roman"/>
        <family val="1"/>
      </rPr>
      <t xml:space="preserve">Restrained </t>
    </r>
    <r>
      <rPr>
        <sz val="10"/>
        <color theme="1"/>
        <rFont val="微软雅黑"/>
        <family val="1"/>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1"/>
        <charset val="134"/>
      </rPr>
      <t>来尝试挣脱束缚。</t>
    </r>
    <phoneticPr fontId="68" type="noConversion"/>
  </si>
  <si>
    <t>暗黑交易</t>
    <phoneticPr fontId="68" type="noConversion"/>
  </si>
  <si>
    <r>
      <rPr>
        <sz val="10"/>
        <color theme="1"/>
        <rFont val="微软雅黑"/>
        <family val="1"/>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1"/>
        <charset val="134"/>
      </rPr>
      <t>分钟。为此，你需要投掷你的诗人激励骰，并受到等同于骰值的暗蚀伤害。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1"/>
        <charset val="134"/>
      </rPr>
      <t>小时。</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级之后，你与那名魔契师的契约解锁了恐怖的新能力。当你达到</t>
    </r>
    <r>
      <rPr>
        <sz val="10"/>
        <color theme="1"/>
        <rFont val="Times New Roman"/>
        <family val="1"/>
      </rPr>
      <t>14</t>
    </r>
    <r>
      <rPr>
        <sz val="10"/>
        <color theme="1"/>
        <rFont val="微软雅黑"/>
        <family val="1"/>
        <charset val="134"/>
      </rPr>
      <t>级时，从魔契师的法术列表中选择一个</t>
    </r>
    <r>
      <rPr>
        <sz val="10"/>
        <color theme="1"/>
        <rFont val="Times New Roman"/>
        <family val="1"/>
      </rPr>
      <t>7</t>
    </r>
    <r>
      <rPr>
        <sz val="10"/>
        <color theme="1"/>
        <rFont val="微软雅黑"/>
        <family val="1"/>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phoneticPr fontId="68" type="noConversion"/>
  </si>
  <si>
    <t>塑能教程</t>
    <phoneticPr fontId="68" type="noConversion"/>
  </si>
  <si>
    <r>
      <rPr>
        <sz val="10"/>
        <color theme="1"/>
        <rFont val="微软雅黑"/>
        <family val="1"/>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级时，你可以将你在此技艺中选择的法术改为另一个你已知的法术。</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级时，你可以将你在此技艺中选择的法术改为另一个你已知的法术。</t>
    </r>
    <phoneticPr fontId="68" type="noConversion"/>
  </si>
  <si>
    <t>狩猎教程</t>
    <phoneticPr fontId="68" type="noConversion"/>
  </si>
  <si>
    <r>
      <rPr>
        <sz val="10"/>
        <color theme="1"/>
        <rFont val="微软雅黑"/>
        <family val="1"/>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1"/>
        <charset val="134"/>
      </rPr>
      <t>尺范围内能看到的一个生物作为你的猎物。此技艺需要你为其保持专注，至多可持续</t>
    </r>
    <r>
      <rPr>
        <sz val="10"/>
        <color theme="1"/>
        <rFont val="Times New Roman"/>
        <family val="1"/>
      </rPr>
      <t>1</t>
    </r>
    <r>
      <rPr>
        <sz val="10"/>
        <color theme="1"/>
        <rFont val="微软雅黑"/>
        <family val="1"/>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级之后，只要你的专注未中断，此技艺就可以持续至多</t>
    </r>
    <r>
      <rPr>
        <sz val="10"/>
        <color theme="1"/>
        <rFont val="Times New Roman"/>
        <family val="1"/>
      </rPr>
      <t>24</t>
    </r>
    <r>
      <rPr>
        <sz val="10"/>
        <color theme="1"/>
        <rFont val="微软雅黑"/>
        <family val="1"/>
        <charset val="134"/>
      </rPr>
      <t>小时。</t>
    </r>
    <phoneticPr fontId="68" type="noConversion"/>
  </si>
  <si>
    <t>鲁莽战术</t>
    <phoneticPr fontId="68" type="noConversion"/>
  </si>
  <si>
    <r>
      <rPr>
        <sz val="10"/>
        <color theme="1"/>
        <rFont val="微软雅黑"/>
        <family val="1"/>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的加值。使用此技艺后，本轮内任何以你为目标发起的攻击均具有优势。</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1"/>
        <charset val="134"/>
      </rPr>
      <t>的减值。如果此次攻击命中，在攻击的伤害掷骰上获得</t>
    </r>
    <r>
      <rPr>
        <sz val="10"/>
        <color theme="1"/>
        <rFont val="Times New Roman"/>
        <family val="1"/>
      </rPr>
      <t>+10</t>
    </r>
    <r>
      <rPr>
        <sz val="10"/>
        <color theme="1"/>
        <rFont val="微软雅黑"/>
        <family val="1"/>
        <charset val="134"/>
      </rPr>
      <t>加值。</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1"/>
        <charset val="134"/>
      </rPr>
      <t>（持续直至你的下个回合为止），对你周围</t>
    </r>
    <r>
      <rPr>
        <sz val="10"/>
        <color theme="1"/>
        <rFont val="Times New Roman"/>
        <family val="1"/>
      </rPr>
      <t>5</t>
    </r>
    <r>
      <rPr>
        <sz val="10"/>
        <color theme="1"/>
        <rFont val="微软雅黑"/>
        <family val="1"/>
        <charset val="134"/>
      </rPr>
      <t>尺范围内的任意数量的生物发动此次攻击，不过你需要对每个目标进行单独的攻击检定。</t>
    </r>
    <phoneticPr fontId="68" type="noConversion"/>
  </si>
  <si>
    <t>守御技艺</t>
    <phoneticPr fontId="68" type="noConversion"/>
  </si>
  <si>
    <r>
      <rPr>
        <sz val="10"/>
        <color theme="1"/>
        <rFont val="微软雅黑"/>
        <family val="1"/>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1"/>
        <charset val="134"/>
      </rPr>
      <t>尺范围内你可见的一名盟友等同于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点的临时生命值。此技艺创造的守御面纱需要你为其保持专注，至多可持续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1"/>
        <charset val="134"/>
      </rPr>
      <t>你的诗人激励骰</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点临时生命值。这些新的临时生命值会取代那些之前的临时生命值。</t>
    </r>
    <phoneticPr fontId="68" type="noConversion"/>
  </si>
  <si>
    <t>危言耸听</t>
  </si>
  <si>
    <t>残暴斗殴</t>
  </si>
  <si>
    <t>弄虚作假</t>
  </si>
  <si>
    <t>涤瑕蹈隙</t>
  </si>
  <si>
    <t>臭名远扬</t>
  </si>
  <si>
    <t>一刀不够，两刀来凑</t>
  </si>
  <si>
    <t>当你选择此武术范型时，你可以选择以下技能之一，获得那个技能的熟练项：欺骗、洞悉、威吓、巧手、隐匿。或者你也可以不要以上这些技能熟练项，改为习得 盗贼黑话Thieves' Cant。</t>
    <phoneticPr fontId="68" type="noConversion"/>
  </si>
  <si>
    <t>你将专业级的侮辱和大师级的讽刺融入到了你的战斗风格之中。只要你身处战斗之中，你在进行魅力属性检定时可以选择改为使用力量属性或敏捷属性来进行。</t>
    <phoneticPr fontId="68" type="noConversion"/>
  </si>
  <si>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phoneticPr fontId="68" type="noConversion"/>
  </si>
  <si>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phoneticPr fontId="68" type="noConversion"/>
  </si>
  <si>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phoneticPr fontId="68" type="noConversion"/>
  </si>
  <si>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phoneticPr fontId="68" type="noConversion"/>
  </si>
  <si>
    <t>你已习得利用敌人弱点的完美艺术。当你对本回合成功被你虚晃过的敌人、或遭受任何一种异常状态影响的敌人执行攻击动作时，你可以对该敌人额外发动一次攻击。
每轮你只能使用此特性一次。</t>
    <phoneticPr fontId="68" type="noConversion"/>
  </si>
  <si>
    <t>团队领域法术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</si>
  <si>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祝福术</t>
    </r>
    <r>
      <rPr>
        <sz val="10"/>
        <color theme="1"/>
        <rFont val="Times New Roman"/>
        <family val="1"/>
      </rPr>
      <t>Bless</t>
    </r>
    <r>
      <rPr>
        <sz val="10"/>
        <color theme="1"/>
        <rFont val="微软雅黑"/>
        <family val="1"/>
        <charset val="134"/>
      </rPr>
      <t>，神莓术</t>
    </r>
    <r>
      <rPr>
        <sz val="10"/>
        <color theme="1"/>
        <rFont val="Times New Roman"/>
        <family val="1"/>
      </rPr>
      <t xml:space="preserve">Goodberry 
3rd </t>
    </r>
    <r>
      <rPr>
        <sz val="10"/>
        <color theme="1"/>
        <rFont val="微软雅黑"/>
        <family val="1"/>
        <charset val="134"/>
      </rPr>
      <t>援助术</t>
    </r>
    <r>
      <rPr>
        <sz val="10"/>
        <color theme="1"/>
        <rFont val="Times New Roman"/>
        <family val="1"/>
      </rPr>
      <t>Aid</t>
    </r>
    <r>
      <rPr>
        <sz val="10"/>
        <color theme="1"/>
        <rFont val="微软雅黑"/>
        <family val="1"/>
        <charset val="134"/>
      </rPr>
      <t>，英雄气概</t>
    </r>
    <r>
      <rPr>
        <sz val="10"/>
        <color theme="1"/>
        <rFont val="Times New Roman"/>
        <family val="1"/>
      </rPr>
      <t xml:space="preserve">Heroism 
5th </t>
    </r>
    <r>
      <rPr>
        <sz val="10"/>
        <color theme="1"/>
        <rFont val="微软雅黑"/>
        <family val="1"/>
        <charset val="134"/>
      </rPr>
      <t>希望信标</t>
    </r>
    <r>
      <rPr>
        <sz val="10"/>
        <color theme="1"/>
        <rFont val="Times New Roman"/>
        <family val="1"/>
      </rPr>
      <t>Beacon of Hope</t>
    </r>
    <r>
      <rPr>
        <sz val="10"/>
        <color theme="1"/>
        <rFont val="微软雅黑"/>
        <family val="1"/>
        <charset val="134"/>
      </rPr>
      <t>，灵体卫士</t>
    </r>
    <r>
      <rPr>
        <sz val="10"/>
        <color theme="1"/>
        <rFont val="Times New Roman"/>
        <family val="1"/>
      </rPr>
      <t xml:space="preserve">Spirit Guardians 
7th </t>
    </r>
    <r>
      <rPr>
        <sz val="10"/>
        <color theme="1"/>
        <rFont val="微软雅黑"/>
        <family val="1"/>
        <charset val="134"/>
      </rPr>
      <t>放逐术</t>
    </r>
    <r>
      <rPr>
        <sz val="10"/>
        <color theme="1"/>
        <rFont val="Times New Roman"/>
        <family val="1"/>
      </rPr>
      <t>Banishment</t>
    </r>
    <r>
      <rPr>
        <sz val="10"/>
        <color theme="1"/>
        <rFont val="微软雅黑"/>
        <family val="1"/>
        <charset val="134"/>
      </rPr>
      <t>，魔邓肯忠犬</t>
    </r>
    <r>
      <rPr>
        <sz val="10"/>
        <color theme="1"/>
        <rFont val="Times New Roman"/>
        <family val="1"/>
      </rPr>
      <t xml:space="preserve">Mordenkainen's Faithful Hound 
9th </t>
    </r>
    <r>
      <rPr>
        <sz val="10"/>
        <color theme="1"/>
        <rFont val="微软雅黑"/>
        <family val="1"/>
        <charset val="134"/>
      </rPr>
      <t>群体疗伤术</t>
    </r>
    <r>
      <rPr>
        <sz val="10"/>
        <color theme="1"/>
        <rFont val="Times New Roman"/>
        <family val="1"/>
      </rPr>
      <t>Mass Cure Wounds</t>
    </r>
    <r>
      <rPr>
        <sz val="10"/>
        <color theme="1"/>
        <rFont val="微软雅黑"/>
        <family val="1"/>
        <charset val="134"/>
      </rPr>
      <t>，拉瑞心灵联结</t>
    </r>
    <r>
      <rPr>
        <sz val="10"/>
        <color theme="1"/>
        <rFont val="Times New Roman"/>
        <family val="1"/>
      </rPr>
      <t xml:space="preserve"> Rary's Telepathic Bond </t>
    </r>
    <phoneticPr fontId="68" type="noConversion"/>
  </si>
  <si>
    <t>炉灶祝福</t>
  </si>
  <si>
    <t>引导神力：宏伟盛宴</t>
  </si>
  <si>
    <t>引导神力：团队警戒</t>
  </si>
  <si>
    <t>人民楷模</t>
  </si>
  <si>
    <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phoneticPr fontId="68" type="noConversion"/>
  </si>
  <si>
    <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phoneticPr fontId="68" type="noConversion"/>
  </si>
  <si>
    <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phoneticPr fontId="68" type="noConversion"/>
  </si>
  <si>
    <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phoneticPr fontId="68" type="noConversion"/>
  </si>
  <si>
    <t>法外狂徒</t>
    <phoneticPr fontId="68" type="noConversion"/>
  </si>
  <si>
    <t>旅路学院</t>
    <phoneticPr fontId="68" type="noConversion"/>
  </si>
  <si>
    <t>团队领域</t>
    <phoneticPr fontId="68" type="noConversion"/>
  </si>
  <si>
    <t>黑夜领域</t>
    <phoneticPr fontId="68" type="noConversion"/>
  </si>
  <si>
    <t>黑夜领域法术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</si>
  <si>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睡眠术</t>
    </r>
    <r>
      <rPr>
        <sz val="10"/>
        <color theme="1"/>
        <rFont val="Times New Roman"/>
        <family val="1"/>
      </rPr>
      <t>Sleep</t>
    </r>
    <r>
      <rPr>
        <sz val="10"/>
        <color theme="1"/>
        <rFont val="微软雅黑"/>
        <family val="1"/>
        <charset val="134"/>
      </rPr>
      <t>，黄昏之纱</t>
    </r>
    <r>
      <rPr>
        <sz val="10"/>
        <color theme="1"/>
        <rFont val="Times New Roman"/>
        <family val="1"/>
      </rPr>
      <t xml:space="preserve">Veil of Dusk* 
3rd </t>
    </r>
    <r>
      <rPr>
        <sz val="10"/>
        <color theme="1"/>
        <rFont val="微软雅黑"/>
        <family val="1"/>
        <charset val="134"/>
      </rPr>
      <t>黑暗术</t>
    </r>
    <r>
      <rPr>
        <sz val="10"/>
        <color theme="1"/>
        <rFont val="Times New Roman"/>
        <family val="1"/>
      </rPr>
      <t>Darkness</t>
    </r>
    <r>
      <rPr>
        <sz val="10"/>
        <color theme="1"/>
        <rFont val="微软雅黑"/>
        <family val="1"/>
        <charset val="134"/>
      </rPr>
      <t>，月华之光</t>
    </r>
    <r>
      <rPr>
        <sz val="10"/>
        <color theme="1"/>
        <rFont val="Times New Roman"/>
        <family val="1"/>
      </rPr>
      <t xml:space="preserve">Moonbeam 
5th </t>
    </r>
    <r>
      <rPr>
        <sz val="10"/>
        <color theme="1"/>
        <rFont val="微软雅黑"/>
        <family val="1"/>
        <charset val="134"/>
      </rPr>
      <t>回避侦测</t>
    </r>
    <r>
      <rPr>
        <sz val="10"/>
        <color theme="1"/>
        <rFont val="Times New Roman"/>
        <family val="1"/>
      </rPr>
      <t>Nondetection</t>
    </r>
    <r>
      <rPr>
        <sz val="10"/>
        <color theme="1"/>
        <rFont val="微软雅黑"/>
        <family val="1"/>
        <charset val="134"/>
      </rPr>
      <t>，暮光法球</t>
    </r>
    <r>
      <rPr>
        <sz val="10"/>
        <color theme="1"/>
        <rFont val="Times New Roman"/>
        <family val="1"/>
      </rPr>
      <t xml:space="preserve"> Globe of Twilight* 
7th </t>
    </r>
    <r>
      <rPr>
        <sz val="10"/>
        <color theme="1"/>
        <rFont val="微软雅黑"/>
        <family val="1"/>
        <charset val="134"/>
      </rPr>
      <t>预言术</t>
    </r>
    <r>
      <rPr>
        <sz val="10"/>
        <color theme="1"/>
        <rFont val="Times New Roman"/>
        <family val="1"/>
      </rPr>
      <t>Divination</t>
    </r>
    <r>
      <rPr>
        <sz val="10"/>
        <color theme="1"/>
        <rFont val="微软雅黑"/>
        <family val="1"/>
        <charset val="134"/>
      </rPr>
      <t>，恒星之躯</t>
    </r>
    <r>
      <rPr>
        <sz val="10"/>
        <color theme="1"/>
        <rFont val="Times New Roman"/>
        <family val="1"/>
      </rPr>
      <t xml:space="preserve">Stellar Bodies* 
9th </t>
    </r>
    <r>
      <rPr>
        <sz val="10"/>
        <color theme="1"/>
        <rFont val="微软雅黑"/>
        <family val="1"/>
        <charset val="134"/>
      </rPr>
      <t>托梦术</t>
    </r>
    <r>
      <rPr>
        <sz val="10"/>
        <color theme="1"/>
        <rFont val="Times New Roman"/>
        <family val="1"/>
      </rPr>
      <t>Dream</t>
    </r>
    <r>
      <rPr>
        <sz val="10"/>
        <color theme="1"/>
        <rFont val="微软雅黑"/>
        <family val="1"/>
        <charset val="134"/>
      </rPr>
      <t>，伪装术</t>
    </r>
    <r>
      <rPr>
        <sz val="10"/>
        <color theme="1"/>
        <rFont val="Times New Roman"/>
        <family val="1"/>
      </rPr>
      <t xml:space="preserve">Seeming </t>
    </r>
    <phoneticPr fontId="68" type="noConversion"/>
  </si>
  <si>
    <t>暮眼锐瞳</t>
  </si>
  <si>
    <t>圣影庇护</t>
  </si>
  <si>
    <t>引导神力：圣夜祈唤</t>
  </si>
  <si>
    <t>精通御影</t>
  </si>
  <si>
    <t>幻梦之纱</t>
  </si>
  <si>
    <t>暗影之兽</t>
  </si>
  <si>
    <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phoneticPr fontId="68" type="noConversion"/>
  </si>
  <si>
    <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</si>
  <si>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phoneticPr fontId="68" type="noConversion"/>
  </si>
  <si>
    <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phoneticPr fontId="68" type="noConversion"/>
  </si>
  <si>
    <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phoneticPr fontId="68" type="noConversion"/>
  </si>
  <si>
    <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phoneticPr fontId="68" type="noConversion"/>
  </si>
  <si>
    <t>TGS2</t>
    <phoneticPr fontId="68" type="noConversion"/>
  </si>
  <si>
    <t>以太裔</t>
  </si>
  <si>
    <t>凝骸</t>
  </si>
  <si>
    <t>迷雾视觉</t>
    <phoneticPr fontId="68" type="noConversion"/>
  </si>
  <si>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phoneticPr fontId="68" type="noConversion"/>
  </si>
  <si>
    <t>帷幕转移</t>
    <phoneticPr fontId="68" type="noConversion"/>
  </si>
  <si>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phoneticPr fontId="68" type="noConversion"/>
  </si>
  <si>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phoneticPr fontId="68" type="noConversion"/>
  </si>
  <si>
    <t>有限盲视</t>
    <phoneticPr fontId="68" type="noConversion"/>
  </si>
  <si>
    <t>你依旧保留有一部分来自泥怪部分的周遭环境感知能力。你具有5尺范围的盲视。</t>
    <phoneticPr fontId="68" type="noConversion"/>
  </si>
  <si>
    <t>共生坚毅</t>
    <phoneticPr fontId="68" type="noConversion"/>
  </si>
  <si>
    <t>你不需要呼吸。此外，你具有强酸伤害的抗性，并且免疫疾病。</t>
    <phoneticPr fontId="68" type="noConversion"/>
  </si>
  <si>
    <t>即醒</t>
    <phoneticPr fontId="68" type="noConversion"/>
  </si>
  <si>
    <t>凝骸每天仅仅需要睡很少的时间便足够了。受益于你的有限盲视，即使是在睡眠期间，你也依旧保留着对周遭环境的感知能力。在完成4小时的睡眠后，你会获得如同一个人类睡眠8小时的相同增益。</t>
    <phoneticPr fontId="68" type="noConversion"/>
  </si>
  <si>
    <t>谦卑林战役设定集</t>
    <phoneticPr fontId="68" type="noConversion"/>
  </si>
  <si>
    <t>谦卑林故事集</t>
    <phoneticPr fontId="68" type="noConversion"/>
  </si>
  <si>
    <t>植物修复</t>
    <phoneticPr fontId="68" type="noConversion"/>
  </si>
  <si>
    <t>一根小树枝和一圈麻绳</t>
    <phoneticPr fontId="68" type="noConversion"/>
  </si>
  <si>
    <t>Mend Plants</t>
    <phoneticPr fontId="68" type="noConversion"/>
  </si>
  <si>
    <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</si>
  <si>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</si>
  <si>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</si>
  <si>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</si>
  <si>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猎食者法术</t>
    <phoneticPr fontId="68" type="noConversion"/>
  </si>
  <si>
    <r>
      <rPr>
        <sz val="10"/>
        <color theme="1"/>
        <rFont val="宋体"/>
        <family val="1"/>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1"/>
        <charset val="134"/>
      </rPr>
      <t>猎食者扩展法术表</t>
    </r>
    <r>
      <rPr>
        <sz val="10"/>
        <color theme="1"/>
        <rFont val="Times New Roman"/>
        <family val="1"/>
      </rPr>
      <t xml:space="preserve">The Predator Expanded Spell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猎人印记</t>
    </r>
    <r>
      <rPr>
        <sz val="10"/>
        <color theme="1"/>
        <rFont val="Times New Roman"/>
        <family val="1"/>
      </rPr>
      <t>Hunter's Mark</t>
    </r>
    <r>
      <rPr>
        <sz val="10"/>
        <color theme="1"/>
        <rFont val="宋体"/>
        <family val="1"/>
        <charset val="134"/>
      </rPr>
      <t>，跳跃术</t>
    </r>
    <r>
      <rPr>
        <sz val="10"/>
        <color theme="1"/>
        <rFont val="Times New Roman"/>
        <family val="1"/>
      </rPr>
      <t xml:space="preserve">Jump  
2nd </t>
    </r>
    <r>
      <rPr>
        <sz val="10"/>
        <color theme="1"/>
        <rFont val="宋体"/>
        <family val="1"/>
        <charset val="134"/>
      </rPr>
      <t>变身术</t>
    </r>
    <r>
      <rPr>
        <sz val="10"/>
        <color theme="1"/>
        <rFont val="Times New Roman"/>
        <family val="1"/>
      </rPr>
      <t>Alter Self</t>
    </r>
    <r>
      <rPr>
        <sz val="10"/>
        <color theme="1"/>
        <rFont val="宋体"/>
        <family val="1"/>
        <charset val="134"/>
      </rPr>
      <t>，伏击猎物</t>
    </r>
    <r>
      <rPr>
        <sz val="10"/>
        <color theme="1"/>
        <rFont val="Times New Roman"/>
        <family val="1"/>
      </rPr>
      <t xml:space="preserve">Ambush Prey*  
3rd </t>
    </r>
    <r>
      <rPr>
        <sz val="10"/>
        <color theme="1"/>
        <rFont val="宋体"/>
        <family val="1"/>
        <charset val="134"/>
      </rPr>
      <t>闪现术</t>
    </r>
    <r>
      <rPr>
        <sz val="10"/>
        <color theme="1"/>
        <rFont val="Times New Roman"/>
        <family val="1"/>
      </rPr>
      <t>Blink</t>
    </r>
    <r>
      <rPr>
        <sz val="10"/>
        <color theme="1"/>
        <rFont val="宋体"/>
        <family val="1"/>
        <charset val="134"/>
      </rPr>
      <t>，缓慢术</t>
    </r>
    <r>
      <rPr>
        <sz val="10"/>
        <color theme="1"/>
        <rFont val="Times New Roman"/>
        <family val="1"/>
      </rPr>
      <t xml:space="preserve">Slow 
4th </t>
    </r>
    <r>
      <rPr>
        <sz val="10"/>
        <color theme="1"/>
        <rFont val="宋体"/>
        <family val="1"/>
        <charset val="134"/>
      </rPr>
      <t>支配野兽</t>
    </r>
    <r>
      <rPr>
        <sz val="10"/>
        <color theme="1"/>
        <rFont val="Times New Roman"/>
        <family val="1"/>
      </rPr>
      <t>Dominate Beast</t>
    </r>
    <r>
      <rPr>
        <sz val="10"/>
        <color theme="1"/>
        <rFont val="宋体"/>
        <family val="1"/>
        <charset val="134"/>
      </rPr>
      <t>，行动自如</t>
    </r>
    <r>
      <rPr>
        <sz val="10"/>
        <color theme="1"/>
        <rFont val="Times New Roman"/>
        <family val="1"/>
      </rPr>
      <t xml:space="preserve">Freedom of Movement  
5th </t>
    </r>
    <r>
      <rPr>
        <sz val="10"/>
        <color theme="1"/>
        <rFont val="宋体"/>
        <family val="1"/>
        <charset val="134"/>
      </rPr>
      <t>疫病术</t>
    </r>
    <r>
      <rPr>
        <sz val="10"/>
        <color theme="1"/>
        <rFont val="Times New Roman"/>
        <family val="1"/>
      </rPr>
      <t>Contagion</t>
    </r>
    <r>
      <rPr>
        <sz val="10"/>
        <color theme="1"/>
        <rFont val="宋体"/>
        <family val="1"/>
        <charset val="134"/>
      </rPr>
      <t>，假象术</t>
    </r>
    <r>
      <rPr>
        <sz val="10"/>
        <color theme="1"/>
        <rFont val="Times New Roman"/>
        <family val="1"/>
      </rPr>
      <t xml:space="preserve">Mislead </t>
    </r>
    <phoneticPr fontId="68" type="noConversion"/>
  </si>
  <si>
    <t>大地心跳</t>
  </si>
  <si>
    <t>回收</t>
  </si>
  <si>
    <t>同情护盾</t>
  </si>
  <si>
    <t>平静光环</t>
  </si>
  <si>
    <t>庇护之绊</t>
  </si>
  <si>
    <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phoneticPr fontId="68" type="noConversion"/>
  </si>
  <si>
    <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phoneticPr fontId="68" type="noConversion"/>
  </si>
  <si>
    <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phoneticPr fontId="68" type="noConversion"/>
  </si>
  <si>
    <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phoneticPr fontId="68" type="noConversion"/>
  </si>
  <si>
    <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phoneticPr fontId="68" type="noConversion"/>
  </si>
  <si>
    <t>野兽之形</t>
  </si>
  <si>
    <t>狩猎狂热</t>
  </si>
  <si>
    <t>惊惧威仪</t>
  </si>
  <si>
    <t>脱笼困兽</t>
  </si>
  <si>
    <r>
      <t>你的宗主给予了你更强大的追踪技能。你获得求生技能的专精</t>
    </r>
    <r>
      <rPr>
        <sz val="10"/>
        <color theme="1"/>
        <rFont val="宋体"/>
        <family val="1"/>
        <charset val="134"/>
      </rPr>
      <t>——</t>
    </r>
    <r>
      <rPr>
        <sz val="10"/>
        <color theme="1"/>
        <rFont val="宋体"/>
        <family val="3"/>
        <charset val="134"/>
      </rPr>
      <t>你进行的所有感知（求生）检定都可以加入双倍的熟练加值。</t>
    </r>
    <phoneticPr fontId="68" type="noConversion"/>
  </si>
  <si>
    <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phoneticPr fontId="68" type="noConversion"/>
  </si>
  <si>
    <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phoneticPr fontId="68" type="noConversion"/>
  </si>
  <si>
    <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phoneticPr fontId="68" type="noConversion"/>
  </si>
  <si>
    <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phoneticPr fontId="68" type="noConversion"/>
  </si>
  <si>
    <t>自然调谐</t>
    <phoneticPr fontId="68" type="noConversion"/>
  </si>
  <si>
    <r>
      <rPr>
        <sz val="10"/>
        <color theme="1"/>
        <rFont val="宋体"/>
        <family val="1"/>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1"/>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1"/>
        <charset val="134"/>
      </rPr>
      <t>寒带</t>
    </r>
    <r>
      <rPr>
        <sz val="10"/>
        <color theme="1"/>
        <rFont val="Times New Roman"/>
        <family val="1"/>
      </rPr>
      <t xml:space="preserve">Arctic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油腻术</t>
    </r>
    <r>
      <rPr>
        <sz val="10"/>
        <color theme="1"/>
        <rFont val="Times New Roman"/>
        <family val="1"/>
      </rPr>
      <t xml:space="preserve">Grease 
3rd </t>
    </r>
    <r>
      <rPr>
        <sz val="10"/>
        <color theme="1"/>
        <rFont val="宋体"/>
        <family val="1"/>
        <charset val="134"/>
      </rPr>
      <t>人类定身术</t>
    </r>
    <r>
      <rPr>
        <sz val="10"/>
        <color theme="1"/>
        <rFont val="Times New Roman"/>
        <family val="1"/>
      </rPr>
      <t xml:space="preserve">Hold Person 
5th </t>
    </r>
    <r>
      <rPr>
        <sz val="10"/>
        <color theme="1"/>
        <rFont val="宋体"/>
        <family val="1"/>
        <charset val="134"/>
      </rPr>
      <t>缓慢术</t>
    </r>
    <r>
      <rPr>
        <sz val="10"/>
        <color theme="1"/>
        <rFont val="Times New Roman"/>
        <family val="1"/>
      </rPr>
      <t xml:space="preserve">Slow 
7th </t>
    </r>
    <r>
      <rPr>
        <sz val="10"/>
        <color theme="1"/>
        <rFont val="宋体"/>
        <family val="1"/>
        <charset val="134"/>
      </rPr>
      <t>冰风暴</t>
    </r>
    <r>
      <rPr>
        <sz val="10"/>
        <color theme="1"/>
        <rFont val="Times New Roman"/>
        <family val="1"/>
      </rPr>
      <t xml:space="preserve">Ice Storm 
9th </t>
    </r>
    <r>
      <rPr>
        <sz val="10"/>
        <color theme="1"/>
        <rFont val="宋体"/>
        <family val="1"/>
        <charset val="134"/>
      </rPr>
      <t>寒冰锥</t>
    </r>
    <r>
      <rPr>
        <sz val="10"/>
        <color theme="1"/>
        <rFont val="Times New Roman"/>
        <family val="1"/>
      </rPr>
      <t xml:space="preserve">Cone of Cold 
</t>
    </r>
    <r>
      <rPr>
        <sz val="10"/>
        <color theme="1"/>
        <rFont val="宋体"/>
        <family val="1"/>
        <charset val="134"/>
      </rPr>
      <t>海岸</t>
    </r>
    <r>
      <rPr>
        <sz val="10"/>
        <color theme="1"/>
        <rFont val="Times New Roman"/>
        <family val="1"/>
      </rPr>
      <t xml:space="preserve">Coast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雷鸣波</t>
    </r>
    <r>
      <rPr>
        <sz val="10"/>
        <color theme="1"/>
        <rFont val="Times New Roman"/>
        <family val="1"/>
      </rPr>
      <t xml:space="preserve">Thunderwave 
3rd </t>
    </r>
    <r>
      <rPr>
        <sz val="10"/>
        <color theme="1"/>
        <rFont val="宋体"/>
        <family val="1"/>
        <charset val="134"/>
      </rPr>
      <t>镜影术</t>
    </r>
    <r>
      <rPr>
        <sz val="10"/>
        <color theme="1"/>
        <rFont val="Times New Roman"/>
        <family val="1"/>
      </rPr>
      <t xml:space="preserve">Mirror Image 
5th </t>
    </r>
    <r>
      <rPr>
        <sz val="10"/>
        <color theme="1"/>
        <rFont val="宋体"/>
        <family val="1"/>
        <charset val="134"/>
      </rPr>
      <t>召雷术</t>
    </r>
    <r>
      <rPr>
        <sz val="10"/>
        <color theme="1"/>
        <rFont val="Times New Roman"/>
        <family val="1"/>
      </rPr>
      <t xml:space="preserve">Call Lightning 
7th </t>
    </r>
    <r>
      <rPr>
        <sz val="10"/>
        <color theme="1"/>
        <rFont val="宋体"/>
        <family val="1"/>
        <charset val="134"/>
      </rPr>
      <t>操控水体</t>
    </r>
    <r>
      <rPr>
        <sz val="10"/>
        <color theme="1"/>
        <rFont val="Times New Roman"/>
        <family val="1"/>
      </rPr>
      <t xml:space="preserve">Control Water 
9th </t>
    </r>
    <r>
      <rPr>
        <sz val="10"/>
        <color theme="1"/>
        <rFont val="宋体"/>
        <family val="1"/>
        <charset val="134"/>
      </rPr>
      <t>元素咒唤术</t>
    </r>
    <r>
      <rPr>
        <sz val="10"/>
        <color theme="1"/>
        <rFont val="Times New Roman"/>
        <family val="1"/>
      </rPr>
      <t xml:space="preserve">Conjure Elemental 
</t>
    </r>
    <r>
      <rPr>
        <sz val="10"/>
        <color theme="1"/>
        <rFont val="宋体"/>
        <family val="1"/>
        <charset val="134"/>
      </rPr>
      <t>荒漠</t>
    </r>
    <r>
      <rPr>
        <sz val="10"/>
        <color theme="1"/>
        <rFont val="Times New Roman"/>
        <family val="1"/>
      </rPr>
      <t xml:space="preserve">Desert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七彩喷射</t>
    </r>
    <r>
      <rPr>
        <sz val="10"/>
        <color theme="1"/>
        <rFont val="Times New Roman"/>
        <family val="1"/>
      </rPr>
      <t xml:space="preserve">Color Spray 
3rd </t>
    </r>
    <r>
      <rPr>
        <sz val="10"/>
        <color theme="1"/>
        <rFont val="宋体"/>
        <family val="1"/>
        <charset val="134"/>
      </rPr>
      <t>朦胧术</t>
    </r>
    <r>
      <rPr>
        <sz val="10"/>
        <color theme="1"/>
        <rFont val="Times New Roman"/>
        <family val="1"/>
      </rPr>
      <t xml:space="preserve">Blur 
5th </t>
    </r>
    <r>
      <rPr>
        <sz val="10"/>
        <color theme="1"/>
        <rFont val="宋体"/>
        <family val="1"/>
        <charset val="134"/>
      </rPr>
      <t>昼明术</t>
    </r>
    <r>
      <rPr>
        <sz val="10"/>
        <color theme="1"/>
        <rFont val="Times New Roman"/>
        <family val="1"/>
      </rPr>
      <t xml:space="preserve">Daylight 
7th </t>
    </r>
    <r>
      <rPr>
        <sz val="10"/>
        <color theme="1"/>
        <rFont val="宋体"/>
        <family val="1"/>
        <charset val="134"/>
      </rPr>
      <t>枯萎术</t>
    </r>
    <r>
      <rPr>
        <sz val="10"/>
        <color theme="1"/>
        <rFont val="Times New Roman"/>
        <family val="1"/>
      </rPr>
      <t xml:space="preserve">Blight 
9th </t>
    </r>
    <r>
      <rPr>
        <sz val="10"/>
        <color theme="1"/>
        <rFont val="宋体"/>
        <family val="1"/>
        <charset val="134"/>
      </rPr>
      <t>伪装术</t>
    </r>
    <r>
      <rPr>
        <sz val="10"/>
        <color theme="1"/>
        <rFont val="Times New Roman"/>
        <family val="1"/>
      </rPr>
      <t xml:space="preserve">Seeming 
</t>
    </r>
    <r>
      <rPr>
        <sz val="10"/>
        <color theme="1"/>
        <rFont val="宋体"/>
        <family val="1"/>
        <charset val="134"/>
      </rPr>
      <t>森林</t>
    </r>
    <r>
      <rPr>
        <sz val="10"/>
        <color theme="1"/>
        <rFont val="Times New Roman"/>
        <family val="1"/>
      </rPr>
      <t xml:space="preserve">Forest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纠缠术</t>
    </r>
    <r>
      <rPr>
        <sz val="10"/>
        <color theme="1"/>
        <rFont val="Times New Roman"/>
        <family val="1"/>
      </rPr>
      <t xml:space="preserve">Entangle 
3rd </t>
    </r>
    <r>
      <rPr>
        <sz val="10"/>
        <color theme="1"/>
        <rFont val="宋体"/>
        <family val="1"/>
        <charset val="134"/>
      </rPr>
      <t>树肤术</t>
    </r>
    <r>
      <rPr>
        <sz val="10"/>
        <color theme="1"/>
        <rFont val="Times New Roman"/>
        <family val="1"/>
      </rPr>
      <t xml:space="preserve">Barkskin 
5th </t>
    </r>
    <r>
      <rPr>
        <sz val="10"/>
        <color theme="1"/>
        <rFont val="宋体"/>
        <family val="1"/>
        <charset val="134"/>
      </rPr>
      <t>动物咒唤术</t>
    </r>
    <r>
      <rPr>
        <sz val="10"/>
        <color theme="1"/>
        <rFont val="Times New Roman"/>
        <family val="1"/>
      </rPr>
      <t xml:space="preserve">Conjure Animals 
7th </t>
    </r>
    <r>
      <rPr>
        <sz val="10"/>
        <color theme="1"/>
        <rFont val="宋体"/>
        <family val="1"/>
        <charset val="134"/>
      </rPr>
      <t>植物塑形</t>
    </r>
    <r>
      <rPr>
        <sz val="10"/>
        <color theme="1"/>
        <rFont val="Times New Roman"/>
        <family val="1"/>
      </rPr>
      <t xml:space="preserve"> Shape Plants 
9th </t>
    </r>
    <r>
      <rPr>
        <sz val="10"/>
        <color theme="1"/>
        <rFont val="宋体"/>
        <family val="1"/>
        <charset val="134"/>
      </rPr>
      <t>树跃术</t>
    </r>
    <r>
      <rPr>
        <sz val="10"/>
        <color theme="1"/>
        <rFont val="Times New Roman"/>
        <family val="1"/>
      </rPr>
      <t xml:space="preserve">Tree Stride 
</t>
    </r>
    <r>
      <rPr>
        <sz val="10"/>
        <color theme="1"/>
        <rFont val="宋体"/>
        <family val="1"/>
        <charset val="134"/>
      </rPr>
      <t>草原</t>
    </r>
    <r>
      <rPr>
        <sz val="10"/>
        <color theme="1"/>
        <rFont val="Times New Roman"/>
        <family val="1"/>
      </rPr>
      <t xml:space="preserve">Grassland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提升视力</t>
    </r>
    <r>
      <rPr>
        <sz val="10"/>
        <color theme="1"/>
        <rFont val="Times New Roman"/>
        <family val="1"/>
      </rPr>
      <t xml:space="preserve">Elevated Sight* 
3rd </t>
    </r>
    <r>
      <rPr>
        <sz val="10"/>
        <color theme="1"/>
        <rFont val="宋体"/>
        <family val="1"/>
        <charset val="134"/>
      </rPr>
      <t>造风术</t>
    </r>
    <r>
      <rPr>
        <sz val="10"/>
        <color theme="1"/>
        <rFont val="Times New Roman"/>
        <family val="1"/>
      </rPr>
      <t xml:space="preserve">Gust of Wind 
5th </t>
    </r>
    <r>
      <rPr>
        <sz val="10"/>
        <color theme="1"/>
        <rFont val="宋体"/>
        <family val="1"/>
        <charset val="134"/>
      </rPr>
      <t>风墙术</t>
    </r>
    <r>
      <rPr>
        <sz val="10"/>
        <color theme="1"/>
        <rFont val="Times New Roman"/>
        <family val="1"/>
      </rPr>
      <t xml:space="preserve">Wind Wall 
7th </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问道自然</t>
    </r>
    <r>
      <rPr>
        <sz val="10"/>
        <color theme="1"/>
        <rFont val="Times New Roman"/>
        <family val="1"/>
      </rPr>
      <t xml:space="preserve">Commune with Nature 
</t>
    </r>
    <r>
      <rPr>
        <sz val="10"/>
        <color theme="1"/>
        <rFont val="宋体"/>
        <family val="1"/>
        <charset val="134"/>
      </rPr>
      <t>山地</t>
    </r>
    <r>
      <rPr>
        <sz val="10"/>
        <color theme="1"/>
        <rFont val="Times New Roman"/>
        <family val="1"/>
      </rPr>
      <t xml:space="preserve">Mountain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云雾术</t>
    </r>
    <r>
      <rPr>
        <sz val="10"/>
        <color theme="1"/>
        <rFont val="Times New Roman"/>
        <family val="1"/>
      </rPr>
      <t xml:space="preserve">Fog Cloud 
3rd </t>
    </r>
    <r>
      <rPr>
        <sz val="10"/>
        <color theme="1"/>
        <rFont val="宋体"/>
        <family val="1"/>
        <charset val="134"/>
      </rPr>
      <t>沉默术</t>
    </r>
    <r>
      <rPr>
        <sz val="10"/>
        <color theme="1"/>
        <rFont val="Times New Roman"/>
        <family val="1"/>
      </rPr>
      <t xml:space="preserve">Silence 
5th </t>
    </r>
    <r>
      <rPr>
        <sz val="10"/>
        <color theme="1"/>
        <rFont val="宋体"/>
        <family val="1"/>
        <charset val="134"/>
      </rPr>
      <t>雪雨暴</t>
    </r>
    <r>
      <rPr>
        <sz val="10"/>
        <color theme="1"/>
        <rFont val="Times New Roman"/>
        <family val="1"/>
      </rPr>
      <t xml:space="preserve">Sleet Storm 
7th </t>
    </r>
    <r>
      <rPr>
        <sz val="10"/>
        <color theme="1"/>
        <rFont val="宋体"/>
        <family val="1"/>
        <charset val="134"/>
      </rPr>
      <t>石肤术</t>
    </r>
    <r>
      <rPr>
        <sz val="10"/>
        <color theme="1"/>
        <rFont val="Times New Roman"/>
        <family val="1"/>
      </rPr>
      <t xml:space="preserve">Stoneskin 
9th </t>
    </r>
    <r>
      <rPr>
        <sz val="10"/>
        <color theme="1"/>
        <rFont val="宋体"/>
        <family val="1"/>
        <charset val="134"/>
      </rPr>
      <t>石墙术</t>
    </r>
    <r>
      <rPr>
        <sz val="10"/>
        <color theme="1"/>
        <rFont val="Times New Roman"/>
        <family val="1"/>
      </rPr>
      <t xml:space="preserve">Wall of Stone 
</t>
    </r>
    <r>
      <rPr>
        <sz val="10"/>
        <color theme="1"/>
        <rFont val="宋体"/>
        <family val="1"/>
        <charset val="134"/>
      </rPr>
      <t>沼泽</t>
    </r>
    <r>
      <rPr>
        <sz val="10"/>
        <color theme="1"/>
        <rFont val="Times New Roman"/>
        <family val="1"/>
      </rPr>
      <t xml:space="preserve">Swamp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黄昏之纱</t>
    </r>
    <r>
      <rPr>
        <sz val="10"/>
        <color theme="1"/>
        <rFont val="Times New Roman"/>
        <family val="1"/>
      </rPr>
      <t xml:space="preserve">Veil of Dusk* 
3rd </t>
    </r>
    <r>
      <rPr>
        <sz val="10"/>
        <color theme="1"/>
        <rFont val="宋体"/>
        <family val="1"/>
        <charset val="134"/>
      </rPr>
      <t>荆棘丛生</t>
    </r>
    <r>
      <rPr>
        <sz val="10"/>
        <color theme="1"/>
        <rFont val="Times New Roman"/>
        <family val="1"/>
      </rPr>
      <t xml:space="preserve">Spike Growth 
5th </t>
    </r>
    <r>
      <rPr>
        <sz val="10"/>
        <color theme="1"/>
        <rFont val="宋体"/>
        <family val="1"/>
        <charset val="134"/>
      </rPr>
      <t>臭云术</t>
    </r>
    <r>
      <rPr>
        <sz val="10"/>
        <color theme="1"/>
        <rFont val="Times New Roman"/>
        <family val="1"/>
      </rPr>
      <t xml:space="preserve">Stinking Cloud 
7th </t>
    </r>
    <r>
      <rPr>
        <sz val="10"/>
        <color theme="1"/>
        <rFont val="宋体"/>
        <family val="1"/>
        <charset val="134"/>
      </rPr>
      <t>巨虫术</t>
    </r>
    <r>
      <rPr>
        <sz val="10"/>
        <color theme="1"/>
        <rFont val="Times New Roman"/>
        <family val="1"/>
      </rPr>
      <t xml:space="preserve">Giant Insect 
9th </t>
    </r>
    <r>
      <rPr>
        <sz val="10"/>
        <color theme="1"/>
        <rFont val="宋体"/>
        <family val="1"/>
        <charset val="134"/>
      </rPr>
      <t>疫病虫群</t>
    </r>
    <r>
      <rPr>
        <sz val="10"/>
        <color theme="1"/>
        <rFont val="Times New Roman"/>
        <family val="1"/>
      </rPr>
      <t xml:space="preserve">Insect Plague </t>
    </r>
    <phoneticPr fontId="68" type="noConversion"/>
  </si>
  <si>
    <t>守望结社</t>
    <phoneticPr fontId="68" type="noConversion"/>
  </si>
  <si>
    <t>猎食者</t>
    <phoneticPr fontId="68" type="noConversion"/>
  </si>
  <si>
    <t>地脉魔法</t>
    <phoneticPr fontId="68" type="noConversion"/>
  </si>
  <si>
    <t>大地丝弦</t>
  </si>
  <si>
    <t>生理节律</t>
  </si>
  <si>
    <t>自然干扰</t>
  </si>
  <si>
    <t>地脉编织</t>
  </si>
  <si>
    <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phoneticPr fontId="68" type="noConversion"/>
  </si>
  <si>
    <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phoneticPr fontId="68" type="noConversion"/>
  </si>
  <si>
    <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phoneticPr fontId="68" type="noConversion"/>
  </si>
  <si>
    <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phoneticPr fontId="68" type="noConversion"/>
  </si>
  <si>
    <r>
      <rPr>
        <sz val="10"/>
        <color theme="1"/>
        <rFont val="宋体"/>
        <family val="1"/>
        <charset val="134"/>
      </rPr>
      <t>先决：等级</t>
    </r>
    <r>
      <rPr>
        <sz val="10"/>
        <color theme="1"/>
        <rFont val="Times New Roman"/>
        <family val="1"/>
      </rPr>
      <t xml:space="preserve">7+
</t>
    </r>
    <r>
      <rPr>
        <sz val="10"/>
        <color theme="1"/>
        <rFont val="宋体"/>
        <family val="1"/>
        <charset val="134"/>
      </rPr>
      <t>以一个动作，你可以变形为恐狼、巨蜘蛛或巨章鱼，遵循与法术变形术</t>
    </r>
    <r>
      <rPr>
        <sz val="10"/>
        <color theme="1"/>
        <rFont val="Times New Roman"/>
        <family val="1"/>
      </rPr>
      <t>polymorph</t>
    </r>
    <r>
      <rPr>
        <sz val="10"/>
        <color theme="1"/>
        <rFont val="宋体"/>
        <family val="1"/>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1"/>
        <charset val="134"/>
      </rPr>
      <t>你可以保持该形态</t>
    </r>
    <r>
      <rPr>
        <sz val="10"/>
        <color theme="1"/>
        <rFont val="Times New Roman"/>
        <family val="1"/>
      </rPr>
      <t>1</t>
    </r>
    <r>
      <rPr>
        <sz val="10"/>
        <color theme="1"/>
        <rFont val="宋体"/>
        <family val="1"/>
        <charset val="134"/>
      </rPr>
      <t>小时，或直到该形态的生命值降至</t>
    </r>
    <r>
      <rPr>
        <sz val="10"/>
        <color theme="1"/>
        <rFont val="Times New Roman"/>
        <family val="1"/>
      </rPr>
      <t>0</t>
    </r>
    <r>
      <rPr>
        <sz val="10"/>
        <color theme="1"/>
        <rFont val="宋体"/>
        <family val="1"/>
        <charset val="134"/>
      </rPr>
      <t>时，你恢复为正常形态。若你因生命值降至</t>
    </r>
    <r>
      <rPr>
        <sz val="10"/>
        <color theme="1"/>
        <rFont val="Times New Roman"/>
        <family val="1"/>
      </rPr>
      <t>0</t>
    </r>
    <r>
      <rPr>
        <sz val="10"/>
        <color theme="1"/>
        <rFont val="宋体"/>
        <family val="1"/>
        <charset val="134"/>
      </rPr>
      <t>而恢复原形，则该伤害的溢出伤害量将传递至你的正常形态。</t>
    </r>
    <r>
      <rPr>
        <sz val="10"/>
        <color theme="1"/>
        <rFont val="Times New Roman"/>
        <family val="1"/>
      </rPr>
      <t xml:space="preserve">
</t>
    </r>
    <r>
      <rPr>
        <sz val="10"/>
        <color theme="1"/>
        <rFont val="宋体"/>
        <family val="1"/>
        <charset val="134"/>
      </rPr>
      <t>一旦你使用了此祈唤，直至完成一次长休你都无法再次使用。</t>
    </r>
    <phoneticPr fontId="68" type="noConversion"/>
  </si>
  <si>
    <r>
      <rPr>
        <sz val="10"/>
        <color theme="1"/>
        <rFont val="宋体"/>
        <family val="1"/>
        <charset val="134"/>
      </rPr>
      <t>先决：刃之魔契</t>
    </r>
    <r>
      <rPr>
        <sz val="10"/>
        <color theme="1"/>
        <rFont val="Times New Roman"/>
        <family val="1"/>
      </rPr>
      <t xml:space="preserve">
</t>
    </r>
    <r>
      <rPr>
        <sz val="10"/>
        <color theme="1"/>
        <rFont val="宋体"/>
        <family val="1"/>
        <charset val="134"/>
      </rPr>
      <t>你的手指成长为野兽般的利爪，你可以将其用于发动徒手打击，造成</t>
    </r>
    <r>
      <rPr>
        <sz val="10"/>
        <color theme="1"/>
        <rFont val="Times New Roman"/>
        <family val="1"/>
      </rPr>
      <t>1d6</t>
    </r>
    <r>
      <rPr>
        <sz val="10"/>
        <color theme="1"/>
        <rFont val="宋体"/>
        <family val="1"/>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1"/>
        <charset val="134"/>
      </rPr>
      <t>除了你所选的近战武器之外，你的徒手打击也被视为你的契约武器，并且它们也被视为轻型武器，可用于双持武器战斗。</t>
    </r>
    <phoneticPr fontId="68" type="noConversion"/>
  </si>
  <si>
    <r>
      <rPr>
        <sz val="10"/>
        <color theme="1"/>
        <rFont val="宋体"/>
        <family val="1"/>
        <charset val="134"/>
      </rPr>
      <t>先决：链之魔契</t>
    </r>
    <r>
      <rPr>
        <sz val="10"/>
        <color theme="1"/>
        <rFont val="Times New Roman"/>
        <family val="1"/>
      </rPr>
      <t xml:space="preserve">
</t>
    </r>
    <r>
      <rPr>
        <sz val="10"/>
        <color theme="1"/>
        <rFont val="宋体"/>
        <family val="1"/>
        <charset val="134"/>
      </rPr>
      <t>你可以召唤出更偏向怪物的魔宠。当你施展法术寻获魔宠</t>
    </r>
    <r>
      <rPr>
        <sz val="10"/>
        <color theme="1"/>
        <rFont val="Times New Roman"/>
        <family val="1"/>
      </rPr>
      <t>Find Familiar</t>
    </r>
    <r>
      <rPr>
        <sz val="10"/>
        <color theme="1"/>
        <rFont val="宋体"/>
        <family val="1"/>
        <charset val="134"/>
      </rPr>
      <t>时，你可以为你的魔宠选择通常的形态选项，或者下列特殊形态之一：闪现犬</t>
    </r>
    <r>
      <rPr>
        <sz val="10"/>
        <color theme="1"/>
        <rFont val="Times New Roman"/>
        <family val="1"/>
      </rPr>
      <t>Blink Dog</t>
    </r>
    <r>
      <rPr>
        <sz val="10"/>
        <color theme="1"/>
        <rFont val="宋体"/>
        <family val="1"/>
        <charset val="134"/>
      </rPr>
      <t>，亡命恶犬</t>
    </r>
    <r>
      <rPr>
        <sz val="10"/>
        <color theme="1"/>
        <rFont val="Times New Roman"/>
        <family val="1"/>
      </rPr>
      <t>Death Dog</t>
    </r>
    <r>
      <rPr>
        <sz val="10"/>
        <color theme="1"/>
        <rFont val="宋体"/>
        <family val="1"/>
        <charset val="134"/>
      </rPr>
      <t>，豹</t>
    </r>
    <r>
      <rPr>
        <sz val="10"/>
        <color theme="1"/>
        <rFont val="Times New Roman"/>
        <family val="1"/>
      </rPr>
      <t>Panther</t>
    </r>
    <r>
      <rPr>
        <sz val="10"/>
        <color theme="1"/>
        <rFont val="宋体"/>
        <family val="1"/>
        <charset val="134"/>
      </rPr>
      <t>或座狼</t>
    </r>
    <r>
      <rPr>
        <sz val="10"/>
        <color theme="1"/>
        <rFont val="Times New Roman"/>
        <family val="1"/>
      </rPr>
      <t xml:space="preserve">Worg </t>
    </r>
    <r>
      <rPr>
        <sz val="10"/>
        <color theme="1"/>
        <rFont val="宋体"/>
        <family val="1"/>
        <charset val="134"/>
      </rPr>
      <t>。</t>
    </r>
    <r>
      <rPr>
        <sz val="10"/>
        <color theme="1"/>
        <rFont val="Times New Roman"/>
        <family val="1"/>
      </rPr>
      <t xml:space="preserve">
</t>
    </r>
    <r>
      <rPr>
        <sz val="10"/>
        <color theme="1"/>
        <rFont val="宋体"/>
        <family val="1"/>
        <charset val="134"/>
      </rPr>
      <t>此外，你可以在你的回合消耗一个附赠动作来命令你的魔宠对你选择的敌人使用攻击动作。</t>
    </r>
    <phoneticPr fontId="68" type="noConversion"/>
  </si>
  <si>
    <r>
      <rPr>
        <sz val="10"/>
        <color theme="1"/>
        <rFont val="宋体"/>
        <family val="1"/>
        <charset val="134"/>
      </rPr>
      <t>先决：书之魔契</t>
    </r>
    <r>
      <rPr>
        <sz val="10"/>
        <color theme="1"/>
        <rFont val="Times New Roman"/>
        <family val="1"/>
      </rPr>
      <t xml:space="preserve">
</t>
    </r>
    <r>
      <rPr>
        <sz val="10"/>
        <color theme="1"/>
        <rFont val="宋体"/>
        <family val="1"/>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1"/>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1"/>
        <charset val="134"/>
      </rPr>
      <t>此外，你可以花费</t>
    </r>
    <r>
      <rPr>
        <sz val="10"/>
        <color theme="1"/>
        <rFont val="Times New Roman"/>
        <family val="1"/>
      </rPr>
      <t>1</t>
    </r>
    <r>
      <rPr>
        <sz val="10"/>
        <color theme="1"/>
        <rFont val="宋体"/>
        <family val="1"/>
        <charset val="134"/>
      </rPr>
      <t>分钟来审阅该页面，以了解以下有关该生物的实际情况中的一项：</t>
    </r>
    <r>
      <rPr>
        <sz val="10"/>
        <color theme="1"/>
        <rFont val="Times New Roman"/>
        <family val="1"/>
      </rPr>
      <t xml:space="preserve">
</t>
    </r>
    <r>
      <rPr>
        <sz val="10"/>
        <color theme="1"/>
        <rFont val="宋体"/>
        <family val="1"/>
        <charset val="134"/>
      </rPr>
      <t>该生物的生物类型与阵营。</t>
    </r>
    <r>
      <rPr>
        <sz val="10"/>
        <color theme="1"/>
        <rFont val="Times New Roman"/>
        <family val="1"/>
      </rPr>
      <t xml:space="preserve">
</t>
    </r>
    <r>
      <rPr>
        <sz val="10"/>
        <color theme="1"/>
        <rFont val="宋体"/>
        <family val="1"/>
        <charset val="134"/>
      </rPr>
      <t>该生物所使用的任何名字或别名。</t>
    </r>
    <r>
      <rPr>
        <sz val="10"/>
        <color theme="1"/>
        <rFont val="Times New Roman"/>
        <family val="1"/>
      </rPr>
      <t xml:space="preserve">
</t>
    </r>
    <r>
      <rPr>
        <sz val="10"/>
        <color theme="1"/>
        <rFont val="宋体"/>
        <family val="1"/>
        <charset val="134"/>
      </rPr>
      <t>该生物当前与你之间距离与方向（前提是它与你处于同一位面）。</t>
    </r>
    <r>
      <rPr>
        <sz val="10"/>
        <color theme="1"/>
        <rFont val="Times New Roman"/>
        <family val="1"/>
      </rPr>
      <t xml:space="preserve">
</t>
    </r>
    <r>
      <rPr>
        <sz val="10"/>
        <color theme="1"/>
        <rFont val="宋体"/>
        <family val="1"/>
        <charset val="134"/>
      </rPr>
      <t>该生物的任意弱点或缺陷。</t>
    </r>
    <r>
      <rPr>
        <sz val="10"/>
        <color theme="1"/>
        <rFont val="Times New Roman"/>
        <family val="1"/>
      </rPr>
      <t xml:space="preserve">
</t>
    </r>
    <r>
      <rPr>
        <sz val="10"/>
        <color theme="1"/>
        <rFont val="宋体"/>
        <family val="1"/>
        <charset val="134"/>
      </rPr>
      <t>该生物当前是否受伤。</t>
    </r>
    <r>
      <rPr>
        <sz val="10"/>
        <color theme="1"/>
        <rFont val="Times New Roman"/>
        <family val="1"/>
      </rPr>
      <t xml:space="preserve">
</t>
    </r>
    <r>
      <rPr>
        <sz val="10"/>
        <color theme="1"/>
        <rFont val="宋体"/>
        <family val="1"/>
        <charset val="134"/>
      </rPr>
      <t>该生物是否处于某种状态、诅咒或类似效应影响下，以及该效应的性质。</t>
    </r>
    <r>
      <rPr>
        <sz val="10"/>
        <color theme="1"/>
        <rFont val="Times New Roman"/>
        <family val="1"/>
      </rPr>
      <t xml:space="preserve">
</t>
    </r>
    <r>
      <rPr>
        <sz val="10"/>
        <color theme="1"/>
        <rFont val="宋体"/>
        <family val="1"/>
        <charset val="134"/>
      </rPr>
      <t>该页面一次只能记录一个生物的名字，每当你完成该仪式时，你可以选择是否替换当前占用页面空间的生物的名字。</t>
    </r>
    <phoneticPr fontId="68" type="noConversion"/>
  </si>
  <si>
    <t>狱火利爪</t>
  </si>
  <si>
    <t>地狱之子</t>
  </si>
  <si>
    <t>炼狱战士</t>
  </si>
  <si>
    <t>异界密谋者</t>
  </si>
  <si>
    <t>焚烧怒火</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</si>
  <si>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phoneticPr fontId="68" type="noConversion"/>
  </si>
  <si>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phoneticPr fontId="68" type="noConversion"/>
  </si>
  <si>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phoneticPr fontId="68" type="noConversion"/>
  </si>
  <si>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phoneticPr fontId="68" type="noConversion"/>
  </si>
  <si>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phoneticPr fontId="68" type="noConversion"/>
  </si>
  <si>
    <t>抛出硬币</t>
  </si>
  <si>
    <t>魔法硬币</t>
  </si>
  <si>
    <t>钱说了算</t>
  </si>
  <si>
    <t>精明买家</t>
  </si>
  <si>
    <t>宴饮领域法术</t>
    <phoneticPr fontId="68" type="noConversion"/>
  </si>
  <si>
    <r>
      <rPr>
        <sz val="10"/>
        <color theme="1"/>
        <rFont val="宋体"/>
        <family val="1"/>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1"/>
        <charset val="134"/>
      </rPr>
      <t>宴饮领域法术表</t>
    </r>
    <r>
      <rPr>
        <sz val="10"/>
        <color theme="1"/>
        <rFont val="Times New Roman"/>
        <family val="1"/>
      </rPr>
      <t xml:space="preserve"> </t>
    </r>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神莓术</t>
    </r>
    <r>
      <rPr>
        <sz val="10"/>
        <color theme="1"/>
        <rFont val="Times New Roman"/>
        <family val="1"/>
      </rPr>
      <t xml:space="preserve"> Goodberry</t>
    </r>
    <r>
      <rPr>
        <sz val="10"/>
        <color theme="1"/>
        <rFont val="宋体"/>
        <family val="1"/>
        <charset val="134"/>
      </rPr>
      <t>，净化饮食</t>
    </r>
    <r>
      <rPr>
        <sz val="10"/>
        <color theme="1"/>
        <rFont val="Times New Roman"/>
        <family val="1"/>
      </rPr>
      <t xml:space="preserve"> Purify Food and Drink  
3</t>
    </r>
    <r>
      <rPr>
        <sz val="10"/>
        <color theme="1"/>
        <rFont val="宋体"/>
        <family val="1"/>
        <charset val="134"/>
      </rPr>
      <t>级</t>
    </r>
    <r>
      <rPr>
        <sz val="10"/>
        <color theme="1"/>
        <rFont val="Times New Roman"/>
        <family val="1"/>
      </rPr>
      <t xml:space="preserve"> </t>
    </r>
    <r>
      <rPr>
        <sz val="10"/>
        <color theme="1"/>
        <rFont val="宋体"/>
        <family val="1"/>
        <charset val="134"/>
      </rPr>
      <t>灼热金属</t>
    </r>
    <r>
      <rPr>
        <sz val="10"/>
        <color theme="1"/>
        <rFont val="Times New Roman"/>
        <family val="1"/>
      </rPr>
      <t xml:space="preserve"> Heat Metal</t>
    </r>
    <r>
      <rPr>
        <sz val="10"/>
        <color theme="1"/>
        <rFont val="宋体"/>
        <family val="1"/>
        <charset val="134"/>
      </rPr>
      <t>，防护毒素</t>
    </r>
    <r>
      <rPr>
        <sz val="10"/>
        <color theme="1"/>
        <rFont val="Times New Roman"/>
        <family val="1"/>
      </rPr>
      <t xml:space="preserve"> Protection from Poison  
5</t>
    </r>
    <r>
      <rPr>
        <sz val="10"/>
        <color theme="1"/>
        <rFont val="宋体"/>
        <family val="1"/>
        <charset val="134"/>
      </rPr>
      <t>级</t>
    </r>
    <r>
      <rPr>
        <sz val="10"/>
        <color theme="1"/>
        <rFont val="Times New Roman"/>
        <family val="1"/>
      </rPr>
      <t xml:space="preserve"> </t>
    </r>
    <r>
      <rPr>
        <sz val="10"/>
        <color theme="1"/>
        <rFont val="宋体"/>
        <family val="1"/>
        <charset val="134"/>
      </rPr>
      <t>造粮术</t>
    </r>
    <r>
      <rPr>
        <sz val="10"/>
        <color theme="1"/>
        <rFont val="Times New Roman"/>
        <family val="1"/>
      </rPr>
      <t xml:space="preserve"> Create Food and Water</t>
    </r>
    <r>
      <rPr>
        <sz val="10"/>
        <color theme="1"/>
        <rFont val="宋体"/>
        <family val="1"/>
        <charset val="134"/>
      </rPr>
      <t>，臭云术</t>
    </r>
    <r>
      <rPr>
        <sz val="10"/>
        <color theme="1"/>
        <rFont val="Times New Roman"/>
        <family val="1"/>
      </rPr>
      <t xml:space="preserve"> Stingking Cloud  
7</t>
    </r>
    <r>
      <rPr>
        <sz val="10"/>
        <color theme="1"/>
        <rFont val="宋体"/>
        <family val="1"/>
        <charset val="134"/>
      </rPr>
      <t>级</t>
    </r>
    <r>
      <rPr>
        <sz val="10"/>
        <color theme="1"/>
        <rFont val="Times New Roman"/>
        <family val="1"/>
      </rPr>
      <t xml:space="preserve"> </t>
    </r>
    <r>
      <rPr>
        <sz val="10"/>
        <color theme="1"/>
        <rFont val="宋体"/>
        <family val="1"/>
        <charset val="134"/>
      </rPr>
      <t>枯萎术</t>
    </r>
    <r>
      <rPr>
        <sz val="10"/>
        <color theme="1"/>
        <rFont val="Times New Roman"/>
        <family val="1"/>
      </rPr>
      <t xml:space="preserve"> Blight </t>
    </r>
    <r>
      <rPr>
        <sz val="10"/>
        <color theme="1"/>
        <rFont val="宋体"/>
        <family val="1"/>
        <charset val="134"/>
      </rPr>
      <t>，操控水体</t>
    </r>
    <r>
      <rPr>
        <sz val="10"/>
        <color theme="1"/>
        <rFont val="Times New Roman"/>
        <family val="1"/>
      </rPr>
      <t xml:space="preserve"> Control Water  
9</t>
    </r>
    <r>
      <rPr>
        <sz val="10"/>
        <color theme="1"/>
        <rFont val="宋体"/>
        <family val="1"/>
        <charset val="134"/>
      </rPr>
      <t>级</t>
    </r>
    <r>
      <rPr>
        <sz val="10"/>
        <color theme="1"/>
        <rFont val="Times New Roman"/>
        <family val="1"/>
      </rPr>
      <t xml:space="preserve"> </t>
    </r>
    <r>
      <rPr>
        <sz val="10"/>
        <color theme="1"/>
        <rFont val="宋体"/>
        <family val="1"/>
        <charset val="134"/>
      </rPr>
      <t>死云术</t>
    </r>
    <r>
      <rPr>
        <sz val="10"/>
        <color theme="1"/>
        <rFont val="Times New Roman"/>
        <family val="1"/>
      </rPr>
      <t xml:space="preserve"> Cloudkill</t>
    </r>
    <r>
      <rPr>
        <sz val="10"/>
        <color theme="1"/>
        <rFont val="宋体"/>
        <family val="1"/>
        <charset val="134"/>
      </rPr>
      <t>，疫病术</t>
    </r>
    <r>
      <rPr>
        <sz val="10"/>
        <color theme="1"/>
        <rFont val="Times New Roman"/>
        <family val="1"/>
      </rPr>
      <t xml:space="preserve"> Contagion  </t>
    </r>
    <phoneticPr fontId="68" type="noConversion"/>
  </si>
  <si>
    <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phoneticPr fontId="68" type="noConversion"/>
  </si>
  <si>
    <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phoneticPr fontId="68" type="noConversion"/>
  </si>
  <si>
    <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phoneticPr fontId="68" type="noConversion"/>
  </si>
  <si>
    <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1"/>
        <charset val="134"/>
      </rPr>
      <t>“</t>
    </r>
    <r>
      <rPr>
        <sz val="10"/>
        <color theme="1"/>
        <rFont val="宋体"/>
        <family val="3"/>
        <charset val="134"/>
      </rPr>
      <t>使用物件</t>
    </r>
    <r>
      <rPr>
        <sz val="10"/>
        <color theme="1"/>
        <rFont val="宋体"/>
        <family val="1"/>
        <charset val="134"/>
      </rPr>
      <t>‘</t>
    </r>
    <r>
      <rPr>
        <sz val="10"/>
        <color theme="1"/>
        <rFont val="宋体"/>
        <family val="3"/>
        <charset val="134"/>
      </rPr>
      <t>动作或饮用药水。</t>
    </r>
    <phoneticPr fontId="68" type="noConversion"/>
  </si>
  <si>
    <t>巨龙传说</t>
    <phoneticPr fontId="68" type="noConversion"/>
  </si>
  <si>
    <r>
      <rPr>
        <sz val="10"/>
        <color theme="1"/>
        <rFont val="宋体"/>
        <family val="1"/>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phoneticPr fontId="68" type="noConversion"/>
  </si>
  <si>
    <t>巨龙之姿</t>
    <phoneticPr fontId="68" type="noConversion"/>
  </si>
  <si>
    <r>
      <rPr>
        <sz val="10"/>
        <color theme="1"/>
        <rFont val="宋体"/>
        <family val="1"/>
        <charset val="134"/>
      </rPr>
      <t>巨龙之姿类型表</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黑龙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金龙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蓝龙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绿龙</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黄铜龙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红龙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青铜龙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银龙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赤铜龙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白龙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1"/>
        <charset val="134"/>
      </rPr>
      <t>等于</t>
    </r>
    <r>
      <rPr>
        <sz val="10"/>
        <color theme="1"/>
        <rFont val="Times New Roman"/>
        <family val="1"/>
      </rPr>
      <t>13+</t>
    </r>
    <r>
      <rPr>
        <sz val="10"/>
        <color theme="1"/>
        <rFont val="宋体"/>
        <family val="1"/>
        <charset val="134"/>
      </rPr>
      <t>你的敏捷调整值（至多为</t>
    </r>
    <r>
      <rPr>
        <sz val="10"/>
        <color theme="1"/>
        <rFont val="Times New Roman"/>
        <family val="1"/>
      </rPr>
      <t>2</t>
    </r>
    <r>
      <rPr>
        <sz val="10"/>
        <color theme="1"/>
        <rFont val="宋体"/>
        <family val="1"/>
        <charset val="134"/>
      </rPr>
      <t>），且拥有</t>
    </r>
    <r>
      <rPr>
        <sz val="10"/>
        <color theme="1"/>
        <rFont val="Times New Roman"/>
        <family val="1"/>
      </rPr>
      <t>30</t>
    </r>
    <r>
      <rPr>
        <sz val="10"/>
        <color theme="1"/>
        <rFont val="宋体"/>
        <family val="1"/>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1"/>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1"/>
        <charset val="134"/>
      </rPr>
      <t>或死亡，你自动恢复形态。</t>
    </r>
    <r>
      <rPr>
        <sz val="10"/>
        <color theme="1"/>
        <rFont val="Times New Roman"/>
        <family val="1"/>
      </rPr>
      <t xml:space="preserve">
</t>
    </r>
    <r>
      <rPr>
        <sz val="10"/>
        <color theme="1"/>
        <rFont val="宋体"/>
        <family val="1"/>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1"/>
        <charset val="134"/>
      </rPr>
      <t>级还没有完全变化，但是会在你获得本职业的等级时不断变强。</t>
    </r>
    <r>
      <rPr>
        <sz val="10"/>
        <color theme="1"/>
        <rFont val="Times New Roman"/>
        <family val="1"/>
      </rPr>
      <t xml:space="preserve">
</t>
    </r>
    <r>
      <rPr>
        <sz val="10"/>
        <color theme="1"/>
        <rFont val="宋体"/>
        <family val="1"/>
        <charset val="134"/>
      </rPr>
      <t>当你处于此形态时你无法施法，但是会获得在你每个回合都可以使用的不同的动作项：</t>
    </r>
    <r>
      <rPr>
        <sz val="10"/>
        <color theme="1"/>
        <rFont val="Times New Roman"/>
        <family val="1"/>
      </rPr>
      <t xml:space="preserve">
</t>
    </r>
    <r>
      <rPr>
        <sz val="10"/>
        <color theme="1"/>
        <rFont val="宋体"/>
        <family val="1"/>
        <charset val="134"/>
      </rPr>
      <t>啃咬</t>
    </r>
    <r>
      <rPr>
        <sz val="10"/>
        <color theme="1"/>
        <rFont val="Times New Roman"/>
        <family val="1"/>
      </rPr>
      <t>Bite</t>
    </r>
    <r>
      <rPr>
        <sz val="10"/>
        <color theme="1"/>
        <rFont val="宋体"/>
        <family val="1"/>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1"/>
        <charset val="134"/>
      </rPr>
      <t>你的力量或感知调整值的穿刺伤害，而非正常徒手打击造成的钝击伤害。</t>
    </r>
    <r>
      <rPr>
        <sz val="10"/>
        <color theme="1"/>
        <rFont val="Times New Roman"/>
        <family val="1"/>
      </rPr>
      <t xml:space="preserve">
</t>
    </r>
    <r>
      <rPr>
        <sz val="10"/>
        <color theme="1"/>
        <rFont val="宋体"/>
        <family val="1"/>
        <charset val="134"/>
      </rPr>
      <t>吐息武器</t>
    </r>
    <r>
      <rPr>
        <sz val="10"/>
        <color theme="1"/>
        <rFont val="Times New Roman"/>
        <family val="1"/>
      </rPr>
      <t>Breath Weapon</t>
    </r>
    <r>
      <rPr>
        <sz val="10"/>
        <color theme="1"/>
        <rFont val="宋体"/>
        <family val="1"/>
        <charset val="134"/>
      </rPr>
      <t>。</t>
    </r>
    <r>
      <rPr>
        <sz val="10"/>
        <color theme="1"/>
        <rFont val="Times New Roman"/>
        <family val="1"/>
      </rPr>
      <t xml:space="preserve"> </t>
    </r>
    <r>
      <rPr>
        <sz val="10"/>
        <color theme="1"/>
        <rFont val="宋体"/>
        <family val="1"/>
        <charset val="134"/>
      </rPr>
      <t>你可以使用动作向你身前呼出一股强大的能量。</t>
    </r>
    <r>
      <rPr>
        <sz val="10"/>
        <color theme="1"/>
        <rFont val="Times New Roman"/>
        <family val="1"/>
      </rPr>
      <t>15</t>
    </r>
    <r>
      <rPr>
        <sz val="10"/>
        <color theme="1"/>
        <rFont val="宋体"/>
        <family val="1"/>
        <charset val="134"/>
      </rPr>
      <t>尺锥形范围内的每个生物都必须进行一次敏捷豁免掷骰来对抗你的法术豁免</t>
    </r>
    <r>
      <rPr>
        <sz val="10"/>
        <color theme="1"/>
        <rFont val="Times New Roman"/>
        <family val="1"/>
      </rPr>
      <t>DC</t>
    </r>
    <r>
      <rPr>
        <sz val="10"/>
        <color theme="1"/>
        <rFont val="宋体"/>
        <family val="1"/>
        <charset val="134"/>
      </rPr>
      <t>。豁免失败的生物受到和你的巨龙之姿所选择的伤害类型相同的</t>
    </r>
    <r>
      <rPr>
        <sz val="10"/>
        <color theme="1"/>
        <rFont val="Times New Roman"/>
        <family val="1"/>
      </rPr>
      <t>2d6</t>
    </r>
    <r>
      <rPr>
        <sz val="10"/>
        <color theme="1"/>
        <rFont val="宋体"/>
        <family val="1"/>
        <charset val="134"/>
      </rPr>
      <t>点伤害，或豁免成功伤害减半。一旦你使用了这一特性，它在</t>
    </r>
    <r>
      <rPr>
        <sz val="10"/>
        <color theme="1"/>
        <rFont val="Times New Roman"/>
        <family val="1"/>
      </rPr>
      <t>1</t>
    </r>
    <r>
      <rPr>
        <sz val="10"/>
        <color theme="1"/>
        <rFont val="宋体"/>
        <family val="1"/>
        <charset val="134"/>
      </rPr>
      <t>分钟之内无法再次使用。</t>
    </r>
    <r>
      <rPr>
        <sz val="10"/>
        <color theme="1"/>
        <rFont val="Times New Roman"/>
        <family val="1"/>
      </rPr>
      <t xml:space="preserve">
</t>
    </r>
    <r>
      <rPr>
        <sz val="10"/>
        <color theme="1"/>
        <rFont val="宋体"/>
        <family val="1"/>
        <charset val="134"/>
      </rPr>
      <t>你的吐息武器会在特定等级获得增强。在第</t>
    </r>
    <r>
      <rPr>
        <sz val="10"/>
        <color theme="1"/>
        <rFont val="Times New Roman"/>
        <family val="1"/>
      </rPr>
      <t>6</t>
    </r>
    <r>
      <rPr>
        <sz val="10"/>
        <color theme="1"/>
        <rFont val="宋体"/>
        <family val="1"/>
        <charset val="134"/>
      </rPr>
      <t>级，你的吐息武器造成</t>
    </r>
    <r>
      <rPr>
        <sz val="10"/>
        <color theme="1"/>
        <rFont val="Times New Roman"/>
        <family val="1"/>
      </rPr>
      <t>3d6</t>
    </r>
    <r>
      <rPr>
        <sz val="10"/>
        <color theme="1"/>
        <rFont val="宋体"/>
        <family val="1"/>
        <charset val="134"/>
      </rPr>
      <t>点伤害且范围扩大为</t>
    </r>
    <r>
      <rPr>
        <sz val="10"/>
        <color theme="1"/>
        <rFont val="Times New Roman"/>
        <family val="1"/>
      </rPr>
      <t>20</t>
    </r>
    <r>
      <rPr>
        <sz val="10"/>
        <color theme="1"/>
        <rFont val="宋体"/>
        <family val="1"/>
        <charset val="134"/>
      </rPr>
      <t>尺锥形。在第</t>
    </r>
    <r>
      <rPr>
        <sz val="10"/>
        <color theme="1"/>
        <rFont val="Times New Roman"/>
        <family val="1"/>
      </rPr>
      <t>10</t>
    </r>
    <r>
      <rPr>
        <sz val="10"/>
        <color theme="1"/>
        <rFont val="宋体"/>
        <family val="1"/>
        <charset val="134"/>
      </rPr>
      <t>级，它造成</t>
    </r>
    <r>
      <rPr>
        <sz val="10"/>
        <color theme="1"/>
        <rFont val="Times New Roman"/>
        <family val="1"/>
      </rPr>
      <t>4d6</t>
    </r>
    <r>
      <rPr>
        <sz val="10"/>
        <color theme="1"/>
        <rFont val="宋体"/>
        <family val="1"/>
        <charset val="134"/>
      </rPr>
      <t>点伤害且范围扩大为</t>
    </r>
    <r>
      <rPr>
        <sz val="10"/>
        <color theme="1"/>
        <rFont val="Times New Roman"/>
        <family val="1"/>
      </rPr>
      <t>25</t>
    </r>
    <r>
      <rPr>
        <sz val="10"/>
        <color theme="1"/>
        <rFont val="宋体"/>
        <family val="1"/>
        <charset val="134"/>
      </rPr>
      <t>尺锥形，并且在第</t>
    </r>
    <r>
      <rPr>
        <sz val="10"/>
        <color theme="1"/>
        <rFont val="Times New Roman"/>
        <family val="1"/>
      </rPr>
      <t>14</t>
    </r>
    <r>
      <rPr>
        <sz val="10"/>
        <color theme="1"/>
        <rFont val="宋体"/>
        <family val="1"/>
        <charset val="134"/>
      </rPr>
      <t>级，它造成</t>
    </r>
    <r>
      <rPr>
        <sz val="10"/>
        <color theme="1"/>
        <rFont val="Times New Roman"/>
        <family val="1"/>
      </rPr>
      <t>5d6</t>
    </r>
    <r>
      <rPr>
        <sz val="10"/>
        <color theme="1"/>
        <rFont val="宋体"/>
        <family val="1"/>
        <charset val="134"/>
      </rPr>
      <t>点伤害且范围扩大为</t>
    </r>
    <r>
      <rPr>
        <sz val="10"/>
        <color theme="1"/>
        <rFont val="Times New Roman"/>
        <family val="1"/>
      </rPr>
      <t>30</t>
    </r>
    <r>
      <rPr>
        <sz val="10"/>
        <color theme="1"/>
        <rFont val="宋体"/>
        <family val="1"/>
        <charset val="134"/>
      </rPr>
      <t>尺锥形。</t>
    </r>
    <phoneticPr fontId="68" type="noConversion"/>
  </si>
  <si>
    <t>强化巨龙之姿</t>
    <phoneticPr fontId="68" type="noConversion"/>
  </si>
  <si>
    <r>
      <rPr>
        <sz val="10"/>
        <color theme="1"/>
        <rFont val="宋体"/>
        <family val="1"/>
        <charset val="134"/>
      </rPr>
      <t>你对你的巨龙之姿的控制能力获得增强。在变成此形态时你获得如下这些增益：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14+</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你获得新的攻击方式：</t>
    </r>
    <r>
      <rPr>
        <sz val="10"/>
        <color theme="1"/>
        <rFont val="Times New Roman"/>
        <family val="1"/>
      </rPr>
      <t xml:space="preserve">
</t>
    </r>
    <r>
      <rPr>
        <sz val="10"/>
        <color theme="1"/>
        <rFont val="宋体"/>
        <family val="1"/>
        <charset val="134"/>
      </rPr>
      <t>爪击</t>
    </r>
    <r>
      <rPr>
        <sz val="10"/>
        <color theme="1"/>
        <rFont val="Times New Roman"/>
        <family val="1"/>
      </rPr>
      <t>Claw</t>
    </r>
    <r>
      <rPr>
        <sz val="10"/>
        <color theme="1"/>
        <rFont val="宋体"/>
        <family val="1"/>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1"/>
        <charset val="134"/>
      </rPr>
      <t>你的力量或感知调整值的挥砍伤害，而非正常徒手打击造成的钝击伤害。</t>
    </r>
    <r>
      <rPr>
        <sz val="10"/>
        <color theme="1"/>
        <rFont val="Times New Roman"/>
        <family val="1"/>
      </rPr>
      <t xml:space="preserve">
</t>
    </r>
    <r>
      <rPr>
        <sz val="10"/>
        <color theme="1"/>
        <rFont val="宋体"/>
        <family val="1"/>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1"/>
        <charset val="134"/>
      </rPr>
      <t>你拥有</t>
    </r>
    <r>
      <rPr>
        <sz val="10"/>
        <color theme="1"/>
        <rFont val="Times New Roman"/>
        <family val="1"/>
      </rPr>
      <t>60</t>
    </r>
    <r>
      <rPr>
        <sz val="10"/>
        <color theme="1"/>
        <rFont val="宋体"/>
        <family val="1"/>
        <charset val="134"/>
      </rPr>
      <t>尺黑暗视觉。如果你因种族已经有了黑暗视觉，则再增加</t>
    </r>
    <r>
      <rPr>
        <sz val="10"/>
        <color theme="1"/>
        <rFont val="Times New Roman"/>
        <family val="1"/>
      </rPr>
      <t>30</t>
    </r>
    <r>
      <rPr>
        <sz val="10"/>
        <color theme="1"/>
        <rFont val="宋体"/>
        <family val="1"/>
        <charset val="134"/>
      </rPr>
      <t>尺。</t>
    </r>
    <phoneticPr fontId="68" type="noConversion"/>
  </si>
  <si>
    <t>巨龙魔法</t>
    <phoneticPr fontId="68" type="noConversion"/>
  </si>
  <si>
    <r>
      <rPr>
        <sz val="10"/>
        <color theme="1"/>
        <rFont val="宋体"/>
        <family val="1"/>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1"/>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15+</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你对你巨龙之姿所选择的伤害类型具有抗性。</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尺飞行速度。</t>
    </r>
    <phoneticPr fontId="68" type="noConversion"/>
  </si>
  <si>
    <t>巨龙之心</t>
    <phoneticPr fontId="68" type="noConversion"/>
  </si>
  <si>
    <r>
      <rPr>
        <sz val="10"/>
        <color theme="1"/>
        <rFont val="宋体"/>
        <family val="1"/>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1"/>
        <charset val="134"/>
      </rPr>
      <t>另外，在变成巨龙之姿形态时你获得如下这些增益：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16+</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你的飞行速度增加至</t>
    </r>
    <r>
      <rPr>
        <sz val="10"/>
        <color theme="1"/>
        <rFont val="Times New Roman"/>
        <family val="1"/>
      </rPr>
      <t>40</t>
    </r>
    <r>
      <rPr>
        <sz val="10"/>
        <color theme="1"/>
        <rFont val="宋体"/>
        <family val="1"/>
        <charset val="134"/>
      </rPr>
      <t>尺。</t>
    </r>
    <r>
      <rPr>
        <sz val="10"/>
        <color theme="1"/>
        <rFont val="Times New Roman"/>
        <family val="1"/>
      </rPr>
      <t xml:space="preserve">
</t>
    </r>
    <r>
      <rPr>
        <sz val="10"/>
        <color theme="1"/>
        <rFont val="宋体"/>
        <family val="1"/>
        <charset val="134"/>
      </rPr>
      <t>当你在你自己的回合执行攻击动作时，你可以进行三次攻击：一次啃咬和两次爪击。</t>
    </r>
    <r>
      <rPr>
        <sz val="10"/>
        <color theme="1"/>
        <rFont val="Times New Roman"/>
        <family val="1"/>
      </rPr>
      <t xml:space="preserve">
</t>
    </r>
    <r>
      <rPr>
        <sz val="10"/>
        <color theme="1"/>
        <rFont val="宋体"/>
        <family val="1"/>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1"/>
        <charset val="134"/>
      </rPr>
      <t>尺，而非</t>
    </r>
    <r>
      <rPr>
        <sz val="10"/>
        <color theme="1"/>
        <rFont val="Times New Roman"/>
        <family val="1"/>
      </rPr>
      <t>5</t>
    </r>
    <r>
      <rPr>
        <sz val="10"/>
        <color theme="1"/>
        <rFont val="宋体"/>
        <family val="1"/>
        <charset val="134"/>
      </rPr>
      <t>尺。</t>
    </r>
    <phoneticPr fontId="68" type="noConversion"/>
  </si>
  <si>
    <t>止杓献杯</t>
  </si>
  <si>
    <t>引导神力：制造疗愈原浆</t>
  </si>
  <si>
    <t>饮啖兼人</t>
  </si>
  <si>
    <t>餍口嘉肴</t>
  </si>
  <si>
    <t>自你选择此领域起，你获得重甲、军用武器、酿酒工具和厨师工具的熟练。</t>
    <phoneticPr fontId="68" type="noConversion"/>
  </si>
  <si>
    <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phoneticPr fontId="68" type="noConversion"/>
  </si>
  <si>
    <r>
      <t>你可以用一个动作，用你的引导神力特性制造出一小杯名为</t>
    </r>
    <r>
      <rPr>
        <sz val="10"/>
        <color theme="1"/>
        <rFont val="宋体"/>
        <family val="1"/>
        <charset val="134"/>
      </rPr>
      <t>“</t>
    </r>
    <r>
      <rPr>
        <sz val="10"/>
        <color theme="1"/>
        <rFont val="宋体"/>
        <family val="3"/>
        <charset val="134"/>
      </rPr>
      <t>疗愈原浆</t>
    </r>
    <r>
      <rPr>
        <sz val="10"/>
        <color theme="1"/>
        <rFont val="宋体"/>
        <family val="1"/>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1"/>
        <charset val="134"/>
      </rPr>
      <t>“</t>
    </r>
    <r>
      <rPr>
        <sz val="10"/>
        <color theme="1"/>
        <rFont val="Times New Roman"/>
        <family val="1"/>
      </rPr>
      <t xml:space="preserve">2d6 + </t>
    </r>
    <r>
      <rPr>
        <sz val="10"/>
        <color theme="1"/>
        <rFont val="宋体"/>
        <family val="3"/>
        <charset val="134"/>
      </rPr>
      <t>你的牧师等级</t>
    </r>
    <r>
      <rPr>
        <sz val="10"/>
        <color theme="1"/>
        <rFont val="宋体"/>
        <family val="1"/>
        <charset val="134"/>
      </rPr>
      <t>”</t>
    </r>
    <r>
      <rPr>
        <sz val="10"/>
        <color theme="1"/>
        <rFont val="宋体"/>
        <family val="3"/>
        <charset val="134"/>
      </rPr>
      <t>点生命值。当你完成一次短休或长休时，以此法创造的玻璃瓶以及其中未喝下的疗愈原浆都会化作一阵粉尘并消失。</t>
    </r>
    <phoneticPr fontId="68" type="noConversion"/>
  </si>
  <si>
    <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phoneticPr fontId="68" type="noConversion"/>
  </si>
  <si>
    <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phoneticPr fontId="68" type="noConversion"/>
  </si>
  <si>
    <t>跃空</t>
  </si>
  <si>
    <t>迅猛枪兵</t>
  </si>
  <si>
    <t>唤鸟者</t>
  </si>
  <si>
    <t>钢铁芭蕾</t>
  </si>
  <si>
    <t>鹰眼</t>
  </si>
  <si>
    <t>掠食本能</t>
  </si>
  <si>
    <t>进阶跃空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</si>
  <si>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phoneticPr fontId="68" type="noConversion"/>
  </si>
  <si>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phoneticPr fontId="68" type="noConversion"/>
  </si>
  <si>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phoneticPr fontId="68" type="noConversion"/>
  </si>
  <si>
    <t>穿戴护甲不会再使你的敏捷（隐匿）检定具有劣势。此外，当你需要进行一次敏捷豁免时，你可以用反应使用你的跃空特性。当你这样做时，你在豁免成功后不会受到伤害，并且豁免失败时受到的伤害减半。</t>
    <phoneticPr fontId="68" type="noConversion"/>
  </si>
  <si>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phoneticPr fontId="68" type="noConversion"/>
  </si>
  <si>
    <t>你的先攻掷骰具有优势，并且当你掷先攻时，若你没有剩余的跃空使用次数，你获得一个使用次数。</t>
    <phoneticPr fontId="68" type="noConversion"/>
  </si>
  <si>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phoneticPr fontId="68" type="noConversion"/>
  </si>
  <si>
    <t>饮咒之誓法术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</si>
  <si>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圣誓法术</t>
    </r>
    <r>
      <rPr>
        <sz val="10"/>
        <color theme="1"/>
        <rFont val="Times New Roman"/>
        <family val="1"/>
      </rPr>
      <t xml:space="preserve">Oath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灾祸术</t>
    </r>
    <r>
      <rPr>
        <sz val="10"/>
        <color theme="1"/>
        <rFont val="Times New Roman"/>
        <family val="1"/>
      </rPr>
      <t>bane</t>
    </r>
    <r>
      <rPr>
        <sz val="10"/>
        <color theme="1"/>
        <rFont val="宋体"/>
        <family val="1"/>
        <charset val="134"/>
      </rPr>
      <t>，侦测魔法</t>
    </r>
    <r>
      <rPr>
        <sz val="10"/>
        <color theme="1"/>
        <rFont val="Times New Roman"/>
        <family val="1"/>
      </rPr>
      <t xml:space="preserve">detct magic  
5th
 </t>
    </r>
    <r>
      <rPr>
        <sz val="10"/>
        <color theme="1"/>
        <rFont val="宋体"/>
        <family val="1"/>
        <charset val="134"/>
      </rPr>
      <t>涅斯图魔法灵光</t>
    </r>
    <r>
      <rPr>
        <sz val="10"/>
        <color theme="1"/>
        <rFont val="Times New Roman"/>
        <family val="1"/>
      </rPr>
      <t>Nystul's Magic Aura</t>
    </r>
    <r>
      <rPr>
        <sz val="10"/>
        <color theme="1"/>
        <rFont val="宋体"/>
        <family val="1"/>
        <charset val="134"/>
      </rPr>
      <t>，</t>
    </r>
    <r>
      <rPr>
        <sz val="10"/>
        <color theme="1"/>
        <rFont val="Times New Roman"/>
        <family val="1"/>
      </rPr>
      <t xml:space="preserve"> </t>
    </r>
    <r>
      <rPr>
        <sz val="10"/>
        <color theme="1"/>
        <rFont val="宋体"/>
        <family val="1"/>
        <charset val="134"/>
      </rPr>
      <t>定身类人</t>
    </r>
    <r>
      <rPr>
        <sz val="10"/>
        <color theme="1"/>
        <rFont val="Times New Roman"/>
        <family val="1"/>
      </rPr>
      <t xml:space="preserve">hold person  
9th
 </t>
    </r>
    <r>
      <rPr>
        <sz val="10"/>
        <color theme="1"/>
        <rFont val="宋体"/>
        <family val="1"/>
        <charset val="134"/>
      </rPr>
      <t>解除魔法</t>
    </r>
    <r>
      <rPr>
        <sz val="10"/>
        <color theme="1"/>
        <rFont val="Times New Roman"/>
        <family val="1"/>
      </rPr>
      <t>dispel magic</t>
    </r>
    <r>
      <rPr>
        <sz val="10"/>
        <color theme="1"/>
        <rFont val="宋体"/>
        <family val="1"/>
        <charset val="134"/>
      </rPr>
      <t>，</t>
    </r>
    <r>
      <rPr>
        <sz val="10"/>
        <color theme="1"/>
        <rFont val="Times New Roman"/>
        <family val="1"/>
      </rPr>
      <t xml:space="preserve"> </t>
    </r>
    <r>
      <rPr>
        <sz val="10"/>
        <color theme="1"/>
        <rFont val="宋体"/>
        <family val="1"/>
        <charset val="134"/>
      </rPr>
      <t>缓慢术</t>
    </r>
    <r>
      <rPr>
        <sz val="10"/>
        <color theme="1"/>
        <rFont val="Times New Roman"/>
        <family val="1"/>
      </rPr>
      <t xml:space="preserve">slow  
13th
 </t>
    </r>
    <r>
      <rPr>
        <sz val="10"/>
        <color theme="1"/>
        <rFont val="宋体"/>
        <family val="1"/>
        <charset val="134"/>
      </rPr>
      <t>任意门</t>
    </r>
    <r>
      <rPr>
        <sz val="10"/>
        <color theme="1"/>
        <rFont val="Times New Roman"/>
        <family val="1"/>
      </rPr>
      <t>dimension door</t>
    </r>
    <r>
      <rPr>
        <sz val="10"/>
        <color theme="1"/>
        <rFont val="宋体"/>
        <family val="1"/>
        <charset val="134"/>
      </rPr>
      <t>，</t>
    </r>
    <r>
      <rPr>
        <sz val="10"/>
        <color theme="1"/>
        <rFont val="Times New Roman"/>
        <family val="1"/>
      </rPr>
      <t xml:space="preserve"> </t>
    </r>
    <r>
      <rPr>
        <sz val="10"/>
        <color theme="1"/>
        <rFont val="宋体"/>
        <family val="1"/>
        <charset val="134"/>
      </rPr>
      <t>欧提路克弹力法球</t>
    </r>
    <r>
      <rPr>
        <sz val="10"/>
        <color theme="1"/>
        <rFont val="Times New Roman"/>
        <family val="1"/>
      </rPr>
      <t xml:space="preserve">Otiluke's Resilient Sphere  
17th
 </t>
    </r>
    <r>
      <rPr>
        <sz val="10"/>
        <color theme="1"/>
        <rFont val="宋体"/>
        <family val="1"/>
        <charset val="134"/>
      </rPr>
      <t>支配类人</t>
    </r>
    <r>
      <rPr>
        <sz val="10"/>
        <color theme="1"/>
        <rFont val="Times New Roman"/>
        <family val="1"/>
      </rPr>
      <t>dominate person</t>
    </r>
    <r>
      <rPr>
        <sz val="10"/>
        <color theme="1"/>
        <rFont val="宋体"/>
        <family val="1"/>
        <charset val="134"/>
      </rPr>
      <t>，</t>
    </r>
    <r>
      <rPr>
        <sz val="10"/>
        <color theme="1"/>
        <rFont val="Times New Roman"/>
        <family val="1"/>
      </rPr>
      <t xml:space="preserve"> </t>
    </r>
    <r>
      <rPr>
        <sz val="10"/>
        <color theme="1"/>
        <rFont val="宋体"/>
        <family val="1"/>
        <charset val="134"/>
      </rPr>
      <t>探知术</t>
    </r>
    <r>
      <rPr>
        <sz val="10"/>
        <color theme="1"/>
        <rFont val="Times New Roman"/>
        <family val="1"/>
      </rPr>
      <t xml:space="preserve">Scrying </t>
    </r>
    <phoneticPr fontId="68" type="noConversion"/>
  </si>
  <si>
    <t>灵魂打击</t>
    <phoneticPr fontId="68" type="noConversion"/>
  </si>
  <si>
    <r>
      <rPr>
        <sz val="10"/>
        <color theme="1"/>
        <rFont val="宋体"/>
        <family val="1"/>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1"/>
        <charset val="134"/>
      </rPr>
      <t>英尺，并将你的感知调整值添加到攻击调整和伤害中。灵魂打击的伤害类型为力场伤害，伤害骰为</t>
    </r>
    <r>
      <rPr>
        <sz val="10"/>
        <color theme="1"/>
        <rFont val="Times New Roman"/>
        <family val="1"/>
      </rPr>
      <t>d4</t>
    </r>
    <r>
      <rPr>
        <sz val="10"/>
        <color theme="1"/>
        <rFont val="宋体"/>
        <family val="1"/>
        <charset val="134"/>
      </rPr>
      <t>。该骰子将随武僧职业等级的提升而增大，具体数据见“武僧职业表”中“武艺”一栏。</t>
    </r>
    <r>
      <rPr>
        <sz val="10"/>
        <color theme="1"/>
        <rFont val="Times New Roman"/>
        <family val="1"/>
      </rPr>
      <t xml:space="preserve"> 
</t>
    </r>
    <r>
      <rPr>
        <sz val="10"/>
        <color theme="1"/>
        <rFont val="宋体"/>
        <family val="1"/>
        <charset val="134"/>
      </rPr>
      <t>自</t>
    </r>
    <r>
      <rPr>
        <sz val="10"/>
        <color theme="1"/>
        <rFont val="Times New Roman"/>
        <family val="1"/>
      </rPr>
      <t>6</t>
    </r>
    <r>
      <rPr>
        <sz val="10"/>
        <color theme="1"/>
        <rFont val="宋体"/>
        <family val="1"/>
        <charset val="134"/>
      </rPr>
      <t>级起，每当你用灵魂打击命中一个生物时，你可以选择在此次攻击中使用震慑拳。</t>
    </r>
    <phoneticPr fontId="68" type="noConversion"/>
  </si>
  <si>
    <t>灵魂之手</t>
    <phoneticPr fontId="68" type="noConversion"/>
  </si>
  <si>
    <r>
      <rPr>
        <sz val="10"/>
        <color theme="1"/>
        <rFont val="宋体"/>
        <family val="1"/>
        <charset val="134"/>
      </rPr>
      <t>你习得戏法法师之手</t>
    </r>
    <r>
      <rPr>
        <sz val="10"/>
        <color theme="1"/>
        <rFont val="Times New Roman"/>
        <family val="1"/>
      </rPr>
      <t xml:space="preserve">Mage Hand </t>
    </r>
    <r>
      <rPr>
        <sz val="10"/>
        <color theme="1"/>
        <rFont val="宋体"/>
        <family val="1"/>
        <charset val="134"/>
      </rPr>
      <t>，你可以使用附赠动作施展或控制它。当你施展它时，无需言语</t>
    </r>
    <r>
      <rPr>
        <sz val="10"/>
        <color theme="1"/>
        <rFont val="Times New Roman"/>
        <family val="1"/>
      </rPr>
      <t>V</t>
    </r>
    <r>
      <rPr>
        <sz val="10"/>
        <color theme="1"/>
        <rFont val="宋体"/>
        <family val="1"/>
        <charset val="134"/>
      </rPr>
      <t>和姿势</t>
    </r>
    <r>
      <rPr>
        <sz val="10"/>
        <color theme="1"/>
        <rFont val="Times New Roman"/>
        <family val="1"/>
      </rPr>
      <t>S</t>
    </r>
    <r>
      <rPr>
        <sz val="10"/>
        <color theme="1"/>
        <rFont val="宋体"/>
        <family val="1"/>
        <charset val="134"/>
      </rPr>
      <t>成分。</t>
    </r>
    <r>
      <rPr>
        <sz val="10"/>
        <color theme="1"/>
        <rFont val="Times New Roman"/>
        <family val="1"/>
      </rPr>
      <t xml:space="preserve"> 
</t>
    </r>
    <r>
      <rPr>
        <sz val="10"/>
        <color theme="1"/>
        <rFont val="宋体"/>
        <family val="1"/>
        <charset val="134"/>
      </rPr>
      <t>该法术所生成的手的外表为你自己手部的一个青色灵体状复制。</t>
    </r>
    <phoneticPr fontId="68" type="noConversion"/>
  </si>
  <si>
    <t>灵界指引</t>
    <phoneticPr fontId="68" type="noConversion"/>
  </si>
  <si>
    <r>
      <rPr>
        <sz val="10"/>
        <color theme="1"/>
        <rFont val="宋体"/>
        <family val="1"/>
        <charset val="134"/>
      </rPr>
      <t>你无法被幽影</t>
    </r>
    <r>
      <rPr>
        <sz val="10"/>
        <color theme="1"/>
        <rFont val="Times New Roman"/>
        <family val="1"/>
      </rPr>
      <t>Shadow</t>
    </r>
    <r>
      <rPr>
        <sz val="10"/>
        <color theme="1"/>
        <rFont val="宋体"/>
        <family val="1"/>
        <charset val="134"/>
      </rPr>
      <t>或类似的亡灵附身，且你可以使用一个动作来花费</t>
    </r>
    <r>
      <rPr>
        <sz val="10"/>
        <color theme="1"/>
        <rFont val="Times New Roman"/>
        <family val="1"/>
      </rPr>
      <t>2</t>
    </r>
    <r>
      <rPr>
        <sz val="10"/>
        <color theme="1"/>
        <rFont val="宋体"/>
        <family val="1"/>
        <charset val="134"/>
      </rPr>
      <t>点气来施展法术遗体防腐</t>
    </r>
    <r>
      <rPr>
        <sz val="10"/>
        <color theme="1"/>
        <rFont val="Times New Roman"/>
        <family val="1"/>
      </rPr>
      <t>Gentle Repose</t>
    </r>
    <r>
      <rPr>
        <sz val="10"/>
        <color theme="1"/>
        <rFont val="宋体"/>
        <family val="1"/>
        <charset val="134"/>
      </rPr>
      <t>或识破隐形</t>
    </r>
    <r>
      <rPr>
        <sz val="10"/>
        <color theme="1"/>
        <rFont val="Times New Roman"/>
        <family val="1"/>
      </rPr>
      <t xml:space="preserve">See Invisibility </t>
    </r>
    <r>
      <rPr>
        <sz val="10"/>
        <color theme="1"/>
        <rFont val="宋体"/>
        <family val="1"/>
        <charset val="134"/>
      </rPr>
      <t>而无需材料成分。</t>
    </r>
    <r>
      <rPr>
        <sz val="10"/>
        <color theme="1"/>
        <rFont val="Times New Roman"/>
        <family val="1"/>
      </rPr>
      <t xml:space="preserve"> </t>
    </r>
    <r>
      <rPr>
        <sz val="10"/>
        <color theme="1"/>
        <rFont val="宋体"/>
        <family val="1"/>
        <charset val="134"/>
      </rPr>
      <t>若你仍未掌握维生术</t>
    </r>
    <r>
      <rPr>
        <sz val="10"/>
        <color theme="1"/>
        <rFont val="Times New Roman"/>
        <family val="1"/>
      </rPr>
      <t xml:space="preserve">Spare the Dying </t>
    </r>
    <r>
      <rPr>
        <sz val="10"/>
        <color theme="1"/>
        <rFont val="宋体"/>
        <family val="1"/>
        <charset val="134"/>
      </rPr>
      <t>，则你习得该戏法。</t>
    </r>
    <r>
      <rPr>
        <sz val="10"/>
        <color theme="1"/>
        <rFont val="Times New Roman"/>
        <family val="1"/>
      </rPr>
      <t xml:space="preserve"> 
</t>
    </r>
    <r>
      <rPr>
        <sz val="10"/>
        <color theme="1"/>
        <rFont val="宋体"/>
        <family val="1"/>
        <charset val="134"/>
      </rPr>
      <t>此外，你学会了如何使用气将某些灵魂从他们的不死容器中释放出来。你获得以下能力：</t>
    </r>
    <r>
      <rPr>
        <sz val="10"/>
        <color theme="1"/>
        <rFont val="Times New Roman"/>
        <family val="1"/>
      </rPr>
      <t xml:space="preserve"> 
</t>
    </r>
    <r>
      <rPr>
        <sz val="10"/>
        <color theme="1"/>
        <rFont val="宋体"/>
        <family val="1"/>
        <charset val="134"/>
      </rPr>
      <t>超度亡灵</t>
    </r>
    <r>
      <rPr>
        <sz val="10"/>
        <color theme="1"/>
        <rFont val="Times New Roman"/>
        <family val="1"/>
      </rPr>
      <t>Dismiss Undead</t>
    </r>
    <r>
      <rPr>
        <sz val="10"/>
        <color theme="1"/>
        <rFont val="宋体"/>
        <family val="1"/>
        <charset val="134"/>
      </rPr>
      <t>。当你使用疾风连击中的一次攻击击中亡灵时，你可以迫使它进行一次对抗气豁免</t>
    </r>
    <r>
      <rPr>
        <sz val="10"/>
        <color theme="1"/>
        <rFont val="Times New Roman"/>
        <family val="1"/>
      </rPr>
      <t>DC</t>
    </r>
    <r>
      <rPr>
        <sz val="10"/>
        <color theme="1"/>
        <rFont val="宋体"/>
        <family val="1"/>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1"/>
        <charset val="134"/>
      </rPr>
      <t>超度亡灵表</t>
    </r>
    <r>
      <rPr>
        <sz val="10"/>
        <color theme="1"/>
        <rFont val="Times New Roman"/>
        <family val="1"/>
      </rPr>
      <t xml:space="preserve"> </t>
    </r>
    <r>
      <rPr>
        <sz val="10"/>
        <color theme="1"/>
        <rFont val="宋体"/>
        <family val="1"/>
        <charset val="134"/>
      </rPr>
      <t>武僧等级</t>
    </r>
    <r>
      <rPr>
        <sz val="10"/>
        <color theme="1"/>
        <rFont val="Times New Roman"/>
        <family val="1"/>
      </rPr>
      <t xml:space="preserve"> CR</t>
    </r>
    <r>
      <rPr>
        <sz val="10"/>
        <color theme="1"/>
        <rFont val="宋体"/>
        <family val="1"/>
        <charset val="134"/>
      </rPr>
      <t>阈值</t>
    </r>
    <r>
      <rPr>
        <sz val="10"/>
        <color theme="1"/>
        <rFont val="Times New Roman"/>
        <family val="1"/>
      </rPr>
      <t xml:space="preserve"> 
6</t>
    </r>
    <r>
      <rPr>
        <sz val="10"/>
        <color theme="1"/>
        <rFont val="宋体"/>
        <family val="1"/>
        <charset val="134"/>
      </rPr>
      <t>级</t>
    </r>
    <r>
      <rPr>
        <sz val="10"/>
        <color theme="1"/>
        <rFont val="Times New Roman"/>
        <family val="1"/>
      </rPr>
      <t xml:space="preserve"> 1/2</t>
    </r>
    <r>
      <rPr>
        <sz val="10"/>
        <color theme="1"/>
        <rFont val="宋体"/>
        <family val="1"/>
        <charset val="134"/>
      </rPr>
      <t>或更低</t>
    </r>
    <r>
      <rPr>
        <sz val="10"/>
        <color theme="1"/>
        <rFont val="Times New Roman"/>
        <family val="1"/>
      </rPr>
      <t xml:space="preserve"> 
8</t>
    </r>
    <r>
      <rPr>
        <sz val="10"/>
        <color theme="1"/>
        <rFont val="宋体"/>
        <family val="1"/>
        <charset val="134"/>
      </rPr>
      <t>级</t>
    </r>
    <r>
      <rPr>
        <sz val="10"/>
        <color theme="1"/>
        <rFont val="Times New Roman"/>
        <family val="1"/>
      </rPr>
      <t xml:space="preserve"> 1</t>
    </r>
    <r>
      <rPr>
        <sz val="10"/>
        <color theme="1"/>
        <rFont val="宋体"/>
        <family val="1"/>
        <charset val="134"/>
      </rPr>
      <t>或更低</t>
    </r>
    <r>
      <rPr>
        <sz val="10"/>
        <color theme="1"/>
        <rFont val="Times New Roman"/>
        <family val="1"/>
      </rPr>
      <t xml:space="preserve"> 
11</t>
    </r>
    <r>
      <rPr>
        <sz val="10"/>
        <color theme="1"/>
        <rFont val="宋体"/>
        <family val="1"/>
        <charset val="134"/>
      </rPr>
      <t>级</t>
    </r>
    <r>
      <rPr>
        <sz val="10"/>
        <color theme="1"/>
        <rFont val="Times New Roman"/>
        <family val="1"/>
      </rPr>
      <t xml:space="preserve"> 2</t>
    </r>
    <r>
      <rPr>
        <sz val="10"/>
        <color theme="1"/>
        <rFont val="宋体"/>
        <family val="1"/>
        <charset val="134"/>
      </rPr>
      <t>或更低</t>
    </r>
    <r>
      <rPr>
        <sz val="10"/>
        <color theme="1"/>
        <rFont val="Times New Roman"/>
        <family val="1"/>
      </rPr>
      <t xml:space="preserve"> 
14</t>
    </r>
    <r>
      <rPr>
        <sz val="10"/>
        <color theme="1"/>
        <rFont val="宋体"/>
        <family val="1"/>
        <charset val="134"/>
      </rPr>
      <t>级</t>
    </r>
    <r>
      <rPr>
        <sz val="10"/>
        <color theme="1"/>
        <rFont val="Times New Roman"/>
        <family val="1"/>
      </rPr>
      <t xml:space="preserve"> 3</t>
    </r>
    <r>
      <rPr>
        <sz val="10"/>
        <color theme="1"/>
        <rFont val="宋体"/>
        <family val="1"/>
        <charset val="134"/>
      </rPr>
      <t>或更低</t>
    </r>
    <r>
      <rPr>
        <sz val="10"/>
        <color theme="1"/>
        <rFont val="Times New Roman"/>
        <family val="1"/>
      </rPr>
      <t xml:space="preserve"> 
17</t>
    </r>
    <r>
      <rPr>
        <sz val="10"/>
        <color theme="1"/>
        <rFont val="宋体"/>
        <family val="1"/>
        <charset val="134"/>
      </rPr>
      <t>级</t>
    </r>
    <r>
      <rPr>
        <sz val="10"/>
        <color theme="1"/>
        <rFont val="Times New Roman"/>
        <family val="1"/>
      </rPr>
      <t xml:space="preserve"> 4</t>
    </r>
    <r>
      <rPr>
        <sz val="10"/>
        <color theme="1"/>
        <rFont val="宋体"/>
        <family val="1"/>
        <charset val="134"/>
      </rPr>
      <t>或更低</t>
    </r>
    <r>
      <rPr>
        <sz val="10"/>
        <color theme="1"/>
        <rFont val="Times New Roman"/>
        <family val="1"/>
      </rPr>
      <t xml:space="preserve"> 
</t>
    </r>
    <r>
      <rPr>
        <sz val="10"/>
        <color theme="1"/>
        <rFont val="宋体"/>
        <family val="1"/>
        <charset val="134"/>
      </rPr>
      <t>若是受影响的生物对任何驱散亡灵（灼净亡灵）的效果有优势或劣势，则该优势或劣势也适用于此效果。</t>
    </r>
    <r>
      <rPr>
        <sz val="10"/>
        <color theme="1"/>
        <rFont val="Times New Roman"/>
        <family val="1"/>
      </rPr>
      <t xml:space="preserve"> </t>
    </r>
    <phoneticPr fontId="68" type="noConversion"/>
  </si>
  <si>
    <t>幽灵行者</t>
    <phoneticPr fontId="68" type="noConversion"/>
  </si>
  <si>
    <r>
      <rPr>
        <sz val="10"/>
        <color theme="1"/>
        <rFont val="宋体"/>
        <family val="1"/>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1"/>
        <charset val="134"/>
      </rPr>
      <t>以太步</t>
    </r>
    <r>
      <rPr>
        <sz val="10"/>
        <color theme="1"/>
        <rFont val="Times New Roman"/>
        <family val="1"/>
      </rPr>
      <t>Etherstep</t>
    </r>
    <r>
      <rPr>
        <sz val="10"/>
        <color theme="1"/>
        <rFont val="宋体"/>
        <family val="1"/>
        <charset val="134"/>
      </rPr>
      <t>。你可以使用一个附赠动作花费</t>
    </r>
    <r>
      <rPr>
        <sz val="10"/>
        <color theme="1"/>
        <rFont val="Times New Roman"/>
        <family val="1"/>
      </rPr>
      <t>1</t>
    </r>
    <r>
      <rPr>
        <sz val="10"/>
        <color theme="1"/>
        <rFont val="宋体"/>
        <family val="1"/>
        <charset val="134"/>
      </rPr>
      <t>点气以变为隐形，直到你的下一回合结束，或是进行攻击或施展法术。</t>
    </r>
    <r>
      <rPr>
        <sz val="10"/>
        <color theme="1"/>
        <rFont val="Times New Roman"/>
        <family val="1"/>
      </rPr>
      <t xml:space="preserve"> 
</t>
    </r>
    <r>
      <rPr>
        <sz val="10"/>
        <color theme="1"/>
        <rFont val="宋体"/>
        <family val="1"/>
        <charset val="134"/>
      </rPr>
      <t>或者你可以在使用飞檐走壁时花费额外的</t>
    </r>
    <r>
      <rPr>
        <sz val="10"/>
        <color theme="1"/>
        <rFont val="Times New Roman"/>
        <family val="1"/>
      </rPr>
      <t>1</t>
    </r>
    <r>
      <rPr>
        <sz val="10"/>
        <color theme="1"/>
        <rFont val="宋体"/>
        <family val="1"/>
        <charset val="134"/>
      </rPr>
      <t>点气来获得此增益。当你如此做时，只要你仍保持隐形，还可以直接穿过敌对生物或是厚度不超过</t>
    </r>
    <r>
      <rPr>
        <sz val="10"/>
        <color theme="1"/>
        <rFont val="Times New Roman"/>
        <family val="1"/>
      </rPr>
      <t>4</t>
    </r>
    <r>
      <rPr>
        <sz val="10"/>
        <color theme="1"/>
        <rFont val="宋体"/>
        <family val="1"/>
        <charset val="134"/>
      </rPr>
      <t>寸的固体物体。</t>
    </r>
    <r>
      <rPr>
        <sz val="10"/>
        <color theme="1"/>
        <rFont val="Times New Roman"/>
        <family val="1"/>
      </rPr>
      <t xml:space="preserve"> 
</t>
    </r>
    <r>
      <rPr>
        <sz val="10"/>
        <color theme="1"/>
        <rFont val="宋体"/>
        <family val="1"/>
        <charset val="134"/>
      </rPr>
      <t>相位闪避</t>
    </r>
    <r>
      <rPr>
        <sz val="10"/>
        <color theme="1"/>
        <rFont val="Times New Roman"/>
        <family val="1"/>
      </rPr>
      <t>Phase</t>
    </r>
    <r>
      <rPr>
        <sz val="10"/>
        <color theme="1"/>
        <rFont val="宋体"/>
        <family val="1"/>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phoneticPr fontId="68" type="noConversion"/>
  </si>
  <si>
    <t>超越视界</t>
    <phoneticPr fontId="68" type="noConversion"/>
  </si>
  <si>
    <r>
      <rPr>
        <sz val="10"/>
        <color theme="1"/>
        <rFont val="宋体"/>
        <family val="1"/>
        <charset val="134"/>
      </rPr>
      <t>你开始能够清楚地看透这个世界，并使用以太与其中的灵魂建立联系。你获得</t>
    </r>
    <r>
      <rPr>
        <sz val="10"/>
        <color theme="1"/>
        <rFont val="Times New Roman"/>
        <family val="1"/>
      </rPr>
      <t>60</t>
    </r>
    <r>
      <rPr>
        <sz val="10"/>
        <color theme="1"/>
        <rFont val="宋体"/>
        <family val="1"/>
        <charset val="134"/>
      </rPr>
      <t>尺的真实视觉和心灵感应。</t>
    </r>
    <r>
      <rPr>
        <sz val="10"/>
        <color theme="1"/>
        <rFont val="Times New Roman"/>
        <family val="1"/>
      </rPr>
      <t xml:space="preserve"> 
</t>
    </r>
    <r>
      <rPr>
        <sz val="10"/>
        <color theme="1"/>
        <rFont val="宋体"/>
        <family val="1"/>
        <charset val="134"/>
      </rPr>
      <t>此外，你可以使用一个动作施展法术以太化</t>
    </r>
    <r>
      <rPr>
        <sz val="10"/>
        <color theme="1"/>
        <rFont val="Times New Roman"/>
        <family val="1"/>
      </rPr>
      <t>Etherealness</t>
    </r>
    <r>
      <rPr>
        <sz val="10"/>
        <color theme="1"/>
        <rFont val="宋体"/>
        <family val="1"/>
        <charset val="134"/>
      </rPr>
      <t>。当你这样做时，该法术的持续时间为</t>
    </r>
    <r>
      <rPr>
        <sz val="10"/>
        <color theme="1"/>
        <rFont val="Times New Roman"/>
        <family val="1"/>
      </rPr>
      <t>1</t>
    </r>
    <r>
      <rPr>
        <sz val="10"/>
        <color theme="1"/>
        <rFont val="宋体"/>
        <family val="1"/>
        <charset val="134"/>
      </rPr>
      <t>分钟。当你以此特性施展了该法术，便不能再次使用此特性，直至你完成一次长休。</t>
    </r>
    <r>
      <rPr>
        <sz val="10"/>
        <color theme="1"/>
        <rFont val="Times New Roman"/>
        <family val="1"/>
      </rPr>
      <t xml:space="preserve"> </t>
    </r>
    <phoneticPr fontId="68" type="noConversion"/>
  </si>
  <si>
    <t>附赠熟练</t>
  </si>
  <si>
    <t>乱法灵光</t>
  </si>
  <si>
    <t>铠装心智</t>
  </si>
  <si>
    <t>奥法挪移</t>
  </si>
  <si>
    <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phoneticPr fontId="68" type="noConversion"/>
  </si>
  <si>
    <t>你获得奥秘技能的熟练。</t>
    <phoneticPr fontId="68" type="noConversion"/>
  </si>
  <si>
    <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</si>
  <si>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t>当你专注于圣武士法术期间，你的专注不会因受到伤害而终止。</t>
    <phoneticPr fontId="68" type="noConversion"/>
  </si>
  <si>
    <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phoneticPr fontId="68" type="noConversion"/>
  </si>
  <si>
    <t>天鹏旅人魔法</t>
    <phoneticPr fontId="68" type="noConversion"/>
  </si>
  <si>
    <r>
      <rPr>
        <sz val="10"/>
        <color theme="1"/>
        <rFont val="宋体"/>
        <family val="1"/>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t>
    </r>
    <r>
      <rPr>
        <sz val="10"/>
        <color theme="1"/>
        <rFont val="宋体"/>
        <family val="1"/>
        <charset val="134"/>
      </rPr>
      <t>级</t>
    </r>
    <r>
      <rPr>
        <sz val="10"/>
        <color theme="1"/>
        <rFont val="Times New Roman"/>
        <family val="1"/>
      </rPr>
      <t xml:space="preserve"> </t>
    </r>
    <r>
      <rPr>
        <sz val="10"/>
        <color theme="1"/>
        <rFont val="宋体"/>
        <family val="1"/>
        <charset val="134"/>
      </rPr>
      <t>羽落术</t>
    </r>
    <r>
      <rPr>
        <sz val="10"/>
        <color theme="1"/>
        <rFont val="Times New Roman"/>
        <family val="1"/>
      </rPr>
      <t>Feather Fall  
5</t>
    </r>
    <r>
      <rPr>
        <sz val="10"/>
        <color theme="1"/>
        <rFont val="宋体"/>
        <family val="1"/>
        <charset val="134"/>
      </rPr>
      <t>级</t>
    </r>
    <r>
      <rPr>
        <sz val="10"/>
        <color theme="1"/>
        <rFont val="Times New Roman"/>
        <family val="1"/>
      </rPr>
      <t xml:space="preserve"> </t>
    </r>
    <r>
      <rPr>
        <sz val="10"/>
        <color theme="1"/>
        <rFont val="宋体"/>
        <family val="1"/>
        <charset val="134"/>
      </rPr>
      <t>造风术</t>
    </r>
    <r>
      <rPr>
        <sz val="10"/>
        <color theme="1"/>
        <rFont val="Times New Roman"/>
        <family val="1"/>
      </rPr>
      <t>Gust of Wind  
9</t>
    </r>
    <r>
      <rPr>
        <sz val="10"/>
        <color theme="1"/>
        <rFont val="宋体"/>
        <family val="1"/>
        <charset val="134"/>
      </rPr>
      <t>级</t>
    </r>
    <r>
      <rPr>
        <sz val="10"/>
        <color theme="1"/>
        <rFont val="Times New Roman"/>
        <family val="1"/>
      </rPr>
      <t xml:space="preserve"> </t>
    </r>
    <r>
      <rPr>
        <sz val="10"/>
        <color theme="1"/>
        <rFont val="宋体"/>
        <family val="1"/>
        <charset val="134"/>
      </rPr>
      <t>闪电束</t>
    </r>
    <r>
      <rPr>
        <sz val="10"/>
        <color theme="1"/>
        <rFont val="Times New Roman"/>
        <family val="1"/>
      </rPr>
      <t>Lightning Bolt  
13</t>
    </r>
    <r>
      <rPr>
        <sz val="10"/>
        <color theme="1"/>
        <rFont val="宋体"/>
        <family val="1"/>
        <charset val="134"/>
      </rPr>
      <t>级</t>
    </r>
    <r>
      <rPr>
        <sz val="10"/>
        <color theme="1"/>
        <rFont val="Times New Roman"/>
        <family val="1"/>
      </rPr>
      <t xml:space="preserve"> </t>
    </r>
    <r>
      <rPr>
        <sz val="10"/>
        <color theme="1"/>
        <rFont val="宋体"/>
        <family val="1"/>
        <charset val="134"/>
      </rPr>
      <t>冰风暴</t>
    </r>
    <r>
      <rPr>
        <sz val="10"/>
        <color theme="1"/>
        <rFont val="Times New Roman"/>
        <family val="1"/>
      </rPr>
      <t>Ice Storm  
17</t>
    </r>
    <r>
      <rPr>
        <sz val="10"/>
        <color theme="1"/>
        <rFont val="宋体"/>
        <family val="1"/>
        <charset val="134"/>
      </rPr>
      <t>级</t>
    </r>
    <r>
      <rPr>
        <sz val="10"/>
        <color theme="1"/>
        <rFont val="Times New Roman"/>
        <family val="1"/>
      </rPr>
      <t xml:space="preserve"> </t>
    </r>
    <r>
      <rPr>
        <sz val="10"/>
        <color theme="1"/>
        <rFont val="宋体"/>
        <family val="1"/>
        <charset val="134"/>
      </rPr>
      <t>通晓传奇</t>
    </r>
    <r>
      <rPr>
        <sz val="10"/>
        <color theme="1"/>
        <rFont val="Times New Roman"/>
        <family val="1"/>
      </rPr>
      <t xml:space="preserve">Legend Lore  </t>
    </r>
    <phoneticPr fontId="68" type="noConversion"/>
  </si>
  <si>
    <t>指引之风</t>
  </si>
  <si>
    <t>知识之语</t>
  </si>
  <si>
    <t>行云之风</t>
  </si>
  <si>
    <t>天鹏之翼</t>
  </si>
  <si>
    <t>飓风之护</t>
  </si>
  <si>
    <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phoneticPr fontId="68" type="noConversion"/>
  </si>
  <si>
    <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phoneticPr fontId="68" type="noConversion"/>
  </si>
  <si>
    <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phoneticPr fontId="68" type="noConversion"/>
  </si>
  <si>
    <t>在你助跑起跳后，你可以立刻以附赠动作展开双翼，一对如鹏鸟般的灵体翅膀显现在你的身后并持续存在至你的下个回合结束，或至你重新落回地上为止。在双翼存在期间，你拥有等同于你步行速度的飞行速度。</t>
    <phoneticPr fontId="68" type="noConversion"/>
  </si>
  <si>
    <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phoneticPr fontId="68" type="noConversion"/>
  </si>
  <si>
    <t>医者</t>
  </si>
  <si>
    <t>汲血</t>
  </si>
  <si>
    <t>战地医师</t>
  </si>
  <si>
    <t>败血休克</t>
  </si>
  <si>
    <t>血盟</t>
  </si>
  <si>
    <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1"/>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phoneticPr fontId="68" type="noConversion"/>
  </si>
  <si>
    <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phoneticPr fontId="68" type="noConversion"/>
  </si>
  <si>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phoneticPr fontId="68" type="noConversion"/>
  </si>
  <si>
    <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phoneticPr fontId="68" type="noConversion"/>
  </si>
  <si>
    <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phoneticPr fontId="68" type="noConversion"/>
  </si>
  <si>
    <t>踏沙者</t>
  </si>
  <si>
    <t>飞沙走石</t>
  </si>
  <si>
    <t>沙暴行者</t>
  </si>
  <si>
    <t>飞沙形态</t>
  </si>
  <si>
    <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phoneticPr fontId="68" type="noConversion"/>
  </si>
  <si>
    <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phoneticPr fontId="68" type="noConversion"/>
  </si>
  <si>
    <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phoneticPr fontId="68" type="noConversion"/>
  </si>
  <si>
    <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phoneticPr fontId="68" type="noConversion"/>
  </si>
  <si>
    <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phoneticPr fontId="68" type="noConversion"/>
  </si>
  <si>
    <t>众首法术</t>
    <phoneticPr fontId="68" type="noConversion"/>
  </si>
  <si>
    <r>
      <rPr>
        <sz val="10"/>
        <color theme="1"/>
        <rFont val="宋体"/>
        <family val="1"/>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纠缠术</t>
    </r>
    <r>
      <rPr>
        <sz val="10"/>
        <color theme="1"/>
        <rFont val="Times New Roman"/>
        <family val="1"/>
      </rPr>
      <t>Entangle</t>
    </r>
    <r>
      <rPr>
        <sz val="10"/>
        <color theme="1"/>
        <rFont val="宋体"/>
        <family val="1"/>
        <charset val="134"/>
      </rPr>
      <t>，魔法飞弹</t>
    </r>
    <r>
      <rPr>
        <sz val="10"/>
        <color theme="1"/>
        <rFont val="Times New Roman"/>
        <family val="1"/>
      </rPr>
      <t xml:space="preserve">Magic Missile  
</t>
    </r>
    <r>
      <rPr>
        <sz val="10"/>
        <color theme="1"/>
        <rFont val="宋体"/>
        <family val="1"/>
        <charset val="134"/>
      </rPr>
      <t>二环</t>
    </r>
    <r>
      <rPr>
        <sz val="10"/>
        <color theme="1"/>
        <rFont val="Times New Roman"/>
        <family val="1"/>
      </rPr>
      <t xml:space="preserve"> </t>
    </r>
    <r>
      <rPr>
        <sz val="10"/>
        <color theme="1"/>
        <rFont val="宋体"/>
        <family val="1"/>
        <charset val="134"/>
      </rPr>
      <t>灼热射线</t>
    </r>
    <r>
      <rPr>
        <sz val="10"/>
        <color theme="1"/>
        <rFont val="Times New Roman"/>
        <family val="1"/>
      </rPr>
      <t>Scorching Ray</t>
    </r>
    <r>
      <rPr>
        <sz val="10"/>
        <color theme="1"/>
        <rFont val="宋体"/>
        <family val="1"/>
        <charset val="134"/>
      </rPr>
      <t>，识破隐形</t>
    </r>
    <r>
      <rPr>
        <sz val="10"/>
        <color theme="1"/>
        <rFont val="Times New Roman"/>
        <family val="1"/>
      </rPr>
      <t xml:space="preserve">See Invisibility  
</t>
    </r>
    <r>
      <rPr>
        <sz val="10"/>
        <color theme="1"/>
        <rFont val="宋体"/>
        <family val="1"/>
        <charset val="134"/>
      </rPr>
      <t>三环</t>
    </r>
    <r>
      <rPr>
        <sz val="10"/>
        <color theme="1"/>
        <rFont val="Times New Roman"/>
        <family val="1"/>
      </rPr>
      <t xml:space="preserve"> </t>
    </r>
    <r>
      <rPr>
        <sz val="10"/>
        <color theme="1"/>
        <rFont val="宋体"/>
        <family val="1"/>
        <charset val="134"/>
      </rPr>
      <t>闪现术</t>
    </r>
    <r>
      <rPr>
        <sz val="10"/>
        <color theme="1"/>
        <rFont val="Times New Roman"/>
        <family val="1"/>
      </rPr>
      <t>Blink</t>
    </r>
    <r>
      <rPr>
        <sz val="10"/>
        <color theme="1"/>
        <rFont val="宋体"/>
        <family val="1"/>
        <charset val="134"/>
      </rPr>
      <t>，回避侦测</t>
    </r>
    <r>
      <rPr>
        <sz val="10"/>
        <color theme="1"/>
        <rFont val="Times New Roman"/>
        <family val="1"/>
      </rPr>
      <t xml:space="preserve">Nondetection 
</t>
    </r>
    <r>
      <rPr>
        <sz val="10"/>
        <color theme="1"/>
        <rFont val="宋体"/>
        <family val="1"/>
        <charset val="134"/>
      </rPr>
      <t>四环</t>
    </r>
    <r>
      <rPr>
        <sz val="10"/>
        <color theme="1"/>
        <rFont val="Times New Roman"/>
        <family val="1"/>
      </rPr>
      <t xml:space="preserve"> </t>
    </r>
    <r>
      <rPr>
        <sz val="10"/>
        <color theme="1"/>
        <rFont val="宋体"/>
        <family val="1"/>
        <charset val="134"/>
      </rPr>
      <t>秘法眼</t>
    </r>
    <r>
      <rPr>
        <sz val="10"/>
        <color theme="1"/>
        <rFont val="Times New Roman"/>
        <family val="1"/>
      </rPr>
      <t>Arcane Eye</t>
    </r>
    <r>
      <rPr>
        <sz val="10"/>
        <color theme="1"/>
        <rFont val="宋体"/>
        <family val="1"/>
        <charset val="134"/>
      </rPr>
      <t>，艾伐黑触手</t>
    </r>
    <r>
      <rPr>
        <sz val="10"/>
        <color theme="1"/>
        <rFont val="Times New Roman"/>
        <family val="1"/>
      </rPr>
      <t xml:space="preserve">Evard's Black Tentacles 
</t>
    </r>
    <r>
      <rPr>
        <sz val="10"/>
        <color theme="1"/>
        <rFont val="宋体"/>
        <family val="1"/>
        <charset val="134"/>
      </rPr>
      <t>五环</t>
    </r>
    <r>
      <rPr>
        <sz val="10"/>
        <color theme="1"/>
        <rFont val="Times New Roman"/>
        <family val="1"/>
      </rPr>
      <t xml:space="preserve"> </t>
    </r>
    <r>
      <rPr>
        <sz val="10"/>
        <color theme="1"/>
        <rFont val="宋体"/>
        <family val="1"/>
        <charset val="134"/>
      </rPr>
      <t>假象术</t>
    </r>
    <r>
      <rPr>
        <sz val="10"/>
        <color theme="1"/>
        <rFont val="Times New Roman"/>
        <family val="1"/>
      </rPr>
      <t>Mislead</t>
    </r>
    <r>
      <rPr>
        <sz val="10"/>
        <color theme="1"/>
        <rFont val="宋体"/>
        <family val="1"/>
        <charset val="134"/>
      </rPr>
      <t>，拉瑞心灵联结</t>
    </r>
    <r>
      <rPr>
        <sz val="10"/>
        <color theme="1"/>
        <rFont val="Times New Roman"/>
        <family val="1"/>
      </rPr>
      <t xml:space="preserve">Rary's Telepathic Bond </t>
    </r>
    <phoneticPr fontId="68" type="noConversion"/>
  </si>
  <si>
    <t>魔能众首</t>
  </si>
  <si>
    <t>众目守护</t>
  </si>
  <si>
    <t>众首精通</t>
  </si>
  <si>
    <t>众智同心</t>
  </si>
  <si>
    <t>众首狂啸</t>
  </si>
  <si>
    <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phoneticPr fontId="68" type="noConversion"/>
  </si>
  <si>
    <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phoneticPr fontId="68" type="noConversion"/>
  </si>
  <si>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phoneticPr fontId="68" type="noConversion"/>
  </si>
  <si>
    <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phoneticPr fontId="68" type="noConversion"/>
  </si>
  <si>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phoneticPr fontId="68" type="noConversion"/>
  </si>
  <si>
    <t>炼狱道途</t>
    <phoneticPr fontId="68" type="noConversion"/>
  </si>
  <si>
    <t>交易学院</t>
  </si>
  <si>
    <t>宴饮领域</t>
  </si>
  <si>
    <t>巨龙结社</t>
  </si>
  <si>
    <t>钢隼</t>
  </si>
  <si>
    <t>虚灵宗</t>
  </si>
  <si>
    <t>饮咒之誓</t>
  </si>
  <si>
    <t>天鹏旅人</t>
  </si>
  <si>
    <t>残戮行医</t>
  </si>
  <si>
    <t>荒漠之魂</t>
  </si>
  <si>
    <t>众首</t>
  </si>
  <si>
    <t>远古魔杖学</t>
  </si>
  <si>
    <t>精髓魔杖</t>
  </si>
  <si>
    <t>魔杖学士</t>
  </si>
  <si>
    <t>奥术补给</t>
  </si>
  <si>
    <t>次级魔杖灌注</t>
  </si>
  <si>
    <t>显化充能</t>
  </si>
  <si>
    <r>
      <t>自你选择此传承起，你创造一根名为</t>
    </r>
    <r>
      <rPr>
        <sz val="10"/>
        <color theme="1"/>
        <rFont val="宋体"/>
        <family val="1"/>
        <charset val="134"/>
      </rPr>
      <t>“</t>
    </r>
    <r>
      <rPr>
        <sz val="10"/>
        <color theme="1"/>
        <rFont val="宋体"/>
        <family val="3"/>
        <charset val="134"/>
      </rPr>
      <t>精髓魔杖</t>
    </r>
    <r>
      <rPr>
        <sz val="10"/>
        <color theme="1"/>
        <rFont val="宋体"/>
        <family val="1"/>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phoneticPr fontId="68" type="noConversion"/>
  </si>
  <si>
    <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phoneticPr fontId="68" type="noConversion"/>
  </si>
  <si>
    <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phoneticPr fontId="68" type="noConversion"/>
  </si>
  <si>
    <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phoneticPr fontId="68" type="noConversion"/>
  </si>
  <si>
    <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1"/>
        <charset val="134"/>
      </rPr>
      <t>“</t>
    </r>
    <r>
      <rPr>
        <sz val="10"/>
        <color theme="1"/>
        <rFont val="Times New Roman"/>
        <family val="1"/>
      </rPr>
      <t xml:space="preserve">1d4 + </t>
    </r>
    <r>
      <rPr>
        <sz val="10"/>
        <color theme="1"/>
        <rFont val="宋体"/>
        <family val="3"/>
        <charset val="134"/>
      </rPr>
      <t>你的智力调整值</t>
    </r>
    <r>
      <rPr>
        <sz val="10"/>
        <color theme="1"/>
        <rFont val="宋体"/>
        <family val="1"/>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phoneticPr fontId="68" type="noConversion"/>
  </si>
  <si>
    <t>狮鹫的鞍中珍宝</t>
    <phoneticPr fontId="68" type="noConversion"/>
  </si>
  <si>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</si>
  <si>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</si>
  <si>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</si>
  <si>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</si>
  <si>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德雷弗恩的卓越之灾</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</si>
  <si>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</si>
  <si>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</si>
  <si>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</si>
  <si>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</si>
  <si>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</si>
  <si>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</si>
  <si>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</si>
  <si>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</si>
  <si>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</si>
  <si>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Obfuscate Object</t>
  </si>
  <si>
    <t>血骨之刃</t>
  </si>
  <si>
    <t>一把匕首或短剑，施法时不消耗</t>
  </si>
  <si>
    <t>Blade of Blood and Bone</t>
  </si>
  <si>
    <t>厄运将至</t>
  </si>
  <si>
    <t>一朵死掉的三叶草clover</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</si>
  <si>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</si>
  <si>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</si>
  <si>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</si>
  <si>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</si>
  <si>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</si>
  <si>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</si>
  <si>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</si>
  <si>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Emerald Goblet</t>
  </si>
  <si>
    <t>暮色迷蒙</t>
  </si>
  <si>
    <t>一片烟色玻璃</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</si>
  <si>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</si>
  <si>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</si>
  <si>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</si>
  <si>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</si>
  <si>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</si>
  <si>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Pratfall</t>
  </si>
  <si>
    <t>咒唤摆渡人</t>
  </si>
  <si>
    <t>几枚铜币</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</si>
  <si>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</si>
  <si>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</si>
  <si>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</si>
  <si>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</si>
  <si>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</si>
  <si>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</si>
  <si>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</si>
  <si>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</si>
  <si>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Hibernation</t>
  </si>
  <si>
    <t>克拉尔之蛆</t>
  </si>
  <si>
    <t>一条活蛆</t>
  </si>
  <si>
    <t>Krail’s Maggot</t>
  </si>
  <si>
    <t>克拉尔之裂</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</si>
  <si>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</si>
  <si>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</si>
  <si>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</si>
  <si>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</si>
  <si>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</si>
  <si>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</si>
  <si>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</si>
  <si>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</si>
  <si>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</si>
  <si>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</si>
  <si>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</si>
  <si>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</si>
  <si>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</si>
  <si>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</si>
  <si>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Ugly Duckling</t>
  </si>
  <si>
    <t>刺骨寒风</t>
  </si>
  <si>
    <t>一把桦木扇</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</si>
  <si>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</si>
  <si>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</si>
  <si>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</si>
  <si>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</si>
  <si>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</si>
  <si>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Deep Roots of the Moon</t>
  </si>
  <si>
    <t>妖精祝酒</t>
  </si>
  <si>
    <t>价值100GP的葡萄酒，施法时消耗，以及每个参与者一个杯子</t>
  </si>
  <si>
    <t>Faerie Toast</t>
  </si>
  <si>
    <t>严峻之影</t>
  </si>
  <si>
    <t>Grim Shadows</t>
  </si>
  <si>
    <t>迷失</t>
  </si>
  <si>
    <t>Lost</t>
  </si>
  <si>
    <t>奥罗斯的命运印记</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</si>
  <si>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</si>
  <si>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</si>
  <si>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</si>
  <si>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</si>
  <si>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</si>
  <si>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</si>
  <si>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Shadow Portal</t>
  </si>
  <si>
    <t>蜘蛛之歌</t>
  </si>
  <si>
    <t>一条唱歌蜘蛛的腿或一把缠绕着蛛网的微型鲁特琴</t>
  </si>
  <si>
    <t>Spider Song</t>
  </si>
  <si>
    <t>风暴之门</t>
  </si>
  <si>
    <t>一块闪电熔岩</t>
  </si>
  <si>
    <t>Storm Door</t>
  </si>
  <si>
    <t>BET</t>
    <phoneticPr fontId="68" type="noConversion"/>
  </si>
  <si>
    <t>影妖精</t>
  </si>
  <si>
    <t>月精灵</t>
  </si>
  <si>
    <t>暗精灵</t>
  </si>
  <si>
    <t>玄命侏儒</t>
  </si>
  <si>
    <t>熊民</t>
  </si>
  <si>
    <t>达拉库食尸鬼</t>
  </si>
  <si>
    <t>幽影地精</t>
  </si>
  <si>
    <t>影蚀人类</t>
  </si>
  <si>
    <t>疾步族</t>
  </si>
  <si>
    <t>树鼠族</t>
  </si>
  <si>
    <t>灵魂渡者猬族</t>
  </si>
  <si>
    <t>冥河幽影</t>
  </si>
  <si>
    <t>崇高鸦族</t>
  </si>
  <si>
    <t>不羁萨塔雷</t>
  </si>
  <si>
    <t>影妖精武器训练</t>
    <phoneticPr fontId="68" type="noConversion"/>
  </si>
  <si>
    <t>你拥有刺剑、短剑、短弓和长弓的熟练项。</t>
    <phoneticPr fontId="68" type="noConversion"/>
  </si>
  <si>
    <t>暗影之道</t>
    <phoneticPr fontId="68" type="noConversion"/>
  </si>
  <si>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phoneticPr fontId="68" type="noConversion"/>
  </si>
  <si>
    <t>日照敏感</t>
    <phoneticPr fontId="68" type="noConversion"/>
  </si>
  <si>
    <t>若你、你攻击的目标或你试图感知的事物处于明亮的阳光下，你的攻击检定和依赖视觉的感知（察觉）检定有劣势。</t>
    <phoneticPr fontId="68" type="noConversion"/>
  </si>
  <si>
    <t>黑暗旅者</t>
    <phoneticPr fontId="68" type="noConversion"/>
  </si>
  <si>
    <t>在进行智力（奥秘）检定以了解特定暗影之路shadow road及其功能时，你具有优势。</t>
    <phoneticPr fontId="68" type="noConversion"/>
  </si>
  <si>
    <t>辉光</t>
    <phoneticPr fontId="68" type="noConversion"/>
  </si>
  <si>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phoneticPr fontId="68" type="noConversion"/>
  </si>
  <si>
    <t>月之子</t>
    <phoneticPr fontId="68" type="noConversion"/>
  </si>
  <si>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phoneticPr fontId="68" type="noConversion"/>
  </si>
  <si>
    <t>血脉亲和</t>
    <phoneticPr fontId="68" type="noConversion"/>
  </si>
  <si>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phoneticPr fontId="68" type="noConversion"/>
  </si>
  <si>
    <t>熊民遗承</t>
    <phoneticPr fontId="68" type="noConversion"/>
  </si>
  <si>
    <t>幽影地精遗承</t>
    <phoneticPr fontId="68" type="noConversion"/>
  </si>
  <si>
    <t>嬗变者</t>
    <phoneticPr fontId="68" type="noConversion"/>
  </si>
  <si>
    <t>天赋者</t>
    <phoneticPr fontId="68" type="noConversion"/>
  </si>
  <si>
    <t>艾科尔</t>
    <phoneticPr fontId="68" type="noConversion"/>
  </si>
  <si>
    <t>特拉德瓦克特</t>
    <phoneticPr fontId="68" type="noConversion"/>
  </si>
  <si>
    <t>天生预言师</t>
    <phoneticPr fontId="68" type="noConversion"/>
  </si>
  <si>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phoneticPr fontId="68" type="noConversion"/>
  </si>
  <si>
    <t>预知</t>
    <phoneticPr fontId="68" type="noConversion"/>
  </si>
  <si>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phoneticPr fontId="68" type="noConversion"/>
  </si>
  <si>
    <t>50尺</t>
    <phoneticPr fontId="68" type="noConversion"/>
  </si>
  <si>
    <t>象族身高7尺到8尺，体重300到400磅，属于中型体型</t>
  </si>
  <si>
    <t>维多肯比人类高但是身形更修长，平均身高为六尺到六尺半往往重达两百磅你属于中型体型</t>
  </si>
  <si>
    <t>一开始，佛丹人的体型与其族群诞生前前的形态——地精相似，身高在3到4尺之间但在成熟之后的某个时间点，每个佛丹人都会突然长高2尺或更多第1级时，你是一个小型生物当你达到5级时，你将转变为中型生物</t>
  </si>
  <si>
    <t>达良人的身高从2至7尺不等，体重在65至300磅之间你的体型取决于你的达良人类型：小型（红色）或中型（蓝色）</t>
  </si>
  <si>
    <t>精灵的身高差异较大，从5尺到超过6尺不等无论你处于这个范围的哪个位置，你的体型都属于中型</t>
  </si>
  <si>
    <t>成年鸣玉族身高2至3尺，平均体重50磅你的体型为小型</t>
  </si>
  <si>
    <t>枉替之子制造出来就是为了看起来像个孩童，所以它们的身高在2到3尺之间，体重则在35到55磅之间你的体型为小型</t>
  </si>
  <si>
    <t xml:space="preserve">你仍然拥有你先前在类人生物时的身高，但你近乎虚无缥缈的身体已将你的体重大幅度削减到了原体重的四分之一你的体型与你在灾难降临前的体型相同 </t>
  </si>
  <si>
    <t>鸦族的形体令人印象深刻，身高在4.5英尺到5.5英尺之间，包含了各种不同的版本重约100磅属于中型体型</t>
  </si>
  <si>
    <t>雉族是最多样化的鸟族，从不到4 英尺到超过5 英尺高，并显示了许多独特的身材形状和尺寸的各异意味着他们也拥有不同的体重，但大多数人重约90磅属于中型体型</t>
  </si>
  <si>
    <t>鸽族是鸟族中最矮、最轻的，他们大约3 英尺高，体重只有30磅左右属于小型体型</t>
  </si>
  <si>
    <t>隼族身形瘦削，肌肉发达，但他们不到4 英尺高他们的体重通常比人们想象的要轻，平均约35磅属于小型体型</t>
  </si>
  <si>
    <t>鸮族肌肉发达，他们的身高从4 英尺到超过5 英尺鸮族体重约110磅属于中型体型</t>
  </si>
  <si>
    <t>林地鹿身高5到6英尺，体型轻盈，体重130到180磅叉角鹿体型更高更重，肌肉更发达，站起来大约7英尺高，有时体重超过200镑属于中型体型</t>
  </si>
  <si>
    <t>猬族身形短小滚圆，平均身高3到4英尺，重量在40到70磅之间属于小型体型</t>
  </si>
  <si>
    <t>跳鼠族有着令人难以置信的小而轻的身体，身高2到3英尺，体重在20到40磅之间属于小型体型</t>
  </si>
  <si>
    <t>浣熊族平均身高4到5英尺他们有着各种各样的体型，从苗条到敦实，体重在90到160磅之间属于中型体型</t>
  </si>
  <si>
    <t>狡狐族身材瘦削，但肌肉发达他们身高约4.5到5.5英尺，但相对较轻，体重在90到140磅之间属于中型体型</t>
  </si>
  <si>
    <t>以太裔和人类体型相近，并且有着修长的身形你的体型为中型</t>
  </si>
  <si>
    <t>凝骸的体型取决于骷髅部分的体型选择此种族时你可以选择中型或小型作为你的体型</t>
  </si>
  <si>
    <t xml:space="preserve">熊民身高可达7尺以上，体格健壮有力你的体型为中型 </t>
  </si>
  <si>
    <t>你的体型由你的继承亚种决定</t>
  </si>
  <si>
    <t>地精身高在3到4尺之间，体重在40到80磅之间你的体型为小型</t>
  </si>
  <si>
    <t>与主物质位面的人类一样，影蚀人类的身高和体型差异很大，从刚刚5尺到超过6尺不等无论你在这个范围内处于什么高度，你的体型都是中型</t>
  </si>
  <si>
    <t>疾步族身高在3至4英尺之间，体重在25至40磅之间你的体型属于小型</t>
  </si>
  <si>
    <t>狮族通常有6尺高，有些直立起来则超过7尺，你的体型属于中型体型</t>
    <phoneticPr fontId="68" type="noConversion"/>
  </si>
  <si>
    <t>中型或小型，当你选择该种族的时候进行决定</t>
  </si>
  <si>
    <t>中型或小型，在你选择该种族时选择体型</t>
  </si>
  <si>
    <t>中型或小型</t>
  </si>
  <si>
    <t>中等</t>
  </si>
  <si>
    <t>中型或小型，选择此种族的时候决定你的体型</t>
  </si>
  <si>
    <t>中型或小型，当你选择该种族的时候决定体型</t>
  </si>
  <si>
    <t>中型或小型，当你选择此种族的时候决定体型</t>
  </si>
  <si>
    <t>中型</t>
    <phoneticPr fontId="68" type="noConversion"/>
  </si>
  <si>
    <t>你属于中型体型，在你的基础类人种族范围内</t>
    <phoneticPr fontId="68" type="noConversion"/>
  </si>
  <si>
    <t>你的体型由你的继承亚种决定</t>
    <phoneticPr fontId="68" type="noConversion"/>
  </si>
  <si>
    <t>你的步行速度为30尺，同时你拥有等同于你步行速度的游泳速度</t>
  </si>
  <si>
    <t>你的步行速度为30尺，并且拥有等于你行走速度的攀爬速度</t>
  </si>
  <si>
    <t>你的步行速度为30尺，并且拥有等于你行走速度的游泳速度</t>
  </si>
  <si>
    <t>你的步行速度为30尺，你拥有与你步行速度相同的游泳速度</t>
  </si>
  <si>
    <t>你的基础步行速度取决于体型：小型为25尺，中型为30尺</t>
  </si>
  <si>
    <t>你的基础步行速度为30尺</t>
  </si>
  <si>
    <t>你的基础步行速度为25尺，游泳速度为30尺</t>
  </si>
  <si>
    <t>你的基础步行速度由你的继承亚种决定</t>
  </si>
  <si>
    <t>你的步行速度为25尺，攀爬速度为10尺</t>
  </si>
  <si>
    <t>你的步行速度为30尺，你拥有与你步行速度相同的攀爬速度</t>
  </si>
  <si>
    <t>你的基础步行速度为30尺，当你身处以太位面期间，步行速度增加到35尺</t>
  </si>
  <si>
    <t>猬族平均身高约3尺，体重约50磅。你的体型为小型。</t>
    <phoneticPr fontId="68" type="noConversion"/>
  </si>
  <si>
    <t>小型或中型</t>
    <phoneticPr fontId="68" type="noConversion"/>
  </si>
  <si>
    <t>鸦族比人类更纤细矮小。他们的身高在4英尺到接近6英尺之间。你的体型为中型。</t>
    <phoneticPr fontId="68" type="noConversion"/>
  </si>
  <si>
    <t>萨塔雷高大瘦长，身高在6到7英尺之间，有着独特的分节肢体。你的体型为中型。</t>
    <phoneticPr fontId="68" type="noConversion"/>
  </si>
  <si>
    <t>啃咬</t>
    <phoneticPr fontId="68" type="noConversion"/>
  </si>
  <si>
    <t xml:space="preserve">你强健的下颚是天生武器，可用于发动徒手攻击。命中时造成1D6加你力量调整值的穿刺伤害。 </t>
    <phoneticPr fontId="68" type="noConversion"/>
  </si>
  <si>
    <t>天生护甲</t>
    <phoneticPr fontId="68" type="noConversion"/>
  </si>
  <si>
    <t xml:space="preserve">你的皮毛厚实坚韧，使你获得13 + 你的敏捷调整值的天生护甲等级（AC）。 </t>
    <phoneticPr fontId="68" type="noConversion"/>
  </si>
  <si>
    <t xml:space="preserve">在决定你的负重能力以及你能推动、拖拽或举起的重量时，你被视为体型大一级的生物。 </t>
    <phoneticPr fontId="68" type="noConversion"/>
  </si>
  <si>
    <t>14+敏捷调整值</t>
  </si>
  <si>
    <t>熊族天赋</t>
    <phoneticPr fontId="68" type="noConversion"/>
  </si>
  <si>
    <t xml:space="preserve">你具有运动和察觉技能的熟练。 </t>
    <phoneticPr fontId="68" type="noConversion"/>
  </si>
  <si>
    <t>夜之斗篷</t>
    <phoneticPr fontId="68" type="noConversion"/>
  </si>
  <si>
    <t xml:space="preserve">身处微光或黑暗期间，你的敏捷（隐匿）检定具有优势，并且能够以附赠动作执行躲藏动作。 </t>
    <phoneticPr fontId="68" type="noConversion"/>
  </si>
  <si>
    <t>嗜肉之欲</t>
    <phoneticPr fontId="68" type="noConversion"/>
  </si>
  <si>
    <t>你每天必须食用1磅生肉，否则将遭受饥饿的影响。如果你24小时内没有进食，你将获得一级力竭。当你因此特质获得任何级别的力竭时，你无法恢复生命值或移除力竭等级，直到你花费至少1小时食用10磅生肉。</t>
    <phoneticPr fontId="68" type="noConversion"/>
  </si>
  <si>
    <t>介死之躯</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</si>
  <si>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phoneticPr fontId="68" type="noConversion"/>
  </si>
  <si>
    <t>强颚</t>
    <phoneticPr fontId="68" type="noConversion"/>
  </si>
  <si>
    <t>你沉重的下颚强大到足以将骨头碾成粉末。你的利齿被视为天生武器，可用于进行徒手攻击。命中时，你的啃咬造成1d4 + 你的力量调整值的穿刺伤害，而非普通徒手攻击的钝击伤害。</t>
    <phoneticPr fontId="68" type="noConversion"/>
  </si>
  <si>
    <t>当你、你攻击的目标或你试图察觉的对象处于阳光直射下时，你的攻击检定和依赖视觉的感知（察觉）检定具有劣势。</t>
    <phoneticPr fontId="68" type="noConversion"/>
  </si>
  <si>
    <t>不死韧性</t>
    <phoneticPr fontId="68" type="noConversion"/>
  </si>
  <si>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phoneticPr fontId="68" type="noConversion"/>
  </si>
  <si>
    <t>不死活力</t>
    <phoneticPr fontId="68" type="noConversion"/>
  </si>
  <si>
    <t>你不需要呼吸，也不像大多数生物那样睡眠。相反，你每天会进入一种类似死亡的休眠状态6小时，保持半清醒。在休眠状态下，你的感知（察觉）检定具有劣势。以这种方式休息后，你获得与人类8小时睡眠相同的益处。</t>
    <phoneticPr fontId="68" type="noConversion"/>
  </si>
  <si>
    <t>熊民可以长到超过7尺高，拥有厚实、强壮的体格。你的体型为中型。</t>
    <phoneticPr fontId="68" type="noConversion"/>
  </si>
  <si>
    <t>你的基础步行速度为30英尺。</t>
    <phoneticPr fontId="68" type="noConversion"/>
  </si>
  <si>
    <t>熊民体型</t>
    <phoneticPr fontId="68" type="noConversion"/>
  </si>
  <si>
    <t>熊民速度</t>
    <phoneticPr fontId="68" type="noConversion"/>
  </si>
  <si>
    <t>死亡之颚</t>
    <phoneticPr fontId="68" type="noConversion"/>
  </si>
  <si>
    <t>作为达拉库食尸鬼，你强壮的下颚成为了你致命的武器。当你以啮咬进行徒手攻击时，你造成的穿刺伤害等同于1d6加上你的力量调整值。</t>
    <phoneticPr fontId="68" type="noConversion"/>
  </si>
  <si>
    <t>不死坚韧</t>
    <phoneticPr fontId="68" type="noConversion"/>
  </si>
  <si>
    <t>你生前的坚韧随你一同进入了不死的领域。当你的生命值降至0但没有立即死亡时，你可以改为降至1点生命值。在你使用了这个特性后，你不能再次使用这个特性，直到完成一次长休。</t>
    <phoneticPr fontId="68" type="noConversion"/>
  </si>
  <si>
    <t>地精体型</t>
    <phoneticPr fontId="68" type="noConversion"/>
  </si>
  <si>
    <t>地精速度</t>
    <phoneticPr fontId="68" type="noConversion"/>
  </si>
  <si>
    <t>幽影地精的身高在3到4尺之间，体重在40到80磅之间。你的体型为小型。</t>
    <phoneticPr fontId="68" type="noConversion"/>
  </si>
  <si>
    <t>黑暗行径</t>
    <phoneticPr fontId="68" type="noConversion"/>
  </si>
  <si>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phoneticPr fontId="68" type="noConversion"/>
  </si>
  <si>
    <t>机敏心智</t>
    <phoneticPr fontId="68" type="noConversion"/>
  </si>
  <si>
    <t>你拥有欺瞒和洞悉技能的熟练。</t>
    <phoneticPr fontId="68" type="noConversion"/>
  </si>
  <si>
    <t>暗影伪装</t>
    <phoneticPr fontId="68" type="noConversion"/>
  </si>
  <si>
    <t>在微光或黑暗中进行躲藏时，你的敏捷（隐匿）检定具有优势。</t>
    <phoneticPr fontId="68" type="noConversion"/>
  </si>
  <si>
    <t>恶目</t>
    <phoneticPr fontId="68" type="noConversion"/>
  </si>
  <si>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phoneticPr fontId="68" type="noConversion"/>
  </si>
  <si>
    <t>当你、你攻击的目标或你试图察觉的对象处于阳光直射下时，你的攻击骰和基于视觉的感知（察觉）检定具有劣势。</t>
    <phoneticPr fontId="68" type="noConversion"/>
  </si>
  <si>
    <t>邪眷祝福</t>
    <phoneticPr fontId="68" type="noConversion"/>
  </si>
  <si>
    <t>你进行对抗魅惑的豁免时具有优势，并且不会因魔法效应而陷入睡眠。</t>
    <phoneticPr fontId="68" type="noConversion"/>
  </si>
  <si>
    <t>暗影灌注</t>
    <phoneticPr fontId="68" type="noConversion"/>
  </si>
  <si>
    <t>你对寒冷伤害具有抗性。</t>
    <phoneticPr fontId="68" type="noConversion"/>
  </si>
  <si>
    <t>匿形</t>
    <phoneticPr fontId="68" type="noConversion"/>
  </si>
  <si>
    <t>当你完全静止时，你可以以一个动作变为隐形。如果你移动或执行动作，你会重新变得可见。你每天可以使用此特性的次数等于你的熟练加值。</t>
    <phoneticPr fontId="68" type="noConversion"/>
  </si>
  <si>
    <t>虚假身份</t>
    <phoneticPr fontId="68" type="noConversion"/>
  </si>
  <si>
    <t>你获得欺瞒或游说技能的熟练项。</t>
    <phoneticPr fontId="68" type="noConversion"/>
  </si>
  <si>
    <t>阴影魅力</t>
    <phoneticPr fontId="68" type="noConversion"/>
  </si>
  <si>
    <t>你可以以一个动作随意施放易容术。</t>
    <phoneticPr fontId="68" type="noConversion"/>
  </si>
  <si>
    <t>诅咒注入</t>
    <phoneticPr fontId="68" type="noConversion"/>
  </si>
  <si>
    <t>你对暗蚀伤害具有抗性。</t>
    <phoneticPr fontId="68" type="noConversion"/>
  </si>
  <si>
    <t>阴影馈赠</t>
    <phoneticPr fontId="68" type="noConversion"/>
  </si>
  <si>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phoneticPr fontId="68" type="noConversion"/>
  </si>
  <si>
    <t>妖精血统</t>
    <phoneticPr fontId="68" type="noConversion"/>
  </si>
  <si>
    <t>你在为自己避免或结束魅惑状态的豁免检定时具有优势，并且不会因魔法效应而陷入睡眠。</t>
    <phoneticPr fontId="68" type="noConversion"/>
  </si>
  <si>
    <t>你熟练于特技和巧手这两项技能。</t>
    <phoneticPr fontId="68" type="noConversion"/>
  </si>
  <si>
    <t>惊人速度</t>
    <phoneticPr fontId="68" type="noConversion"/>
  </si>
  <si>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phoneticPr fontId="68" type="noConversion"/>
  </si>
  <si>
    <t>陨落天族</t>
    <phoneticPr fontId="68" type="noConversion"/>
  </si>
  <si>
    <t>你是天族生物的后裔，但与凡世有着强烈的联系。虽然你属于类人生物，但仍会受到针对天族生物的效果影响。</t>
    <phoneticPr fontId="68" type="noConversion"/>
  </si>
  <si>
    <t>锋利獠牙</t>
    <phoneticPr fontId="68" type="noConversion"/>
  </si>
  <si>
    <t>你的獠牙是天生武器，可用于进行徒手攻击。命中时造成1点穿刺伤害加1d4点心灵伤害。</t>
    <phoneticPr fontId="68" type="noConversion"/>
  </si>
  <si>
    <t>心灵感应</t>
    <phoneticPr fontId="68" type="noConversion"/>
  </si>
  <si>
    <t>你可以与视线内的生物进行心灵感应交谈，通讯距离为你等级乘以10尺。你不需要掌握与目标生物的共通语言即可进行心灵感应，但该生物必须至少能理解一种语言。</t>
    <phoneticPr fontId="68" type="noConversion"/>
  </si>
  <si>
    <t>艾科尔树鼠族身高约1.5英尺，体重在20至50磅之间。你的体型为微型。</t>
    <phoneticPr fontId="68" type="noConversion"/>
  </si>
  <si>
    <t>艾科尔体型</t>
    <phoneticPr fontId="68" type="noConversion"/>
  </si>
  <si>
    <t>世界树的祝福</t>
    <phoneticPr fontId="68" type="noConversion"/>
  </si>
  <si>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phoneticPr fontId="68" type="noConversion"/>
  </si>
  <si>
    <t>微型武器</t>
    <phoneticPr fontId="68" type="noConversion"/>
  </si>
  <si>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phoneticPr fontId="68" type="noConversion"/>
  </si>
  <si>
    <t>典型的守卫族身高在2至3英尺之间，体重在60至100磅之间。一些强壮的树鼠族军阀甚至可达到3.5英尺的高度。你的体型为小型。</t>
    <phoneticPr fontId="68" type="noConversion"/>
  </si>
  <si>
    <t>特拉德瓦克特体型</t>
    <phoneticPr fontId="68" type="noConversion"/>
  </si>
  <si>
    <t>扰敌战嚣</t>
    <phoneticPr fontId="68" type="noConversion"/>
  </si>
  <si>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phoneticPr fontId="68" type="noConversion"/>
  </si>
  <si>
    <t>掘地者</t>
    <phoneticPr fontId="68" type="noConversion"/>
  </si>
  <si>
    <t>你拥有20尺的掘穴速度，但只能穿过泥土和沙地，不能穿过泥浆、冰层或岩石。</t>
    <phoneticPr fontId="68" type="noConversion"/>
  </si>
  <si>
    <t>利刺</t>
    <phoneticPr fontId="68" type="noConversion"/>
  </si>
  <si>
    <t>你的尖刺比其他猬族更长且更具威力。当你对5尺内的目标进行近战攻击并命中时，该目标额外受到3（1d6）点穿刺伤害。</t>
    <phoneticPr fontId="68" type="noConversion"/>
  </si>
  <si>
    <t>敏锐本能</t>
    <phoneticPr fontId="68" type="noConversion"/>
  </si>
  <si>
    <t>除非因非魔法睡眠以外的原因而失能，否则你不会被突袭。</t>
    <phoneticPr fontId="68" type="noConversion"/>
  </si>
  <si>
    <t>灵舌</t>
    <phoneticPr fontId="68" type="noConversion"/>
  </si>
  <si>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phoneticPr fontId="68" type="noConversion"/>
  </si>
  <si>
    <t>死亡之面</t>
    <phoneticPr fontId="68" type="noConversion"/>
  </si>
  <si>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phoneticPr fontId="68" type="noConversion"/>
  </si>
  <si>
    <t>幽魂之躯</t>
    <phoneticPr fontId="68" type="noConversion"/>
  </si>
  <si>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</si>
  <si>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phoneticPr fontId="68" type="noConversion"/>
  </si>
  <si>
    <t>神秘起源</t>
    <phoneticPr fontId="68" type="noConversion"/>
  </si>
  <si>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phoneticPr fontId="68" type="noConversion"/>
  </si>
  <si>
    <t>幽魂韧性</t>
    <phoneticPr fontId="68" type="noConversion"/>
  </si>
  <si>
    <t>你在对抗毒素和疾病的豁免检定上具有优势，且对暗蚀伤害具有抗性。</t>
    <phoneticPr fontId="68" type="noConversion"/>
  </si>
  <si>
    <t>永恒旋律</t>
    <phoneticPr fontId="68" type="noConversion"/>
  </si>
  <si>
    <t>你在对抗魅惑或恐慌的豁免检定上具有优势。</t>
    <phoneticPr fontId="68" type="noConversion"/>
  </si>
  <si>
    <t>天宇乐师</t>
    <phoneticPr fontId="68" type="noConversion"/>
  </si>
  <si>
    <t>你得到表演技能的熟练项，并获得一种你选择的乐器的熟练项。</t>
    <phoneticPr fontId="68" type="noConversion"/>
  </si>
  <si>
    <t>崇高和弦</t>
    <phoneticPr fontId="68" type="noConversion"/>
  </si>
  <si>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phoneticPr fontId="68" type="noConversion"/>
  </si>
  <si>
    <t>守密者</t>
    <phoneticPr fontId="68" type="noConversion"/>
  </si>
  <si>
    <t>你拥有奥秘技能熟练项，并且在与位面和位面旅行相关的智力（奥秘）检定上具有优势。此外，你还可以选择以下技能之一获得熟练项。历史、洞悉或宗教。</t>
    <phoneticPr fontId="68" type="noConversion"/>
  </si>
  <si>
    <t>传送感知</t>
    <phoneticPr fontId="68" type="noConversion"/>
  </si>
  <si>
    <t>当处于封闭空间时，你能本能地知道通往当前区域最近的非魔法入口或出口的方向和距离。你在寻找密门、隐形门和魔法传送门时的智力（调查）或感知（察觉）检定上具有优势。</t>
    <phoneticPr fontId="68" type="noConversion"/>
  </si>
  <si>
    <t>解构之触</t>
    <phoneticPr fontId="68" type="noConversion"/>
  </si>
  <si>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phoneticPr fontId="68" type="noConversion"/>
  </si>
  <si>
    <t>德雷弗恩的无能诅咒</t>
  </si>
  <si>
    <t>一滴泪珠</t>
  </si>
  <si>
    <t>Drayfn’s Curse of Incompetence</t>
  </si>
  <si>
    <t>火舞术</t>
  </si>
  <si>
    <t>一团燃烧的破布、一对火把或类似的双手火源</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</si>
  <si>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</si>
  <si>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</si>
  <si>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</si>
  <si>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</si>
  <si>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</si>
  <si>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专注，至多一分钟</t>
    <phoneticPr fontId="68" type="noConversion"/>
  </si>
  <si>
    <t>1分钟或仪式</t>
    <phoneticPr fontId="68" type="noConversion"/>
  </si>
  <si>
    <t>反应，当你在一次豁免中失败时</t>
  </si>
  <si>
    <t>反应，当你将被擒抱或吞咽时</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</si>
  <si>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phoneticPr fontId="68" type="noConversion"/>
  </si>
  <si>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phoneticPr fontId="68" type="noConversion"/>
  </si>
  <si>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phoneticPr fontId="68" type="noConversion"/>
  </si>
  <si>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phoneticPr fontId="68" type="noConversion"/>
  </si>
  <si>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phoneticPr fontId="68" type="noConversion"/>
  </si>
  <si>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phoneticPr fontId="68" type="noConversion"/>
  </si>
  <si>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</si>
  <si>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</si>
  <si>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</si>
  <si>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</si>
  <si>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</si>
  <si>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</si>
  <si>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</si>
  <si>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</si>
  <si>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</si>
  <si>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</si>
  <si>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</si>
  <si>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</si>
  <si>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</si>
  <si>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</si>
  <si>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</si>
  <si>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</si>
  <si>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你选择施法距离内一可见生物进行一次魅力豁免，豁免失败则目标在法术持续时间内的下一次攻击检定，属性检定或豁免检定的掷出N20时视为检定失败。
当你到达5/11/17级时，该效果会影响目标下2/3/4个N20。</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</si>
  <si>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</si>
  <si>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</si>
  <si>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</si>
  <si>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</si>
  <si>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</si>
  <si>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</si>
  <si>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</si>
  <si>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</si>
  <si>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</si>
  <si>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</si>
  <si>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</si>
  <si>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</si>
  <si>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</si>
  <si>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</si>
  <si>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</si>
  <si>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</si>
  <si>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</si>
  <si>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</si>
  <si>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</si>
  <si>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</si>
  <si>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</si>
  <si>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</si>
  <si>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黯潮之书</t>
    <phoneticPr fontId="68" type="noConversion"/>
  </si>
  <si>
    <t>月之转移</t>
    <phoneticPr fontId="68" type="noConversion"/>
  </si>
  <si>
    <t>一颗价值500gp的蛋白石，施法时消耗</t>
    <phoneticPr fontId="68" type="noConversion"/>
  </si>
  <si>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phoneticPr fontId="68" type="noConversion"/>
  </si>
  <si>
    <t>Lunar Transfer</t>
    <phoneticPr fontId="68" type="noConversion"/>
  </si>
  <si>
    <t>月光遣魔</t>
    <phoneticPr fontId="68" type="noConversion"/>
  </si>
  <si>
    <t>价值至少400gp的宝石、熏香和精油作为祭品，施法时消耗，在一个白玉碗中点燃</t>
    <phoneticPr fontId="68" type="noConversion"/>
  </si>
  <si>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phoneticPr fontId="68" type="noConversion"/>
  </si>
  <si>
    <t>Moonlight Sending</t>
    <phoneticPr fontId="68" type="noConversion"/>
  </si>
  <si>
    <t>叠石之灾</t>
    <phoneticPr fontId="68" type="noConversion"/>
  </si>
  <si>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phoneticPr fontId="68" type="noConversion"/>
  </si>
  <si>
    <t>缤纷泡泡</t>
  </si>
  <si>
    <t>一块肥皂和一滴油</t>
  </si>
  <si>
    <t>Polychromatic Bubble</t>
  </si>
  <si>
    <t>波尔朵之门</t>
  </si>
  <si>
    <t>价值100gp的银锁扣或钥匙，施法时消耗</t>
  </si>
  <si>
    <t>Portho’s Portal</t>
  </si>
  <si>
    <t>血肉盛宴</t>
  </si>
  <si>
    <t>一颗动物牙齿和你的一滴血</t>
  </si>
  <si>
    <t>Feast of Flesh</t>
  </si>
  <si>
    <t>虚构英雄</t>
  </si>
  <si>
    <t>一顶月桂树叶制作的王冠</t>
  </si>
  <si>
    <t>Hero of Fable</t>
  </si>
  <si>
    <t>克拉尔之腐</t>
  </si>
  <si>
    <t>一滴血，一块肉和一撮骨粉</t>
  </si>
  <si>
    <t>Krail’s Rot</t>
  </si>
  <si>
    <t>雷洛赫的长篇大论</t>
  </si>
  <si>
    <t>自身（半径20尺）</t>
  </si>
  <si>
    <t>一张卷轴，包含已经准备好的一段演讲</t>
  </si>
  <si>
    <t>Leiloch’s Interminable Yarn</t>
  </si>
  <si>
    <t>迷失漫游</t>
  </si>
  <si>
    <t>Lost and Wandering</t>
  </si>
  <si>
    <t>光耀信标</t>
  </si>
  <si>
    <t>自身（半径5尺）</t>
  </si>
  <si>
    <t>一片琥珀</t>
  </si>
  <si>
    <t>Radiant Beacon</t>
  </si>
  <si>
    <t>咒唤巨人</t>
  </si>
  <si>
    <t>Conjure Giant</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</si>
  <si>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</si>
  <si>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</si>
  <si>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</si>
  <si>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</si>
  <si>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</si>
  <si>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</si>
  <si>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</si>
  <si>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</si>
  <si>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</si>
  <si>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一块花岗鹅卵石</t>
    <phoneticPr fontId="68" type="noConversion"/>
  </si>
  <si>
    <t>Doom of Stacked Stones</t>
    <phoneticPr fontId="68" type="noConversion"/>
  </si>
  <si>
    <t>残酷收割</t>
  </si>
  <si>
    <t>一小撮灰沙和一片骨头碎片</t>
  </si>
  <si>
    <t>Grim Harvest</t>
  </si>
  <si>
    <t>停灵飨</t>
  </si>
  <si>
    <t>一块丝质手帕</t>
  </si>
  <si>
    <t>Charnel Banquet</t>
  </si>
  <si>
    <t>夏年厄运</t>
  </si>
  <si>
    <t>一撮来自沙漏的沙子</t>
  </si>
  <si>
    <t>Doom of Summer Years</t>
  </si>
  <si>
    <t>黯潮</t>
  </si>
  <si>
    <t>一瓶暗影</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</si>
  <si>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</si>
  <si>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</si>
  <si>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</si>
  <si>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</si>
  <si>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</si>
  <si>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</si>
  <si>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</si>
  <si>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</si>
  <si>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</si>
  <si>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</si>
  <si>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</si>
  <si>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</si>
  <si>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</si>
  <si>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</si>
  <si>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</si>
  <si>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</si>
  <si>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</si>
  <si>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结社法术</t>
    <phoneticPr fontId="68" type="noConversion"/>
  </si>
  <si>
    <r>
      <rPr>
        <sz val="10"/>
        <color theme="1"/>
        <rFont val="宋体"/>
        <family val="1"/>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1"/>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1"/>
        <charset val="134"/>
      </rPr>
      <t>等级</t>
    </r>
    <r>
      <rPr>
        <sz val="10"/>
        <color theme="1"/>
        <rFont val="Times New Roman"/>
        <family val="1"/>
      </rPr>
      <t xml:space="preserve"> </t>
    </r>
    <r>
      <rPr>
        <sz val="10"/>
        <color theme="1"/>
        <rFont val="宋体"/>
        <family val="1"/>
        <charset val="134"/>
      </rPr>
      <t>法术</t>
    </r>
    <r>
      <rPr>
        <sz val="10"/>
        <color theme="1"/>
        <rFont val="Times New Roman"/>
        <family val="1"/>
      </rPr>
      <t xml:space="preserve"> 
2</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黑暗术</t>
    </r>
    <r>
      <rPr>
        <sz val="10"/>
        <color theme="1"/>
        <rFont val="Times New Roman"/>
        <family val="1"/>
      </rPr>
      <t>Darkness</t>
    </r>
    <r>
      <rPr>
        <sz val="10"/>
        <color theme="1"/>
        <rFont val="宋体"/>
        <family val="1"/>
        <charset val="134"/>
      </rPr>
      <t>，黑暗视觉</t>
    </r>
    <r>
      <rPr>
        <sz val="10"/>
        <color theme="1"/>
        <rFont val="Times New Roman"/>
        <family val="1"/>
      </rPr>
      <t>Darkvision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</si>
  <si>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t>影灵形态</t>
  </si>
  <si>
    <t>黑暗从者</t>
  </si>
  <si>
    <t>集聚群影</t>
  </si>
  <si>
    <t>渊闇降临</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</si>
  <si>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phoneticPr fontId="68" type="noConversion"/>
  </si>
  <si>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phoneticPr fontId="68" type="noConversion"/>
  </si>
  <si>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phoneticPr fontId="68" type="noConversion"/>
  </si>
  <si>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phoneticPr fontId="68" type="noConversion"/>
  </si>
  <si>
    <t>舞动之影</t>
  </si>
  <si>
    <t>深暗恐惧</t>
  </si>
  <si>
    <t>阴影步</t>
  </si>
  <si>
    <t>夜曲</t>
  </si>
  <si>
    <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phoneticPr fontId="68" type="noConversion"/>
  </si>
  <si>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phoneticPr fontId="68" type="noConversion"/>
  </si>
  <si>
    <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phoneticPr fontId="68" type="noConversion"/>
  </si>
  <si>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phoneticPr fontId="68" type="noConversion"/>
  </si>
  <si>
    <t>天选赐福</t>
  </si>
  <si>
    <t>引导神力：神圣引导</t>
  </si>
  <si>
    <t>角斗场</t>
  </si>
  <si>
    <t>责不容死</t>
  </si>
  <si>
    <t>监管领域法术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</si>
  <si>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命令术</t>
    </r>
    <r>
      <rPr>
        <sz val="10"/>
        <color theme="1"/>
        <rFont val="Times New Roman"/>
        <family val="1"/>
      </rPr>
      <t>Command</t>
    </r>
    <r>
      <rPr>
        <sz val="10"/>
        <color theme="1"/>
        <rFont val="宋体"/>
        <family val="1"/>
        <charset val="134"/>
      </rPr>
      <t>，猎人印记</t>
    </r>
    <r>
      <rPr>
        <sz val="10"/>
        <color theme="1"/>
        <rFont val="Times New Roman"/>
        <family val="1"/>
      </rPr>
      <t>Hunter's Mark  
3</t>
    </r>
    <r>
      <rPr>
        <sz val="10"/>
        <color theme="1"/>
        <rFont val="宋体"/>
        <family val="1"/>
        <charset val="134"/>
      </rPr>
      <t>级</t>
    </r>
    <r>
      <rPr>
        <sz val="10"/>
        <color theme="1"/>
        <rFont val="Times New Roman"/>
        <family val="1"/>
      </rPr>
      <t xml:space="preserve"> </t>
    </r>
    <r>
      <rPr>
        <sz val="10"/>
        <color theme="1"/>
        <rFont val="宋体"/>
        <family val="1"/>
        <charset val="134"/>
      </rPr>
      <t>安定心神</t>
    </r>
    <r>
      <rPr>
        <sz val="10"/>
        <color theme="1"/>
        <rFont val="Times New Roman"/>
        <family val="1"/>
      </rPr>
      <t>Calm Emotions</t>
    </r>
    <r>
      <rPr>
        <sz val="10"/>
        <color theme="1"/>
        <rFont val="宋体"/>
        <family val="1"/>
        <charset val="134"/>
      </rPr>
      <t>，守护之链</t>
    </r>
    <r>
      <rPr>
        <sz val="10"/>
        <color theme="1"/>
        <rFont val="Times New Roman"/>
        <family val="1"/>
      </rPr>
      <t>Warding Bond  
5</t>
    </r>
    <r>
      <rPr>
        <sz val="10"/>
        <color theme="1"/>
        <rFont val="宋体"/>
        <family val="1"/>
        <charset val="134"/>
      </rPr>
      <t>级</t>
    </r>
    <r>
      <rPr>
        <sz val="10"/>
        <color theme="1"/>
        <rFont val="Times New Roman"/>
        <family val="1"/>
      </rPr>
      <t xml:space="preserve"> </t>
    </r>
    <r>
      <rPr>
        <sz val="10"/>
        <color theme="1"/>
        <rFont val="宋体"/>
        <family val="1"/>
        <charset val="134"/>
      </rPr>
      <t>希望信标</t>
    </r>
    <r>
      <rPr>
        <sz val="10"/>
        <color theme="1"/>
        <rFont val="Times New Roman"/>
        <family val="1"/>
      </rPr>
      <t>Beacon of Hope</t>
    </r>
    <r>
      <rPr>
        <sz val="10"/>
        <color theme="1"/>
        <rFont val="宋体"/>
        <family val="1"/>
        <charset val="134"/>
      </rPr>
      <t>，灵体卫士</t>
    </r>
    <r>
      <rPr>
        <sz val="10"/>
        <color theme="1"/>
        <rFont val="Times New Roman"/>
        <family val="1"/>
      </rPr>
      <t>Spirit Guardians  
7</t>
    </r>
    <r>
      <rPr>
        <sz val="10"/>
        <color theme="1"/>
        <rFont val="宋体"/>
        <family val="1"/>
        <charset val="134"/>
      </rPr>
      <t>级</t>
    </r>
    <r>
      <rPr>
        <sz val="10"/>
        <color theme="1"/>
        <rFont val="Times New Roman"/>
        <family val="1"/>
      </rPr>
      <t xml:space="preserve"> </t>
    </r>
    <r>
      <rPr>
        <sz val="10"/>
        <color theme="1"/>
        <rFont val="宋体"/>
        <family val="1"/>
        <charset val="134"/>
      </rPr>
      <t>防死结界</t>
    </r>
    <r>
      <rPr>
        <sz val="10"/>
        <color theme="1"/>
        <rFont val="Times New Roman"/>
        <family val="1"/>
      </rPr>
      <t>Death Ward</t>
    </r>
    <r>
      <rPr>
        <sz val="10"/>
        <color theme="1"/>
        <rFont val="宋体"/>
        <family val="1"/>
        <charset val="134"/>
      </rPr>
      <t>，信仰守卫</t>
    </r>
    <r>
      <rPr>
        <sz val="10"/>
        <color theme="1"/>
        <rFont val="Times New Roman"/>
        <family val="1"/>
      </rPr>
      <t>Guardian of Faith  
9</t>
    </r>
    <r>
      <rPr>
        <sz val="10"/>
        <color theme="1"/>
        <rFont val="宋体"/>
        <family val="1"/>
        <charset val="134"/>
      </rPr>
      <t>级</t>
    </r>
    <r>
      <rPr>
        <sz val="10"/>
        <color theme="1"/>
        <rFont val="Times New Roman"/>
        <family val="1"/>
      </rPr>
      <t xml:space="preserve"> </t>
    </r>
    <r>
      <rPr>
        <sz val="10"/>
        <color theme="1"/>
        <rFont val="宋体"/>
        <family val="1"/>
        <charset val="134"/>
      </rPr>
      <t>圣居</t>
    </r>
    <r>
      <rPr>
        <sz val="10"/>
        <color theme="1"/>
        <rFont val="Times New Roman"/>
        <family val="1"/>
      </rPr>
      <t>Hallow</t>
    </r>
    <r>
      <rPr>
        <sz val="10"/>
        <color theme="1"/>
        <rFont val="宋体"/>
        <family val="1"/>
        <charset val="134"/>
      </rPr>
      <t>，拉瑞心灵联结</t>
    </r>
    <r>
      <rPr>
        <sz val="10"/>
        <color theme="1"/>
        <rFont val="Times New Roman"/>
        <family val="1"/>
      </rPr>
      <t xml:space="preserve">Rary's Telepathic Bond  </t>
    </r>
    <phoneticPr fontId="68" type="noConversion"/>
  </si>
  <si>
    <t>暗影领域法术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</si>
  <si>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，黑暗术</t>
    </r>
    <r>
      <rPr>
        <sz val="10"/>
        <color theme="1"/>
        <rFont val="Times New Roman"/>
        <family val="1"/>
      </rPr>
      <t>Darkness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</si>
  <si>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phoneticPr fontId="68" type="noConversion"/>
  </si>
  <si>
    <t>你获得军用武器熟练。你还会获得游说技能熟练。</t>
    <phoneticPr fontId="68" type="noConversion"/>
  </si>
  <si>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phoneticPr fontId="68" type="noConversion"/>
  </si>
  <si>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phoneticPr fontId="68" type="noConversion"/>
  </si>
  <si>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phoneticPr fontId="68" type="noConversion"/>
  </si>
  <si>
    <t>夜幕将临</t>
  </si>
  <si>
    <t>阴影延展</t>
  </si>
  <si>
    <t>引导神力：影之擒缚</t>
  </si>
  <si>
    <t>隐匿于暗</t>
  </si>
  <si>
    <t>暗影军团</t>
  </si>
  <si>
    <t>当你选择该领域时，你获得隐匿技能熟练与60尺黑暗视觉。若你已拥有黑暗视觉，其范围增加30尺。此外，当你身处微光光照或黑暗中时，你能够以附赠动作执行躲藏。</t>
    <phoneticPr fontId="68" type="noConversion"/>
  </si>
  <si>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phoneticPr fontId="68" type="noConversion"/>
  </si>
  <si>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phoneticPr fontId="68" type="noConversion"/>
  </si>
  <si>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phoneticPr fontId="68" type="noConversion"/>
  </si>
  <si>
    <t>你可以同时操纵多个影子。当你使用影之擒缚时，你可以影响等于你熟练加值名生物。</t>
    <phoneticPr fontId="68" type="noConversion"/>
  </si>
  <si>
    <t>悲伤之母法术</t>
    <phoneticPr fontId="68" type="noConversion"/>
  </si>
  <si>
    <t>光之诡计</t>
  </si>
  <si>
    <t>闪耀灵光</t>
  </si>
  <si>
    <t>折曜之盾</t>
  </si>
  <si>
    <t>灵光增效</t>
  </si>
  <si>
    <t>法术致盲</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</si>
  <si>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</si>
  <si>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phoneticPr fontId="68" type="noConversion"/>
  </si>
  <si>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phoneticPr fontId="68" type="noConversion"/>
  </si>
  <si>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phoneticPr fontId="68" type="noConversion"/>
  </si>
  <si>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phoneticPr fontId="68" type="noConversion"/>
  </si>
  <si>
    <t>毒之魂</t>
  </si>
  <si>
    <t>猛毒印</t>
  </si>
  <si>
    <t>病态报偿</t>
  </si>
  <si>
    <t>黑暗疫苗</t>
  </si>
  <si>
    <t>悲伤之触</t>
  </si>
  <si>
    <r>
      <rPr>
        <sz val="10"/>
        <color theme="1"/>
        <rFont val="宋体"/>
        <family val="1"/>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1"/>
        <charset val="134"/>
      </rPr>
      <t>扩展法术列表</t>
    </r>
    <r>
      <rPr>
        <sz val="10"/>
        <color theme="1"/>
        <rFont val="Times New Roman"/>
        <family val="1"/>
      </rPr>
      <t xml:space="preserve">Expanded Spell List 
</t>
    </r>
    <r>
      <rPr>
        <sz val="10"/>
        <color theme="1"/>
        <rFont val="宋体"/>
        <family val="1"/>
        <charset val="134"/>
      </rPr>
      <t>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侦测毒性和疾病</t>
    </r>
    <r>
      <rPr>
        <sz val="10"/>
        <color theme="1"/>
        <rFont val="Times New Roman"/>
        <family val="1"/>
      </rPr>
      <t>Detect Poison And Disease</t>
    </r>
    <r>
      <rPr>
        <sz val="10"/>
        <color theme="1"/>
        <rFont val="宋体"/>
        <family val="1"/>
        <charset val="134"/>
      </rPr>
      <t>，致伤术</t>
    </r>
    <r>
      <rPr>
        <sz val="10"/>
        <color theme="1"/>
        <rFont val="Times New Roman"/>
        <family val="1"/>
      </rPr>
      <t xml:space="preserve">Inflict Wounds  
</t>
    </r>
    <r>
      <rPr>
        <sz val="10"/>
        <color theme="1"/>
        <rFont val="宋体"/>
        <family val="1"/>
        <charset val="134"/>
      </rPr>
      <t>二环</t>
    </r>
    <r>
      <rPr>
        <sz val="10"/>
        <color theme="1"/>
        <rFont val="Times New Roman"/>
        <family val="1"/>
      </rPr>
      <t xml:space="preserve"> </t>
    </r>
    <r>
      <rPr>
        <sz val="10"/>
        <color theme="1"/>
        <rFont val="宋体"/>
        <family val="1"/>
        <charset val="134"/>
      </rPr>
      <t>衰弱射线</t>
    </r>
    <r>
      <rPr>
        <sz val="10"/>
        <color theme="1"/>
        <rFont val="Times New Roman"/>
        <family val="1"/>
      </rPr>
      <t>Ray Of Enfeeblement</t>
    </r>
    <r>
      <rPr>
        <sz val="10"/>
        <color theme="1"/>
        <rFont val="宋体"/>
        <family val="1"/>
        <charset val="134"/>
      </rPr>
      <t>，沉默术</t>
    </r>
    <r>
      <rPr>
        <sz val="10"/>
        <color theme="1"/>
        <rFont val="Times New Roman"/>
        <family val="1"/>
      </rPr>
      <t xml:space="preserve">Silence  
</t>
    </r>
    <r>
      <rPr>
        <sz val="10"/>
        <color theme="1"/>
        <rFont val="宋体"/>
        <family val="1"/>
        <charset val="134"/>
      </rPr>
      <t>三环</t>
    </r>
    <r>
      <rPr>
        <sz val="10"/>
        <color theme="1"/>
        <rFont val="Times New Roman"/>
        <family val="1"/>
      </rPr>
      <t xml:space="preserve"> </t>
    </r>
    <r>
      <rPr>
        <sz val="10"/>
        <color theme="1"/>
        <rFont val="宋体"/>
        <family val="1"/>
        <charset val="134"/>
      </rPr>
      <t>臭云术</t>
    </r>
    <r>
      <rPr>
        <sz val="10"/>
        <color theme="1"/>
        <rFont val="Times New Roman"/>
        <family val="1"/>
      </rPr>
      <t>Stinking Cloud</t>
    </r>
    <r>
      <rPr>
        <sz val="10"/>
        <color theme="1"/>
        <rFont val="宋体"/>
        <family val="1"/>
        <charset val="134"/>
      </rPr>
      <t>，吸血鬼之触</t>
    </r>
    <r>
      <rPr>
        <sz val="10"/>
        <color theme="1"/>
        <rFont val="Times New Roman"/>
        <family val="1"/>
      </rPr>
      <t xml:space="preserve">Vampiric Touch  
</t>
    </r>
    <r>
      <rPr>
        <sz val="10"/>
        <color theme="1"/>
        <rFont val="宋体"/>
        <family val="1"/>
        <charset val="134"/>
      </rPr>
      <t>四环</t>
    </r>
    <r>
      <rPr>
        <sz val="10"/>
        <color theme="1"/>
        <rFont val="Times New Roman"/>
        <family val="1"/>
      </rPr>
      <t xml:space="preserve"> </t>
    </r>
    <r>
      <rPr>
        <sz val="10"/>
        <color theme="1"/>
        <rFont val="宋体"/>
        <family val="1"/>
        <charset val="134"/>
      </rPr>
      <t>高等隐形术</t>
    </r>
    <r>
      <rPr>
        <sz val="10"/>
        <color theme="1"/>
        <rFont val="Times New Roman"/>
        <family val="1"/>
      </rPr>
      <t>Greater Invisibility</t>
    </r>
    <r>
      <rPr>
        <sz val="10"/>
        <color theme="1"/>
        <rFont val="宋体"/>
        <family val="1"/>
        <charset val="134"/>
      </rPr>
      <t>，魅影杀手</t>
    </r>
    <r>
      <rPr>
        <sz val="10"/>
        <color theme="1"/>
        <rFont val="Times New Roman"/>
        <family val="1"/>
      </rPr>
      <t xml:space="preserve">Phantasmal Killer  
</t>
    </r>
    <r>
      <rPr>
        <sz val="10"/>
        <color theme="1"/>
        <rFont val="宋体"/>
        <family val="1"/>
        <charset val="134"/>
      </rPr>
      <t>五环</t>
    </r>
    <r>
      <rPr>
        <sz val="10"/>
        <color theme="1"/>
        <rFont val="Times New Roman"/>
        <family val="1"/>
      </rPr>
      <t xml:space="preserve"> </t>
    </r>
    <r>
      <rPr>
        <sz val="10"/>
        <color theme="1"/>
        <rFont val="宋体"/>
        <family val="1"/>
        <charset val="134"/>
      </rPr>
      <t>死云术</t>
    </r>
    <r>
      <rPr>
        <sz val="10"/>
        <color theme="1"/>
        <rFont val="Times New Roman"/>
        <family val="1"/>
      </rPr>
      <t>Cloudkill</t>
    </r>
    <r>
      <rPr>
        <sz val="10"/>
        <color theme="1"/>
        <rFont val="宋体"/>
        <family val="1"/>
        <charset val="134"/>
      </rPr>
      <t>，疫病术</t>
    </r>
    <r>
      <rPr>
        <sz val="10"/>
        <color theme="1"/>
        <rFont val="Times New Roman"/>
        <family val="1"/>
      </rPr>
      <t xml:space="preserve">Contagion </t>
    </r>
    <phoneticPr fontId="68" type="noConversion"/>
  </si>
  <si>
    <t>你获得超自然的毒素亲和力。你造成的毒素伤害忽视抗性和免疫。</t>
    <phoneticPr fontId="68" type="noConversion"/>
  </si>
  <si>
    <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1"/>
        <charset val="134"/>
      </rPr>
      <t>——</t>
    </r>
    <r>
      <rPr>
        <sz val="10"/>
        <color theme="1"/>
        <rFont val="宋体"/>
        <family val="3"/>
        <charset val="134"/>
      </rPr>
      <t>例如魔能爆</t>
    </r>
    <r>
      <rPr>
        <sz val="10"/>
        <color theme="1"/>
        <rFont val="Times New Roman"/>
        <family val="1"/>
      </rPr>
      <t>Eldritch Blast</t>
    </r>
    <r>
      <rPr>
        <sz val="10"/>
        <color theme="1"/>
        <rFont val="宋体"/>
        <family val="1"/>
        <charset val="134"/>
      </rPr>
      <t>——</t>
    </r>
    <r>
      <rPr>
        <sz val="10"/>
        <color theme="1"/>
        <rFont val="宋体"/>
        <family val="3"/>
        <charset val="134"/>
      </rPr>
      <t>你的每个法术也仅能造成一次该伤害。）</t>
    </r>
    <phoneticPr fontId="68" type="noConversion"/>
  </si>
  <si>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phoneticPr fontId="68" type="noConversion"/>
  </si>
  <si>
    <t>你的毒魔法注入体内。你免疫疾病、毒素伤害和中毒状态。</t>
    <phoneticPr fontId="68" type="noConversion"/>
  </si>
  <si>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phoneticPr fontId="68" type="noConversion"/>
  </si>
  <si>
    <t>暗影共生</t>
  </si>
  <si>
    <t>黑暗灌注</t>
  </si>
  <si>
    <t>夜之珠</t>
  </si>
  <si>
    <t>潜伏于影</t>
  </si>
  <si>
    <t>第二皮肤</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</si>
  <si>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phoneticPr fontId="68" type="noConversion"/>
  </si>
  <si>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phoneticPr fontId="68" type="noConversion"/>
  </si>
  <si>
    <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phoneticPr fontId="68" type="noConversion"/>
  </si>
  <si>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phoneticPr fontId="68" type="noConversion"/>
  </si>
  <si>
    <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phoneticPr fontId="68" type="noConversion"/>
  </si>
  <si>
    <t>暗影之霾</t>
  </si>
  <si>
    <t>蔓延之雾</t>
  </si>
  <si>
    <t>吞噬众暗</t>
  </si>
  <si>
    <t>腐蚀雾霭</t>
  </si>
  <si>
    <t>你狂暴期间会散发出暗影之霾。影霾充斥你10尺内。任何在影霾中开始其回合的生物（除你以外）的下次攻击检定具有劣势。</t>
    <phoneticPr fontId="68" type="noConversion"/>
  </si>
  <si>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phoneticPr fontId="68" type="noConversion"/>
  </si>
  <si>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phoneticPr fontId="68" type="noConversion"/>
  </si>
  <si>
    <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phoneticPr fontId="68" type="noConversion"/>
  </si>
  <si>
    <t>夜之眸</t>
  </si>
  <si>
    <t>缚影</t>
  </si>
  <si>
    <t>无影之锋</t>
  </si>
  <si>
    <t>黑暗魔法</t>
  </si>
  <si>
    <t>暗影之攫</t>
  </si>
  <si>
    <r>
      <t>当你选择此范型时，你对暗影魔法法则的经验将影响你的感官。你获得</t>
    </r>
    <r>
      <rPr>
        <sz val="10"/>
        <color theme="1"/>
        <rFont val="Times New Roman"/>
        <family val="1"/>
      </rPr>
      <t>120</t>
    </r>
    <r>
      <rPr>
        <sz val="10"/>
        <color theme="1"/>
        <rFont val="宋体"/>
        <family val="3"/>
        <charset val="134"/>
      </rPr>
      <t>尺黑暗视觉。</t>
    </r>
    <phoneticPr fontId="68" type="noConversion"/>
  </si>
  <si>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phoneticPr fontId="68" type="noConversion"/>
  </si>
  <si>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phoneticPr fontId="68" type="noConversion"/>
  </si>
  <si>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phoneticPr fontId="68" type="noConversion"/>
  </si>
  <si>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phoneticPr fontId="68" type="noConversion"/>
  </si>
  <si>
    <t>智明之语</t>
  </si>
  <si>
    <t>魅惑灵光</t>
  </si>
  <si>
    <t>正道打击</t>
  </si>
  <si>
    <t>受祝选民</t>
  </si>
  <si>
    <t>人格魅力</t>
  </si>
  <si>
    <t>当你选择该宗派时，你获得表演和游说技能的熟练。此外，每当你以基于魅力属性的技能进行属性检定时，你能够以感知调整值替代你的魅力调整值。</t>
    <phoneticPr fontId="68" type="noConversion"/>
  </si>
  <si>
    <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phoneticPr fontId="68" type="noConversion"/>
  </si>
  <si>
    <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phoneticPr fontId="68" type="noConversion"/>
  </si>
  <si>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phoneticPr fontId="68" type="noConversion"/>
  </si>
  <si>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phoneticPr fontId="68" type="noConversion"/>
  </si>
  <si>
    <t>噬影徒</t>
  </si>
  <si>
    <t>暗影学院</t>
  </si>
  <si>
    <t>监管领域</t>
  </si>
  <si>
    <t>暗影领域</t>
  </si>
  <si>
    <t>暗影领域-德城</t>
    <phoneticPr fontId="68" type="noConversion"/>
  </si>
  <si>
    <t>暗影结社</t>
  </si>
  <si>
    <t>先知宗</t>
  </si>
  <si>
    <t>缚影使</t>
  </si>
  <si>
    <t>织光者</t>
  </si>
  <si>
    <t>悲伤之母</t>
  </si>
  <si>
    <t>暗影</t>
  </si>
  <si>
    <t>邪眼术</t>
    <phoneticPr fontId="68" type="noConversion"/>
  </si>
  <si>
    <r>
      <rPr>
        <sz val="10"/>
        <color theme="1"/>
        <rFont val="宋体"/>
        <family val="3"/>
        <charset val="134"/>
      </rPr>
      <t>你习得法术寻获魔宠</t>
    </r>
    <r>
      <rPr>
        <sz val="10"/>
        <color theme="1"/>
        <rFont val="Times New Roman"/>
        <family val="3"/>
      </rPr>
      <t>Find Familiar</t>
    </r>
    <r>
      <rPr>
        <sz val="10"/>
        <color theme="1"/>
        <rFont val="微软雅黑"/>
        <family val="3"/>
        <charset val="134"/>
      </rPr>
      <t>且能以一个魔法动作施展它，且无需消耗法术位。</t>
    </r>
    <r>
      <rPr>
        <sz val="10"/>
        <color theme="1"/>
        <rFont val="Times New Roman"/>
        <family val="3"/>
      </rPr>
      <t xml:space="preserve">
</t>
    </r>
    <r>
      <rPr>
        <sz val="10"/>
        <color theme="1"/>
        <rFont val="微软雅黑"/>
        <family val="3"/>
        <charset val="134"/>
      </rPr>
      <t>每当你施展该法术，并为你的魔宠选择形态时，除了通常的形态选项，你还可以改为选择下列特殊形态之一：小魔鬼</t>
    </r>
    <r>
      <rPr>
        <sz val="10"/>
        <color theme="1"/>
        <rFont val="Times New Roman"/>
        <family val="3"/>
      </rPr>
      <t>Imp</t>
    </r>
    <r>
      <rPr>
        <sz val="10"/>
        <color theme="1"/>
        <rFont val="微软雅黑"/>
        <family val="3"/>
        <charset val="134"/>
      </rPr>
      <t>、伪龙</t>
    </r>
    <r>
      <rPr>
        <sz val="10"/>
        <color theme="1"/>
        <rFont val="Times New Roman"/>
        <family val="3"/>
      </rPr>
      <t>Pseudodragon</t>
    </r>
    <r>
      <rPr>
        <sz val="10"/>
        <color theme="1"/>
        <rFont val="微软雅黑"/>
        <family val="3"/>
        <charset val="134"/>
      </rPr>
      <t>、小恶魔</t>
    </r>
    <r>
      <rPr>
        <sz val="10"/>
        <color theme="1"/>
        <rFont val="Times New Roman"/>
        <family val="3"/>
      </rPr>
      <t>Quasit</t>
    </r>
    <r>
      <rPr>
        <sz val="10"/>
        <color theme="1"/>
        <rFont val="微软雅黑"/>
        <family val="3"/>
        <charset val="134"/>
      </rPr>
      <t>、骷髅</t>
    </r>
    <r>
      <rPr>
        <sz val="10"/>
        <color theme="1"/>
        <rFont val="Times New Roman"/>
        <family val="3"/>
      </rPr>
      <t>Skeleton</t>
    </r>
    <r>
      <rPr>
        <sz val="10"/>
        <color theme="1"/>
        <rFont val="微软雅黑"/>
        <family val="3"/>
        <charset val="134"/>
      </rPr>
      <t>、史拉蟾蝌蚪</t>
    </r>
    <r>
      <rPr>
        <sz val="10"/>
        <color theme="1"/>
        <rFont val="Times New Roman"/>
        <family val="3"/>
      </rPr>
      <t xml:space="preserve">Slaad Tadpole </t>
    </r>
    <r>
      <rPr>
        <sz val="10"/>
        <color theme="1"/>
        <rFont val="微软雅黑"/>
        <family val="3"/>
        <charset val="134"/>
      </rPr>
      <t>、求索斯芬克斯</t>
    </r>
    <r>
      <rPr>
        <sz val="10"/>
        <color theme="1"/>
        <rFont val="Times New Roman"/>
        <family val="3"/>
      </rPr>
      <t xml:space="preserve">Sphinx of Wonder </t>
    </r>
    <r>
      <rPr>
        <sz val="10"/>
        <color theme="1"/>
        <rFont val="微软雅黑"/>
        <family val="3"/>
        <charset val="134"/>
      </rPr>
      <t>、小仙灵</t>
    </r>
    <r>
      <rPr>
        <sz val="10"/>
        <color theme="1"/>
        <rFont val="Times New Roman"/>
        <family val="3"/>
      </rPr>
      <t>Sprite</t>
    </r>
    <r>
      <rPr>
        <sz val="10"/>
        <color theme="1"/>
        <rFont val="微软雅黑"/>
        <family val="3"/>
        <charset val="134"/>
      </rPr>
      <t>或毒蛇</t>
    </r>
    <r>
      <rPr>
        <sz val="10"/>
        <color theme="1"/>
        <rFont val="Times New Roman"/>
        <family val="3"/>
      </rPr>
      <t xml:space="preserve">Venomous Snake </t>
    </r>
    <r>
      <rPr>
        <sz val="10"/>
        <color theme="1"/>
        <rFont val="微软雅黑"/>
        <family val="3"/>
        <charset val="134"/>
      </rPr>
      <t>（魔宠的数据见附录</t>
    </r>
    <r>
      <rPr>
        <sz val="10"/>
        <color theme="1"/>
        <rFont val="Times New Roman"/>
        <family val="3"/>
      </rPr>
      <t>B</t>
    </r>
    <r>
      <rPr>
        <sz val="10"/>
        <color theme="1"/>
        <rFont val="微软雅黑"/>
        <family val="3"/>
        <charset val="134"/>
      </rPr>
      <t>）。</t>
    </r>
    <r>
      <rPr>
        <sz val="10"/>
        <color theme="1"/>
        <rFont val="Times New Roman"/>
        <family val="3"/>
      </rPr>
      <t xml:space="preserve">
</t>
    </r>
    <r>
      <rPr>
        <sz val="10"/>
        <color theme="1"/>
        <rFont val="微软雅黑"/>
        <family val="3"/>
        <charset val="134"/>
      </rPr>
      <t>此外，当你执行攻击动作时可以放弃自己动作攻击中的一次攻击，转而让你的魔宠使用其反应发动一次攻击。</t>
    </r>
    <phoneticPr fontId="68" type="noConversion"/>
  </si>
  <si>
    <t>你习得用武器攻击削弱敌人对你法术抵抗能力的方法。当你使用一把武器命中一个生物后，直到你的下个回合结束为止，该生物在对抗你法术所进行的下一次豁免检定中具有劣势。</t>
    <phoneticPr fontId="68" type="noConversion"/>
  </si>
  <si>
    <t>当你在自己回合执行攻击动作时，你可以该动作攻击中的两次攻击替换为施展一道施法时间为动作，环阶为一环或二环的你的法师法术。</t>
    <phoneticPr fontId="68" type="noConversion"/>
  </si>
  <si>
    <r>
      <rPr>
        <sz val="10"/>
        <color theme="1"/>
        <rFont val="宋体"/>
        <family val="3"/>
        <charset val="134"/>
      </rPr>
      <t>你可以将名为狂暴的原初之力赋予己身，为你带来超越常规的伟力和韧性。未着装重甲时，你能够以一个附赠动作进入狂暴。</t>
    </r>
    <r>
      <rPr>
        <sz val="10"/>
        <color theme="1"/>
        <rFont val="Times New Roman"/>
        <family val="3"/>
      </rPr>
      <t xml:space="preserve"> 
</t>
    </r>
    <r>
      <rPr>
        <sz val="10"/>
        <color theme="1"/>
        <rFont val="微软雅黑"/>
        <family val="3"/>
        <charset val="134"/>
      </rPr>
      <t>你可以进入狂暴的次数见野蛮人特性表中狂暴一栏。当你完成一次短休时，你重获一次已消耗的使用次数；当你完成一次长休时，你重获所有已消耗的使用次数。</t>
    </r>
    <r>
      <rPr>
        <sz val="10"/>
        <color theme="1"/>
        <rFont val="Times New Roman"/>
        <family val="3"/>
      </rPr>
      <t xml:space="preserve"> 
</t>
    </r>
    <r>
      <rPr>
        <sz val="10"/>
        <color theme="1"/>
        <rFont val="微软雅黑"/>
        <family val="3"/>
        <charset val="134"/>
      </rPr>
      <t>狂暴激活期间，你将遵循以下这些规则：</t>
    </r>
    <r>
      <rPr>
        <sz val="10"/>
        <color theme="1"/>
        <rFont val="Times New Roman"/>
        <family val="3"/>
      </rPr>
      <t xml:space="preserve"> 
</t>
    </r>
    <r>
      <rPr>
        <sz val="10"/>
        <color theme="1"/>
        <rFont val="微软雅黑"/>
        <family val="3"/>
        <charset val="134"/>
      </rPr>
      <t>伤害抗性</t>
    </r>
    <r>
      <rPr>
        <sz val="10"/>
        <color theme="1"/>
        <rFont val="Times New Roman"/>
        <family val="3"/>
      </rPr>
      <t>Damage Resistance</t>
    </r>
    <r>
      <rPr>
        <sz val="10"/>
        <color theme="1"/>
        <rFont val="微软雅黑"/>
        <family val="3"/>
        <charset val="134"/>
      </rPr>
      <t>。你具有钝击、穿刺、挥砍伤害的抗性。</t>
    </r>
    <r>
      <rPr>
        <sz val="10"/>
        <color theme="1"/>
        <rFont val="Times New Roman"/>
        <family val="3"/>
      </rPr>
      <t xml:space="preserve"> 
</t>
    </r>
    <r>
      <rPr>
        <sz val="10"/>
        <color theme="1"/>
        <rFont val="微软雅黑"/>
        <family val="3"/>
        <charset val="134"/>
      </rPr>
      <t>狂暴伤害</t>
    </r>
    <r>
      <rPr>
        <sz val="10"/>
        <color theme="1"/>
        <rFont val="Times New Roman"/>
        <family val="3"/>
      </rPr>
      <t>Rage Damage</t>
    </r>
    <r>
      <rPr>
        <sz val="10"/>
        <color theme="1"/>
        <rFont val="微软雅黑"/>
        <family val="3"/>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family val="3"/>
      </rPr>
      <t xml:space="preserve"> 
</t>
    </r>
    <r>
      <rPr>
        <sz val="10"/>
        <color theme="1"/>
        <rFont val="微软雅黑"/>
        <family val="3"/>
        <charset val="134"/>
      </rPr>
      <t>力量优势</t>
    </r>
    <r>
      <rPr>
        <sz val="10"/>
        <color theme="1"/>
        <rFont val="Times New Roman"/>
        <family val="3"/>
      </rPr>
      <t>Strength Advantage</t>
    </r>
    <r>
      <rPr>
        <sz val="10"/>
        <color theme="1"/>
        <rFont val="微软雅黑"/>
        <family val="3"/>
        <charset val="134"/>
      </rPr>
      <t>。你的力量检定和力量豁免检定具有优势。</t>
    </r>
    <r>
      <rPr>
        <sz val="10"/>
        <color theme="1"/>
        <rFont val="Times New Roman"/>
        <family val="3"/>
      </rPr>
      <t xml:space="preserve"> 
</t>
    </r>
    <r>
      <rPr>
        <sz val="10"/>
        <color theme="1"/>
        <rFont val="微软雅黑"/>
        <family val="3"/>
        <charset val="134"/>
      </rPr>
      <t>无法专注或施法</t>
    </r>
    <r>
      <rPr>
        <sz val="10"/>
        <color theme="1"/>
        <rFont val="Times New Roman"/>
        <family val="3"/>
      </rPr>
      <t>No Concentration or Spells</t>
    </r>
    <r>
      <rPr>
        <sz val="10"/>
        <color theme="1"/>
        <rFont val="微软雅黑"/>
        <family val="3"/>
        <charset val="134"/>
      </rPr>
      <t>。你无法保持专注，也不能施展法术。</t>
    </r>
    <r>
      <rPr>
        <sz val="10"/>
        <color theme="1"/>
        <rFont val="Times New Roman"/>
        <family val="3"/>
      </rPr>
      <t xml:space="preserve"> 
</t>
    </r>
    <r>
      <rPr>
        <sz val="10"/>
        <color theme="1"/>
        <rFont val="微软雅黑"/>
        <family val="3"/>
        <charset val="134"/>
      </rPr>
      <t>持续时间</t>
    </r>
    <r>
      <rPr>
        <sz val="10"/>
        <color theme="1"/>
        <rFont val="Times New Roman"/>
        <family val="3"/>
      </rPr>
      <t>Duration</t>
    </r>
    <r>
      <rPr>
        <sz val="10"/>
        <color theme="1"/>
        <rFont val="微软雅黑"/>
        <family val="3"/>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family val="3"/>
      </rPr>
      <t xml:space="preserve"> 
</t>
    </r>
    <r>
      <rPr>
        <sz val="10"/>
        <color theme="1"/>
        <rFont val="微软雅黑"/>
        <family val="3"/>
        <charset val="134"/>
      </rPr>
      <t>对一名敌人进行一次攻击检定。</t>
    </r>
    <r>
      <rPr>
        <sz val="10"/>
        <color theme="1"/>
        <rFont val="Times New Roman"/>
        <family val="3"/>
      </rPr>
      <t xml:space="preserve">
</t>
    </r>
    <r>
      <rPr>
        <sz val="10"/>
        <color theme="1"/>
        <rFont val="微软雅黑"/>
        <family val="3"/>
        <charset val="134"/>
      </rPr>
      <t>迫使一名敌人进行一次豁免检定。</t>
    </r>
    <r>
      <rPr>
        <sz val="10"/>
        <color theme="1"/>
        <rFont val="Times New Roman"/>
        <family val="3"/>
      </rPr>
      <t xml:space="preserve">
</t>
    </r>
    <r>
      <rPr>
        <sz val="10"/>
        <color theme="1"/>
        <rFont val="微软雅黑"/>
        <family val="3"/>
        <charset val="134"/>
      </rPr>
      <t>以一个附赠动作延长你的狂暴。</t>
    </r>
    <r>
      <rPr>
        <sz val="10"/>
        <color theme="1"/>
        <rFont val="Times New Roman"/>
        <family val="3"/>
      </rPr>
      <t xml:space="preserve">
</t>
    </r>
    <r>
      <rPr>
        <sz val="10"/>
        <color theme="1"/>
        <rFont val="微软雅黑"/>
        <family val="3"/>
        <charset val="134"/>
      </rPr>
      <t>每当狂暴被延长，都会持续至你的下个回合结束。你至多可以维持狂暴</t>
    </r>
    <r>
      <rPr>
        <sz val="10"/>
        <color theme="1"/>
        <rFont val="Times New Roman"/>
        <family val="3"/>
      </rPr>
      <t>10</t>
    </r>
    <r>
      <rPr>
        <sz val="10"/>
        <color theme="1"/>
        <rFont val="微软雅黑"/>
        <family val="3"/>
        <charset val="134"/>
      </rPr>
      <t>分钟。</t>
    </r>
    <phoneticPr fontId="68" type="noConversion"/>
  </si>
  <si>
    <r>
      <rPr>
        <sz val="10"/>
        <color theme="1"/>
        <rFont val="宋体"/>
        <family val="3"/>
        <charset val="134"/>
      </rPr>
      <t>每当你完成一次长休时，你可以将你准备列表上的一道法术替换为其他游侠法术，新替换的法术必须是你拥有法术位的法术。</t>
    </r>
    <r>
      <rPr>
        <sz val="10"/>
        <color theme="1"/>
        <rFont val="Times New Roman"/>
        <family val="3"/>
      </rPr>
      <t xml:space="preserve"> </t>
    </r>
    <phoneticPr fontId="68" type="noConversion"/>
  </si>
  <si>
    <t>魔契师</t>
    <phoneticPr fontId="68" type="noConversion"/>
  </si>
  <si>
    <t>舞光术</t>
    <phoneticPr fontId="68" type="noConversion"/>
  </si>
  <si>
    <t>被遗忘的国度：费伦英雄</t>
    <phoneticPr fontId="68" type="noConversion"/>
  </si>
  <si>
    <t>知识领域</t>
  </si>
  <si>
    <t>旗将</t>
  </si>
  <si>
    <t>巨灵贵族之誓</t>
  </si>
  <si>
    <t>凛冬行者</t>
  </si>
  <si>
    <t>三神门徒</t>
  </si>
  <si>
    <t>咒火术法</t>
  </si>
  <si>
    <t>皓月学院</t>
    <phoneticPr fontId="68" type="noConversion"/>
  </si>
  <si>
    <t>明月激励</t>
    <phoneticPr fontId="68" type="noConversion"/>
  </si>
  <si>
    <r>
      <rPr>
        <sz val="10"/>
        <color theme="1"/>
        <rFont val="宋体"/>
        <family val="1"/>
        <charset val="134"/>
      </rPr>
      <t>源于明月，瞬息万变的原初力量在你体内流动，使你获得以下好处：</t>
    </r>
    <r>
      <rPr>
        <sz val="10"/>
        <color theme="1"/>
        <rFont val="Times New Roman"/>
        <family val="1"/>
      </rPr>
      <t xml:space="preserve">
</t>
    </r>
    <r>
      <rPr>
        <sz val="10"/>
        <color theme="1"/>
        <rFont val="宋体"/>
        <family val="1"/>
        <charset val="134"/>
      </rPr>
      <t>月隐启迪</t>
    </r>
    <r>
      <rPr>
        <sz val="10"/>
        <color theme="1"/>
        <rFont val="Times New Roman"/>
        <family val="1"/>
      </rPr>
      <t>Inspired Eclipse</t>
    </r>
    <r>
      <rPr>
        <sz val="10"/>
        <color theme="1"/>
        <rFont val="宋体"/>
        <family val="1"/>
        <charset val="134"/>
      </rPr>
      <t>。当你以一个附赠动作给予一名生物吟游诗人激励骰时，作为此附赠动作的一部分，你能够获得隐形状态并传送至</t>
    </r>
    <r>
      <rPr>
        <sz val="10"/>
        <color theme="1"/>
        <rFont val="Times New Roman"/>
        <family val="1"/>
      </rPr>
      <t>30</t>
    </r>
    <r>
      <rPr>
        <sz val="10"/>
        <color theme="1"/>
        <rFont val="宋体"/>
        <family val="1"/>
        <charset val="134"/>
      </rPr>
      <t>尺内你能够看见的未被占据的空间。隐形状态会持续至你的下回合开始，或在你进行一次攻击检定、造成伤害或施展法术时立即终止。</t>
    </r>
    <r>
      <rPr>
        <sz val="10"/>
        <color theme="1"/>
        <rFont val="Times New Roman"/>
        <family val="1"/>
      </rPr>
      <t xml:space="preserve">
</t>
    </r>
    <r>
      <rPr>
        <sz val="10"/>
        <color theme="1"/>
        <rFont val="宋体"/>
        <family val="1"/>
        <charset val="134"/>
      </rPr>
      <t>月辉活力</t>
    </r>
    <r>
      <rPr>
        <sz val="10"/>
        <color theme="1"/>
        <rFont val="Times New Roman"/>
        <family val="1"/>
      </rPr>
      <t>Lunar Vitality</t>
    </r>
    <r>
      <rPr>
        <sz val="10"/>
        <color theme="1"/>
        <rFont val="宋体"/>
        <family val="1"/>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family val="1"/>
      </rPr>
      <t>10</t>
    </r>
    <r>
      <rPr>
        <sz val="10"/>
        <color theme="1"/>
        <rFont val="宋体"/>
        <family val="1"/>
        <charset val="134"/>
      </rPr>
      <t>尺。</t>
    </r>
    <phoneticPr fontId="68" type="noConversion"/>
  </si>
  <si>
    <t>原初学识</t>
    <phoneticPr fontId="68" type="noConversion"/>
  </si>
  <si>
    <r>
      <rPr>
        <sz val="10"/>
        <color theme="1"/>
        <rFont val="宋体"/>
        <family val="1"/>
        <charset val="134"/>
      </rPr>
      <t>你习得德鲁伊语和一个位于德鲁伊法术列表中的戏法。它对你而言视为诗人法术，但是不计入你的已知戏法数量。每当你获得一个吟游诗人等级时，你都可以将此戏法更换为德鲁伊法术列表中的另一个戏法。</t>
    </r>
    <r>
      <rPr>
        <sz val="10"/>
        <color theme="1"/>
        <rFont val="Times New Roman"/>
        <family val="1"/>
      </rPr>
      <t xml:space="preserve">
    </t>
    </r>
    <r>
      <rPr>
        <sz val="10"/>
        <color theme="1"/>
        <rFont val="宋体"/>
        <family val="1"/>
        <charset val="134"/>
      </rPr>
      <t>另外，从下列技能中任选其一：驯兽，洞悉，医药，自然，察觉和求生。你拥有你所选技能的熟练项。</t>
    </r>
    <phoneticPr fontId="68" type="noConversion"/>
  </si>
  <si>
    <t>月光祝福</t>
    <phoneticPr fontId="68" type="noConversion"/>
  </si>
  <si>
    <r>
      <rPr>
        <sz val="10"/>
        <color theme="1"/>
        <rFont val="宋体"/>
        <family val="1"/>
        <charset val="134"/>
      </rPr>
      <t>你总是准备着法术月华之光</t>
    </r>
    <r>
      <rPr>
        <sz val="10"/>
        <color theme="1"/>
        <rFont val="Times New Roman"/>
        <family val="1"/>
      </rPr>
      <t>Moonbeam</t>
    </r>
    <r>
      <rPr>
        <sz val="10"/>
        <color theme="1"/>
        <rFont val="宋体"/>
        <family val="1"/>
        <charset val="134"/>
      </rPr>
      <t>。</t>
    </r>
    <r>
      <rPr>
        <sz val="10"/>
        <color theme="1"/>
        <rFont val="Times New Roman"/>
        <family val="1"/>
      </rPr>
      <t xml:space="preserve">
    </t>
    </r>
    <r>
      <rPr>
        <sz val="10"/>
        <color theme="1"/>
        <rFont val="宋体"/>
        <family val="1"/>
        <charset val="134"/>
      </rPr>
      <t>当你施展法术月华之光</t>
    </r>
    <r>
      <rPr>
        <sz val="10"/>
        <color theme="1"/>
        <rFont val="Times New Roman"/>
        <family val="1"/>
      </rPr>
      <t>Moonbeam</t>
    </r>
    <r>
      <rPr>
        <sz val="10"/>
        <color theme="1"/>
        <rFont val="宋体"/>
        <family val="1"/>
        <charset val="134"/>
      </rPr>
      <t>时，你可以调整该法术，使其月辉也在你身上浮现。你的身体散发出光芒，在此期间，你</t>
    </r>
    <r>
      <rPr>
        <sz val="10"/>
        <color theme="1"/>
        <rFont val="Times New Roman"/>
        <family val="1"/>
      </rPr>
      <t>5</t>
    </r>
    <r>
      <rPr>
        <sz val="10"/>
        <color theme="1"/>
        <rFont val="宋体"/>
        <family val="1"/>
        <charset val="134"/>
      </rPr>
      <t>尺范围内散发出微光光照，并且每当有生物失败于你月华之光效应的豁免，你都可以选择一名你</t>
    </r>
    <r>
      <rPr>
        <sz val="10"/>
        <color theme="1"/>
        <rFont val="Times New Roman"/>
        <family val="1"/>
      </rPr>
      <t>60</t>
    </r>
    <r>
      <rPr>
        <sz val="10"/>
        <color theme="1"/>
        <rFont val="宋体"/>
        <family val="1"/>
        <charset val="134"/>
      </rPr>
      <t>尺内的可见生物，令其恢复</t>
    </r>
    <r>
      <rPr>
        <sz val="10"/>
        <color theme="1"/>
        <rFont val="Times New Roman"/>
        <family val="1"/>
      </rPr>
      <t>2d4</t>
    </r>
    <r>
      <rPr>
        <sz val="10"/>
        <color theme="1"/>
        <rFont val="宋体"/>
        <family val="1"/>
        <charset val="134"/>
      </rPr>
      <t>点生命值</t>
    </r>
    <r>
      <rPr>
        <sz val="10"/>
        <color theme="1"/>
        <rFont val="Times New Roman"/>
        <family val="1"/>
      </rPr>
      <t xml:space="preserve">
    </t>
    </r>
    <r>
      <rPr>
        <sz val="10"/>
        <color theme="1"/>
        <rFont val="宋体"/>
        <family val="1"/>
        <charset val="134"/>
      </rPr>
      <t>一旦你使用了此特性调整月华之光</t>
    </r>
    <r>
      <rPr>
        <sz val="10"/>
        <color theme="1"/>
        <rFont val="Times New Roman"/>
        <family val="1"/>
      </rPr>
      <t>Moonbeam</t>
    </r>
    <r>
      <rPr>
        <sz val="10"/>
        <color theme="1"/>
        <rFont val="宋体"/>
        <family val="1"/>
        <charset val="134"/>
      </rPr>
      <t>法术，你必须完成一次长休后才能再次使用此特性。</t>
    </r>
    <phoneticPr fontId="68" type="noConversion"/>
  </si>
  <si>
    <t>暮色辉光</t>
    <phoneticPr fontId="68" type="noConversion"/>
  </si>
  <si>
    <r>
      <rPr>
        <sz val="10"/>
        <color theme="1"/>
        <rFont val="宋体"/>
        <family val="1"/>
        <charset val="134"/>
      </rPr>
      <t>你的身体中流转着月亮的力量，这使你以如下方式提升了你的明月激励特性：</t>
    </r>
    <r>
      <rPr>
        <sz val="10"/>
        <color theme="1"/>
        <rFont val="Times New Roman"/>
        <family val="1"/>
      </rPr>
      <t xml:space="preserve">
    </t>
    </r>
    <r>
      <rPr>
        <sz val="10"/>
        <color theme="1"/>
        <rFont val="宋体"/>
        <family val="1"/>
        <charset val="134"/>
      </rPr>
      <t>新月之影</t>
    </r>
    <r>
      <rPr>
        <sz val="10"/>
        <color theme="1"/>
        <rFont val="Times New Roman"/>
        <family val="1"/>
      </rPr>
      <t>Shadow of the New Moon</t>
    </r>
    <r>
      <rPr>
        <sz val="10"/>
        <color theme="1"/>
        <rFont val="宋体"/>
        <family val="1"/>
        <charset val="134"/>
      </rPr>
      <t>。当你使用诗人激励时，获得你的吟游诗人激励骰的生物也可以获得隐形状态，并且立刻以一个反应传送至</t>
    </r>
    <r>
      <rPr>
        <sz val="10"/>
        <color theme="1"/>
        <rFont val="Times New Roman"/>
        <family val="1"/>
      </rPr>
      <t>30</t>
    </r>
    <r>
      <rPr>
        <sz val="10"/>
        <color theme="1"/>
        <rFont val="宋体"/>
        <family val="1"/>
        <charset val="134"/>
      </rPr>
      <t>尺内它可以看见的一处未被占据的空间。该生物的隐形状态持续至其下回合开始。</t>
    </r>
    <r>
      <rPr>
        <sz val="10"/>
        <color theme="1"/>
        <rFont val="Times New Roman"/>
        <family val="1"/>
      </rPr>
      <t xml:space="preserve">
    </t>
    </r>
    <r>
      <rPr>
        <sz val="10"/>
        <color theme="1"/>
        <rFont val="宋体"/>
        <family val="1"/>
        <charset val="134"/>
      </rPr>
      <t>满月之辉</t>
    </r>
    <r>
      <rPr>
        <sz val="10"/>
        <color theme="1"/>
        <rFont val="Times New Roman"/>
        <family val="1"/>
      </rPr>
      <t>Vibrance of the Full Moon</t>
    </r>
    <r>
      <rPr>
        <sz val="10"/>
        <color theme="1"/>
        <rFont val="宋体"/>
        <family val="1"/>
        <charset val="134"/>
      </rPr>
      <t>。当你使用月辉活力特性时，你可以不消耗你的吟游诗人激励骰，而是掷</t>
    </r>
    <r>
      <rPr>
        <sz val="10"/>
        <color theme="1"/>
        <rFont val="Times New Roman"/>
        <family val="1"/>
      </rPr>
      <t>1d6</t>
    </r>
    <r>
      <rPr>
        <sz val="10"/>
        <color theme="1"/>
        <rFont val="宋体"/>
        <family val="1"/>
        <charset val="134"/>
      </rPr>
      <t>并使用结果作为代替。</t>
    </r>
    <phoneticPr fontId="68" type="noConversion"/>
  </si>
  <si>
    <t>知识祝福</t>
    <phoneticPr fontId="68" type="noConversion"/>
  </si>
  <si>
    <t>你获得你选择的一个工匠工具熟练，以及下述技能中你选择的两个技能熟练：奥秘、历史、自然、宗教。你还会获得那两个技能的专精。</t>
    <phoneticPr fontId="68" type="noConversion"/>
  </si>
  <si>
    <t>知识领域法术</t>
    <phoneticPr fontId="68" type="noConversion"/>
  </si>
  <si>
    <r>
      <rPr>
        <sz val="10"/>
        <color theme="1"/>
        <rFont val="宋体"/>
        <family val="1"/>
        <charset val="134"/>
      </rPr>
      <t>当你到达知识领域法术表中特定的牧师等级时，你就始终准备了表中对应的法术。</t>
    </r>
    <r>
      <rPr>
        <sz val="10"/>
        <color theme="1"/>
        <rFont val="Times New Roman"/>
        <family val="1"/>
      </rPr>
      <t xml:space="preserve">
</t>
    </r>
    <r>
      <rPr>
        <sz val="10"/>
        <color theme="1"/>
        <rFont val="宋体"/>
        <family val="1"/>
        <charset val="134"/>
      </rPr>
      <t>知识领域法术</t>
    </r>
    <r>
      <rPr>
        <sz val="10"/>
        <color theme="1"/>
        <rFont val="Times New Roman"/>
        <family val="1"/>
      </rPr>
      <t xml:space="preserve">Knowledge Domain Spells
</t>
    </r>
    <r>
      <rPr>
        <sz val="10"/>
        <color theme="1"/>
        <rFont val="宋体"/>
        <family val="1"/>
        <charset val="134"/>
      </rPr>
      <t>牧师等级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，通晓语言</t>
    </r>
    <r>
      <rPr>
        <sz val="10"/>
        <color theme="1"/>
        <rFont val="Times New Roman"/>
        <family val="1"/>
      </rPr>
      <t>*Comprehend Languages</t>
    </r>
    <r>
      <rPr>
        <sz val="10"/>
        <color theme="1"/>
        <rFont val="宋体"/>
        <family val="1"/>
        <charset val="134"/>
      </rPr>
      <t>，侦测魔法</t>
    </r>
    <r>
      <rPr>
        <sz val="10"/>
        <color theme="1"/>
        <rFont val="Times New Roman"/>
        <family val="1"/>
      </rPr>
      <t>*Detect Magic</t>
    </r>
    <r>
      <rPr>
        <sz val="10"/>
        <color theme="1"/>
        <rFont val="宋体"/>
        <family val="1"/>
        <charset val="134"/>
      </rPr>
      <t>，侦测思想</t>
    </r>
    <r>
      <rPr>
        <sz val="10"/>
        <color theme="1"/>
        <rFont val="Times New Roman"/>
        <family val="1"/>
      </rPr>
      <t>*Detect Thoughts</t>
    </r>
    <r>
      <rPr>
        <sz val="10"/>
        <color theme="1"/>
        <rFont val="宋体"/>
        <family val="1"/>
        <charset val="134"/>
      </rPr>
      <t>，鉴定术</t>
    </r>
    <r>
      <rPr>
        <sz val="10"/>
        <color theme="1"/>
        <rFont val="Times New Roman"/>
        <family val="1"/>
      </rPr>
      <t>*Identify</t>
    </r>
    <r>
      <rPr>
        <sz val="10"/>
        <color theme="1"/>
        <rFont val="宋体"/>
        <family val="1"/>
        <charset val="134"/>
      </rPr>
      <t>，心灵尖刺</t>
    </r>
    <r>
      <rPr>
        <sz val="10"/>
        <color theme="1"/>
        <rFont val="Times New Roman"/>
        <family val="1"/>
      </rPr>
      <t xml:space="preserve">*Mind Spike
5	</t>
    </r>
    <r>
      <rPr>
        <sz val="10"/>
        <color theme="1"/>
        <rFont val="宋体"/>
        <family val="1"/>
        <charset val="134"/>
      </rPr>
      <t>解除魔法</t>
    </r>
    <r>
      <rPr>
        <sz val="10"/>
        <color theme="1"/>
        <rFont val="Times New Roman"/>
        <family val="1"/>
      </rPr>
      <t>Dispel Magic</t>
    </r>
    <r>
      <rPr>
        <sz val="10"/>
        <color theme="1"/>
        <rFont val="宋体"/>
        <family val="1"/>
        <charset val="134"/>
      </rPr>
      <t>，回避侦测</t>
    </r>
    <r>
      <rPr>
        <sz val="10"/>
        <color theme="1"/>
        <rFont val="Times New Roman"/>
        <family val="1"/>
      </rPr>
      <t>Nondetection</t>
    </r>
    <r>
      <rPr>
        <sz val="10"/>
        <color theme="1"/>
        <rFont val="宋体"/>
        <family val="1"/>
        <charset val="134"/>
      </rPr>
      <t>，巧言术</t>
    </r>
    <r>
      <rPr>
        <sz val="10"/>
        <color theme="1"/>
        <rFont val="Times New Roman"/>
        <family val="1"/>
      </rPr>
      <t xml:space="preserve">*Tongues
7	</t>
    </r>
    <r>
      <rPr>
        <sz val="10"/>
        <color theme="1"/>
        <rFont val="宋体"/>
        <family val="1"/>
        <charset val="134"/>
      </rPr>
      <t>秘法眼</t>
    </r>
    <r>
      <rPr>
        <sz val="10"/>
        <color theme="1"/>
        <rFont val="Times New Roman"/>
        <family val="1"/>
      </rPr>
      <t>* Arcane Eye</t>
    </r>
    <r>
      <rPr>
        <sz val="10"/>
        <color theme="1"/>
        <rFont val="宋体"/>
        <family val="1"/>
        <charset val="134"/>
      </rPr>
      <t>，放逐术</t>
    </r>
    <r>
      <rPr>
        <sz val="10"/>
        <color theme="1"/>
        <rFont val="Times New Roman"/>
        <family val="1"/>
      </rPr>
      <t>Banishment</t>
    </r>
    <r>
      <rPr>
        <sz val="10"/>
        <color theme="1"/>
        <rFont val="宋体"/>
        <family val="1"/>
        <charset val="134"/>
      </rPr>
      <t>，困惑术</t>
    </r>
    <r>
      <rPr>
        <sz val="10"/>
        <color theme="1"/>
        <rFont val="Times New Roman"/>
        <family val="1"/>
      </rPr>
      <t xml:space="preserve">Confusion
9	</t>
    </r>
    <r>
      <rPr>
        <sz val="10"/>
        <color theme="1"/>
        <rFont val="宋体"/>
        <family val="1"/>
        <charset val="134"/>
      </rPr>
      <t>通晓传奇</t>
    </r>
    <r>
      <rPr>
        <sz val="10"/>
        <color theme="1"/>
        <rFont val="Times New Roman"/>
        <family val="1"/>
      </rPr>
      <t>*Legend Lore</t>
    </r>
    <r>
      <rPr>
        <sz val="10"/>
        <color theme="1"/>
        <rFont val="宋体"/>
        <family val="1"/>
        <charset val="134"/>
      </rPr>
      <t>，探知术</t>
    </r>
    <r>
      <rPr>
        <sz val="10"/>
        <color theme="1"/>
        <rFont val="Times New Roman"/>
        <family val="1"/>
      </rPr>
      <t>*Scrying</t>
    </r>
    <r>
      <rPr>
        <sz val="10"/>
        <color theme="1"/>
        <rFont val="宋体"/>
        <family val="1"/>
        <charset val="134"/>
      </rPr>
      <t>，突触静止</t>
    </r>
    <r>
      <rPr>
        <sz val="10"/>
        <color theme="1"/>
        <rFont val="Times New Roman"/>
        <family val="1"/>
      </rPr>
      <t>Synaptic Static</t>
    </r>
    <phoneticPr fontId="68" type="noConversion"/>
  </si>
  <si>
    <t>思维魔法</t>
    <phoneticPr fontId="68" type="noConversion"/>
  </si>
  <si>
    <t>以一个魔法动作，你可以通过消耗一次引导神力来具象化你的魔法学识。从知识领域法术表中选择一个你已经准备的预言学派法术。作为该动作的一部分，你无需法术位以及材料成分的施展该法术。</t>
    <phoneticPr fontId="68" type="noConversion"/>
  </si>
  <si>
    <t>无拘心智</t>
    <phoneticPr fontId="68" type="noConversion"/>
  </si>
  <si>
    <r>
      <rPr>
        <sz val="10"/>
        <color theme="1"/>
        <rFont val="宋体"/>
        <family val="1"/>
        <charset val="134"/>
      </rPr>
      <t>你获得</t>
    </r>
    <r>
      <rPr>
        <sz val="10"/>
        <color theme="1"/>
        <rFont val="Times New Roman"/>
        <family val="1"/>
      </rPr>
      <t>60</t>
    </r>
    <r>
      <rPr>
        <sz val="10"/>
        <color theme="1"/>
        <rFont val="宋体"/>
        <family val="1"/>
        <charset val="134"/>
      </rPr>
      <t>尺心灵感应。当你使用此心灵感应时，你可以同时联结数量等同于你感知调整值的生物（最少为</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此外，你获得智力豁免熟练。如果你已经拥有了该熟练，你获得一个你尚未拥有的豁免熟练作为代替。</t>
    </r>
    <phoneticPr fontId="68" type="noConversion"/>
  </si>
  <si>
    <t>神圣预知</t>
    <phoneticPr fontId="68" type="noConversion"/>
  </si>
  <si>
    <r>
      <rPr>
        <sz val="10"/>
        <color theme="1"/>
        <rFont val="宋体"/>
        <family val="1"/>
        <charset val="134"/>
      </rPr>
      <t>以一个附赠动作，你魔法地将思维延展到未来。在</t>
    </r>
    <r>
      <rPr>
        <sz val="10"/>
        <color theme="1"/>
        <rFont val="Times New Roman"/>
        <family val="1"/>
      </rPr>
      <t>1</t>
    </r>
    <r>
      <rPr>
        <sz val="10"/>
        <color theme="1"/>
        <rFont val="宋体"/>
        <family val="1"/>
        <charset val="134"/>
      </rPr>
      <t>个小时内，你在</t>
    </r>
    <r>
      <rPr>
        <sz val="10"/>
        <color theme="1"/>
        <rFont val="Times New Roman"/>
        <family val="1"/>
      </rPr>
      <t>D20</t>
    </r>
    <r>
      <rPr>
        <sz val="10"/>
        <color theme="1"/>
        <rFont val="宋体"/>
        <family val="1"/>
        <charset val="134"/>
      </rPr>
      <t>检定上获得优势。此特性一经使用，直至完成长休你都无法再次使用。你也可以消耗一个六环及以上的法术位来重置此特性的使用权（无需动作）</t>
    </r>
    <phoneticPr fontId="68" type="noConversion"/>
  </si>
  <si>
    <t>骑士礼节</t>
    <phoneticPr fontId="68" type="noConversion"/>
  </si>
  <si>
    <t>身为贵族使节的你总能维持得体的举止。你获得以下好处。
理解Comprehension。你可以施展法术通晓语言Comprehend Languages（仅作为仪式）。魅力是你该法术的施法属性。
悟性Polyglot。你从《玩家手册》或本书第二章的语言表中习得一门语言。每当你完成一次长休，你可以用另一种你在过去24小时内听过、看过或读过的语言来代替从这个特性中学到的语言。
言辞Well Spoken：你选择并获得下列一项技能的熟练项：洞悉、威吓、表演、游说。</t>
    <phoneticPr fontId="68" type="noConversion"/>
  </si>
  <si>
    <t>群体恢复</t>
    <phoneticPr fontId="68" type="noConversion"/>
  </si>
  <si>
    <t>当你使用你的回气特性来回复生命值时，你可以选择等同于你魅力调整值数量（最少为1）的，在以你自身为源点30尺光环区域内的盟友。每个盟友获得等同于1d4+你的战士等级的生命值回复。
每当你使用此能力后，直至你完成一次短休或长休前无法再次使用。</t>
    <phoneticPr fontId="68" type="noConversion"/>
  </si>
  <si>
    <t>当你使用群体恢复特性后，直到你的下个回合开始，你选择的盟友在进行D20检定时具有优势。</t>
    <phoneticPr fontId="68" type="noConversion"/>
  </si>
  <si>
    <t>集结如潮</t>
    <phoneticPr fontId="68" type="noConversion"/>
  </si>
  <si>
    <r>
      <rPr>
        <sz val="10"/>
        <color theme="1"/>
        <rFont val="宋体"/>
        <family val="1"/>
        <charset val="134"/>
      </rPr>
      <t>当你使用你的动作如潮特性时，你可以选择等同于你魅力调整值数量（最少为</t>
    </r>
    <r>
      <rPr>
        <sz val="10"/>
        <color theme="1"/>
        <rFont val="Times New Roman"/>
        <family val="1"/>
      </rPr>
      <t>1</t>
    </r>
    <r>
      <rPr>
        <sz val="10"/>
        <color theme="1"/>
        <rFont val="宋体"/>
        <family val="1"/>
        <charset val="134"/>
      </rPr>
      <t>）的，在以你自身为源点</t>
    </r>
    <r>
      <rPr>
        <sz val="10"/>
        <color theme="1"/>
        <rFont val="Times New Roman"/>
        <family val="1"/>
      </rPr>
      <t>30</t>
    </r>
    <r>
      <rPr>
        <sz val="10"/>
        <color theme="1"/>
        <rFont val="宋体"/>
        <family val="1"/>
        <charset val="134"/>
      </rPr>
      <t>尺光环范围区域内的盟友。</t>
    </r>
    <r>
      <rPr>
        <sz val="10"/>
        <color theme="1"/>
        <rFont val="Times New Roman"/>
        <family val="1"/>
      </rPr>
      <t xml:space="preserve">
</t>
    </r>
    <r>
      <rPr>
        <sz val="10"/>
        <color theme="1"/>
        <rFont val="宋体"/>
        <family val="1"/>
        <charset val="134"/>
      </rPr>
      <t>每一个你选择的盟友都可以立即执行一次反应来使用下列选项之一：</t>
    </r>
    <r>
      <rPr>
        <sz val="10"/>
        <color theme="1"/>
        <rFont val="Times New Roman"/>
        <family val="1"/>
      </rPr>
      <t xml:space="preserve">
</t>
    </r>
    <r>
      <rPr>
        <sz val="10"/>
        <color theme="1"/>
        <rFont val="宋体"/>
        <family val="1"/>
        <charset val="134"/>
      </rPr>
      <t>攻击</t>
    </r>
    <r>
      <rPr>
        <sz val="10"/>
        <color theme="1"/>
        <rFont val="Times New Roman"/>
        <family val="1"/>
      </rPr>
      <t>Attack</t>
    </r>
    <r>
      <rPr>
        <sz val="10"/>
        <color theme="1"/>
        <rFont val="宋体"/>
        <family val="1"/>
        <charset val="134"/>
      </rPr>
      <t>：该盟友用武器或徒手打击发动一次攻击。</t>
    </r>
    <r>
      <rPr>
        <sz val="10"/>
        <color theme="1"/>
        <rFont val="Times New Roman"/>
        <family val="1"/>
      </rPr>
      <t xml:space="preserve">
</t>
    </r>
    <r>
      <rPr>
        <sz val="10"/>
        <color theme="1"/>
        <rFont val="宋体"/>
        <family val="1"/>
        <charset val="134"/>
      </rPr>
      <t>移动</t>
    </r>
    <r>
      <rPr>
        <sz val="10"/>
        <color theme="1"/>
        <rFont val="Times New Roman"/>
        <family val="1"/>
      </rPr>
      <t>Move</t>
    </r>
    <r>
      <rPr>
        <sz val="10"/>
        <color theme="1"/>
        <rFont val="宋体"/>
        <family val="1"/>
        <charset val="134"/>
      </rPr>
      <t>：该盟友移动等于其速度一半的距离且不触发借机攻击。</t>
    </r>
    <phoneticPr fontId="68" type="noConversion"/>
  </si>
  <si>
    <t>同筑坚城</t>
    <phoneticPr fontId="68" type="noConversion"/>
  </si>
  <si>
    <r>
      <rPr>
        <sz val="10"/>
        <color theme="1"/>
        <rFont val="宋体"/>
        <family val="1"/>
        <charset val="134"/>
      </rPr>
      <t>当一位</t>
    </r>
    <r>
      <rPr>
        <sz val="10"/>
        <color theme="1"/>
        <rFont val="Times New Roman"/>
        <family val="1"/>
      </rPr>
      <t>60</t>
    </r>
    <r>
      <rPr>
        <sz val="10"/>
        <color theme="1"/>
        <rFont val="宋体"/>
        <family val="1"/>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phoneticPr fontId="68" type="noConversion"/>
  </si>
  <si>
    <t>振军将帅</t>
    <phoneticPr fontId="68" type="noConversion"/>
  </si>
  <si>
    <r>
      <rPr>
        <sz val="10"/>
        <color theme="1"/>
        <rFont val="宋体"/>
        <family val="1"/>
        <charset val="134"/>
      </rPr>
      <t>你获得以下好处：</t>
    </r>
    <r>
      <rPr>
        <sz val="10"/>
        <color theme="1"/>
        <rFont val="Times New Roman"/>
        <family val="1"/>
      </rPr>
      <t xml:space="preserve">
</t>
    </r>
    <r>
      <rPr>
        <sz val="10"/>
        <color theme="1"/>
        <rFont val="宋体"/>
        <family val="1"/>
        <charset val="134"/>
      </rPr>
      <t>众志成城</t>
    </r>
    <r>
      <rPr>
        <sz val="10"/>
        <color theme="1"/>
        <rFont val="Times New Roman"/>
        <family val="1"/>
      </rPr>
      <t>BolsteredRally</t>
    </r>
    <r>
      <rPr>
        <sz val="10"/>
        <color theme="1"/>
        <rFont val="宋体"/>
        <family val="1"/>
        <charset val="134"/>
      </rPr>
      <t>：群体恢复和集结如潮特性的效应区域都变为</t>
    </r>
    <r>
      <rPr>
        <sz val="10"/>
        <color theme="1"/>
        <rFont val="Times New Roman"/>
        <family val="1"/>
      </rPr>
      <t>60</t>
    </r>
    <r>
      <rPr>
        <sz val="10"/>
        <color theme="1"/>
        <rFont val="宋体"/>
        <family val="1"/>
        <charset val="134"/>
      </rPr>
      <t>尺光环区域。</t>
    </r>
    <r>
      <rPr>
        <sz val="10"/>
        <color theme="1"/>
        <rFont val="Times New Roman"/>
        <family val="1"/>
      </rPr>
      <t xml:space="preserve">
</t>
    </r>
    <r>
      <rPr>
        <sz val="10"/>
        <color theme="1"/>
        <rFont val="宋体"/>
        <family val="1"/>
        <charset val="134"/>
      </rPr>
      <t>不当之勇</t>
    </r>
    <r>
      <rPr>
        <sz val="10"/>
        <color theme="1"/>
        <rFont val="Times New Roman"/>
        <family val="1"/>
      </rPr>
      <t>UnshakableBravery</t>
    </r>
    <r>
      <rPr>
        <sz val="10"/>
        <color theme="1"/>
        <rFont val="宋体"/>
        <family val="1"/>
        <charset val="134"/>
      </rPr>
      <t>：你免疫于魅惑和恐慌状态。</t>
    </r>
    <phoneticPr fontId="68" type="noConversion"/>
  </si>
  <si>
    <t>元素斩</t>
    <phoneticPr fontId="68" type="noConversion"/>
  </si>
  <si>
    <r>
      <rPr>
        <sz val="10"/>
        <color theme="1"/>
        <rFont val="宋体"/>
        <family val="1"/>
        <charset val="134"/>
      </rPr>
      <t>在你对目标施展至圣斩法术之后，你可以立即消耗一次引导神力的使用次数并触发以下效应之一：</t>
    </r>
    <r>
      <rPr>
        <sz val="10"/>
        <color theme="1"/>
        <rFont val="Times New Roman"/>
        <family val="1"/>
      </rPr>
      <t xml:space="preserve">
</t>
    </r>
    <r>
      <rPr>
        <sz val="10"/>
        <color theme="1"/>
        <rFont val="宋体"/>
        <family val="1"/>
        <charset val="134"/>
      </rPr>
      <t>土巨灵之碾压</t>
    </r>
    <r>
      <rPr>
        <sz val="10"/>
        <color theme="1"/>
        <rFont val="Times New Roman"/>
        <family val="1"/>
      </rPr>
      <t>Dao's Crush</t>
    </r>
    <r>
      <rPr>
        <sz val="10"/>
        <color theme="1"/>
        <rFont val="宋体"/>
        <family val="1"/>
        <charset val="134"/>
      </rPr>
      <t>。大地在你的目标周围隆起，目标陷入受擒状态（逃脱</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）。在受擒期间，该目标处于束缚状态。</t>
    </r>
    <r>
      <rPr>
        <sz val="10"/>
        <color theme="1"/>
        <rFont val="Times New Roman"/>
        <family val="1"/>
      </rPr>
      <t xml:space="preserve">
</t>
    </r>
    <r>
      <rPr>
        <sz val="10"/>
        <color theme="1"/>
        <rFont val="宋体"/>
        <family val="1"/>
        <charset val="134"/>
      </rPr>
      <t>气巨灵之遁形</t>
    </r>
    <r>
      <rPr>
        <sz val="10"/>
        <color theme="1"/>
        <rFont val="Times New Roman"/>
        <family val="1"/>
      </rPr>
      <t>Djinni's Escape</t>
    </r>
    <r>
      <rPr>
        <sz val="10"/>
        <color theme="1"/>
        <rFont val="宋体"/>
        <family val="1"/>
        <charset val="134"/>
      </rPr>
      <t>。你可以传送至</t>
    </r>
    <r>
      <rPr>
        <sz val="10"/>
        <color theme="1"/>
        <rFont val="Times New Roman"/>
        <family val="1"/>
      </rPr>
      <t>30</t>
    </r>
    <r>
      <rPr>
        <sz val="10"/>
        <color theme="1"/>
        <rFont val="宋体"/>
        <family val="1"/>
        <charset val="134"/>
      </rPr>
      <t>尺范围内的一处你可见的、未被占据的空间，并化为半虚体的形态，这一形态持续至你的下个回合结束。在此形态期间，你具有钝击、穿刺、挥砍伤害的抗性，并且免疫受擒、倒地和束缚状态。</t>
    </r>
    <r>
      <rPr>
        <sz val="10"/>
        <color theme="1"/>
        <rFont val="Times New Roman"/>
        <family val="1"/>
      </rPr>
      <t xml:space="preserve">
</t>
    </r>
    <r>
      <rPr>
        <sz val="10"/>
        <color theme="1"/>
        <rFont val="宋体"/>
        <family val="1"/>
        <charset val="134"/>
      </rPr>
      <t>火巨灵之狂怒</t>
    </r>
    <r>
      <rPr>
        <sz val="10"/>
        <color theme="1"/>
        <rFont val="Times New Roman"/>
        <family val="1"/>
      </rPr>
      <t>Efreeti's Fury</t>
    </r>
    <r>
      <rPr>
        <sz val="10"/>
        <color theme="1"/>
        <rFont val="宋体"/>
        <family val="1"/>
        <charset val="134"/>
      </rPr>
      <t>。你的目标额外受到</t>
    </r>
    <r>
      <rPr>
        <sz val="10"/>
        <color theme="1"/>
        <rFont val="Times New Roman"/>
        <family val="1"/>
      </rPr>
      <t>2d4</t>
    </r>
    <r>
      <rPr>
        <sz val="10"/>
        <color theme="1"/>
        <rFont val="宋体"/>
        <family val="1"/>
        <charset val="134"/>
      </rPr>
      <t>点火焰伤害，火焰也会弹射到你自身</t>
    </r>
    <r>
      <rPr>
        <sz val="10"/>
        <color theme="1"/>
        <rFont val="Times New Roman"/>
        <family val="1"/>
      </rPr>
      <t>30</t>
    </r>
    <r>
      <rPr>
        <sz val="10"/>
        <color theme="1"/>
        <rFont val="宋体"/>
        <family val="1"/>
        <charset val="134"/>
      </rPr>
      <t>尺范围内可见的另一生物，该生物也受到</t>
    </r>
    <r>
      <rPr>
        <sz val="10"/>
        <color theme="1"/>
        <rFont val="Times New Roman"/>
        <family val="1"/>
      </rPr>
      <t>2d4</t>
    </r>
    <r>
      <rPr>
        <sz val="10"/>
        <color theme="1"/>
        <rFont val="宋体"/>
        <family val="1"/>
        <charset val="134"/>
      </rPr>
      <t>火焰伤害。</t>
    </r>
    <r>
      <rPr>
        <sz val="10"/>
        <color theme="1"/>
        <rFont val="Times New Roman"/>
        <family val="1"/>
      </rPr>
      <t xml:space="preserve">
</t>
    </r>
    <r>
      <rPr>
        <sz val="10"/>
        <color theme="1"/>
        <rFont val="宋体"/>
        <family val="1"/>
        <charset val="134"/>
      </rPr>
      <t>水巨灵之激流</t>
    </r>
    <r>
      <rPr>
        <sz val="10"/>
        <color theme="1"/>
        <rFont val="Times New Roman"/>
        <family val="1"/>
      </rPr>
      <t>Marid's Surge</t>
    </r>
    <r>
      <rPr>
        <sz val="10"/>
        <color theme="1"/>
        <rFont val="宋体"/>
        <family val="1"/>
        <charset val="134"/>
      </rPr>
      <t>。目标和源自你的</t>
    </r>
    <r>
      <rPr>
        <sz val="10"/>
        <color theme="1"/>
        <rFont val="Times New Roman"/>
        <family val="1"/>
      </rPr>
      <t>10</t>
    </r>
    <r>
      <rPr>
        <sz val="10"/>
        <color theme="1"/>
        <rFont val="宋体"/>
        <family val="1"/>
        <charset val="134"/>
      </rPr>
      <t>尺光环区域内你指定的每个生物进行一次对抗你法术豁免</t>
    </r>
    <r>
      <rPr>
        <sz val="10"/>
        <color theme="1"/>
        <rFont val="Times New Roman"/>
        <family val="1"/>
      </rPr>
      <t>DC</t>
    </r>
    <r>
      <rPr>
        <sz val="10"/>
        <color theme="1"/>
        <rFont val="宋体"/>
        <family val="1"/>
        <charset val="134"/>
      </rPr>
      <t>的力量豁免。豁免失败的生物被直线推开</t>
    </r>
    <r>
      <rPr>
        <sz val="10"/>
        <color theme="1"/>
        <rFont val="Times New Roman"/>
        <family val="1"/>
      </rPr>
      <t>15</t>
    </r>
    <r>
      <rPr>
        <sz val="10"/>
        <color theme="1"/>
        <rFont val="宋体"/>
        <family val="1"/>
        <charset val="134"/>
      </rPr>
      <t>尺并陷入倒地状态。</t>
    </r>
    <phoneticPr fontId="68" type="noConversion"/>
  </si>
  <si>
    <t>巨灵法术</t>
    <phoneticPr fontId="68" type="noConversion"/>
  </si>
  <si>
    <r>
      <rPr>
        <sz val="10"/>
        <color theme="1"/>
        <rFont val="宋体"/>
        <family val="1"/>
        <charset val="134"/>
      </rPr>
      <t>当你到达巨灵法术表中特定的圣武士等级时，你就始终准备了表中对应的法术。</t>
    </r>
    <r>
      <rPr>
        <sz val="10"/>
        <color theme="1"/>
        <rFont val="Times New Roman"/>
        <family val="1"/>
      </rPr>
      <t xml:space="preserve">
</t>
    </r>
    <r>
      <rPr>
        <sz val="10"/>
        <color theme="1"/>
        <rFont val="宋体"/>
        <family val="1"/>
        <charset val="134"/>
      </rPr>
      <t>巨灵法术</t>
    </r>
    <r>
      <rPr>
        <sz val="10"/>
        <color theme="1"/>
        <rFont val="Times New Roman"/>
        <family val="1"/>
      </rPr>
      <t xml:space="preserve"> Genie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繁彩球</t>
    </r>
    <r>
      <rPr>
        <sz val="10"/>
        <color theme="1"/>
        <rFont val="Times New Roman"/>
        <family val="1"/>
      </rPr>
      <t>Chromatic Orb</t>
    </r>
    <r>
      <rPr>
        <sz val="10"/>
        <color theme="1"/>
        <rFont val="宋体"/>
        <family val="1"/>
        <charset val="134"/>
      </rPr>
      <t>，四象法门</t>
    </r>
    <r>
      <rPr>
        <sz val="10"/>
        <color theme="1"/>
        <rFont val="Times New Roman"/>
        <family val="1"/>
      </rPr>
      <t>Elementalism</t>
    </r>
    <r>
      <rPr>
        <sz val="10"/>
        <color theme="1"/>
        <rFont val="宋体"/>
        <family val="1"/>
        <charset val="134"/>
      </rPr>
      <t>，雷鸣斩</t>
    </r>
    <r>
      <rPr>
        <sz val="10"/>
        <color theme="1"/>
        <rFont val="Times New Roman"/>
        <family val="1"/>
      </rPr>
      <t xml:space="preserve">Thunderous Smite
5	</t>
    </r>
    <r>
      <rPr>
        <sz val="10"/>
        <color theme="1"/>
        <rFont val="宋体"/>
        <family val="1"/>
        <charset val="134"/>
      </rPr>
      <t>镜影术</t>
    </r>
    <r>
      <rPr>
        <sz val="10"/>
        <color theme="1"/>
        <rFont val="Times New Roman"/>
        <family val="1"/>
      </rPr>
      <t>Mirror Image</t>
    </r>
    <r>
      <rPr>
        <sz val="10"/>
        <color theme="1"/>
        <rFont val="宋体"/>
        <family val="1"/>
        <charset val="134"/>
      </rPr>
      <t>，魅影之力</t>
    </r>
    <r>
      <rPr>
        <sz val="10"/>
        <color theme="1"/>
        <rFont val="Times New Roman"/>
        <family val="1"/>
      </rPr>
      <t xml:space="preserve">Phantasmal Force
9	</t>
    </r>
    <r>
      <rPr>
        <sz val="10"/>
        <color theme="1"/>
        <rFont val="宋体"/>
        <family val="1"/>
        <charset val="134"/>
      </rPr>
      <t>飞行术</t>
    </r>
    <r>
      <rPr>
        <sz val="10"/>
        <color theme="1"/>
        <rFont val="Times New Roman"/>
        <family val="1"/>
      </rPr>
      <t>Fly</t>
    </r>
    <r>
      <rPr>
        <sz val="10"/>
        <color theme="1"/>
        <rFont val="宋体"/>
        <family val="1"/>
        <charset val="134"/>
      </rPr>
      <t>，气化形体</t>
    </r>
    <r>
      <rPr>
        <sz val="10"/>
        <color theme="1"/>
        <rFont val="Times New Roman"/>
        <family val="1"/>
      </rPr>
      <t xml:space="preserve">Gaseous Form
13	</t>
    </r>
    <r>
      <rPr>
        <sz val="10"/>
        <color theme="1"/>
        <rFont val="宋体"/>
        <family val="1"/>
        <charset val="134"/>
      </rPr>
      <t>咒唤微元素群</t>
    </r>
    <r>
      <rPr>
        <sz val="10"/>
        <color theme="1"/>
        <rFont val="Times New Roman"/>
        <family val="1"/>
      </rPr>
      <t>Conjure Minor Elementals</t>
    </r>
    <r>
      <rPr>
        <sz val="10"/>
        <color theme="1"/>
        <rFont val="宋体"/>
        <family val="1"/>
        <charset val="134"/>
      </rPr>
      <t>，元素召唤术</t>
    </r>
    <r>
      <rPr>
        <sz val="10"/>
        <color theme="1"/>
        <rFont val="Times New Roman"/>
        <family val="1"/>
      </rPr>
      <t xml:space="preserve">Summon Elemental
17	</t>
    </r>
    <r>
      <rPr>
        <sz val="10"/>
        <color theme="1"/>
        <rFont val="宋体"/>
        <family val="1"/>
        <charset val="134"/>
      </rPr>
      <t>放逐斩</t>
    </r>
    <r>
      <rPr>
        <sz val="10"/>
        <color theme="1"/>
        <rFont val="Times New Roman"/>
        <family val="1"/>
      </rPr>
      <t>Banishing Smite</t>
    </r>
    <r>
      <rPr>
        <sz val="10"/>
        <color theme="1"/>
        <rFont val="宋体"/>
        <family val="1"/>
        <charset val="134"/>
      </rPr>
      <t>，异界探知</t>
    </r>
    <r>
      <rPr>
        <sz val="10"/>
        <color theme="1"/>
        <rFont val="Times New Roman"/>
        <family val="1"/>
      </rPr>
      <t>Contact Other Plane</t>
    </r>
    <phoneticPr fontId="68" type="noConversion"/>
  </si>
  <si>
    <t>巨灵流光</t>
    <phoneticPr fontId="68" type="noConversion"/>
  </si>
  <si>
    <r>
      <rPr>
        <sz val="10"/>
        <color theme="1"/>
        <rFont val="宋体"/>
        <family val="1"/>
        <charset val="134"/>
      </rPr>
      <t>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你的敏捷调整值＋你的魅力调整值，你可以持有盾牌并从中受益。</t>
    </r>
    <r>
      <rPr>
        <sz val="10"/>
        <color theme="1"/>
        <rFont val="Times New Roman"/>
        <family val="1"/>
      </rPr>
      <t xml:space="preserve">
</t>
    </r>
    <r>
      <rPr>
        <sz val="10"/>
        <color theme="1"/>
        <rFont val="宋体"/>
        <family val="1"/>
        <charset val="134"/>
      </rPr>
      <t>你还可以从下列中选择一项获得熟练：特技、威吓、表演或游说。</t>
    </r>
    <phoneticPr fontId="68" type="noConversion"/>
  </si>
  <si>
    <t>元素守御灵光</t>
    <phoneticPr fontId="68" type="noConversion"/>
  </si>
  <si>
    <r>
      <rPr>
        <sz val="10"/>
        <color theme="1"/>
        <rFont val="宋体"/>
        <family val="1"/>
        <charset val="134"/>
      </rPr>
      <t>选择以下伤害类型之一：强酸、寒冷、火焰、闪电或雷鸣。你和位于你守护灵光内的盟友具有该伤害类型的抗性。</t>
    </r>
    <r>
      <rPr>
        <sz val="10"/>
        <color theme="1"/>
        <rFont val="Times New Roman"/>
        <family val="1"/>
      </rPr>
      <t xml:space="preserve">
</t>
    </r>
    <r>
      <rPr>
        <sz val="10"/>
        <color theme="1"/>
        <rFont val="宋体"/>
        <family val="1"/>
        <charset val="134"/>
      </rPr>
      <t>在你每个回合开始时，你可以将此特性影响的伤害类型更改为其他列出的选项（无需动作）。</t>
    </r>
    <phoneticPr fontId="68" type="noConversion"/>
  </si>
  <si>
    <t>元素叱喝</t>
    <phoneticPr fontId="68" type="noConversion"/>
  </si>
  <si>
    <r>
      <rPr>
        <sz val="10"/>
        <color theme="1"/>
        <rFont val="宋体"/>
        <family val="1"/>
        <charset val="134"/>
      </rPr>
      <t>当你被一次攻击检定命中时，你可以使用反应使该攻击对你造成的伤害减半（向下取整）并且迫使攻击者进行一次对抗你的法术豁免</t>
    </r>
    <r>
      <rPr>
        <sz val="10"/>
        <color theme="1"/>
        <rFont val="Times New Roman"/>
        <family val="1"/>
      </rPr>
      <t>DC</t>
    </r>
    <r>
      <rPr>
        <sz val="10"/>
        <color theme="1"/>
        <rFont val="宋体"/>
        <family val="1"/>
        <charset val="134"/>
      </rPr>
      <t>的敏捷检定。豁免失败，攻击者受到等同于</t>
    </r>
    <r>
      <rPr>
        <sz val="10"/>
        <color theme="1"/>
        <rFont val="Times New Roman"/>
        <family val="1"/>
      </rPr>
      <t>2d10+</t>
    </r>
    <r>
      <rPr>
        <sz val="10"/>
        <color theme="1"/>
        <rFont val="宋体"/>
        <family val="1"/>
        <charset val="134"/>
      </rPr>
      <t>你魅力调整值的伤害。该伤害是以下类型之一（由你选择）：强酸、寒冷、火焰、闪电或雷鸣。豁免成功，则攻击者受到一半伤害。</t>
    </r>
    <r>
      <rPr>
        <sz val="10"/>
        <color theme="1"/>
        <rFont val="Times New Roman"/>
        <family val="1"/>
      </rPr>
      <t xml:space="preserve">
</t>
    </r>
    <r>
      <rPr>
        <sz val="10"/>
        <color theme="1"/>
        <rFont val="宋体"/>
        <family val="1"/>
        <charset val="134"/>
      </rPr>
      <t>你可以使用此特性的次数等同于你的魅力调整值（至少一次），并且你在完成一次长休后会恢复所有已消耗的使用次数。</t>
    </r>
    <phoneticPr fontId="68" type="noConversion"/>
  </si>
  <si>
    <t>巨灵贵胄</t>
    <phoneticPr fontId="68" type="noConversion"/>
  </si>
  <si>
    <r>
      <rPr>
        <sz val="10"/>
        <color theme="1"/>
        <rFont val="宋体"/>
        <family val="1"/>
        <charset val="134"/>
      </rPr>
      <t>以一个附赠动作，你可获得下列的增益。持续</t>
    </r>
    <r>
      <rPr>
        <sz val="10"/>
        <color theme="1"/>
        <rFont val="Times New Roman"/>
        <family val="1"/>
      </rPr>
      <t>10</t>
    </r>
    <r>
      <rPr>
        <sz val="10"/>
        <color theme="1"/>
        <rFont val="宋体"/>
        <family val="1"/>
        <charset val="134"/>
      </rPr>
      <t>分钟，你也可以令其提前终止（无需动作）。此特性一经使用，直至完成长休你都无法再次使用。你也可以消耗一个五环法术位（无需动作）重置此特性的使用权。</t>
    </r>
    <r>
      <rPr>
        <sz val="10"/>
        <color theme="1"/>
        <rFont val="Times New Roman"/>
        <family val="1"/>
      </rPr>
      <t xml:space="preserve">
</t>
    </r>
    <r>
      <rPr>
        <sz val="10"/>
        <color theme="1"/>
        <rFont val="宋体"/>
        <family val="1"/>
        <charset val="134"/>
      </rPr>
      <t>飞行</t>
    </r>
    <r>
      <rPr>
        <sz val="10"/>
        <color theme="1"/>
        <rFont val="Times New Roman"/>
        <family val="1"/>
      </rPr>
      <t xml:space="preserve"> Flight</t>
    </r>
    <r>
      <rPr>
        <sz val="10"/>
        <color theme="1"/>
        <rFont val="宋体"/>
        <family val="1"/>
        <charset val="134"/>
      </rPr>
      <t>。你获得</t>
    </r>
    <r>
      <rPr>
        <sz val="10"/>
        <color theme="1"/>
        <rFont val="Times New Roman"/>
        <family val="1"/>
      </rPr>
      <t>60</t>
    </r>
    <r>
      <rPr>
        <sz val="10"/>
        <color theme="1"/>
        <rFont val="宋体"/>
        <family val="1"/>
        <charset val="134"/>
      </rPr>
      <t>尺的飞行速度，并且可以悬浮。</t>
    </r>
    <r>
      <rPr>
        <sz val="10"/>
        <color theme="1"/>
        <rFont val="Times New Roman"/>
        <family val="1"/>
      </rPr>
      <t xml:space="preserve">
</t>
    </r>
    <r>
      <rPr>
        <sz val="10"/>
        <color theme="1"/>
        <rFont val="宋体"/>
        <family val="1"/>
        <charset val="134"/>
      </rPr>
      <t>次级祈愿术</t>
    </r>
    <r>
      <rPr>
        <sz val="10"/>
        <color theme="1"/>
        <rFont val="Times New Roman"/>
        <family val="1"/>
      </rPr>
      <t xml:space="preserve"> Minor Wish</t>
    </r>
    <r>
      <rPr>
        <sz val="10"/>
        <color theme="1"/>
        <rFont val="宋体"/>
        <family val="1"/>
        <charset val="134"/>
      </rPr>
      <t>。当你或处于你守护灵光范围内的盟友在一次</t>
    </r>
    <r>
      <rPr>
        <sz val="10"/>
        <color theme="1"/>
        <rFont val="Times New Roman"/>
        <family val="1"/>
      </rPr>
      <t>D20</t>
    </r>
    <r>
      <rPr>
        <sz val="10"/>
        <color theme="1"/>
        <rFont val="宋体"/>
        <family val="1"/>
        <charset val="134"/>
      </rPr>
      <t>检定中失败时，你可以使用反应将该次</t>
    </r>
    <r>
      <rPr>
        <sz val="10"/>
        <color theme="1"/>
        <rFont val="Times New Roman"/>
        <family val="1"/>
      </rPr>
      <t>D20</t>
    </r>
    <r>
      <rPr>
        <sz val="10"/>
        <color theme="1"/>
        <rFont val="宋体"/>
        <family val="1"/>
        <charset val="134"/>
      </rPr>
      <t>检定改为成功。</t>
    </r>
    <phoneticPr fontId="68" type="noConversion"/>
  </si>
  <si>
    <t>冻原探索者</t>
    <phoneticPr fontId="68" type="noConversion"/>
  </si>
  <si>
    <r>
      <rPr>
        <sz val="10"/>
        <color theme="1"/>
        <rFont val="宋体"/>
        <family val="1"/>
        <charset val="134"/>
      </rPr>
      <t>你获得了以下增益。</t>
    </r>
    <r>
      <rPr>
        <sz val="10"/>
        <color theme="1"/>
        <rFont val="Times New Roman"/>
        <family val="1"/>
      </rPr>
      <t xml:space="preserve">
</t>
    </r>
    <r>
      <rPr>
        <sz val="10"/>
        <color theme="1"/>
        <rFont val="宋体"/>
        <family val="1"/>
        <charset val="134"/>
      </rPr>
      <t>刺骨严寒</t>
    </r>
    <r>
      <rPr>
        <sz val="10"/>
        <color theme="1"/>
        <rFont val="Times New Roman"/>
        <family val="1"/>
      </rPr>
      <t>Biting Cold.</t>
    </r>
    <r>
      <rPr>
        <sz val="10"/>
        <color theme="1"/>
        <rFont val="宋体"/>
        <family val="1"/>
        <charset val="134"/>
      </rPr>
      <t>你的武器攻击、游侠法术以及游侠特性所造成的伤害无视寒冷抗性。</t>
    </r>
    <r>
      <rPr>
        <sz val="10"/>
        <color theme="1"/>
        <rFont val="Times New Roman"/>
        <family val="1"/>
      </rPr>
      <t xml:space="preserve">
</t>
    </r>
    <r>
      <rPr>
        <sz val="10"/>
        <color theme="1"/>
        <rFont val="宋体"/>
        <family val="1"/>
        <charset val="134"/>
      </rPr>
      <t>冰霜抵抗</t>
    </r>
    <r>
      <rPr>
        <sz val="10"/>
        <color theme="1"/>
        <rFont val="Times New Roman"/>
        <family val="1"/>
      </rPr>
      <t>Frost Resistance</t>
    </r>
    <r>
      <rPr>
        <sz val="10"/>
        <color theme="1"/>
        <rFont val="宋体"/>
        <family val="1"/>
        <charset val="134"/>
      </rPr>
      <t>。你获得寒冷伤害的抗性。</t>
    </r>
    <r>
      <rPr>
        <sz val="10"/>
        <color theme="1"/>
        <rFont val="Times New Roman"/>
        <family val="1"/>
      </rPr>
      <t xml:space="preserve">
</t>
    </r>
    <r>
      <rPr>
        <sz val="10"/>
        <color theme="1"/>
        <rFont val="宋体"/>
        <family val="1"/>
        <charset val="134"/>
      </rPr>
      <t>极地打击</t>
    </r>
    <r>
      <rPr>
        <sz val="10"/>
        <color theme="1"/>
        <rFont val="Times New Roman"/>
        <family val="1"/>
      </rPr>
      <t>Polar Strikes</t>
    </r>
    <r>
      <rPr>
        <sz val="10"/>
        <color theme="1"/>
        <rFont val="宋体"/>
        <family val="1"/>
        <charset val="134"/>
      </rPr>
      <t>。当你用武器对生物进行一次攻击检定并命中时，你可以额外对目标造成</t>
    </r>
    <r>
      <rPr>
        <sz val="10"/>
        <color theme="1"/>
        <rFont val="Times New Roman"/>
        <family val="1"/>
      </rPr>
      <t>1d4</t>
    </r>
    <r>
      <rPr>
        <sz val="10"/>
        <color theme="1"/>
        <rFont val="宋体"/>
        <family val="1"/>
        <charset val="134"/>
      </rPr>
      <t>点寒冷伤害。每名目标每回合仅会受到一次该额外伤害。你的游侠等级达到</t>
    </r>
    <r>
      <rPr>
        <sz val="10"/>
        <color theme="1"/>
        <rFont val="Times New Roman"/>
        <family val="1"/>
      </rPr>
      <t>11</t>
    </r>
    <r>
      <rPr>
        <sz val="10"/>
        <color theme="1"/>
        <rFont val="宋体"/>
        <family val="1"/>
        <charset val="134"/>
      </rPr>
      <t>级时，这一额外伤害变为</t>
    </r>
    <r>
      <rPr>
        <sz val="10"/>
        <color theme="1"/>
        <rFont val="Times New Roman"/>
        <family val="1"/>
      </rPr>
      <t>1d6</t>
    </r>
    <r>
      <rPr>
        <sz val="10"/>
        <color theme="1"/>
        <rFont val="宋体"/>
        <family val="1"/>
        <charset val="134"/>
      </rPr>
      <t>。</t>
    </r>
    <phoneticPr fontId="68" type="noConversion"/>
  </si>
  <si>
    <t>冬猎霜寒</t>
    <phoneticPr fontId="68" type="noConversion"/>
  </si>
  <si>
    <r>
      <rPr>
        <sz val="10"/>
        <color theme="1"/>
        <rFont val="宋体"/>
        <family val="1"/>
        <charset val="134"/>
      </rPr>
      <t>冰霜会复盖你和你的猎物，保护你并让你的猎物变得迟缓。当你施展猎人印记法术时，你获得等同于</t>
    </r>
    <r>
      <rPr>
        <sz val="10"/>
        <color theme="1"/>
        <rFont val="Times New Roman"/>
        <family val="1"/>
      </rPr>
      <t>1d10+</t>
    </r>
    <r>
      <rPr>
        <sz val="10"/>
        <color theme="1"/>
        <rFont val="宋体"/>
        <family val="1"/>
        <charset val="134"/>
      </rPr>
      <t>你游侠等级的临时生命。</t>
    </r>
    <r>
      <rPr>
        <sz val="10"/>
        <color theme="1"/>
        <rFont val="Times New Roman"/>
        <family val="1"/>
      </rPr>
      <t xml:space="preserve">
</t>
    </r>
    <r>
      <rPr>
        <sz val="10"/>
        <color theme="1"/>
        <rFont val="宋体"/>
        <family val="1"/>
        <charset val="134"/>
      </rPr>
      <t>此外，当一个生物被你的猎人印记法术所标记时，其不可执行撤离动作。</t>
    </r>
    <phoneticPr fontId="68" type="noConversion"/>
  </si>
  <si>
    <t>凛冬行者魔法</t>
    <phoneticPr fontId="68" type="noConversion"/>
  </si>
  <si>
    <r>
      <rPr>
        <sz val="10"/>
        <color theme="1"/>
        <rFont val="宋体"/>
        <family val="1"/>
        <charset val="134"/>
      </rPr>
      <t>在达到下方凛冬行者法术列表中列出特定等级时，你将始终准备了等级对应的法术。</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冰刃</t>
    </r>
    <r>
      <rPr>
        <sz val="10"/>
        <color theme="1"/>
        <rFont val="Times New Roman"/>
        <family val="1"/>
      </rPr>
      <t xml:space="preserve">Ice Knife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移除诅咒</t>
    </r>
    <r>
      <rPr>
        <sz val="10"/>
        <color theme="1"/>
        <rFont val="Times New Roman"/>
        <family val="1"/>
      </rPr>
      <t xml:space="preserve">Remove Curse
13	</t>
    </r>
    <r>
      <rPr>
        <sz val="10"/>
        <color theme="1"/>
        <rFont val="宋体"/>
        <family val="1"/>
        <charset val="134"/>
      </rPr>
      <t>冰风暴</t>
    </r>
    <r>
      <rPr>
        <sz val="10"/>
        <color theme="1"/>
        <rFont val="Times New Roman"/>
        <family val="1"/>
      </rPr>
      <t xml:space="preserve">Ice Storm
17	</t>
    </r>
    <r>
      <rPr>
        <sz val="10"/>
        <color theme="1"/>
        <rFont val="宋体"/>
        <family val="1"/>
        <charset val="134"/>
      </rPr>
      <t>寒冰锥</t>
    </r>
    <r>
      <rPr>
        <sz val="10"/>
        <color theme="1"/>
        <rFont val="Times New Roman"/>
        <family val="1"/>
      </rPr>
      <t>Cone of Cold</t>
    </r>
    <phoneticPr fontId="68" type="noConversion"/>
  </si>
  <si>
    <t>凝冻之魂</t>
    <phoneticPr fontId="68" type="noConversion"/>
  </si>
  <si>
    <r>
      <rPr>
        <sz val="10"/>
        <color theme="1"/>
        <rFont val="宋体"/>
        <family val="1"/>
        <charset val="134"/>
      </rPr>
      <t>你在酷烈环境中生存的经验不仅足够支撑你自己，也能帮助你的盟友。以一个魔法动作，你可以选择等同于你感知调整值（至少</t>
    </r>
    <r>
      <rPr>
        <sz val="10"/>
        <color theme="1"/>
        <rFont val="Times New Roman"/>
        <family val="1"/>
      </rPr>
      <t>1</t>
    </r>
    <r>
      <rPr>
        <sz val="10"/>
        <color theme="1"/>
        <rFont val="宋体"/>
        <family val="1"/>
        <charset val="134"/>
      </rPr>
      <t>个）数量的可见生物。所选的生物能够恢复等同于</t>
    </r>
    <r>
      <rPr>
        <sz val="10"/>
        <color theme="1"/>
        <rFont val="Times New Roman"/>
        <family val="1"/>
      </rPr>
      <t xml:space="preserve"> 1d10+</t>
    </r>
    <r>
      <rPr>
        <sz val="10"/>
        <color theme="1"/>
        <rFont val="宋体"/>
        <family val="1"/>
        <charset val="134"/>
      </rPr>
      <t>你的游侠等级点的生命值，且接下来的</t>
    </r>
    <r>
      <rPr>
        <sz val="10"/>
        <color theme="1"/>
        <rFont val="Times New Roman"/>
        <family val="1"/>
      </rPr>
      <t>1</t>
    </r>
    <r>
      <rPr>
        <sz val="10"/>
        <color theme="1"/>
        <rFont val="宋体"/>
        <family val="1"/>
        <charset val="134"/>
      </rPr>
      <t>小时内，其为避免或结束恐慌状态所进行的豁免具有优势。</t>
    </r>
    <r>
      <rPr>
        <sz val="10"/>
        <color theme="1"/>
        <rFont val="Times New Roman"/>
        <family val="1"/>
      </rPr>
      <t xml:space="preserve">
</t>
    </r>
    <r>
      <rPr>
        <sz val="10"/>
        <color theme="1"/>
        <rFont val="宋体"/>
        <family val="1"/>
        <charset val="134"/>
      </rPr>
      <t>此特性一经使用，直至你完成一次长休前你都无法再次使用它。</t>
    </r>
    <phoneticPr fontId="68" type="noConversion"/>
  </si>
  <si>
    <t>寒心复仇</t>
    <phoneticPr fontId="68" type="noConversion"/>
  </si>
  <si>
    <r>
      <rPr>
        <sz val="10"/>
        <color theme="1"/>
        <rFont val="宋体"/>
        <family val="1"/>
        <charset val="134"/>
      </rPr>
      <t>当你被一次攻击检定命中时，你可以用你的反应迫使攻击你的该生物进行一次感知豁免（使用你的法术豁免</t>
    </r>
    <r>
      <rPr>
        <sz val="10"/>
        <color theme="1"/>
        <rFont val="Times New Roman"/>
        <family val="1"/>
      </rPr>
      <t>DC</t>
    </r>
    <r>
      <rPr>
        <sz val="10"/>
        <color theme="1"/>
        <rFont val="宋体"/>
        <family val="1"/>
        <charset val="134"/>
      </rPr>
      <t>），豁免失败则目标将陷入震慑状态直到你的下个回合结束。且当目标因此陷入震慑状态时，其速度降至</t>
    </r>
    <r>
      <rPr>
        <sz val="10"/>
        <color theme="1"/>
        <rFont val="Times New Roman"/>
        <family val="1"/>
      </rPr>
      <t>0</t>
    </r>
    <r>
      <rPr>
        <sz val="10"/>
        <color theme="1"/>
        <rFont val="宋体"/>
        <family val="1"/>
        <charset val="134"/>
      </rPr>
      <t>。</t>
    </r>
    <r>
      <rPr>
        <sz val="10"/>
        <color theme="1"/>
        <rFont val="Times New Roman"/>
        <family val="1"/>
      </rPr>
      <t xml:space="preserve">
</t>
    </r>
    <r>
      <rPr>
        <sz val="10"/>
        <color theme="1"/>
        <rFont val="宋体"/>
        <family val="1"/>
        <charset val="134"/>
      </rPr>
      <t>你可以使用这一增益的次数等同于你的感知调整值（最低一次），并在完成一次长休后重获全部已消耗的使用次数。</t>
    </r>
    <phoneticPr fontId="68" type="noConversion"/>
  </si>
  <si>
    <t>冰结恶灵</t>
    <phoneticPr fontId="68" type="noConversion"/>
  </si>
  <si>
    <r>
      <rPr>
        <sz val="10"/>
        <color theme="1"/>
        <rFont val="宋体"/>
        <family val="1"/>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family val="1"/>
      </rPr>
      <t>4+</t>
    </r>
    <r>
      <rPr>
        <sz val="10"/>
        <color theme="1"/>
        <rFont val="宋体"/>
        <family val="1"/>
        <charset val="134"/>
      </rPr>
      <t>的法术位（无需动作）。</t>
    </r>
    <r>
      <rPr>
        <sz val="10"/>
        <color theme="1"/>
        <rFont val="Times New Roman"/>
        <family val="1"/>
      </rPr>
      <t xml:space="preserve">
      </t>
    </r>
    <r>
      <rPr>
        <sz val="10"/>
        <color theme="1"/>
        <rFont val="宋体"/>
        <family val="1"/>
        <charset val="134"/>
      </rPr>
      <t>寒冰之魂</t>
    </r>
    <r>
      <rPr>
        <sz val="10"/>
        <color theme="1"/>
        <rFont val="Times New Roman"/>
        <family val="1"/>
      </rPr>
      <t>Frozen Soul</t>
    </r>
    <r>
      <rPr>
        <sz val="10"/>
        <color theme="1"/>
        <rFont val="宋体"/>
        <family val="1"/>
        <charset val="134"/>
      </rPr>
      <t>。你免疫寒冷伤害。在你化身为幽灵形态时（以及在此形态的后续每个回合开始时），以你自身为源点，</t>
    </r>
    <r>
      <rPr>
        <sz val="10"/>
        <color theme="1"/>
        <rFont val="Times New Roman"/>
        <family val="1"/>
      </rPr>
      <t>15</t>
    </r>
    <r>
      <rPr>
        <sz val="10"/>
        <color theme="1"/>
        <rFont val="宋体"/>
        <family val="1"/>
        <charset val="134"/>
      </rPr>
      <t>尺光环范围内的每名由你选择的生物都将受到</t>
    </r>
    <r>
      <rPr>
        <sz val="10"/>
        <color theme="1"/>
        <rFont val="Times New Roman"/>
        <family val="1"/>
      </rPr>
      <t>2d4</t>
    </r>
    <r>
      <rPr>
        <sz val="10"/>
        <color theme="1"/>
        <rFont val="宋体"/>
        <family val="1"/>
        <charset val="134"/>
      </rPr>
      <t>点寒冷伤害。</t>
    </r>
    <r>
      <rPr>
        <sz val="10"/>
        <color theme="1"/>
        <rFont val="Times New Roman"/>
        <family val="1"/>
      </rPr>
      <t xml:space="preserve">
      </t>
    </r>
    <r>
      <rPr>
        <sz val="10"/>
        <color theme="1"/>
        <rFont val="宋体"/>
        <family val="1"/>
        <charset val="134"/>
      </rPr>
      <t>有限虚体</t>
    </r>
    <r>
      <rPr>
        <sz val="10"/>
        <color theme="1"/>
        <rFont val="Times New Roman"/>
        <family val="1"/>
      </rPr>
      <t>Partially Incorporeal</t>
    </r>
    <r>
      <rPr>
        <sz val="10"/>
        <color theme="1"/>
        <rFont val="宋体"/>
        <family val="1"/>
        <charset val="134"/>
      </rPr>
      <t>。你免疫于擒抱、倒地、束缚状态。你可以如同穿过困难地形般穿过生物与物件，但如果你在一名生物或一个物件内停下，你将受到</t>
    </r>
    <r>
      <rPr>
        <sz val="10"/>
        <color theme="1"/>
        <rFont val="Times New Roman"/>
        <family val="1"/>
      </rPr>
      <t>1d10</t>
    </r>
    <r>
      <rPr>
        <sz val="10"/>
        <color theme="1"/>
        <rFont val="宋体"/>
        <family val="1"/>
        <charset val="134"/>
      </rPr>
      <t>点力场伤害。如果这一形态结束时你身处一名生物或一个物件内，你将被弹出到最近的未占据空间中。</t>
    </r>
    <phoneticPr fontId="68" type="noConversion"/>
  </si>
  <si>
    <t>嗜血</t>
    <phoneticPr fontId="68" type="noConversion"/>
  </si>
  <si>
    <r>
      <rPr>
        <sz val="10"/>
        <color theme="1"/>
        <rFont val="宋体"/>
        <family val="1"/>
        <charset val="134"/>
      </rPr>
      <t>当一个你可见的敌人在距离你</t>
    </r>
    <r>
      <rPr>
        <sz val="10"/>
        <color theme="1"/>
        <rFont val="Times New Roman"/>
        <family val="1"/>
      </rPr>
      <t>30</t>
    </r>
    <r>
      <rPr>
        <sz val="10"/>
        <color theme="1"/>
        <rFont val="宋体"/>
        <family val="1"/>
        <charset val="134"/>
      </rPr>
      <t>尺内受到伤害，并因此伤害而陷入浴血状态并且未被直接杀死时，你可以使用一个反应来传送至该敌人</t>
    </r>
    <r>
      <rPr>
        <sz val="10"/>
        <color theme="1"/>
        <rFont val="Times New Roman"/>
        <family val="1"/>
      </rPr>
      <t>5</t>
    </r>
    <r>
      <rPr>
        <sz val="10"/>
        <color theme="1"/>
        <rFont val="宋体"/>
        <family val="1"/>
        <charset val="134"/>
      </rPr>
      <t>尺内的、你可见的未占据空间。接着你可以进行一次近战攻击。</t>
    </r>
    <r>
      <rPr>
        <sz val="10"/>
        <color theme="1"/>
        <rFont val="Times New Roman"/>
        <family val="1"/>
      </rPr>
      <t xml:space="preserve">
</t>
    </r>
    <r>
      <rPr>
        <sz val="10"/>
        <color theme="1"/>
        <rFont val="宋体"/>
        <family val="1"/>
        <charset val="134"/>
      </rPr>
      <t>你可以使用此特性的次数等于你的智力调整值（至少</t>
    </r>
    <r>
      <rPr>
        <sz val="10"/>
        <color theme="1"/>
        <rFont val="Times New Roman"/>
        <family val="1"/>
      </rPr>
      <t>1</t>
    </r>
    <r>
      <rPr>
        <sz val="10"/>
        <color theme="1"/>
        <rFont val="宋体"/>
        <family val="1"/>
        <charset val="134"/>
      </rPr>
      <t>次）。完成一次长休后，你恢复所有已消耗的使用次数。</t>
    </r>
    <phoneticPr fontId="68" type="noConversion"/>
  </si>
  <si>
    <t>敬怖之忠</t>
    <phoneticPr fontId="68" type="noConversion"/>
  </si>
  <si>
    <r>
      <rPr>
        <sz val="10"/>
        <color theme="1"/>
        <rFont val="宋体"/>
        <family val="1"/>
        <charset val="134"/>
      </rPr>
      <t>选择死亡三神中的一位：班恩、巴尔或米尔寇。你获得一种伤害类型的抗性和施展某道戏法的能力，如下表所示。你施展该戏法的施法属性是智力。当你完成一次长休时，你可以重新选择一位神明。</t>
    </r>
    <r>
      <rPr>
        <sz val="10"/>
        <color theme="1"/>
        <rFont val="Times New Roman"/>
        <family val="1"/>
      </rPr>
      <t xml:space="preserve">
</t>
    </r>
    <r>
      <rPr>
        <sz val="10"/>
        <color theme="1"/>
        <rFont val="宋体"/>
        <family val="1"/>
        <charset val="134"/>
      </rPr>
      <t>神祇</t>
    </r>
    <r>
      <rPr>
        <sz val="10"/>
        <color theme="1"/>
        <rFont val="Times New Roman"/>
        <family val="1"/>
      </rPr>
      <t xml:space="preserve">      </t>
    </r>
    <r>
      <rPr>
        <sz val="10"/>
        <color theme="1"/>
        <rFont val="宋体"/>
        <family val="1"/>
        <charset val="134"/>
      </rPr>
      <t>伤害抗性</t>
    </r>
    <r>
      <rPr>
        <sz val="10"/>
        <color theme="1"/>
        <rFont val="Times New Roman"/>
        <family val="1"/>
      </rPr>
      <t xml:space="preserve">    </t>
    </r>
    <r>
      <rPr>
        <sz val="10"/>
        <color theme="1"/>
        <rFont val="宋体"/>
        <family val="1"/>
        <charset val="134"/>
      </rPr>
      <t>戏法</t>
    </r>
    <r>
      <rPr>
        <sz val="10"/>
        <color theme="1"/>
        <rFont val="Times New Roman"/>
        <family val="1"/>
      </rPr>
      <t xml:space="preserve">
</t>
    </r>
    <r>
      <rPr>
        <sz val="10"/>
        <color theme="1"/>
        <rFont val="宋体"/>
        <family val="1"/>
        <charset val="134"/>
      </rPr>
      <t>班恩</t>
    </r>
    <r>
      <rPr>
        <sz val="10"/>
        <color theme="1"/>
        <rFont val="Times New Roman"/>
        <family val="1"/>
      </rPr>
      <t xml:space="preserve">      </t>
    </r>
    <r>
      <rPr>
        <sz val="10"/>
        <color theme="1"/>
        <rFont val="宋体"/>
        <family val="1"/>
        <charset val="134"/>
      </rPr>
      <t>心灵</t>
    </r>
    <r>
      <rPr>
        <sz val="10"/>
        <color theme="1"/>
        <rFont val="Times New Roman"/>
        <family val="1"/>
      </rPr>
      <t xml:space="preserve">          </t>
    </r>
    <r>
      <rPr>
        <sz val="10"/>
        <color theme="1"/>
        <rFont val="宋体"/>
        <family val="1"/>
        <charset val="134"/>
      </rPr>
      <t>次级幻影</t>
    </r>
    <r>
      <rPr>
        <sz val="10"/>
        <color theme="1"/>
        <rFont val="Times New Roman"/>
        <family val="1"/>
      </rPr>
      <t xml:space="preserve">
</t>
    </r>
    <r>
      <rPr>
        <sz val="10"/>
        <color theme="1"/>
        <rFont val="宋体"/>
        <family val="1"/>
        <charset val="134"/>
      </rPr>
      <t>巴尔</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剑刃防护</t>
    </r>
    <r>
      <rPr>
        <sz val="10"/>
        <color theme="1"/>
        <rFont val="Times New Roman"/>
        <family val="1"/>
      </rPr>
      <t xml:space="preserve">
</t>
    </r>
    <r>
      <rPr>
        <sz val="10"/>
        <color theme="1"/>
        <rFont val="宋体"/>
        <family val="1"/>
        <charset val="134"/>
      </rPr>
      <t>米尔寇</t>
    </r>
    <r>
      <rPr>
        <sz val="10"/>
        <color theme="1"/>
        <rFont val="Times New Roman"/>
        <family val="1"/>
      </rPr>
      <t xml:space="preserve">  </t>
    </r>
    <r>
      <rPr>
        <sz val="10"/>
        <color theme="1"/>
        <rFont val="宋体"/>
        <family val="1"/>
        <charset val="134"/>
      </rPr>
      <t>暗蚀</t>
    </r>
    <r>
      <rPr>
        <sz val="10"/>
        <color theme="1"/>
        <rFont val="Times New Roman"/>
        <family val="1"/>
      </rPr>
      <t xml:space="preserve">          </t>
    </r>
    <r>
      <rPr>
        <sz val="10"/>
        <color theme="1"/>
        <rFont val="宋体"/>
        <family val="1"/>
        <charset val="134"/>
      </rPr>
      <t>颤栗之触</t>
    </r>
    <phoneticPr fontId="68" type="noConversion"/>
  </si>
  <si>
    <t>袭杀恐惧</t>
    <phoneticPr fontId="68" type="noConversion"/>
  </si>
  <si>
    <r>
      <rPr>
        <sz val="10"/>
        <color theme="1"/>
        <rFont val="宋体"/>
        <family val="1"/>
        <charset val="134"/>
      </rPr>
      <t>你获得以下诡诈打击选项。</t>
    </r>
    <r>
      <rPr>
        <sz val="10"/>
        <color theme="1"/>
        <rFont val="Times New Roman"/>
        <family val="1"/>
      </rPr>
      <t xml:space="preserve">
</t>
    </r>
    <r>
      <rPr>
        <sz val="10"/>
        <color theme="1"/>
        <rFont val="宋体"/>
        <family val="1"/>
        <charset val="134"/>
      </rPr>
      <t>震怖</t>
    </r>
    <r>
      <rPr>
        <sz val="10"/>
        <color theme="1"/>
        <rFont val="Times New Roman"/>
        <family val="1"/>
      </rPr>
      <t>Terrify</t>
    </r>
    <r>
      <rPr>
        <sz val="10"/>
        <color theme="1"/>
        <rFont val="宋体"/>
        <family val="1"/>
        <charset val="134"/>
      </rPr>
      <t>（花费：</t>
    </r>
    <r>
      <rPr>
        <sz val="10"/>
        <color theme="1"/>
        <rFont val="Times New Roman"/>
        <family val="1"/>
      </rPr>
      <t>1d6</t>
    </r>
    <r>
      <rPr>
        <sz val="10"/>
        <color theme="1"/>
        <rFont val="宋体"/>
        <family val="1"/>
        <charset val="134"/>
      </rPr>
      <t>）。目标必须成功通过一次感知豁免，否则将陷入恐慌状态，持续</t>
    </r>
    <r>
      <rPr>
        <sz val="10"/>
        <color theme="1"/>
        <rFont val="Times New Roman"/>
        <family val="1"/>
      </rPr>
      <t>1</t>
    </r>
    <r>
      <rPr>
        <sz val="10"/>
        <color theme="1"/>
        <rFont val="宋体"/>
        <family val="1"/>
        <charset val="134"/>
      </rPr>
      <t>分钟。当目标因此陷入恐慌时，你对该目标的攻击检定具有优势。被恐惧的目标每个自己的回合结束时都可以重新进行该豁免，成功则其身上的该效应提前结束。</t>
    </r>
    <phoneticPr fontId="68" type="noConversion"/>
  </si>
  <si>
    <t>恶毒灵光</t>
    <phoneticPr fontId="68" type="noConversion"/>
  </si>
  <si>
    <r>
      <rPr>
        <sz val="10"/>
        <color theme="1"/>
        <rFont val="宋体"/>
        <family val="1"/>
        <charset val="134"/>
      </rPr>
      <t>你散发出与死亡三神其一相关的恶性之力。每当你使用嗜血特性并传送时，你传送前的位置或传送后的目标地点（由你选择）</t>
    </r>
    <r>
      <rPr>
        <sz val="10"/>
        <color theme="1"/>
        <rFont val="Times New Roman"/>
        <family val="1"/>
      </rPr>
      <t>10</t>
    </r>
    <r>
      <rPr>
        <sz val="10"/>
        <color theme="1"/>
        <rFont val="宋体"/>
        <family val="1"/>
        <charset val="134"/>
      </rPr>
      <t>尺内的每个你所选生物都会承受等同于你智力调整值的伤害；伤害类型与你选择的敬怖之忠特性赋予的抗性类型相同。该特性所造成的伤害无视抗性。</t>
    </r>
    <phoneticPr fontId="68" type="noConversion"/>
  </si>
  <si>
    <t>恐怖化身</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</si>
  <si>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割喉</t>
    </r>
    <r>
      <rPr>
        <sz val="10"/>
        <color theme="1"/>
        <rFont val="Times New Roman"/>
        <family val="1"/>
      </rPr>
      <t>Cutthroat</t>
    </r>
    <r>
      <rPr>
        <sz val="10"/>
        <color theme="1"/>
        <rFont val="宋体"/>
        <family val="1"/>
        <charset val="134"/>
      </rPr>
      <t>。每当你完成一次短休，你恢复一次已消耗的嗜血特性使用次数。</t>
    </r>
    <r>
      <rPr>
        <sz val="10"/>
        <color theme="1"/>
        <rFont val="Times New Roman"/>
        <family val="1"/>
      </rPr>
      <t xml:space="preserve">
</t>
    </r>
    <r>
      <rPr>
        <sz val="10"/>
        <color theme="1"/>
        <rFont val="宋体"/>
        <family val="1"/>
        <charset val="134"/>
      </rPr>
      <t>谋杀意向</t>
    </r>
    <r>
      <rPr>
        <sz val="10"/>
        <color theme="1"/>
        <rFont val="Times New Roman"/>
        <family val="1"/>
      </rPr>
      <t>Murderous Intent</t>
    </r>
    <r>
      <rPr>
        <sz val="10"/>
        <color theme="1"/>
        <rFont val="宋体"/>
        <family val="1"/>
        <charset val="134"/>
      </rPr>
      <t>。当你投掷偷袭伤害时，你可以将伤害骰投出的</t>
    </r>
    <r>
      <rPr>
        <sz val="10"/>
        <color theme="1"/>
        <rFont val="Times New Roman"/>
        <family val="1"/>
      </rPr>
      <t>1</t>
    </r>
    <r>
      <rPr>
        <sz val="10"/>
        <color theme="1"/>
        <rFont val="宋体"/>
        <family val="1"/>
        <charset val="134"/>
      </rPr>
      <t>和</t>
    </r>
    <r>
      <rPr>
        <sz val="10"/>
        <color theme="1"/>
        <rFont val="Times New Roman"/>
        <family val="1"/>
      </rPr>
      <t>2</t>
    </r>
    <r>
      <rPr>
        <sz val="10"/>
        <color theme="1"/>
        <rFont val="宋体"/>
        <family val="1"/>
        <charset val="134"/>
      </rPr>
      <t>都视为</t>
    </r>
    <r>
      <rPr>
        <sz val="10"/>
        <color theme="1"/>
        <rFont val="Times New Roman"/>
        <family val="1"/>
      </rPr>
      <t>3</t>
    </r>
    <r>
      <rPr>
        <sz val="10"/>
        <color theme="1"/>
        <rFont val="宋体"/>
        <family val="1"/>
        <charset val="134"/>
      </rPr>
      <t>。</t>
    </r>
    <phoneticPr fontId="68" type="noConversion"/>
  </si>
  <si>
    <t>咒火迸发</t>
    <phoneticPr fontId="68" type="noConversion"/>
  </si>
  <si>
    <r>
      <rPr>
        <sz val="10"/>
        <color theme="1"/>
        <rFont val="宋体"/>
        <family val="1"/>
        <charset val="134"/>
      </rPr>
      <t>当你在你的回合中作为魔法动作或附赠动作的一部分消耗至少</t>
    </r>
    <r>
      <rPr>
        <sz val="10"/>
        <color theme="1"/>
        <rFont val="Times New Roman"/>
        <family val="1"/>
      </rPr>
      <t>1</t>
    </r>
    <r>
      <rPr>
        <sz val="10"/>
        <color theme="1"/>
        <rFont val="宋体"/>
        <family val="1"/>
        <charset val="134"/>
      </rPr>
      <t>术法点时，你可以选择并释放以下一项魔法效应。你每回合只能如此做一次。</t>
    </r>
    <r>
      <rPr>
        <sz val="10"/>
        <color theme="1"/>
        <rFont val="Times New Roman"/>
        <family val="1"/>
      </rPr>
      <t xml:space="preserve">
</t>
    </r>
    <r>
      <rPr>
        <sz val="10"/>
        <color theme="1"/>
        <rFont val="宋体"/>
        <family val="1"/>
        <charset val="134"/>
      </rPr>
      <t>炽焰鼓舞</t>
    </r>
    <r>
      <rPr>
        <sz val="10"/>
        <color theme="1"/>
        <rFont val="Times New Roman"/>
        <family val="1"/>
      </rPr>
      <t>Bolstering Flames</t>
    </r>
    <r>
      <rPr>
        <sz val="10"/>
        <color theme="1"/>
        <rFont val="宋体"/>
        <family val="1"/>
        <charset val="134"/>
      </rPr>
      <t>。你或者一名你可见的</t>
    </r>
    <r>
      <rPr>
        <sz val="10"/>
        <color theme="1"/>
        <rFont val="Times New Roman"/>
        <family val="1"/>
      </rPr>
      <t>30</t>
    </r>
    <r>
      <rPr>
        <sz val="10"/>
        <color theme="1"/>
        <rFont val="宋体"/>
        <family val="1"/>
        <charset val="134"/>
      </rPr>
      <t>尺内的生物获得等于</t>
    </r>
    <r>
      <rPr>
        <sz val="10"/>
        <color theme="1"/>
        <rFont val="Times New Roman"/>
        <family val="1"/>
      </rPr>
      <t>1d4+</t>
    </r>
    <r>
      <rPr>
        <sz val="10"/>
        <color theme="1"/>
        <rFont val="宋体"/>
        <family val="1"/>
        <charset val="134"/>
      </rPr>
      <t>你的魅力调整值的临时生命值。</t>
    </r>
    <r>
      <rPr>
        <sz val="10"/>
        <color theme="1"/>
        <rFont val="Times New Roman"/>
        <family val="1"/>
      </rPr>
      <t xml:space="preserve">
</t>
    </r>
    <r>
      <rPr>
        <sz val="10"/>
        <color theme="1"/>
        <rFont val="宋体"/>
        <family val="1"/>
        <charset val="134"/>
      </rPr>
      <t>辉耀之火</t>
    </r>
    <r>
      <rPr>
        <sz val="10"/>
        <color theme="1"/>
        <rFont val="Times New Roman"/>
        <family val="1"/>
      </rPr>
      <t>Radiant Fire</t>
    </r>
    <r>
      <rPr>
        <sz val="10"/>
        <color theme="1"/>
        <rFont val="宋体"/>
        <family val="1"/>
        <charset val="134"/>
      </rPr>
      <t>。一名你可见的</t>
    </r>
    <r>
      <rPr>
        <sz val="10"/>
        <color theme="1"/>
        <rFont val="Times New Roman"/>
        <family val="1"/>
      </rPr>
      <t>30</t>
    </r>
    <r>
      <rPr>
        <sz val="10"/>
        <color theme="1"/>
        <rFont val="宋体"/>
        <family val="1"/>
        <charset val="134"/>
      </rPr>
      <t>尺内的生物受到</t>
    </r>
    <r>
      <rPr>
        <sz val="10"/>
        <color theme="1"/>
        <rFont val="Times New Roman"/>
        <family val="1"/>
      </rPr>
      <t>1d4</t>
    </r>
    <r>
      <rPr>
        <sz val="10"/>
        <color theme="1"/>
        <rFont val="宋体"/>
        <family val="1"/>
        <charset val="134"/>
      </rPr>
      <t>火焰或光耀伤害（由你选择）。</t>
    </r>
    <phoneticPr fontId="68" type="noConversion"/>
  </si>
  <si>
    <t>咒火法术</t>
    <phoneticPr fontId="68" type="noConversion"/>
  </si>
  <si>
    <r>
      <rPr>
        <sz val="10"/>
        <color theme="1"/>
        <rFont val="宋体"/>
        <family val="1"/>
        <charset val="134"/>
      </rPr>
      <t>当你到达咒火法术表中特定的术士等级时，你此后便始终准备了表中对应的法术。</t>
    </r>
    <r>
      <rPr>
        <sz val="10"/>
        <color theme="1"/>
        <rFont val="Times New Roman"/>
        <family val="1"/>
      </rPr>
      <t xml:space="preserve">
</t>
    </r>
    <r>
      <rPr>
        <sz val="10"/>
        <color theme="1"/>
        <rFont val="宋体"/>
        <family val="1"/>
        <charset val="134"/>
      </rPr>
      <t>咒火法术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疗伤术</t>
    </r>
    <r>
      <rPr>
        <sz val="10"/>
        <color theme="1"/>
        <rFont val="Times New Roman"/>
        <family val="1"/>
      </rPr>
      <t xml:space="preserve"> Cure Wounds</t>
    </r>
    <r>
      <rPr>
        <sz val="10"/>
        <color theme="1"/>
        <rFont val="宋体"/>
        <family val="1"/>
        <charset val="134"/>
      </rPr>
      <t>，光导箭</t>
    </r>
    <r>
      <rPr>
        <sz val="10"/>
        <color theme="1"/>
        <rFont val="Times New Roman"/>
        <family val="1"/>
      </rPr>
      <t>Guiding Bolt</t>
    </r>
    <r>
      <rPr>
        <sz val="10"/>
        <color theme="1"/>
        <rFont val="宋体"/>
        <family val="1"/>
        <charset val="134"/>
      </rPr>
      <t>，次等复原术</t>
    </r>
    <r>
      <rPr>
        <sz val="10"/>
        <color theme="1"/>
        <rFont val="Times New Roman"/>
        <family val="1"/>
      </rPr>
      <t>Lesser Restoration</t>
    </r>
    <r>
      <rPr>
        <sz val="10"/>
        <color theme="1"/>
        <rFont val="宋体"/>
        <family val="1"/>
        <charset val="134"/>
      </rPr>
      <t>，灼热射线</t>
    </r>
    <r>
      <rPr>
        <sz val="10"/>
        <color theme="1"/>
        <rFont val="Times New Roman"/>
        <family val="1"/>
      </rPr>
      <t xml:space="preserve">Scorching Ray
5	</t>
    </r>
    <r>
      <rPr>
        <sz val="10"/>
        <color theme="1"/>
        <rFont val="宋体"/>
        <family val="1"/>
        <charset val="134"/>
      </rPr>
      <t>活力灵光</t>
    </r>
    <r>
      <rPr>
        <sz val="10"/>
        <color theme="1"/>
        <rFont val="Times New Roman"/>
        <family val="1"/>
      </rPr>
      <t>Aura of Vitality</t>
    </r>
    <r>
      <rPr>
        <sz val="10"/>
        <color theme="1"/>
        <rFont val="宋体"/>
        <family val="1"/>
        <charset val="134"/>
      </rPr>
      <t>，解除魔法</t>
    </r>
    <r>
      <rPr>
        <sz val="10"/>
        <color theme="1"/>
        <rFont val="Times New Roman"/>
        <family val="1"/>
      </rPr>
      <t xml:space="preserve">Dispel Magic
7	</t>
    </r>
    <r>
      <rPr>
        <sz val="10"/>
        <color theme="1"/>
        <rFont val="宋体"/>
        <family val="1"/>
        <charset val="134"/>
      </rPr>
      <t>火焰护盾</t>
    </r>
    <r>
      <rPr>
        <sz val="10"/>
        <color theme="1"/>
        <rFont val="Times New Roman"/>
        <family val="1"/>
      </rPr>
      <t>Fire Shield</t>
    </r>
    <r>
      <rPr>
        <sz val="10"/>
        <color theme="1"/>
        <rFont val="宋体"/>
        <family val="1"/>
        <charset val="134"/>
      </rPr>
      <t>，火墙术</t>
    </r>
    <r>
      <rPr>
        <sz val="10"/>
        <color theme="1"/>
        <rFont val="Times New Roman"/>
        <family val="1"/>
      </rPr>
      <t xml:space="preserve">Wall of Fire
9	</t>
    </r>
    <r>
      <rPr>
        <sz val="10"/>
        <color theme="1"/>
        <rFont val="宋体"/>
        <family val="1"/>
        <charset val="134"/>
      </rPr>
      <t>高等复原术</t>
    </r>
    <r>
      <rPr>
        <sz val="10"/>
        <color theme="1"/>
        <rFont val="Times New Roman"/>
        <family val="1"/>
      </rPr>
      <t>Greater Restoration</t>
    </r>
    <r>
      <rPr>
        <sz val="10"/>
        <color theme="1"/>
        <rFont val="宋体"/>
        <family val="1"/>
        <charset val="134"/>
      </rPr>
      <t>，焰击术</t>
    </r>
    <r>
      <rPr>
        <sz val="10"/>
        <color theme="1"/>
        <rFont val="Times New Roman"/>
        <family val="1"/>
      </rPr>
      <t>Flame Strike</t>
    </r>
    <phoneticPr fontId="68" type="noConversion"/>
  </si>
  <si>
    <t>汲纳法术</t>
    <phoneticPr fontId="68" type="noConversion"/>
  </si>
  <si>
    <r>
      <rPr>
        <sz val="10"/>
        <color theme="1"/>
        <rFont val="宋体"/>
        <family val="1"/>
        <charset val="134"/>
      </rPr>
      <t>你始终准备法术法术反制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此外，当一个目标在对抗你所施展的法术反制的豁免中失败时，你重获</t>
    </r>
    <r>
      <rPr>
        <sz val="10"/>
        <color theme="1"/>
        <rFont val="Times New Roman"/>
        <family val="1"/>
      </rPr>
      <t>1d4</t>
    </r>
    <r>
      <rPr>
        <sz val="10"/>
        <color theme="1"/>
        <rFont val="宋体"/>
        <family val="1"/>
        <charset val="134"/>
      </rPr>
      <t>术法点。</t>
    </r>
    <phoneticPr fontId="68" type="noConversion"/>
  </si>
  <si>
    <t>砥砺咒火</t>
    <phoneticPr fontId="68" type="noConversion"/>
  </si>
  <si>
    <r>
      <rPr>
        <sz val="10"/>
        <color theme="1"/>
        <rFont val="宋体"/>
        <family val="1"/>
        <charset val="134"/>
      </rPr>
      <t>你的咒火迸发更加精进。炽焰鼓舞提供的临时生命值的数值现在获得等同于你术士等级的加值，并且辉耀之火的伤害提升为</t>
    </r>
    <r>
      <rPr>
        <sz val="10"/>
        <color theme="1"/>
        <rFont val="Times New Roman"/>
        <family val="1"/>
      </rPr>
      <t>1d8</t>
    </r>
    <r>
      <rPr>
        <sz val="10"/>
        <color theme="1"/>
        <rFont val="宋体"/>
        <family val="1"/>
        <charset val="134"/>
      </rPr>
      <t>。</t>
    </r>
    <phoneticPr fontId="68" type="noConversion"/>
  </si>
  <si>
    <t>咒火冠冕</t>
    <phoneticPr fontId="68" type="noConversion"/>
  </si>
  <si>
    <r>
      <rPr>
        <sz val="10"/>
        <color theme="1"/>
        <rFont val="宋体"/>
        <family val="1"/>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family val="1"/>
      </rPr>
      <t>5</t>
    </r>
    <r>
      <rPr>
        <sz val="10"/>
        <color theme="1"/>
        <rFont val="宋体"/>
        <family val="1"/>
        <charset val="134"/>
      </rPr>
      <t>点术法点（无需动作）以恢复此特性的使用次数。</t>
    </r>
    <r>
      <rPr>
        <sz val="10"/>
        <color theme="1"/>
        <rFont val="Times New Roman"/>
        <family val="1"/>
      </rPr>
      <t xml:space="preserve">
</t>
    </r>
    <r>
      <rPr>
        <sz val="10"/>
        <color theme="1"/>
        <rFont val="宋体"/>
        <family val="1"/>
        <charset val="134"/>
      </rPr>
      <t>燃尽</t>
    </r>
    <r>
      <rPr>
        <sz val="10"/>
        <color theme="1"/>
        <rFont val="Times New Roman"/>
        <family val="1"/>
      </rPr>
      <t>Burning Life Force</t>
    </r>
    <r>
      <rPr>
        <sz val="10"/>
        <color theme="1"/>
        <rFont val="宋体"/>
        <family val="1"/>
        <charset val="134"/>
      </rPr>
      <t>。每回合一次，当你被一次攻击检定命中时，你可以消耗至多等于你魅力调整值（至少</t>
    </r>
    <r>
      <rPr>
        <sz val="10"/>
        <color theme="1"/>
        <rFont val="Times New Roman"/>
        <family val="1"/>
      </rPr>
      <t>1</t>
    </r>
    <r>
      <rPr>
        <sz val="10"/>
        <color theme="1"/>
        <rFont val="宋体"/>
        <family val="1"/>
        <charset val="134"/>
      </rPr>
      <t>枚）的生命骰。掷你所消耗的骰子并且从该次攻击的伤害中减去掷骰结果的数目。</t>
    </r>
    <r>
      <rPr>
        <sz val="10"/>
        <color theme="1"/>
        <rFont val="Times New Roman"/>
        <family val="1"/>
      </rPr>
      <t xml:space="preserve">
</t>
    </r>
    <r>
      <rPr>
        <sz val="10"/>
        <color theme="1"/>
        <rFont val="宋体"/>
        <family val="1"/>
        <charset val="134"/>
      </rPr>
      <t>飞行</t>
    </r>
    <r>
      <rPr>
        <sz val="10"/>
        <color theme="1"/>
        <rFont val="Times New Roman"/>
        <family val="1"/>
      </rPr>
      <t>Flight</t>
    </r>
    <r>
      <rPr>
        <sz val="10"/>
        <color theme="1"/>
        <rFont val="宋体"/>
        <family val="1"/>
        <charset val="134"/>
      </rPr>
      <t>。你获得</t>
    </r>
    <r>
      <rPr>
        <sz val="10"/>
        <color theme="1"/>
        <rFont val="Times New Roman"/>
        <family val="1"/>
      </rPr>
      <t>60</t>
    </r>
    <r>
      <rPr>
        <sz val="10"/>
        <color theme="1"/>
        <rFont val="宋体"/>
        <family val="1"/>
        <charset val="134"/>
      </rPr>
      <t>尺飞行速度，并且可以悬浮。</t>
    </r>
    <r>
      <rPr>
        <sz val="10"/>
        <color theme="1"/>
        <rFont val="Times New Roman"/>
        <family val="1"/>
      </rPr>
      <t xml:space="preserve">
</t>
    </r>
    <r>
      <rPr>
        <sz val="10"/>
        <color theme="1"/>
        <rFont val="宋体"/>
        <family val="1"/>
        <charset val="134"/>
      </rPr>
      <t>法术闪避</t>
    </r>
    <r>
      <rPr>
        <sz val="10"/>
        <color theme="1"/>
        <rFont val="Times New Roman"/>
        <family val="1"/>
      </rPr>
      <t>Spell Avoidance</t>
    </r>
    <r>
      <rPr>
        <sz val="10"/>
        <color theme="1"/>
        <rFont val="宋体"/>
        <family val="1"/>
        <charset val="134"/>
      </rPr>
      <t>。当你受到一个允许你进行豁免来只承受一半伤害的法术或魔法效应影响时，你在豁免成功时不受伤害，豁免失败时只承受一半伤害。你无法失能状态下使用此增益。</t>
    </r>
    <phoneticPr fontId="68" type="noConversion"/>
  </si>
  <si>
    <t>剑歌</t>
    <phoneticPr fontId="68" type="noConversion"/>
  </si>
  <si>
    <r>
      <rPr>
        <sz val="10"/>
        <color theme="1"/>
        <rFont val="宋体"/>
        <family val="1"/>
        <charset val="134"/>
      </rPr>
      <t>作为一个附赠动作，你唤起一种被称为剑歌</t>
    </r>
    <r>
      <rPr>
        <sz val="10"/>
        <color theme="1"/>
        <rFont val="Times New Roman"/>
        <family val="1"/>
      </rPr>
      <t>Bladesong</t>
    </r>
    <r>
      <rPr>
        <sz val="10"/>
        <color theme="1"/>
        <rFont val="宋体"/>
        <family val="1"/>
        <charset val="134"/>
      </rPr>
      <t>的精灵魔法，前提是你没有着装护甲或使用盾牌。</t>
    </r>
    <r>
      <rPr>
        <sz val="10"/>
        <color theme="1"/>
        <rFont val="Times New Roman"/>
        <family val="1"/>
      </rPr>
      <t xml:space="preserve">
</t>
    </r>
    <r>
      <rPr>
        <sz val="10"/>
        <color theme="1"/>
        <rFont val="宋体"/>
        <family val="1"/>
        <charset val="134"/>
      </rPr>
      <t>该剑歌持续</t>
    </r>
    <r>
      <rPr>
        <sz val="10"/>
        <color theme="1"/>
        <rFont val="Times New Roman"/>
        <family val="1"/>
      </rPr>
      <t>1</t>
    </r>
    <r>
      <rPr>
        <sz val="10"/>
        <color theme="1"/>
        <rFont val="宋体"/>
        <family val="1"/>
        <charset val="134"/>
      </rPr>
      <t>分钟，并会在你陷入失能状态，着装护甲或盾牌，或者双手并用一把武器发动攻击时提前结束。你可以随时解除剑歌（无需动作）。</t>
    </r>
    <r>
      <rPr>
        <sz val="10"/>
        <color theme="1"/>
        <rFont val="Times New Roman"/>
        <family val="1"/>
      </rPr>
      <t xml:space="preserve">
</t>
    </r>
    <r>
      <rPr>
        <sz val="10"/>
        <color theme="1"/>
        <rFont val="宋体"/>
        <family val="1"/>
        <charset val="134"/>
      </rPr>
      <t>剑歌激活期间，你获得以下增益。你能够唤起剑歌的次数等于你的智力调整值（至少</t>
    </r>
    <r>
      <rPr>
        <sz val="10"/>
        <color theme="1"/>
        <rFont val="Times New Roman"/>
        <family val="1"/>
      </rPr>
      <t>1</t>
    </r>
    <r>
      <rPr>
        <sz val="10"/>
        <color theme="1"/>
        <rFont val="宋体"/>
        <family val="1"/>
        <charset val="134"/>
      </rPr>
      <t>次）。完成一次长休后，你重获所有已消耗的使用次数。当你使用奥术回想时，你会恢复一次已消耗的使用次数。</t>
    </r>
    <r>
      <rPr>
        <sz val="10"/>
        <color theme="1"/>
        <rFont val="Times New Roman"/>
        <family val="1"/>
      </rPr>
      <t xml:space="preserve">
</t>
    </r>
    <r>
      <rPr>
        <sz val="10"/>
        <color theme="1"/>
        <rFont val="宋体"/>
        <family val="1"/>
        <charset val="134"/>
      </rPr>
      <t>灵动</t>
    </r>
    <r>
      <rPr>
        <sz val="10"/>
        <color theme="1"/>
        <rFont val="Times New Roman"/>
        <family val="1"/>
      </rPr>
      <t xml:space="preserve"> Agility</t>
    </r>
    <r>
      <rPr>
        <sz val="10"/>
        <color theme="1"/>
        <rFont val="宋体"/>
        <family val="1"/>
        <charset val="134"/>
      </rPr>
      <t>。你的</t>
    </r>
    <r>
      <rPr>
        <sz val="10"/>
        <color theme="1"/>
        <rFont val="Times New Roman"/>
        <family val="1"/>
      </rPr>
      <t>AC</t>
    </r>
    <r>
      <rPr>
        <sz val="10"/>
        <color theme="1"/>
        <rFont val="宋体"/>
        <family val="1"/>
        <charset val="134"/>
      </rPr>
      <t>获得等同于你智力调整值的加值（最低</t>
    </r>
    <r>
      <rPr>
        <sz val="10"/>
        <color theme="1"/>
        <rFont val="Times New Roman"/>
        <family val="1"/>
      </rPr>
      <t>+1</t>
    </r>
    <r>
      <rPr>
        <sz val="10"/>
        <color theme="1"/>
        <rFont val="宋体"/>
        <family val="1"/>
        <charset val="134"/>
      </rPr>
      <t>），且你的速度增加</t>
    </r>
    <r>
      <rPr>
        <sz val="10"/>
        <color theme="1"/>
        <rFont val="Times New Roman"/>
        <family val="1"/>
      </rPr>
      <t>10</t>
    </r>
    <r>
      <rPr>
        <sz val="10"/>
        <color theme="1"/>
        <rFont val="宋体"/>
        <family val="1"/>
        <charset val="134"/>
      </rPr>
      <t>尺。此外，你进行敏捷（特技）检定时具有优势。</t>
    </r>
    <r>
      <rPr>
        <sz val="10"/>
        <color theme="1"/>
        <rFont val="Times New Roman"/>
        <family val="1"/>
      </rPr>
      <t xml:space="preserve">
</t>
    </r>
    <r>
      <rPr>
        <sz val="10"/>
        <color theme="1"/>
        <rFont val="宋体"/>
        <family val="1"/>
        <charset val="134"/>
      </rPr>
      <t>剑法</t>
    </r>
    <r>
      <rPr>
        <sz val="10"/>
        <color theme="1"/>
        <rFont val="Times New Roman"/>
        <family val="1"/>
      </rPr>
      <t xml:space="preserve"> Bladework</t>
    </r>
    <r>
      <rPr>
        <sz val="10"/>
        <color theme="1"/>
        <rFont val="宋体"/>
        <family val="1"/>
        <charset val="134"/>
      </rPr>
      <t>。当你使用你具有熟练的武器进行攻击时，你可以使用你的智力调整值替代力量或敏捷来进行攻击与伤害掷骰。</t>
    </r>
    <r>
      <rPr>
        <sz val="10"/>
        <color theme="1"/>
        <rFont val="Times New Roman"/>
        <family val="1"/>
      </rPr>
      <t xml:space="preserve">
</t>
    </r>
    <r>
      <rPr>
        <sz val="10"/>
        <color theme="1"/>
        <rFont val="宋体"/>
        <family val="1"/>
        <charset val="134"/>
      </rPr>
      <t>专注</t>
    </r>
    <r>
      <rPr>
        <sz val="10"/>
        <color theme="1"/>
        <rFont val="Times New Roman"/>
        <family val="1"/>
      </rPr>
      <t xml:space="preserve"> Focus</t>
    </r>
    <r>
      <rPr>
        <sz val="10"/>
        <color theme="1"/>
        <rFont val="宋体"/>
        <family val="1"/>
        <charset val="134"/>
      </rPr>
      <t>。当你为维持专注而进行体质豁免时，你可以将你的智力调整值加到掷骰总值当中。</t>
    </r>
    <phoneticPr fontId="68" type="noConversion"/>
  </si>
  <si>
    <t>战歌训练</t>
    <phoneticPr fontId="68" type="noConversion"/>
  </si>
  <si>
    <r>
      <rPr>
        <sz val="10"/>
        <color theme="1"/>
        <rFont val="宋体"/>
        <family val="1"/>
        <charset val="134"/>
      </rPr>
      <t>你获得所有不具有双手及重型词条的近战军用武器熟练。你可以使用你具有熟练的近战武器作为你法师法术的施法法器。</t>
    </r>
    <r>
      <rPr>
        <sz val="10"/>
        <color theme="1"/>
        <rFont val="Times New Roman"/>
        <family val="1"/>
      </rPr>
      <t xml:space="preserve">
</t>
    </r>
    <r>
      <rPr>
        <sz val="10"/>
        <color theme="1"/>
        <rFont val="宋体"/>
        <family val="1"/>
        <charset val="134"/>
      </rPr>
      <t>此外，你获得下列你所选择的一项技能的熟练：特技、运动、表演或游说。</t>
    </r>
    <phoneticPr fontId="68" type="noConversion"/>
  </si>
  <si>
    <r>
      <rPr>
        <sz val="10"/>
        <color theme="1"/>
        <rFont val="宋体"/>
        <family val="1"/>
        <charset val="134"/>
      </rPr>
      <t>你在你的回合内执行攻击动作时，可以进行两次攻击而非一次。</t>
    </r>
    <r>
      <rPr>
        <sz val="10"/>
        <color theme="1"/>
        <rFont val="Times New Roman"/>
        <family val="1"/>
      </rPr>
      <t xml:space="preserve">
</t>
    </r>
    <r>
      <rPr>
        <sz val="10"/>
        <color theme="1"/>
        <rFont val="宋体"/>
        <family val="1"/>
        <charset val="134"/>
      </rPr>
      <t>此外，你可以将额外攻击中的一次，替换为施展你的一道施法时间为动作的法师戏法。</t>
    </r>
    <phoneticPr fontId="68" type="noConversion"/>
  </si>
  <si>
    <t>守御之歌</t>
    <phoneticPr fontId="68" type="noConversion"/>
  </si>
  <si>
    <r>
      <rPr>
        <sz val="10"/>
        <color theme="1"/>
        <rFont val="宋体"/>
        <family val="1"/>
        <charset val="134"/>
      </rPr>
      <t>在你的剑歌激活期间，当你受到伤害时，你可以执行反应以消耗一枚法术位并将该伤害降低等同于该法术位环阶</t>
    </r>
    <r>
      <rPr>
        <sz val="10"/>
        <color theme="1"/>
        <rFont val="Times New Roman"/>
        <family val="1"/>
      </rPr>
      <t>5</t>
    </r>
    <r>
      <rPr>
        <sz val="10"/>
        <color theme="1"/>
        <rFont val="宋体"/>
        <family val="1"/>
        <charset val="134"/>
      </rPr>
      <t>倍的数值。</t>
    </r>
    <phoneticPr fontId="68" type="noConversion"/>
  </si>
  <si>
    <t>胜利之歌</t>
    <phoneticPr fontId="68" type="noConversion"/>
  </si>
  <si>
    <t>在你施展了一道施法时间为动作的法术之后，你可以执行附赠动作用武器进行一次攻击。</t>
    <phoneticPr fontId="68" type="noConversion"/>
  </si>
  <si>
    <r>
      <rPr>
        <sz val="10"/>
        <color theme="1"/>
        <rFont val="宋体"/>
        <family val="3"/>
        <charset val="134"/>
      </rPr>
      <t>剑咏</t>
    </r>
    <r>
      <rPr>
        <sz val="10"/>
        <color theme="1"/>
        <rFont val="宋体"/>
        <family val="1"/>
        <charset val="134"/>
      </rPr>
      <t>者</t>
    </r>
    <phoneticPr fontId="68" type="noConversion"/>
  </si>
  <si>
    <t>力量、敏捷、感知</t>
    <phoneticPr fontId="68" type="noConversion"/>
  </si>
  <si>
    <t>熟习</t>
    <phoneticPr fontId="68" type="noConversion"/>
  </si>
  <si>
    <t>选择A或B：(A)匕首、织布工具、背包、滚珠、篮子、铺盖、吊桶、口粮（3日份）、绳索、信号笛、旅行服装、38GP；或(B)50GP。</t>
    <phoneticPr fontId="68" type="noConversion"/>
  </si>
  <si>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phoneticPr fontId="68" type="noConversion"/>
  </si>
  <si>
    <t>力量、体质、感知</t>
    <phoneticPr fontId="68" type="noConversion"/>
  </si>
  <si>
    <t>医疗师</t>
    <phoneticPr fontId="68" type="noConversion"/>
  </si>
  <si>
    <t>医药与生存</t>
    <phoneticPr fontId="68" type="noConversion"/>
  </si>
  <si>
    <t>皮革匠工具</t>
    <phoneticPr fontId="68" type="noConversion"/>
  </si>
  <si>
    <t>选择A或B：(A)巨棒、皮革匠工具、铺盖、吊桶、医疗包、长杆、口粮（3日份）、帐篷、火绒盒、5支火把、旅行服装、水袋、32GP；或(B)50GP。</t>
    <phoneticPr fontId="68" type="noConversion"/>
  </si>
  <si>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phoneticPr fontId="68" type="noConversion"/>
  </si>
  <si>
    <t>敏捷、体质、智力</t>
    <phoneticPr fontId="68" type="noConversion"/>
  </si>
  <si>
    <t>新晋龙巫教徒</t>
    <phoneticPr fontId="68" type="noConversion"/>
  </si>
  <si>
    <t>欺瞒与隐匿</t>
    <phoneticPr fontId="68" type="noConversion"/>
  </si>
  <si>
    <t>选择A或B：(A)书法工具、匕首、玻璃瓶、油灯、镣铐、燃油（5瓶）、2个小包、长袍、绳索、30GP；或(B)50GP。</t>
    <phoneticPr fontId="68" type="noConversion"/>
  </si>
  <si>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phoneticPr fontId="68" type="noConversion"/>
  </si>
  <si>
    <t>体质、智力、感知</t>
    <phoneticPr fontId="68" type="noConversion"/>
  </si>
  <si>
    <t>翠绿闲庭新羽</t>
    <phoneticPr fontId="68" type="noConversion"/>
  </si>
  <si>
    <t>自然与生存</t>
    <phoneticPr fontId="68" type="noConversion"/>
  </si>
  <si>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phoneticPr fontId="68" type="noConversion"/>
  </si>
  <si>
    <t>力量、体质、魅力</t>
    <phoneticPr fontId="68" type="noConversion"/>
  </si>
  <si>
    <t>威吓与察觉</t>
    <phoneticPr fontId="68" type="noConversion"/>
  </si>
  <si>
    <t>选择A或B：(A)硬头锤、铁匠工具、高档服装、镣铐、便携式攻城锤、4GP；或(B)50GP。</t>
    <phoneticPr fontId="68" type="noConversion"/>
  </si>
  <si>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phoneticPr fontId="68" type="noConversion"/>
  </si>
  <si>
    <t>敏捷、感知、魅力</t>
    <phoneticPr fontId="68" type="noConversion"/>
  </si>
  <si>
    <t>魔法学徒（法师）</t>
    <phoneticPr fontId="68" type="noConversion"/>
  </si>
  <si>
    <t>察觉与游说</t>
    <phoneticPr fontId="68" type="noConversion"/>
  </si>
  <si>
    <t>玻璃匠工具</t>
    <phoneticPr fontId="68" type="noConversion"/>
  </si>
  <si>
    <t>选择A或B：(A)轻锤、玻璃匠工具、高档服装、油灯、燃油（3瓶）、水袋、2GP；或(B)50GP。</t>
    <phoneticPr fontId="68" type="noConversion"/>
  </si>
  <si>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phoneticPr fontId="68" type="noConversion"/>
  </si>
  <si>
    <t>敏捷、智力、魅力</t>
    <phoneticPr fontId="68" type="noConversion"/>
  </si>
  <si>
    <t>竖琴手特工</t>
    <phoneticPr fontId="68" type="noConversion"/>
  </si>
  <si>
    <t>表演与巧手</t>
    <phoneticPr fontId="68" type="noConversion"/>
  </si>
  <si>
    <t>选择A或B：(A)易容工具、铺盖、戏服、爪钩、绳索、旅行服装、14GP；或(B)50GP。</t>
    <phoneticPr fontId="68" type="noConversion"/>
  </si>
  <si>
    <t>选择A或B：(A)短弓、20支箭、草药工具、铺盖、毯子、小包、帐篷、旅行服装、13GP；或(B)50GP。</t>
    <phoneticPr fontId="68" type="noConversion"/>
  </si>
  <si>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phoneticPr fontId="68" type="noConversion"/>
  </si>
  <si>
    <t>力量、敏捷、体质</t>
    <phoneticPr fontId="68" type="noConversion"/>
  </si>
  <si>
    <t>警戒</t>
    <phoneticPr fontId="68" type="noConversion"/>
  </si>
  <si>
    <t>驯兽与运动</t>
    <phoneticPr fontId="68" type="noConversion"/>
  </si>
  <si>
    <t>木雕工具</t>
    <phoneticPr fontId="68" type="noConversion"/>
  </si>
  <si>
    <t>选择A或B：(A)木雕工具、篮子、滑轮组、吊桶、链条、捕猎陷阱、捕网、长杆、口粮（3日份）、绳索、旅行服装、32GP；或(B)50GP。</t>
    <phoneticPr fontId="68" type="noConversion"/>
  </si>
  <si>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phoneticPr fontId="68" type="noConversion"/>
  </si>
  <si>
    <t>力量、智力、感知</t>
    <phoneticPr fontId="68" type="noConversion"/>
  </si>
  <si>
    <t>新锻臂铠</t>
    <phoneticPr fontId="68" type="noConversion"/>
  </si>
  <si>
    <t>运动与医药</t>
    <phoneticPr fontId="68" type="noConversion"/>
  </si>
  <si>
    <t>选择A或B：(A)矛、铁匠工具、牛眼提灯、圣水、镣铐、燃油（5瓶）、链火绒盒、旅行服装、9GP；或(B)50GP。</t>
    <phoneticPr fontId="68" type="noConversion"/>
  </si>
  <si>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phoneticPr fontId="68" type="noConversion"/>
  </si>
  <si>
    <t>力量、智力、魅力</t>
    <phoneticPr fontId="68" type="noConversion"/>
  </si>
  <si>
    <t>领主联盟特工</t>
    <phoneticPr fontId="68" type="noConversion"/>
  </si>
  <si>
    <t>选择A或B：(A)2支标枪、书法工具、高档服装、墨水、5支墨水笔、羊皮纸（9张）、13GP；或(B)50GP。</t>
    <phoneticPr fontId="68" type="noConversion"/>
  </si>
  <si>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phoneticPr fontId="68" type="noConversion"/>
  </si>
  <si>
    <t>体质、感知、魅力</t>
    <phoneticPr fontId="68" type="noConversion"/>
  </si>
  <si>
    <t>魔法学徒（德鲁伊）</t>
    <phoneticPr fontId="68" type="noConversion"/>
  </si>
  <si>
    <t>自然与表演</t>
    <phoneticPr fontId="68" type="noConversion"/>
  </si>
  <si>
    <t>画家工具</t>
    <phoneticPr fontId="68" type="noConversion"/>
  </si>
  <si>
    <t>选择A或B：(A)长棍、画家工具、铺盖、铃铛、小包、长袍、细线、高档服装、水袋、34GP；或(B)50GP。</t>
    <phoneticPr fontId="68" type="noConversion"/>
  </si>
  <si>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phoneticPr fontId="68" type="noConversion"/>
  </si>
  <si>
    <t>幸运</t>
    <phoneticPr fontId="68" type="noConversion"/>
  </si>
  <si>
    <t>调查与宗教</t>
    <phoneticPr fontId="68" type="noConversion"/>
  </si>
  <si>
    <t>选择A或B：(A)匕首、轻锤、石匠工具、背包、铺盖、撬棍、梯子、长杆、2个小包、绳索、细线、火绒盒、5支火把、旅行服装、水袋、26GP；或(B)50GP。</t>
    <phoneticPr fontId="68" type="noConversion"/>
  </si>
  <si>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phoneticPr fontId="68" type="noConversion"/>
  </si>
  <si>
    <t>智力、感知、魅力</t>
    <phoneticPr fontId="68" type="noConversion"/>
  </si>
  <si>
    <t>巧匠</t>
    <phoneticPr fontId="68" type="noConversion"/>
  </si>
  <si>
    <t>奥秘与历史</t>
    <phoneticPr fontId="68" type="noConversion"/>
  </si>
  <si>
    <t>珠宝匠工具</t>
    <phoneticPr fontId="68" type="noConversion"/>
  </si>
  <si>
    <t>选择A或B：(A)长棍、珠宝匠工具、香水、小包、长袍、铲子、细线、水袋、16GP；或(B)50GP。</t>
    <phoneticPr fontId="68" type="noConversion"/>
  </si>
  <si>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phoneticPr fontId="68" type="noConversion"/>
  </si>
  <si>
    <t>力量、感知、魅力</t>
    <phoneticPr fontId="68" type="noConversion"/>
  </si>
  <si>
    <t>紫龙新兵</t>
    <phoneticPr fontId="68" type="noConversion"/>
  </si>
  <si>
    <t>驯兽与洞悉</t>
    <phoneticPr fontId="68" type="noConversion"/>
  </si>
  <si>
    <t>领航工具</t>
    <phoneticPr fontId="68" type="noConversion"/>
  </si>
  <si>
    <t>运动与巧手</t>
    <phoneticPr fontId="68" type="noConversion"/>
  </si>
  <si>
    <t>选择A或B：(A)矛、领航工具、高档服装、9GP；或(B)50GP。</t>
    <phoneticPr fontId="68" type="noConversion"/>
  </si>
  <si>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phoneticPr fontId="68" type="noConversion"/>
  </si>
  <si>
    <t>制图工具</t>
    <phoneticPr fontId="68" type="noConversion"/>
  </si>
  <si>
    <t>选择A或B：(A)书法工具、背包、铺盖、附盖提灯、燃油（3瓶）、长袍、火绒盒、旅行服装、水袋、23GP；或(B)50GP。</t>
    <phoneticPr fontId="68" type="noConversion"/>
  </si>
  <si>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phoneticPr fontId="68" type="noConversion"/>
  </si>
  <si>
    <t>凶蛮打手</t>
    <phoneticPr fontId="68" type="noConversion"/>
  </si>
  <si>
    <t>特技与隐匿</t>
    <phoneticPr fontId="68" type="noConversion"/>
  </si>
  <si>
    <t>盗贼工具</t>
    <phoneticPr fontId="68" type="noConversion"/>
  </si>
  <si>
    <t>选择A或B：(A)2把匕首、盗贼工具、铁蒺藜、戏服、爪钩、铁钉、2个小包、长袍、旅行服装、3GP；或(B)50GP。</t>
    <phoneticPr fontId="68" type="noConversion"/>
  </si>
  <si>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phoneticPr fontId="68" type="noConversion"/>
  </si>
  <si>
    <t>体质、智力、魅力</t>
    <phoneticPr fontId="68" type="noConversion"/>
  </si>
  <si>
    <t>咒火火花</t>
    <phoneticPr fontId="68" type="noConversion"/>
  </si>
  <si>
    <t>奥秘与察觉</t>
    <phoneticPr fontId="68" type="noConversion"/>
  </si>
  <si>
    <t>自选一套赌具</t>
    <phoneticPr fontId="68" type="noConversion"/>
  </si>
  <si>
    <t>选择A或B：(A)赌具（同上所选）、奥术法器（水晶或魔杖）、2个小包、旅行服装、36GP；或(B)50GP。</t>
    <phoneticPr fontId="68" type="noConversion"/>
  </si>
  <si>
    <t>你身上具有咒火的天赋：一种稀有的魔法形式，能够引导魔网的原始力量。操纵咒火会对身体造成很重的负担。因此你锻炼了自己的身心，以此来更有效地操纵这股神圣的力量。</t>
    <phoneticPr fontId="68" type="noConversion"/>
  </si>
  <si>
    <t>力量、敏捷、魅力</t>
    <phoneticPr fontId="68" type="noConversion"/>
  </si>
  <si>
    <t>散塔林会暴徒</t>
    <phoneticPr fontId="68" type="noConversion"/>
  </si>
  <si>
    <t>文书伪造工具</t>
    <phoneticPr fontId="68" type="noConversion"/>
  </si>
  <si>
    <t>选择A或B：(A)短棒、匕首、文书伪造工具、高档服装、附盖提灯、燃油（3瓶）、2个小包、细线、火绒盒、11GP；或(B)50GP。</t>
    <phoneticPr fontId="68" type="noConversion"/>
  </si>
  <si>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phoneticPr fontId="68" type="noConversion"/>
  </si>
  <si>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phoneticPr fontId="68" type="noConversion"/>
  </si>
  <si>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phoneticPr fontId="68" type="noConversion"/>
  </si>
  <si>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phoneticPr fontId="68" type="noConversion"/>
  </si>
  <si>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phoneticPr fontId="68" type="noConversion"/>
  </si>
  <si>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phoneticPr fontId="68" type="noConversion"/>
  </si>
  <si>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phoneticPr fontId="68" type="noConversion"/>
  </si>
  <si>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phoneticPr fontId="68" type="noConversion"/>
  </si>
  <si>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phoneticPr fontId="68" type="noConversion"/>
  </si>
  <si>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phoneticPr fontId="68" type="noConversion"/>
  </si>
  <si>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phoneticPr fontId="68" type="noConversion"/>
  </si>
  <si>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phoneticPr fontId="68" type="noConversion"/>
  </si>
  <si>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phoneticPr fontId="68" type="noConversion"/>
  </si>
  <si>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phoneticPr fontId="68" type="noConversion"/>
  </si>
  <si>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phoneticPr fontId="68" type="noConversion"/>
  </si>
  <si>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phoneticPr fontId="68" type="noConversion"/>
  </si>
  <si>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phoneticPr fontId="68" type="noConversion"/>
  </si>
  <si>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phoneticPr fontId="68" type="noConversion"/>
  </si>
  <si>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phoneticPr fontId="68" type="noConversion"/>
  </si>
  <si>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phoneticPr fontId="68" type="noConversion"/>
  </si>
  <si>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phoneticPr fontId="68" type="noConversion"/>
  </si>
  <si>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phoneticPr fontId="68" type="noConversion"/>
  </si>
  <si>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phoneticPr fontId="68" type="noConversion"/>
  </si>
  <si>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phoneticPr fontId="68" type="noConversion"/>
  </si>
  <si>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phoneticPr fontId="68" type="noConversion"/>
  </si>
  <si>
    <t>传奇恩惠专长（先决：等级19+）
你获得以下增益：
属性值提升Ability Score Increase。你的力量或体质提升1，至多提升至30。
心体防护Defense of Body and Mind。浴血期间，你对除力场伤害外的所有类型伤害具有抗性。</t>
    <phoneticPr fontId="68" type="noConversion"/>
  </si>
  <si>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phoneticPr fontId="68" type="noConversion"/>
  </si>
  <si>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phoneticPr fontId="68" type="noConversion"/>
  </si>
  <si>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phoneticPr fontId="68" type="noConversion"/>
  </si>
  <si>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phoneticPr fontId="68" type="noConversion"/>
  </si>
  <si>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phoneticPr fontId="68" type="noConversion"/>
  </si>
  <si>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phoneticPr fontId="68" type="noConversion"/>
  </si>
  <si>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phoneticPr fontId="68" type="noConversion"/>
  </si>
  <si>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phoneticPr fontId="68" type="noConversion"/>
  </si>
  <si>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phoneticPr fontId="68" type="noConversion"/>
  </si>
  <si>
    <t>30GP</t>
    <phoneticPr fontId="68" type="noConversion"/>
  </si>
  <si>
    <t>65GP</t>
    <phoneticPr fontId="68" type="noConversion"/>
  </si>
  <si>
    <t>40GP</t>
    <phoneticPr fontId="68" type="noConversion"/>
  </si>
  <si>
    <t>FR:HoF</t>
    <phoneticPr fontId="68" type="noConversion"/>
  </si>
  <si>
    <t>咒火闪焰</t>
  </si>
  <si>
    <t>Spellfire Flare</t>
  </si>
  <si>
    <t>制敌术</t>
  </si>
  <si>
    <t>一个黏土做的小手塑像</t>
  </si>
  <si>
    <t>Wardaway</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</si>
  <si>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</si>
  <si>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</si>
  <si>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</si>
  <si>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</si>
  <si>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</si>
  <si>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</si>
  <si>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</si>
  <si>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</si>
  <si>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</si>
  <si>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</si>
  <si>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噪鸣护盾</t>
  </si>
  <si>
    <t>Cacophonic Shield</t>
  </si>
  <si>
    <t>咒唤机群</t>
  </si>
  <si>
    <t>一枚黄铜齿轮</t>
  </si>
  <si>
    <t>Conjure Constructs</t>
  </si>
  <si>
    <t>莱拉的银辉长枪</t>
  </si>
  <si>
    <t>一枚价值250+GP的银针</t>
  </si>
  <si>
    <t>Laeral's Silver Lance</t>
  </si>
  <si>
    <t>希伦的剧毒灵蛇</t>
  </si>
  <si>
    <t>一枚蛇牙</t>
  </si>
  <si>
    <t>Sylune's Viper</t>
  </si>
  <si>
    <t>反冲术</t>
  </si>
  <si>
    <t>反应，当你受到伤害时，作为对该次伤害的回应执行</t>
  </si>
  <si>
    <t>Backlash</t>
  </si>
  <si>
    <t>厄难黑潮</t>
  </si>
  <si>
    <t>煤灰或烟灰，以及一片鳗鱼干</t>
  </si>
  <si>
    <t>Doomtide</t>
  </si>
  <si>
    <t>艾拉斯卓的月辉之篷</t>
  </si>
  <si>
    <t>一块价值50+GP的月石</t>
  </si>
  <si>
    <t>Alustriel's Mooncloak</t>
  </si>
  <si>
    <t>桑缟的元灵显圣</t>
  </si>
  <si>
    <t>一枚价值100+GP的珍珠</t>
  </si>
  <si>
    <t>Songal's Elemental Suffusion</t>
  </si>
  <si>
    <t>悲恸挽歌</t>
  </si>
  <si>
    <t>Dirge</t>
  </si>
  <si>
    <t>伊尔明斯特的绚丽光球</t>
  </si>
  <si>
    <t>一块价值1,000+GP的欧珀</t>
  </si>
  <si>
    <t>Elminster's Effulgent Spheres</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</si>
  <si>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</si>
  <si>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</si>
  <si>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</si>
  <si>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密斯特拉圣星</t>
  </si>
  <si>
    <t>Holy Star of Mystra</t>
  </si>
  <si>
    <t>咒火风暴</t>
    <phoneticPr fontId="68" type="noConversion"/>
  </si>
  <si>
    <t>塑能</t>
    <phoneticPr fontId="68" type="noConversion"/>
  </si>
  <si>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phoneticPr fontId="68" type="noConversion"/>
  </si>
  <si>
    <t>Spellfire Storm</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</si>
  <si>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</si>
  <si>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</si>
  <si>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</si>
  <si>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</si>
  <si>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</si>
  <si>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</si>
  <si>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</si>
  <si>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</si>
  <si>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</si>
  <si>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</si>
  <si>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</si>
  <si>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</si>
  <si>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</si>
  <si>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</si>
  <si>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</si>
  <si>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t>
    <phoneticPr fontId="68" type="noConversion"/>
  </si>
  <si>
    <t>被遗忘的国度：费伦英雄</t>
    <phoneticPr fontId="68" type="noConversion"/>
  </si>
  <si>
    <t>灾厄之刃</t>
    <phoneticPr fontId="68" type="noConversion"/>
  </si>
  <si>
    <t>洛温：初光</t>
    <phoneticPr fontId="68" type="noConversion"/>
  </si>
  <si>
    <t>骄阳之子</t>
    <phoneticPr fontId="68" type="noConversion"/>
  </si>
  <si>
    <t>运动与自然</t>
    <phoneticPr fontId="68" type="noConversion"/>
  </si>
  <si>
    <t>选择A或B：（A）长棍、制图工具、背包、篮子、羊皮纸（4张）、绳索、旅行服装、29GP；或（B）50GP</t>
    <phoneticPr fontId="68" type="noConversion"/>
  </si>
  <si>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phoneticPr fontId="68" type="noConversion"/>
  </si>
  <si>
    <t>影原咒者</t>
    <phoneticPr fontId="68" type="noConversion"/>
  </si>
  <si>
    <t>特技与欺瞒</t>
    <phoneticPr fontId="68" type="noConversion"/>
  </si>
  <si>
    <t>选择A或B：（A）匕首、玻璃匠工具、背包、捕猎陷阱 、油灯、燃油（3扁瓶）、旅行服装、水袋、8GP；或（B）50GP</t>
    <phoneticPr fontId="68" type="noConversion"/>
  </si>
  <si>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phoneticPr fontId="68" type="noConversion"/>
  </si>
  <si>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phoneticPr fontId="68" type="noConversion"/>
  </si>
  <si>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phoneticPr fontId="68" type="noConversion"/>
  </si>
  <si>
    <t>洛温幻身灵</t>
    <phoneticPr fontId="68" type="noConversion"/>
  </si>
  <si>
    <t>自我塑造</t>
    <phoneticPr fontId="68" type="noConversion"/>
  </si>
  <si>
    <t>以一个动作，你重塑你的身躯为两足类人的形状或四足野兽的形状。若你的形状为类人，你能够穿着为与你体型相同的类人生物制造的衣物或护甲。</t>
    <phoneticPr fontId="68" type="noConversion"/>
  </si>
  <si>
    <t>中型(约4-7尺高)或小型(约2-4尺高)，在选择此种族时决定</t>
    <phoneticPr fontId="68" type="noConversion"/>
  </si>
  <si>
    <t>你具有120尺黑暗视觉。</t>
    <phoneticPr fontId="68" type="noConversion"/>
  </si>
  <si>
    <t>欢乐模仿</t>
    <phoneticPr fontId="68" type="noConversion"/>
  </si>
  <si>
    <t>你具有表演或欺瞒技能的熟练。</t>
    <phoneticPr fontId="68" type="noConversion"/>
  </si>
  <si>
    <t>莫测诡移</t>
    <phoneticPr fontId="68" type="noConversion"/>
  </si>
  <si>
    <t>每当你投掷先攻时，只要本次先攻检定不具有劣势，你就能够立即移动等于你速度一半的距离</t>
    <phoneticPr fontId="68" type="noConversion"/>
  </si>
  <si>
    <t>波尬</t>
    <phoneticPr fontId="68" type="noConversion"/>
  </si>
  <si>
    <t>洛温精灵</t>
  </si>
  <si>
    <t>洛温精灵</t>
    <phoneticPr fontId="68" type="noConversion"/>
  </si>
  <si>
    <t>暗影荒原精灵</t>
  </si>
  <si>
    <t>暗影荒原精灵</t>
    <phoneticPr fontId="68" type="noConversion"/>
  </si>
  <si>
    <t>1级 你知晓戏法荆棘之鞭Thorn Whip，每当你完成长休时，你可以将它替换为德鲁伊法术列表中的另一个戏法。
3级 命令术Command
5级 沉默术Silence</t>
    <phoneticPr fontId="68" type="noConversion"/>
  </si>
  <si>
    <t>1级 你的黑暗视觉提升至120尺。你也知晓戏法点点星芒Starry Wisp。
3级 英雄气概Heroism
5级 遗体防腐Gentle Repose</t>
    <phoneticPr fontId="68" type="noConversion"/>
  </si>
  <si>
    <t>D6</t>
  </si>
  <si>
    <t>D8</t>
  </si>
  <si>
    <t>D10</t>
  </si>
  <si>
    <t>D12</t>
  </si>
  <si>
    <t>辅助修订者</t>
    <phoneticPr fontId="68" type="noConversion"/>
  </si>
  <si>
    <r>
      <rPr>
        <sz val="11"/>
        <color theme="1"/>
        <rFont val="宋体"/>
        <family val="3"/>
        <charset val="134"/>
      </rPr>
      <t>特别鸣谢</t>
    </r>
    <r>
      <rPr>
        <b/>
        <sz val="11"/>
        <color theme="1"/>
        <rFont val="Times New Roman"/>
        <family val="1"/>
      </rPr>
      <t>MadMax</t>
    </r>
    <r>
      <rPr>
        <sz val="11"/>
        <color theme="1"/>
        <rFont val="宋体"/>
        <family val="3"/>
        <charset val="134"/>
      </rPr>
      <t>，</t>
    </r>
    <r>
      <rPr>
        <b/>
        <sz val="11"/>
        <color theme="1"/>
        <rFont val="宋体"/>
        <family val="3"/>
        <charset val="134"/>
      </rPr>
      <t>小小苏</t>
    </r>
    <r>
      <rPr>
        <sz val="11"/>
        <color theme="1"/>
        <rFont val="宋体"/>
        <family val="3"/>
        <charset val="134"/>
      </rPr>
      <t>，</t>
    </r>
    <r>
      <rPr>
        <b/>
        <sz val="11"/>
        <color theme="1"/>
        <rFont val="宋体"/>
        <family val="3"/>
        <charset val="134"/>
      </rPr>
      <t>泉</t>
    </r>
    <r>
      <rPr>
        <sz val="11"/>
        <color theme="1"/>
        <rFont val="宋体"/>
        <family val="3"/>
        <charset val="134"/>
      </rPr>
      <t>，</t>
    </r>
    <r>
      <rPr>
        <b/>
        <sz val="11"/>
        <color theme="1"/>
        <rFont val="Times New Roman"/>
        <family val="1"/>
      </rPr>
      <t>Ejectam719</t>
    </r>
    <r>
      <rPr>
        <sz val="11"/>
        <color theme="1"/>
        <rFont val="Times New Roman"/>
        <family val="3"/>
        <charset val="134"/>
      </rPr>
      <t xml:space="preserve"> </t>
    </r>
    <r>
      <rPr>
        <sz val="11"/>
        <color theme="1"/>
        <rFont val="宋体"/>
        <family val="3"/>
        <charset val="134"/>
      </rPr>
      <t>几位辅助修订者在自动卡体验优化，录入数据等等方面上的帮助，排名仅代表时间顺序</t>
    </r>
    <phoneticPr fontId="68" type="noConversion"/>
  </si>
  <si>
    <r>
      <t>BUY</t>
    </r>
    <r>
      <rPr>
        <b/>
        <sz val="12"/>
        <color theme="0"/>
        <rFont val="宋体"/>
        <family val="3"/>
        <charset val="134"/>
      </rPr>
      <t>点计算器</t>
    </r>
    <phoneticPr fontId="68" type="noConversion"/>
  </si>
  <si>
    <t>值</t>
    <phoneticPr fontId="68" type="noConversion"/>
  </si>
  <si>
    <t>COST</t>
  </si>
  <si>
    <t>COST</t>
    <phoneticPr fontId="68" type="noConversion"/>
  </si>
  <si>
    <t>点数总额</t>
    <phoneticPr fontId="68" type="noConversion"/>
  </si>
  <si>
    <t>剩余点数</t>
    <phoneticPr fontId="68" type="noConversion"/>
  </si>
  <si>
    <t>易伤</t>
    <phoneticPr fontId="68" type="noConversion"/>
  </si>
  <si>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phoneticPr fontId="68" type="noConversion"/>
  </si>
  <si>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phoneticPr fontId="68" type="noConversion"/>
  </si>
  <si>
    <t>霜身</t>
    <phoneticPr fontId="68" type="noConversion"/>
  </si>
  <si>
    <t>冷火魔法</t>
    <phoneticPr fontId="68" type="noConversion"/>
  </si>
  <si>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phoneticPr fontId="68" type="noConversion"/>
  </si>
  <si>
    <t>寒冷抗性</t>
    <phoneticPr fontId="68" type="noConversion"/>
  </si>
  <si>
    <t>你拥有对寒冷伤害的抗性。</t>
    <phoneticPr fontId="68" type="noConversion"/>
  </si>
  <si>
    <t>中型（约4-7尺高）或小型（约2-4尺高），在选择此种族时决定</t>
    <phoneticPr fontId="68" type="noConversion"/>
  </si>
  <si>
    <t>半血裔</t>
  </si>
  <si>
    <t>巫咒之子</t>
  </si>
  <si>
    <t>复生者</t>
  </si>
  <si>
    <t>你是中型或小型。当你获得此血统时，你选择你的体型。</t>
    <phoneticPr fontId="68" type="noConversion"/>
  </si>
  <si>
    <t>炎身</t>
    <phoneticPr fontId="68" type="noConversion"/>
  </si>
  <si>
    <t>洁英</t>
    <phoneticPr fontId="68" type="noConversion"/>
  </si>
  <si>
    <t>洁英灵巧</t>
    <phoneticPr fontId="68" type="noConversion"/>
  </si>
  <si>
    <t>你拥有120尺黑暗视觉。</t>
    <phoneticPr fontId="68" type="noConversion"/>
  </si>
  <si>
    <t>得益于你的超自然天赋，你在黑暗和微光光照下拥有超常的视力。你拥有60尺黑暗视觉。</t>
    <phoneticPr fontId="68" type="noConversion"/>
  </si>
  <si>
    <t>你善于在夜色的掩护下狩猎。你拥有60尺黑暗视觉。</t>
    <phoneticPr fontId="68" type="noConversion"/>
  </si>
  <si>
    <t>由于习惯了以太边境中混乱且通常不可避免的光线条件，你你在黑暗和微光光照下有着超出常人的视力。你拥有60尺黑暗视觉。</t>
    <phoneticPr fontId="68" type="noConversion"/>
  </si>
  <si>
    <t>艾伯伦：奇械锻炉</t>
    <phoneticPr fontId="68" type="noConversion"/>
  </si>
  <si>
    <t>阿斯代伦的饥渴之书</t>
    <phoneticPr fontId="68" type="noConversion"/>
  </si>
  <si>
    <t>惊奇一发：节日包</t>
    <phoneticPr fontId="68" type="noConversion"/>
  </si>
  <si>
    <t>拳斗士</t>
    <phoneticPr fontId="68" type="noConversion"/>
  </si>
  <si>
    <t>雪人裔</t>
  </si>
  <si>
    <t>常春人</t>
  </si>
  <si>
    <t>驯鹿人</t>
  </si>
  <si>
    <t>雪狐人</t>
  </si>
  <si>
    <t>雪狐人</t>
    <phoneticPr fontId="68" type="noConversion"/>
  </si>
  <si>
    <t>驯鹿人</t>
    <phoneticPr fontId="68" type="noConversion"/>
  </si>
  <si>
    <t>常春人</t>
    <phoneticPr fontId="68" type="noConversion"/>
  </si>
  <si>
    <t>雪人裔</t>
    <phoneticPr fontId="68" type="noConversion"/>
  </si>
  <si>
    <t>小型(约2-4尺高)或中型(约4-7尺高)，在选取此种族时选择</t>
    <phoneticPr fontId="68" type="noConversion"/>
  </si>
  <si>
    <t xml:space="preserve">中型(约7-8尺高，包括角) </t>
    <phoneticPr fontId="68" type="noConversion"/>
  </si>
  <si>
    <t>小型(约3-4尺高)</t>
    <phoneticPr fontId="68" type="noConversion"/>
  </si>
  <si>
    <t>30尺，掘穴10尺</t>
    <phoneticPr fontId="68" type="noConversion"/>
  </si>
  <si>
    <t>颤栗解剖</t>
    <phoneticPr fontId="68" type="noConversion"/>
  </si>
  <si>
    <t>你具有对寒冷伤害的抗性。你还知晓戏法颤栗之触Chill Touch。</t>
    <phoneticPr fontId="68" type="noConversion"/>
  </si>
  <si>
    <t>稠密之雪</t>
    <phoneticPr fontId="68" type="noConversion"/>
  </si>
  <si>
    <t>你可以穿越任何体型比你大的生物所在的空间，但你不能在其内停下。此外，你能够跻身通过足以令体型比你小一级的生物通过的空间而无需承受移动力惩罚。</t>
    <phoneticPr fontId="68" type="noConversion"/>
  </si>
  <si>
    <t>极寒构装</t>
    <phoneticPr fontId="68" type="noConversion"/>
  </si>
  <si>
    <t>你无需睡眠，且魔法无法令你睡眠。若你在期间保持静止，你能够以4小时完成长休；在此期间你看上去就像个雪人，但你保持清醒。你无需吃、喝或呼吸。</t>
    <phoneticPr fontId="68" type="noConversion"/>
  </si>
  <si>
    <t>冰川形态</t>
    <phoneticPr fontId="68" type="noConversion"/>
  </si>
  <si>
    <t>每长休一次，你能够无需材料成分且无需消耗法术位地施展法术虚假生命False Life，并令你的躯体冰化。</t>
    <phoneticPr fontId="68" type="noConversion"/>
  </si>
  <si>
    <t>户外适性</t>
    <phoneticPr fontId="68" type="noConversion"/>
  </si>
  <si>
    <t>你能够移动穿过因土地或树叶导致的困难地形而无需额外消耗移动力。</t>
    <phoneticPr fontId="68" type="noConversion"/>
  </si>
  <si>
    <t>自然庇佑</t>
    <phoneticPr fontId="68" type="noConversion"/>
  </si>
  <si>
    <t>即使你仅处于因树叶，暴雨/雪，薄雾或其他自然现象导致的轻度遮蔽下，你也能尝试躲藏。</t>
    <phoneticPr fontId="68" type="noConversion"/>
  </si>
  <si>
    <t>动物之友</t>
    <phoneticPr fontId="68" type="noConversion"/>
  </si>
  <si>
    <t>每长休一次，你能无需材料成分且无需法术位地施展法术兽之联结Beast Bond 。</t>
    <phoneticPr fontId="68" type="noConversion"/>
  </si>
  <si>
    <t>指引之光</t>
    <phoneticPr fontId="68" type="noConversion"/>
  </si>
  <si>
    <t xml:space="preserve">你能以附赠动作自你的鼻子散发半径20尺的微光光照。你能以附赠动作结束此效应。 </t>
    <phoneticPr fontId="68" type="noConversion"/>
  </si>
  <si>
    <t>角之御</t>
    <phoneticPr fontId="68" type="noConversion"/>
  </si>
  <si>
    <t>每短休一次，你能以反应低下角进入防御姿态。直至你的下个回合开始，你对抗近战攻击的护甲等级获得+2加值。</t>
    <phoneticPr fontId="68" type="noConversion"/>
  </si>
  <si>
    <t>蹄技</t>
    <phoneticPr fontId="68" type="noConversion"/>
  </si>
  <si>
    <t>若你以徒手打击命中一名目标，你能造成1d4加你的力量调整值的钝击伤害。</t>
    <phoneticPr fontId="68" type="noConversion"/>
  </si>
  <si>
    <t>天生导航</t>
    <phoneticPr fontId="68" type="noConversion"/>
  </si>
  <si>
    <t>后足狂奔</t>
    <phoneticPr fontId="68" type="noConversion"/>
  </si>
  <si>
    <t>每当你使用疾走或撤离动作时，你获得额外10尺移动速度，持续至你的回合结束。</t>
    <phoneticPr fontId="68" type="noConversion"/>
  </si>
  <si>
    <t>尖牙利齿</t>
    <phoneticPr fontId="68" type="noConversion"/>
  </si>
  <si>
    <t>若你以徒手打击命中一名目标，你能造成1d4加你力量调整值的穿刺伤害。</t>
    <phoneticPr fontId="68" type="noConversion"/>
  </si>
  <si>
    <t>集猎者</t>
    <phoneticPr fontId="68" type="noConversion"/>
  </si>
  <si>
    <t>你具有自然、求生或隐匿技能的熟练。</t>
    <phoneticPr fontId="68" type="noConversion"/>
  </si>
  <si>
    <t>先祖祝福</t>
    <phoneticPr fontId="68" type="noConversion"/>
  </si>
  <si>
    <t>每短休一次，你能以动作施展法术神导术Guidance 。</t>
    <phoneticPr fontId="68" type="noConversion"/>
  </si>
  <si>
    <t>兽性本能</t>
    <phoneticPr fontId="68" type="noConversion"/>
  </si>
  <si>
    <t>中型(约4-7尺高)或小型(约2-4英尺高)，在选取此种族时选择</t>
    <phoneticPr fontId="68" type="noConversion"/>
  </si>
  <si>
    <t>化兽</t>
    <phoneticPr fontId="68" type="noConversion"/>
  </si>
  <si>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phoneticPr fontId="68" type="noConversion"/>
  </si>
  <si>
    <t xml:space="preserve">你额外获得1d6临时生命值。化兽期间，你的护甲等级获得+1加值。 </t>
    <phoneticPr fontId="68" type="noConversion"/>
  </si>
  <si>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phoneticPr fontId="68" type="noConversion"/>
  </si>
  <si>
    <t xml:space="preserve">当你处于化兽期间，你的速度提升10尺。此外，当一名生物在你5尺内结束其回合时，你能以反应移动至多10尺。该反应不会引发借机攻击动作。 </t>
    <phoneticPr fontId="68" type="noConversion"/>
  </si>
  <si>
    <t xml:space="preserve">化兽期间，你的感知检定具有优势。此外，只要你未陷入失能状态，位于你30尺内的生物对你的攻击检定就无法具有优势。 </t>
    <phoneticPr fontId="68" type="noConversion"/>
  </si>
  <si>
    <t>科拉瓦</t>
    <phoneticPr fontId="68" type="noConversion"/>
  </si>
  <si>
    <t>中型（大约6-7尺高）</t>
    <phoneticPr fontId="68" type="noConversion"/>
  </si>
  <si>
    <t>中型(约4-6尺高)或小型(约2-4英尺高)，在选取此种族时选择</t>
    <phoneticPr fontId="68" type="noConversion"/>
  </si>
  <si>
    <t>中型(约6-8尺高)或小型(约3-4英尺高)，在选取此种族时选择</t>
    <phoneticPr fontId="68" type="noConversion"/>
  </si>
  <si>
    <t>幻身本能</t>
    <phoneticPr fontId="68" type="noConversion"/>
  </si>
  <si>
    <t>多亏了和妖精领域的联系，你自以下技能中选择两项获得熟练：欺瞒，洞悉，威吓，表演或游说。</t>
    <phoneticPr fontId="68" type="noConversion"/>
  </si>
  <si>
    <t>变形</t>
    <phoneticPr fontId="68" type="noConversion"/>
  </si>
  <si>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phoneticPr fontId="68" type="noConversion"/>
  </si>
  <si>
    <t>你在感知和魅力豁免中具有优势。</t>
    <phoneticPr fontId="68" type="noConversion"/>
  </si>
  <si>
    <t>双重心灵</t>
    <phoneticPr fontId="68" type="noConversion"/>
  </si>
  <si>
    <t>心能训练</t>
    <phoneticPr fontId="68" type="noConversion"/>
  </si>
  <si>
    <t>心灵链接</t>
    <phoneticPr fontId="68" type="noConversion"/>
  </si>
  <si>
    <t>你拥有心灵感应能力，其距离尺数等于你等级的十倍。当你使用此特质与一个生物进行心灵感应沟通时，你可以用一个魔法动作给予该生物与你心灵感应沟通的能力，持续1小时或直到你用一个魔法动作结束此效应。</t>
    <phoneticPr fontId="68" type="noConversion"/>
  </si>
  <si>
    <t>离梦</t>
    <phoneticPr fontId="68" type="noConversion"/>
  </si>
  <si>
    <t xml:space="preserve">你不能成为托梦术Dream 法术的目标。此外，当你完成一次长休时，你获得自选的一项技能熟练。此熟练会持续到你完成另一次长休为止。 </t>
    <phoneticPr fontId="68" type="noConversion"/>
  </si>
  <si>
    <t>你在为避免或结束魅惑状态进行的豁免中具有优势。</t>
    <phoneticPr fontId="68" type="noConversion"/>
  </si>
  <si>
    <t>妖精赠礼</t>
    <phoneticPr fontId="68" type="noConversion"/>
  </si>
  <si>
    <t>你知晓戏法交友术Friends 。每当你完成一次长休时，你可以将该戏法替换为牧师、德鲁伊或法师法术表中的一道不同戏法。你在使用此特性进行施法时使用的施法属性为智力、感知或魅力（在你选择此种族时进行选择）。</t>
    <phoneticPr fontId="68" type="noConversion"/>
  </si>
  <si>
    <t>昏睡抗力</t>
    <phoneticPr fontId="68" type="noConversion"/>
  </si>
  <si>
    <t>当你在为避免或结束昏迷状态进行的豁免中失败时，你可以令其变为成功。此特质一经使用，直到你完成1d4次长休前不能再次使用。</t>
    <phoneticPr fontId="68" type="noConversion"/>
  </si>
  <si>
    <t>多才多艺</t>
    <phoneticPr fontId="68" type="noConversion"/>
  </si>
  <si>
    <t xml:space="preserve">你获得由你选择的一项技能或工具的熟练。每当你完成一次长休时，你可以将其替换为另一技能或工具的熟练。 </t>
    <phoneticPr fontId="68" type="noConversion"/>
  </si>
  <si>
    <t>构装坚韧</t>
    <phoneticPr fontId="68" type="noConversion"/>
  </si>
  <si>
    <t>你拥有对毒素伤害的抗性，且你在为避免或结束中毒状态而进行的豁免时具有优势。</t>
    <phoneticPr fontId="68" type="noConversion"/>
  </si>
  <si>
    <t>内嵌防护</t>
    <phoneticPr fontId="68" type="noConversion"/>
  </si>
  <si>
    <t>你的AC具有+1加值。此外，只要你还活着，你所着装的护甲就不能在你非自愿的情况下被卸下。</t>
    <phoneticPr fontId="68" type="noConversion"/>
  </si>
  <si>
    <t>哨兵之憩</t>
    <phoneticPr fontId="68" type="noConversion"/>
  </si>
  <si>
    <t>你不需要睡眠，魔法不能令你入睡。你可以花费6小时进入一种非激活的静止状态，以完成一次长休。这段时间内，你变得迟缓，但仍具有意识。</t>
    <phoneticPr fontId="68" type="noConversion"/>
  </si>
  <si>
    <t>特化设计</t>
    <phoneticPr fontId="68" type="noConversion"/>
  </si>
  <si>
    <t>你获得由你选择的一项技能和一项工具的熟练。</t>
    <phoneticPr fontId="68" type="noConversion"/>
  </si>
  <si>
    <t>不知疲倦</t>
    <phoneticPr fontId="68" type="noConversion"/>
  </si>
  <si>
    <t xml:space="preserve">你不会因脱水、饥饿或窒息而获得力竭等级。 </t>
    <phoneticPr fontId="68" type="noConversion"/>
  </si>
  <si>
    <t>艾伯伦：奇械锻炉</t>
    <phoneticPr fontId="68" type="noConversion"/>
  </si>
  <si>
    <t>价值100+GP的宝石</t>
    <phoneticPr fontId="68" type="noConversion"/>
  </si>
  <si>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phoneticPr fontId="68" type="noConversion"/>
  </si>
  <si>
    <t>战地匠师</t>
    <phoneticPr fontId="68" type="noConversion"/>
  </si>
  <si>
    <t>工艺魔法</t>
    <phoneticPr fontId="68" type="noConversion"/>
  </si>
  <si>
    <r>
      <rPr>
        <sz val="10"/>
        <color theme="1"/>
        <rFont val="宋体"/>
        <family val="3"/>
        <charset val="134"/>
      </rPr>
      <t>你习得戏法修复术</t>
    </r>
    <r>
      <rPr>
        <sz val="10"/>
        <color theme="1"/>
        <rFont val="Times New Roman"/>
        <family val="3"/>
      </rPr>
      <t>Mending</t>
    </r>
    <r>
      <rPr>
        <sz val="10"/>
        <color theme="1"/>
        <rFont val="宋体"/>
        <family val="3"/>
        <charset val="134"/>
      </rPr>
      <t>。</t>
    </r>
    <r>
      <rPr>
        <sz val="10"/>
        <color theme="1"/>
        <rFont val="Times New Roman"/>
        <family val="3"/>
      </rPr>
      <t xml:space="preserve">
</t>
    </r>
    <r>
      <rPr>
        <sz val="10"/>
        <color theme="1"/>
        <rFont val="宋体"/>
        <family val="3"/>
        <charset val="134"/>
      </rPr>
      <t>你可以在持握修补工具时以一个魔法动作，在你自身</t>
    </r>
    <r>
      <rPr>
        <sz val="10"/>
        <color theme="1"/>
        <rFont val="Times New Roman"/>
        <family val="3"/>
      </rPr>
      <t>5</t>
    </r>
    <r>
      <rPr>
        <sz val="10"/>
        <color theme="1"/>
        <rFont val="宋体"/>
        <family val="3"/>
        <charset val="134"/>
      </rPr>
      <t>尺内一个未占据空间创造一件物品，从下表中选择这件物品：</t>
    </r>
    <r>
      <rPr>
        <sz val="10"/>
        <color theme="1"/>
        <rFont val="Times New Roman"/>
        <family val="3"/>
      </rPr>
      <t xml:space="preserve">
</t>
    </r>
    <r>
      <rPr>
        <sz val="10"/>
        <color theme="1"/>
        <rFont val="宋体"/>
        <family val="3"/>
        <charset val="134"/>
      </rPr>
      <t>滚珠</t>
    </r>
    <r>
      <rPr>
        <sz val="10"/>
        <color theme="1"/>
        <rFont val="Times New Roman"/>
        <family val="3"/>
      </rPr>
      <t xml:space="preserve"> </t>
    </r>
    <r>
      <rPr>
        <sz val="10"/>
        <color theme="1"/>
        <rFont val="宋体"/>
        <family val="3"/>
        <charset val="134"/>
      </rPr>
      <t>扁瓶</t>
    </r>
    <r>
      <rPr>
        <sz val="10"/>
        <color theme="1"/>
        <rFont val="Times New Roman"/>
        <family val="3"/>
      </rPr>
      <t xml:space="preserve"> </t>
    </r>
    <r>
      <rPr>
        <sz val="10"/>
        <color theme="1"/>
        <rFont val="宋体"/>
        <family val="3"/>
        <charset val="134"/>
      </rPr>
      <t>小包</t>
    </r>
    <r>
      <rPr>
        <sz val="10"/>
        <color theme="1"/>
        <rFont val="Times New Roman"/>
        <family val="3"/>
      </rPr>
      <t xml:space="preserve"> 
</t>
    </r>
    <r>
      <rPr>
        <sz val="10"/>
        <color theme="1"/>
        <rFont val="宋体"/>
        <family val="3"/>
        <charset val="134"/>
      </rPr>
      <t>篮子</t>
    </r>
    <r>
      <rPr>
        <sz val="10"/>
        <color theme="1"/>
        <rFont val="Times New Roman"/>
        <family val="3"/>
      </rPr>
      <t xml:space="preserve"> </t>
    </r>
    <r>
      <rPr>
        <sz val="10"/>
        <color theme="1"/>
        <rFont val="宋体"/>
        <family val="3"/>
        <charset val="134"/>
      </rPr>
      <t>爪钩</t>
    </r>
    <r>
      <rPr>
        <sz val="10"/>
        <color theme="1"/>
        <rFont val="Times New Roman"/>
        <family val="3"/>
      </rPr>
      <t xml:space="preserve"> </t>
    </r>
    <r>
      <rPr>
        <sz val="10"/>
        <color theme="1"/>
        <rFont val="宋体"/>
        <family val="3"/>
        <charset val="134"/>
      </rPr>
      <t>绳索</t>
    </r>
    <r>
      <rPr>
        <sz val="10"/>
        <color theme="1"/>
        <rFont val="Times New Roman"/>
        <family val="3"/>
      </rPr>
      <t xml:space="preserve"> 
</t>
    </r>
    <r>
      <rPr>
        <sz val="10"/>
        <color theme="1"/>
        <rFont val="宋体"/>
        <family val="3"/>
        <charset val="134"/>
      </rPr>
      <t>铺盖</t>
    </r>
    <r>
      <rPr>
        <sz val="10"/>
        <color theme="1"/>
        <rFont val="Times New Roman"/>
        <family val="3"/>
      </rPr>
      <t xml:space="preserve"> </t>
    </r>
    <r>
      <rPr>
        <sz val="10"/>
        <color theme="1"/>
        <rFont val="宋体"/>
        <family val="3"/>
        <charset val="134"/>
      </rPr>
      <t>捕猎陷阱</t>
    </r>
    <r>
      <rPr>
        <sz val="10"/>
        <color theme="1"/>
        <rFont val="Times New Roman"/>
        <family val="3"/>
      </rPr>
      <t xml:space="preserve"> </t>
    </r>
    <r>
      <rPr>
        <sz val="10"/>
        <color theme="1"/>
        <rFont val="宋体"/>
        <family val="3"/>
        <charset val="134"/>
      </rPr>
      <t>麻袋</t>
    </r>
    <r>
      <rPr>
        <sz val="10"/>
        <color theme="1"/>
        <rFont val="Times New Roman"/>
        <family val="3"/>
      </rPr>
      <t xml:space="preserve"> 
</t>
    </r>
    <r>
      <rPr>
        <sz val="10"/>
        <color theme="1"/>
        <rFont val="宋体"/>
        <family val="3"/>
        <charset val="134"/>
      </rPr>
      <t>铃铛</t>
    </r>
    <r>
      <rPr>
        <sz val="10"/>
        <color theme="1"/>
        <rFont val="Times New Roman"/>
        <family val="3"/>
      </rPr>
      <t xml:space="preserve"> </t>
    </r>
    <r>
      <rPr>
        <sz val="10"/>
        <color theme="1"/>
        <rFont val="宋体"/>
        <family val="3"/>
        <charset val="134"/>
      </rPr>
      <t>壶</t>
    </r>
    <r>
      <rPr>
        <sz val="10"/>
        <color theme="1"/>
        <rFont val="Times New Roman"/>
        <family val="3"/>
      </rPr>
      <t xml:space="preserve"> </t>
    </r>
    <r>
      <rPr>
        <sz val="10"/>
        <color theme="1"/>
        <rFont val="宋体"/>
        <family val="3"/>
        <charset val="134"/>
      </rPr>
      <t>铲子</t>
    </r>
    <r>
      <rPr>
        <sz val="10"/>
        <color theme="1"/>
        <rFont val="Times New Roman"/>
        <family val="3"/>
      </rPr>
      <t xml:space="preserve"> 
</t>
    </r>
    <r>
      <rPr>
        <sz val="10"/>
        <color theme="1"/>
        <rFont val="宋体"/>
        <family val="3"/>
        <charset val="134"/>
      </rPr>
      <t>毯子</t>
    </r>
    <r>
      <rPr>
        <sz val="10"/>
        <color theme="1"/>
        <rFont val="Times New Roman"/>
        <family val="3"/>
      </rPr>
      <t xml:space="preserve"> </t>
    </r>
    <r>
      <rPr>
        <sz val="10"/>
        <color theme="1"/>
        <rFont val="宋体"/>
        <family val="3"/>
        <charset val="134"/>
      </rPr>
      <t>油灯</t>
    </r>
    <r>
      <rPr>
        <sz val="10"/>
        <color theme="1"/>
        <rFont val="Times New Roman"/>
        <family val="3"/>
      </rPr>
      <t xml:space="preserve"> </t>
    </r>
    <r>
      <rPr>
        <sz val="10"/>
        <color theme="1"/>
        <rFont val="宋体"/>
        <family val="3"/>
        <charset val="134"/>
      </rPr>
      <t>铁钉</t>
    </r>
    <r>
      <rPr>
        <sz val="10"/>
        <color theme="1"/>
        <rFont val="Times New Roman"/>
        <family val="3"/>
      </rPr>
      <t xml:space="preserve"> 
</t>
    </r>
    <r>
      <rPr>
        <sz val="10"/>
        <color theme="1"/>
        <rFont val="宋体"/>
        <family val="3"/>
        <charset val="134"/>
      </rPr>
      <t>滑轮组</t>
    </r>
    <r>
      <rPr>
        <sz val="10"/>
        <color theme="1"/>
        <rFont val="Times New Roman"/>
        <family val="3"/>
      </rPr>
      <t xml:space="preserve"> </t>
    </r>
    <r>
      <rPr>
        <sz val="10"/>
        <color theme="1"/>
        <rFont val="宋体"/>
        <family val="3"/>
        <charset val="134"/>
      </rPr>
      <t>镣铐</t>
    </r>
    <r>
      <rPr>
        <sz val="10"/>
        <color theme="1"/>
        <rFont val="Times New Roman"/>
        <family val="3"/>
      </rPr>
      <t xml:space="preserve"> </t>
    </r>
    <r>
      <rPr>
        <sz val="10"/>
        <color theme="1"/>
        <rFont val="宋体"/>
        <family val="3"/>
        <charset val="134"/>
      </rPr>
      <t>细线</t>
    </r>
    <r>
      <rPr>
        <sz val="10"/>
        <color theme="1"/>
        <rFont val="Times New Roman"/>
        <family val="3"/>
      </rPr>
      <t xml:space="preserve"> 
</t>
    </r>
    <r>
      <rPr>
        <sz val="10"/>
        <color theme="1"/>
        <rFont val="宋体"/>
        <family val="3"/>
        <charset val="134"/>
      </rPr>
      <t>玻璃瓶</t>
    </r>
    <r>
      <rPr>
        <sz val="10"/>
        <color theme="1"/>
        <rFont val="Times New Roman"/>
        <family val="3"/>
      </rPr>
      <t xml:space="preserve"> </t>
    </r>
    <r>
      <rPr>
        <sz val="10"/>
        <color theme="1"/>
        <rFont val="宋体"/>
        <family val="3"/>
        <charset val="134"/>
      </rPr>
      <t>捕网</t>
    </r>
    <r>
      <rPr>
        <sz val="10"/>
        <color theme="1"/>
        <rFont val="Times New Roman"/>
        <family val="3"/>
      </rPr>
      <t xml:space="preserve"> </t>
    </r>
    <r>
      <rPr>
        <sz val="10"/>
        <color theme="1"/>
        <rFont val="宋体"/>
        <family val="3"/>
        <charset val="134"/>
      </rPr>
      <t>火绒盒</t>
    </r>
    <r>
      <rPr>
        <sz val="10"/>
        <color theme="1"/>
        <rFont val="Times New Roman"/>
        <family val="3"/>
      </rPr>
      <t xml:space="preserve"> 
</t>
    </r>
    <r>
      <rPr>
        <sz val="10"/>
        <color theme="1"/>
        <rFont val="宋体"/>
        <family val="3"/>
        <charset val="134"/>
      </rPr>
      <t>吊桶</t>
    </r>
    <r>
      <rPr>
        <sz val="10"/>
        <color theme="1"/>
        <rFont val="Times New Roman"/>
        <family val="3"/>
      </rPr>
      <t xml:space="preserve"> </t>
    </r>
    <r>
      <rPr>
        <sz val="10"/>
        <color theme="1"/>
        <rFont val="宋体"/>
        <family val="3"/>
        <charset val="134"/>
      </rPr>
      <t>燃油</t>
    </r>
    <r>
      <rPr>
        <sz val="10"/>
        <color theme="1"/>
        <rFont val="Times New Roman"/>
        <family val="3"/>
      </rPr>
      <t xml:space="preserve"> </t>
    </r>
    <r>
      <rPr>
        <sz val="10"/>
        <color theme="1"/>
        <rFont val="宋体"/>
        <family val="3"/>
        <charset val="134"/>
      </rPr>
      <t>火把</t>
    </r>
    <r>
      <rPr>
        <sz val="10"/>
        <color theme="1"/>
        <rFont val="Times New Roman"/>
        <family val="3"/>
      </rPr>
      <t xml:space="preserve"> 
</t>
    </r>
    <r>
      <rPr>
        <sz val="10"/>
        <color theme="1"/>
        <rFont val="宋体"/>
        <family val="3"/>
        <charset val="134"/>
      </rPr>
      <t>铁蒺藜</t>
    </r>
    <r>
      <rPr>
        <sz val="10"/>
        <color theme="1"/>
        <rFont val="Times New Roman"/>
        <family val="3"/>
      </rPr>
      <t xml:space="preserve"> </t>
    </r>
    <r>
      <rPr>
        <sz val="10"/>
        <color theme="1"/>
        <rFont val="宋体"/>
        <family val="3"/>
        <charset val="134"/>
      </rPr>
      <t>纸张</t>
    </r>
    <r>
      <rPr>
        <sz val="10"/>
        <color theme="1"/>
        <rFont val="Times New Roman"/>
        <family val="3"/>
      </rPr>
      <t xml:space="preserve"> </t>
    </r>
    <r>
      <rPr>
        <sz val="10"/>
        <color theme="1"/>
        <rFont val="宋体"/>
        <family val="3"/>
        <charset val="134"/>
      </rPr>
      <t>小瓶</t>
    </r>
    <r>
      <rPr>
        <sz val="10"/>
        <color theme="1"/>
        <rFont val="Times New Roman"/>
        <family val="3"/>
      </rPr>
      <t xml:space="preserve"> 
</t>
    </r>
    <r>
      <rPr>
        <sz val="10"/>
        <color theme="1"/>
        <rFont val="宋体"/>
        <family val="3"/>
        <charset val="134"/>
      </rPr>
      <t>蜡烛</t>
    </r>
    <r>
      <rPr>
        <sz val="10"/>
        <color theme="1"/>
        <rFont val="Times New Roman"/>
        <family val="3"/>
      </rPr>
      <t xml:space="preserve"> </t>
    </r>
    <r>
      <rPr>
        <sz val="10"/>
        <color theme="1"/>
        <rFont val="宋体"/>
        <family val="3"/>
        <charset val="134"/>
      </rPr>
      <t>羊皮纸</t>
    </r>
    <r>
      <rPr>
        <sz val="10"/>
        <color theme="1"/>
        <rFont val="Times New Roman"/>
        <family val="3"/>
      </rPr>
      <t xml:space="preserve">  
</t>
    </r>
    <r>
      <rPr>
        <sz val="10"/>
        <color theme="1"/>
        <rFont val="宋体"/>
        <family val="3"/>
        <charset val="134"/>
      </rPr>
      <t>撬棍</t>
    </r>
    <r>
      <rPr>
        <sz val="10"/>
        <color theme="1"/>
        <rFont val="Times New Roman"/>
        <family val="3"/>
      </rPr>
      <t xml:space="preserve"> </t>
    </r>
    <r>
      <rPr>
        <sz val="10"/>
        <color theme="1"/>
        <rFont val="宋体"/>
        <family val="3"/>
        <charset val="134"/>
      </rPr>
      <t>长杆</t>
    </r>
    <r>
      <rPr>
        <sz val="10"/>
        <color theme="1"/>
        <rFont val="Times New Roman"/>
        <family val="3"/>
      </rPr>
      <t xml:space="preserve">  
</t>
    </r>
    <r>
      <rPr>
        <sz val="10"/>
        <color theme="1"/>
        <rFont val="宋体"/>
        <family val="3"/>
        <charset val="134"/>
      </rPr>
      <t>对应物品的规则见《玩家手册》。该特性创造的物品将在你完成一次长休时消失。</t>
    </r>
    <r>
      <rPr>
        <sz val="10"/>
        <color theme="1"/>
        <rFont val="Times New Roman"/>
        <family val="3"/>
      </rPr>
      <t xml:space="preserve">
</t>
    </r>
    <r>
      <rPr>
        <sz val="10"/>
        <color theme="1"/>
        <rFont val="宋体"/>
        <family val="3"/>
        <charset val="134"/>
      </rPr>
      <t>你可以使用此特性的次数等于你的智力调整值</t>
    </r>
    <r>
      <rPr>
        <sz val="10"/>
        <color theme="1"/>
        <rFont val="Times New Roman"/>
        <family val="3"/>
      </rPr>
      <t>(</t>
    </r>
    <r>
      <rPr>
        <sz val="10"/>
        <color theme="1"/>
        <rFont val="宋体"/>
        <family val="3"/>
        <charset val="134"/>
      </rPr>
      <t>最少一次</t>
    </r>
    <r>
      <rPr>
        <sz val="10"/>
        <color theme="1"/>
        <rFont val="Times New Roman"/>
        <family val="3"/>
      </rPr>
      <t>)</t>
    </r>
    <r>
      <rPr>
        <sz val="10"/>
        <color theme="1"/>
        <rFont val="宋体"/>
        <family val="3"/>
        <charset val="134"/>
      </rPr>
      <t>，你会在完成一次长休后恢复所有已使用的次数。</t>
    </r>
    <phoneticPr fontId="68" type="noConversion"/>
  </si>
  <si>
    <t>你已经了解到如何通过物品引导魔法能量。参见《玩家手册》有关施法的规则。下述信息将详述如何将这些规则应用于奇械师法术，奇械师法术详见后文职业描述中的奇械师法术表。</t>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</si>
  <si>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炼金壶</t>
    </r>
    <r>
      <rPr>
        <sz val="10"/>
        <color theme="1"/>
        <rFont val="Times New Roman"/>
        <family val="3"/>
      </rPr>
      <t xml:space="preserve"> Alchemy Jug </t>
    </r>
    <r>
      <rPr>
        <sz val="10"/>
        <color theme="1"/>
        <rFont val="宋体"/>
        <family val="3"/>
        <charset val="134"/>
      </rPr>
      <t>否</t>
    </r>
    <r>
      <rPr>
        <sz val="10"/>
        <color theme="1"/>
        <rFont val="Times New Roman"/>
        <family val="3"/>
      </rPr>
      <t xml:space="preserve"> 
</t>
    </r>
    <r>
      <rPr>
        <sz val="10"/>
        <color theme="1"/>
        <rFont val="宋体"/>
        <family val="3"/>
        <charset val="134"/>
      </rPr>
      <t>次元袋</t>
    </r>
    <r>
      <rPr>
        <sz val="10"/>
        <color theme="1"/>
        <rFont val="Times New Roman"/>
        <family val="3"/>
      </rPr>
      <t xml:space="preserve"> Bag of Holding </t>
    </r>
    <r>
      <rPr>
        <sz val="10"/>
        <color theme="1"/>
        <rFont val="宋体"/>
        <family val="3"/>
        <charset val="134"/>
      </rPr>
      <t>否</t>
    </r>
    <r>
      <rPr>
        <sz val="10"/>
        <color theme="1"/>
        <rFont val="Times New Roman"/>
        <family val="3"/>
      </rPr>
      <t xml:space="preserve"> 
</t>
    </r>
    <r>
      <rPr>
        <sz val="10"/>
        <color theme="1"/>
        <rFont val="宋体"/>
        <family val="3"/>
        <charset val="134"/>
      </rPr>
      <t>水下呼吸帽</t>
    </r>
    <r>
      <rPr>
        <sz val="10"/>
        <color theme="1"/>
        <rFont val="Times New Roman"/>
        <family val="3"/>
      </rPr>
      <t xml:space="preserve"> Cap of Water Breathing </t>
    </r>
    <r>
      <rPr>
        <sz val="10"/>
        <color theme="1"/>
        <rFont val="宋体"/>
        <family val="3"/>
        <charset val="134"/>
      </rPr>
      <t>否</t>
    </r>
    <r>
      <rPr>
        <sz val="10"/>
        <color theme="1"/>
        <rFont val="Times New Roman"/>
        <family val="3"/>
      </rPr>
      <t xml:space="preserve"> 
</t>
    </r>
    <r>
      <rPr>
        <sz val="10"/>
        <color theme="1"/>
        <rFont val="宋体"/>
        <family val="3"/>
        <charset val="134"/>
      </rPr>
      <t>非药水、卷轴，且无诅咒的普通魔法物品</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夜视镜</t>
    </r>
    <r>
      <rPr>
        <sz val="10"/>
        <color theme="1"/>
        <rFont val="Times New Roman"/>
        <family val="3"/>
      </rPr>
      <t xml:space="preserve"> Goggles of Night </t>
    </r>
    <r>
      <rPr>
        <sz val="10"/>
        <color theme="1"/>
        <rFont val="宋体"/>
        <family val="3"/>
        <charset val="134"/>
      </rPr>
      <t>否</t>
    </r>
    <r>
      <rPr>
        <sz val="10"/>
        <color theme="1"/>
        <rFont val="Times New Roman"/>
        <family val="3"/>
      </rPr>
      <t xml:space="preserve"> 
</t>
    </r>
    <r>
      <rPr>
        <sz val="10"/>
        <color theme="1"/>
        <rFont val="宋体"/>
        <family val="3"/>
        <charset val="134"/>
      </rPr>
      <t>百变工具</t>
    </r>
    <r>
      <rPr>
        <sz val="10"/>
        <color theme="1"/>
        <rFont val="Times New Roman"/>
        <family val="3"/>
      </rPr>
      <t xml:space="preserve">Manifold Tool+ </t>
    </r>
    <r>
      <rPr>
        <sz val="10"/>
        <color theme="1"/>
        <rFont val="宋体"/>
        <family val="3"/>
        <charset val="134"/>
      </rPr>
      <t>是</t>
    </r>
    <r>
      <rPr>
        <sz val="10"/>
        <color theme="1"/>
        <rFont val="Times New Roman"/>
        <family val="3"/>
      </rPr>
      <t xml:space="preserve"> 
</t>
    </r>
    <r>
      <rPr>
        <sz val="10"/>
        <color theme="1"/>
        <rFont val="宋体"/>
        <family val="3"/>
        <charset val="134"/>
      </rPr>
      <t>连射武器</t>
    </r>
    <r>
      <rPr>
        <sz val="10"/>
        <color theme="1"/>
        <rFont val="Times New Roman"/>
        <family val="3"/>
      </rPr>
      <t xml:space="preserve">Repeating Shot+ </t>
    </r>
    <r>
      <rPr>
        <sz val="10"/>
        <color theme="1"/>
        <rFont val="宋体"/>
        <family val="3"/>
        <charset val="134"/>
      </rPr>
      <t>是</t>
    </r>
    <r>
      <rPr>
        <sz val="10"/>
        <color theme="1"/>
        <rFont val="Times New Roman"/>
        <family val="3"/>
      </rPr>
      <t xml:space="preserve"> 
</t>
    </r>
    <r>
      <rPr>
        <sz val="10"/>
        <color theme="1"/>
        <rFont val="宋体"/>
        <family val="3"/>
        <charset val="134"/>
      </rPr>
      <t>回力武器</t>
    </r>
    <r>
      <rPr>
        <sz val="10"/>
        <color theme="1"/>
        <rFont val="Times New Roman"/>
        <family val="3"/>
      </rPr>
      <t xml:space="preserve"> Returning Weapon </t>
    </r>
    <r>
      <rPr>
        <sz val="10"/>
        <color theme="1"/>
        <rFont val="宋体"/>
        <family val="3"/>
        <charset val="134"/>
      </rPr>
      <t>否</t>
    </r>
    <r>
      <rPr>
        <sz val="10"/>
        <color theme="1"/>
        <rFont val="Times New Roman"/>
        <family val="3"/>
      </rPr>
      <t xml:space="preserve"> 
</t>
    </r>
    <r>
      <rPr>
        <sz val="10"/>
        <color theme="1"/>
        <rFont val="宋体"/>
        <family val="3"/>
        <charset val="134"/>
      </rPr>
      <t>攀爬绳</t>
    </r>
    <r>
      <rPr>
        <sz val="10"/>
        <color theme="1"/>
        <rFont val="Times New Roman"/>
        <family val="3"/>
      </rPr>
      <t xml:space="preserve"> Rope of Climbing </t>
    </r>
    <r>
      <rPr>
        <sz val="10"/>
        <color theme="1"/>
        <rFont val="宋体"/>
        <family val="3"/>
        <charset val="134"/>
      </rPr>
      <t>否</t>
    </r>
    <r>
      <rPr>
        <sz val="10"/>
        <color theme="1"/>
        <rFont val="Times New Roman"/>
        <family val="3"/>
      </rPr>
      <t xml:space="preserve"> 
</t>
    </r>
    <r>
      <rPr>
        <sz val="10"/>
        <color theme="1"/>
        <rFont val="宋体"/>
        <family val="3"/>
        <charset val="134"/>
      </rPr>
      <t>短讯石</t>
    </r>
    <r>
      <rPr>
        <sz val="10"/>
        <color theme="1"/>
        <rFont val="Times New Roman"/>
        <family val="3"/>
      </rPr>
      <t xml:space="preserve"> Sending Stones </t>
    </r>
    <r>
      <rPr>
        <sz val="10"/>
        <color theme="1"/>
        <rFont val="宋体"/>
        <family val="3"/>
        <charset val="134"/>
      </rPr>
      <t>否</t>
    </r>
    <r>
      <rPr>
        <sz val="10"/>
        <color theme="1"/>
        <rFont val="Times New Roman"/>
        <family val="3"/>
      </rPr>
      <t xml:space="preserve"> 
+1</t>
    </r>
    <r>
      <rPr>
        <sz val="10"/>
        <color theme="1"/>
        <rFont val="宋体"/>
        <family val="3"/>
        <charset val="134"/>
      </rPr>
      <t>盾牌</t>
    </r>
    <r>
      <rPr>
        <sz val="10"/>
        <color theme="1"/>
        <rFont val="Times New Roman"/>
        <family val="3"/>
      </rPr>
      <t xml:space="preserve"> Shield+1 </t>
    </r>
    <r>
      <rPr>
        <sz val="10"/>
        <color theme="1"/>
        <rFont val="宋体"/>
        <family val="3"/>
        <charset val="134"/>
      </rPr>
      <t>否</t>
    </r>
    <r>
      <rPr>
        <sz val="10"/>
        <color theme="1"/>
        <rFont val="Times New Roman"/>
        <family val="3"/>
      </rPr>
      <t xml:space="preserve"> 
</t>
    </r>
    <r>
      <rPr>
        <sz val="10"/>
        <color theme="1"/>
        <rFont val="宋体"/>
        <family val="3"/>
        <charset val="134"/>
      </rPr>
      <t>侦测魔法魔杖</t>
    </r>
    <r>
      <rPr>
        <sz val="10"/>
        <color theme="1"/>
        <rFont val="Times New Roman"/>
        <family val="3"/>
      </rPr>
      <t xml:space="preserve"> Wand of Magic Detection </t>
    </r>
    <r>
      <rPr>
        <sz val="10"/>
        <color theme="1"/>
        <rFont val="宋体"/>
        <family val="3"/>
        <charset val="134"/>
      </rPr>
      <t>否</t>
    </r>
    <r>
      <rPr>
        <sz val="10"/>
        <color theme="1"/>
        <rFont val="Times New Roman"/>
        <family val="3"/>
      </rPr>
      <t xml:space="preserve"> 
</t>
    </r>
    <r>
      <rPr>
        <sz val="10"/>
        <color theme="1"/>
        <rFont val="宋体"/>
        <family val="3"/>
        <charset val="134"/>
      </rPr>
      <t>探秘魔杖</t>
    </r>
    <r>
      <rPr>
        <sz val="10"/>
        <color theme="1"/>
        <rFont val="Times New Roman"/>
        <family val="3"/>
      </rPr>
      <t xml:space="preserve"> Wand of Secrets </t>
    </r>
    <r>
      <rPr>
        <sz val="10"/>
        <color theme="1"/>
        <rFont val="宋体"/>
        <family val="3"/>
        <charset val="134"/>
      </rPr>
      <t>否</t>
    </r>
    <r>
      <rPr>
        <sz val="10"/>
        <color theme="1"/>
        <rFont val="Times New Roman"/>
        <family val="3"/>
      </rPr>
      <t xml:space="preserve"> 
+1</t>
    </r>
    <r>
      <rPr>
        <sz val="10"/>
        <color theme="1"/>
        <rFont val="宋体"/>
        <family val="3"/>
        <charset val="134"/>
      </rPr>
      <t>战法师魔杖</t>
    </r>
    <r>
      <rPr>
        <sz val="10"/>
        <color theme="1"/>
        <rFont val="Times New Roman"/>
        <family val="3"/>
      </rPr>
      <t xml:space="preserve"> Wand of the War Mage+1 </t>
    </r>
    <r>
      <rPr>
        <sz val="10"/>
        <color theme="1"/>
        <rFont val="宋体"/>
        <family val="3"/>
        <charset val="134"/>
      </rPr>
      <t>是</t>
    </r>
    <r>
      <rPr>
        <sz val="10"/>
        <color theme="1"/>
        <rFont val="Times New Roman"/>
        <family val="3"/>
      </rPr>
      <t xml:space="preserve"> 
+1</t>
    </r>
    <r>
      <rPr>
        <sz val="10"/>
        <color theme="1"/>
        <rFont val="宋体"/>
        <family val="3"/>
        <charset val="134"/>
      </rPr>
      <t>武器</t>
    </r>
    <r>
      <rPr>
        <sz val="10"/>
        <color theme="1"/>
        <rFont val="Times New Roman"/>
        <family val="3"/>
      </rPr>
      <t xml:space="preserve"> Weapon+1 </t>
    </r>
    <r>
      <rPr>
        <sz val="10"/>
        <color theme="1"/>
        <rFont val="宋体"/>
        <family val="3"/>
        <charset val="134"/>
      </rPr>
      <t>否</t>
    </r>
    <r>
      <rPr>
        <sz val="10"/>
        <color theme="1"/>
        <rFont val="Times New Roman"/>
        <family val="3"/>
      </rPr>
      <t xml:space="preserve"> 
+1</t>
    </r>
    <r>
      <rPr>
        <sz val="10"/>
        <color theme="1"/>
        <rFont val="宋体"/>
        <family val="3"/>
        <charset val="134"/>
      </rPr>
      <t>神威绑带</t>
    </r>
    <r>
      <rPr>
        <sz val="10"/>
        <color theme="1"/>
        <rFont val="Times New Roman"/>
        <family val="3"/>
      </rPr>
      <t xml:space="preserve"> Wraps of Unarmed Power+1 </t>
    </r>
    <r>
      <rPr>
        <sz val="10"/>
        <color theme="1"/>
        <rFont val="宋体"/>
        <family val="3"/>
        <charset val="134"/>
      </rPr>
      <t>否</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</si>
  <si>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+1</t>
    </r>
    <r>
      <rPr>
        <sz val="10"/>
        <color theme="1"/>
        <rFont val="宋体"/>
        <family val="3"/>
        <charset val="134"/>
      </rPr>
      <t>护甲</t>
    </r>
    <r>
      <rPr>
        <sz val="10"/>
        <color theme="1"/>
        <rFont val="Times New Roman"/>
        <family val="3"/>
      </rPr>
      <t xml:space="preserve"> Armor+1 </t>
    </r>
    <r>
      <rPr>
        <sz val="10"/>
        <color theme="1"/>
        <rFont val="宋体"/>
        <family val="3"/>
        <charset val="134"/>
      </rPr>
      <t>否</t>
    </r>
    <r>
      <rPr>
        <sz val="10"/>
        <color theme="1"/>
        <rFont val="Times New Roman"/>
        <family val="3"/>
      </rPr>
      <t xml:space="preserve"> 
</t>
    </r>
    <r>
      <rPr>
        <sz val="10"/>
        <color theme="1"/>
        <rFont val="宋体"/>
        <family val="3"/>
        <charset val="134"/>
      </rPr>
      <t>精灵靴</t>
    </r>
    <r>
      <rPr>
        <sz val="10"/>
        <color theme="1"/>
        <rFont val="Times New Roman"/>
        <family val="3"/>
      </rPr>
      <t xml:space="preserve">Boots of Elvenkind </t>
    </r>
    <r>
      <rPr>
        <sz val="10"/>
        <color theme="1"/>
        <rFont val="宋体"/>
        <family val="3"/>
        <charset val="134"/>
      </rPr>
      <t>否</t>
    </r>
    <r>
      <rPr>
        <sz val="10"/>
        <color theme="1"/>
        <rFont val="Times New Roman"/>
        <family val="3"/>
      </rPr>
      <t xml:space="preserve"> 
</t>
    </r>
    <r>
      <rPr>
        <sz val="10"/>
        <color theme="1"/>
        <rFont val="宋体"/>
        <family val="3"/>
        <charset val="134"/>
      </rPr>
      <t>折返之靴</t>
    </r>
    <r>
      <rPr>
        <sz val="10"/>
        <color theme="1"/>
        <rFont val="Times New Roman"/>
        <family val="3"/>
      </rPr>
      <t xml:space="preserve">Boots of the Winding Path+ </t>
    </r>
    <r>
      <rPr>
        <sz val="10"/>
        <color theme="1"/>
        <rFont val="宋体"/>
        <family val="3"/>
        <charset val="134"/>
      </rPr>
      <t>否</t>
    </r>
    <r>
      <rPr>
        <sz val="10"/>
        <color theme="1"/>
        <rFont val="Times New Roman"/>
        <family val="3"/>
      </rPr>
      <t xml:space="preserve"> 
</t>
    </r>
    <r>
      <rPr>
        <sz val="10"/>
        <color theme="1"/>
        <rFont val="宋体"/>
        <family val="3"/>
        <charset val="134"/>
      </rPr>
      <t>精灵斗篷</t>
    </r>
    <r>
      <rPr>
        <sz val="10"/>
        <color theme="1"/>
        <rFont val="Times New Roman"/>
        <family val="3"/>
      </rPr>
      <t xml:space="preserve">Cloak of Elvenkind </t>
    </r>
    <r>
      <rPr>
        <sz val="10"/>
        <color theme="1"/>
        <rFont val="宋体"/>
        <family val="3"/>
        <charset val="134"/>
      </rPr>
      <t>是</t>
    </r>
    <r>
      <rPr>
        <sz val="10"/>
        <color theme="1"/>
        <rFont val="Times New Roman"/>
        <family val="3"/>
      </rPr>
      <t xml:space="preserve"> 
</t>
    </r>
    <r>
      <rPr>
        <sz val="10"/>
        <color theme="1"/>
        <rFont val="宋体"/>
        <family val="3"/>
        <charset val="134"/>
      </rPr>
      <t>蝠鲼斗篷</t>
    </r>
    <r>
      <rPr>
        <sz val="10"/>
        <color theme="1"/>
        <rFont val="Times New Roman"/>
        <family val="3"/>
      </rPr>
      <t xml:space="preserve">Cloak of the Manta Ray </t>
    </r>
    <r>
      <rPr>
        <sz val="10"/>
        <color theme="1"/>
        <rFont val="宋体"/>
        <family val="3"/>
        <charset val="134"/>
      </rPr>
      <t>否</t>
    </r>
    <r>
      <rPr>
        <sz val="10"/>
        <color theme="1"/>
        <rFont val="Times New Roman"/>
        <family val="3"/>
      </rPr>
      <t xml:space="preserve"> 
</t>
    </r>
    <r>
      <rPr>
        <sz val="10"/>
        <color theme="1"/>
        <rFont val="宋体"/>
        <family val="3"/>
        <charset val="134"/>
      </rPr>
      <t>炫目武器</t>
    </r>
    <r>
      <rPr>
        <sz val="10"/>
        <color theme="1"/>
        <rFont val="Times New Roman"/>
        <family val="3"/>
      </rPr>
      <t xml:space="preserve"> Dazzling Weapon+ </t>
    </r>
    <r>
      <rPr>
        <sz val="10"/>
        <color theme="1"/>
        <rFont val="宋体"/>
        <family val="3"/>
        <charset val="134"/>
      </rPr>
      <t>是</t>
    </r>
    <r>
      <rPr>
        <sz val="10"/>
        <color theme="1"/>
        <rFont val="Times New Roman"/>
        <family val="3"/>
      </rPr>
      <t xml:space="preserve"> 
</t>
    </r>
    <r>
      <rPr>
        <sz val="10"/>
        <color theme="1"/>
        <rFont val="宋体"/>
        <family val="3"/>
        <charset val="134"/>
      </rPr>
      <t>魅惑镜片</t>
    </r>
    <r>
      <rPr>
        <sz val="10"/>
        <color theme="1"/>
        <rFont val="Times New Roman"/>
        <family val="3"/>
      </rPr>
      <t xml:space="preserve">Eyes of Charming </t>
    </r>
    <r>
      <rPr>
        <sz val="10"/>
        <color theme="1"/>
        <rFont val="宋体"/>
        <family val="3"/>
        <charset val="134"/>
      </rPr>
      <t>是</t>
    </r>
    <r>
      <rPr>
        <sz val="10"/>
        <color theme="1"/>
        <rFont val="Times New Roman"/>
        <family val="3"/>
      </rPr>
      <t xml:space="preserve"> 
</t>
    </r>
    <r>
      <rPr>
        <sz val="10"/>
        <color theme="1"/>
        <rFont val="宋体"/>
        <family val="3"/>
        <charset val="134"/>
      </rPr>
      <t>微视镜片</t>
    </r>
    <r>
      <rPr>
        <sz val="10"/>
        <color theme="1"/>
        <rFont val="Times New Roman"/>
        <family val="3"/>
      </rPr>
      <t xml:space="preserve">Eyes of Minute Seeing </t>
    </r>
    <r>
      <rPr>
        <sz val="10"/>
        <color theme="1"/>
        <rFont val="宋体"/>
        <family val="3"/>
        <charset val="134"/>
      </rPr>
      <t>否</t>
    </r>
    <r>
      <rPr>
        <sz val="10"/>
        <color theme="1"/>
        <rFont val="Times New Roman"/>
        <family val="3"/>
      </rPr>
      <t xml:space="preserve"> 
</t>
    </r>
    <r>
      <rPr>
        <sz val="10"/>
        <color theme="1"/>
        <rFont val="宋体"/>
        <family val="3"/>
        <charset val="134"/>
      </rPr>
      <t>窃贼手套</t>
    </r>
    <r>
      <rPr>
        <sz val="10"/>
        <color theme="1"/>
        <rFont val="Times New Roman"/>
        <family val="3"/>
      </rPr>
      <t xml:space="preserve">Gloves of Thievery </t>
    </r>
    <r>
      <rPr>
        <sz val="10"/>
        <color theme="1"/>
        <rFont val="宋体"/>
        <family val="3"/>
        <charset val="134"/>
      </rPr>
      <t>否</t>
    </r>
    <r>
      <rPr>
        <sz val="10"/>
        <color theme="1"/>
        <rFont val="Times New Roman"/>
        <family val="3"/>
      </rPr>
      <t xml:space="preserve"> 
</t>
    </r>
    <r>
      <rPr>
        <sz val="10"/>
        <color theme="1"/>
        <rFont val="宋体"/>
        <family val="3"/>
        <charset val="134"/>
      </rPr>
      <t>警觉之盔</t>
    </r>
    <r>
      <rPr>
        <sz val="10"/>
        <color theme="1"/>
        <rFont val="Times New Roman"/>
        <family val="3"/>
      </rPr>
      <t xml:space="preserve">Helm of Awareness+ </t>
    </r>
    <r>
      <rPr>
        <sz val="10"/>
        <color theme="1"/>
        <rFont val="宋体"/>
        <family val="3"/>
        <charset val="134"/>
      </rPr>
      <t>否</t>
    </r>
    <r>
      <rPr>
        <sz val="10"/>
        <color theme="1"/>
        <rFont val="Times New Roman"/>
        <family val="3"/>
      </rPr>
      <t xml:space="preserve"> 
</t>
    </r>
    <r>
      <rPr>
        <sz val="10"/>
        <color theme="1"/>
        <rFont val="宋体"/>
        <family val="3"/>
        <charset val="134"/>
      </rPr>
      <t>显像提灯</t>
    </r>
    <r>
      <rPr>
        <sz val="10"/>
        <color theme="1"/>
        <rFont val="Times New Roman"/>
        <family val="3"/>
      </rPr>
      <t xml:space="preserve">Lantern of Revealing </t>
    </r>
    <r>
      <rPr>
        <sz val="10"/>
        <color theme="1"/>
        <rFont val="宋体"/>
        <family val="3"/>
        <charset val="134"/>
      </rPr>
      <t>否</t>
    </r>
    <r>
      <rPr>
        <sz val="10"/>
        <color theme="1"/>
        <rFont val="Times New Roman"/>
        <family val="3"/>
      </rPr>
      <t xml:space="preserve"> 
</t>
    </r>
    <r>
      <rPr>
        <sz val="10"/>
        <color theme="1"/>
        <rFont val="宋体"/>
        <family val="3"/>
        <charset val="134"/>
      </rPr>
      <t>思维砥石</t>
    </r>
    <r>
      <rPr>
        <sz val="10"/>
        <color theme="1"/>
        <rFont val="Times New Roman"/>
        <family val="3"/>
      </rPr>
      <t xml:space="preserve"> Mind Sharpener+ </t>
    </r>
    <r>
      <rPr>
        <sz val="10"/>
        <color theme="1"/>
        <rFont val="宋体"/>
        <family val="3"/>
        <charset val="134"/>
      </rPr>
      <t>否</t>
    </r>
    <r>
      <rPr>
        <sz val="10"/>
        <color theme="1"/>
        <rFont val="Times New Roman"/>
        <family val="3"/>
      </rPr>
      <t xml:space="preserve"> 
</t>
    </r>
    <r>
      <rPr>
        <sz val="10"/>
        <color theme="1"/>
        <rFont val="宋体"/>
        <family val="3"/>
        <charset val="134"/>
      </rPr>
      <t>适应项链</t>
    </r>
    <r>
      <rPr>
        <sz val="10"/>
        <color theme="1"/>
        <rFont val="Times New Roman"/>
        <family val="3"/>
      </rPr>
      <t xml:space="preserve">Necklace of Adaptation </t>
    </r>
    <r>
      <rPr>
        <sz val="10"/>
        <color theme="1"/>
        <rFont val="宋体"/>
        <family val="3"/>
        <charset val="134"/>
      </rPr>
      <t>是</t>
    </r>
    <r>
      <rPr>
        <sz val="10"/>
        <color theme="1"/>
        <rFont val="Times New Roman"/>
        <family val="3"/>
      </rPr>
      <t xml:space="preserve"> 
</t>
    </r>
    <r>
      <rPr>
        <sz val="10"/>
        <color theme="1"/>
        <rFont val="宋体"/>
        <family val="3"/>
        <charset val="134"/>
      </rPr>
      <t>颤栗乐笙</t>
    </r>
    <r>
      <rPr>
        <sz val="10"/>
        <color theme="1"/>
        <rFont val="Times New Roman"/>
        <family val="3"/>
      </rPr>
      <t xml:space="preserve">Pipes of Haunting </t>
    </r>
    <r>
      <rPr>
        <sz val="10"/>
        <color theme="1"/>
        <rFont val="宋体"/>
        <family val="3"/>
        <charset val="134"/>
      </rPr>
      <t>否</t>
    </r>
    <r>
      <rPr>
        <sz val="10"/>
        <color theme="1"/>
        <rFont val="Times New Roman"/>
        <family val="3"/>
      </rPr>
      <t xml:space="preserve"> 
</t>
    </r>
    <r>
      <rPr>
        <sz val="10"/>
        <color theme="1"/>
        <rFont val="宋体"/>
        <family val="3"/>
        <charset val="134"/>
      </rPr>
      <t>斥力之盾</t>
    </r>
    <r>
      <rPr>
        <sz val="10"/>
        <color theme="1"/>
        <rFont val="Times New Roman"/>
        <family val="3"/>
      </rPr>
      <t xml:space="preserve"> Repulsion Shield+ </t>
    </r>
    <r>
      <rPr>
        <sz val="10"/>
        <color theme="1"/>
        <rFont val="宋体"/>
        <family val="3"/>
        <charset val="134"/>
      </rPr>
      <t>否</t>
    </r>
    <r>
      <rPr>
        <sz val="10"/>
        <color theme="1"/>
        <rFont val="Times New Roman"/>
        <family val="3"/>
      </rPr>
      <t xml:space="preserve"> 
</t>
    </r>
    <r>
      <rPr>
        <sz val="10"/>
        <color theme="1"/>
        <rFont val="宋体"/>
        <family val="3"/>
        <charset val="134"/>
      </rPr>
      <t>善泳戒指</t>
    </r>
    <r>
      <rPr>
        <sz val="10"/>
        <color theme="1"/>
        <rFont val="Times New Roman"/>
        <family val="3"/>
      </rPr>
      <t xml:space="preserve">Ring of Swimming </t>
    </r>
    <r>
      <rPr>
        <sz val="10"/>
        <color theme="1"/>
        <rFont val="宋体"/>
        <family val="3"/>
        <charset val="134"/>
      </rPr>
      <t>否</t>
    </r>
    <r>
      <rPr>
        <sz val="10"/>
        <color theme="1"/>
        <rFont val="Times New Roman"/>
        <family val="3"/>
      </rPr>
      <t xml:space="preserve"> 
</t>
    </r>
    <r>
      <rPr>
        <sz val="10"/>
        <color theme="1"/>
        <rFont val="宋体"/>
        <family val="3"/>
        <charset val="134"/>
      </rPr>
      <t>水上行走戒指</t>
    </r>
    <r>
      <rPr>
        <sz val="10"/>
        <color theme="1"/>
        <rFont val="Times New Roman"/>
        <family val="3"/>
      </rPr>
      <t xml:space="preserve">Ring of Water Walking </t>
    </r>
    <r>
      <rPr>
        <sz val="10"/>
        <color theme="1"/>
        <rFont val="宋体"/>
        <family val="3"/>
        <charset val="134"/>
      </rPr>
      <t>否</t>
    </r>
    <r>
      <rPr>
        <sz val="10"/>
        <color theme="1"/>
        <rFont val="Times New Roman"/>
        <family val="3"/>
      </rPr>
      <t xml:space="preserve"> 
</t>
    </r>
    <r>
      <rPr>
        <sz val="10"/>
        <color theme="1"/>
        <rFont val="宋体"/>
        <family val="3"/>
        <charset val="134"/>
      </rPr>
      <t>警戒之盾</t>
    </r>
    <r>
      <rPr>
        <sz val="10"/>
        <color theme="1"/>
        <rFont val="Times New Roman"/>
        <family val="3"/>
      </rPr>
      <t xml:space="preserve">Sentinel Shield </t>
    </r>
    <r>
      <rPr>
        <sz val="10"/>
        <color theme="1"/>
        <rFont val="宋体"/>
        <family val="3"/>
        <charset val="134"/>
      </rPr>
      <t>否</t>
    </r>
    <r>
      <rPr>
        <sz val="10"/>
        <color theme="1"/>
        <rFont val="Times New Roman"/>
        <family val="3"/>
      </rPr>
      <t xml:space="preserve"> 
</t>
    </r>
    <r>
      <rPr>
        <sz val="10"/>
        <color theme="1"/>
        <rFont val="宋体"/>
        <family val="3"/>
        <charset val="134"/>
      </rPr>
      <t>法力恢复戒指</t>
    </r>
    <r>
      <rPr>
        <sz val="10"/>
        <color theme="1"/>
        <rFont val="Times New Roman"/>
        <family val="3"/>
      </rPr>
      <t xml:space="preserve"> Spell-Refueling Ring+ </t>
    </r>
    <r>
      <rPr>
        <sz val="10"/>
        <color theme="1"/>
        <rFont val="宋体"/>
        <family val="3"/>
        <charset val="134"/>
      </rPr>
      <t>是</t>
    </r>
    <r>
      <rPr>
        <sz val="10"/>
        <color theme="1"/>
        <rFont val="Times New Roman"/>
        <family val="3"/>
      </rPr>
      <t xml:space="preserve"> 
</t>
    </r>
    <r>
      <rPr>
        <sz val="10"/>
        <color theme="1"/>
        <rFont val="宋体"/>
        <family val="3"/>
        <charset val="134"/>
      </rPr>
      <t>魔法飞弹魔杖</t>
    </r>
    <r>
      <rPr>
        <sz val="10"/>
        <color theme="1"/>
        <rFont val="Times New Roman"/>
        <family val="3"/>
      </rPr>
      <t xml:space="preserve">Wand of Magic Missiles </t>
    </r>
    <r>
      <rPr>
        <sz val="10"/>
        <color theme="1"/>
        <rFont val="宋体"/>
        <family val="3"/>
        <charset val="134"/>
      </rPr>
      <t>否</t>
    </r>
    <r>
      <rPr>
        <sz val="10"/>
        <color theme="1"/>
        <rFont val="Times New Roman"/>
        <family val="3"/>
      </rPr>
      <t xml:space="preserve"> 
</t>
    </r>
    <r>
      <rPr>
        <sz val="10"/>
        <color theme="1"/>
        <rFont val="宋体"/>
        <family val="3"/>
        <charset val="134"/>
      </rPr>
      <t>蛛网魔杖</t>
    </r>
    <r>
      <rPr>
        <sz val="10"/>
        <color theme="1"/>
        <rFont val="Times New Roman"/>
        <family val="3"/>
      </rPr>
      <t xml:space="preserve">Wand of Web </t>
    </r>
    <r>
      <rPr>
        <sz val="10"/>
        <color theme="1"/>
        <rFont val="宋体"/>
        <family val="3"/>
        <charset val="134"/>
      </rPr>
      <t>是</t>
    </r>
    <r>
      <rPr>
        <sz val="10"/>
        <color theme="1"/>
        <rFont val="Times New Roman"/>
        <family val="3"/>
      </rPr>
      <t xml:space="preserve"> 
</t>
    </r>
    <r>
      <rPr>
        <sz val="10"/>
        <color theme="1"/>
        <rFont val="宋体"/>
        <family val="3"/>
        <charset val="134"/>
      </rPr>
      <t>警戒武器</t>
    </r>
    <r>
      <rPr>
        <sz val="10"/>
        <color theme="1"/>
        <rFont val="Times New Roman"/>
        <family val="3"/>
      </rPr>
      <t xml:space="preserve">Weapon of Warning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</si>
  <si>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抗性护甲</t>
    </r>
    <r>
      <rPr>
        <sz val="10"/>
        <color theme="1"/>
        <rFont val="Times New Roman"/>
        <family val="3"/>
      </rPr>
      <t xml:space="preserve"> Armor of Resistance </t>
    </r>
    <r>
      <rPr>
        <sz val="10"/>
        <color theme="1"/>
        <rFont val="宋体"/>
        <family val="3"/>
        <charset val="134"/>
      </rPr>
      <t>是</t>
    </r>
    <r>
      <rPr>
        <sz val="10"/>
        <color theme="1"/>
        <rFont val="Times New Roman"/>
        <family val="3"/>
      </rPr>
      <t xml:space="preserve"> 
</t>
    </r>
    <r>
      <rPr>
        <sz val="10"/>
        <color theme="1"/>
        <rFont val="宋体"/>
        <family val="3"/>
        <charset val="134"/>
      </rPr>
      <t>淬毒匕首</t>
    </r>
    <r>
      <rPr>
        <sz val="10"/>
        <color theme="1"/>
        <rFont val="Times New Roman"/>
        <family val="3"/>
      </rPr>
      <t xml:space="preserve"> Dagger of Venom </t>
    </r>
    <r>
      <rPr>
        <sz val="10"/>
        <color theme="1"/>
        <rFont val="宋体"/>
        <family val="3"/>
        <charset val="134"/>
      </rPr>
      <t>否</t>
    </r>
    <r>
      <rPr>
        <sz val="10"/>
        <color theme="1"/>
        <rFont val="Times New Roman"/>
        <family val="3"/>
      </rPr>
      <t xml:space="preserve"> 
</t>
    </r>
    <r>
      <rPr>
        <sz val="10"/>
        <color theme="1"/>
        <rFont val="宋体"/>
        <family val="3"/>
        <charset val="134"/>
      </rPr>
      <t>精灵链甲</t>
    </r>
    <r>
      <rPr>
        <sz val="10"/>
        <color theme="1"/>
        <rFont val="Times New Roman"/>
        <family val="3"/>
      </rPr>
      <t xml:space="preserve"> Elven Chain </t>
    </r>
    <r>
      <rPr>
        <sz val="10"/>
        <color theme="1"/>
        <rFont val="宋体"/>
        <family val="3"/>
        <charset val="134"/>
      </rPr>
      <t>否</t>
    </r>
    <r>
      <rPr>
        <sz val="10"/>
        <color theme="1"/>
        <rFont val="Times New Roman"/>
        <family val="3"/>
      </rPr>
      <t xml:space="preserve"> 
</t>
    </r>
    <r>
      <rPr>
        <sz val="10"/>
        <color theme="1"/>
        <rFont val="宋体"/>
        <family val="3"/>
        <charset val="134"/>
      </rPr>
      <t>羽落戒指</t>
    </r>
    <r>
      <rPr>
        <sz val="10"/>
        <color theme="1"/>
        <rFont val="Times New Roman"/>
        <family val="3"/>
      </rPr>
      <t xml:space="preserve"> Ring of Feather Fall </t>
    </r>
    <r>
      <rPr>
        <sz val="10"/>
        <color theme="1"/>
        <rFont val="宋体"/>
        <family val="3"/>
        <charset val="134"/>
      </rPr>
      <t>是</t>
    </r>
    <r>
      <rPr>
        <sz val="10"/>
        <color theme="1"/>
        <rFont val="Times New Roman"/>
        <family val="3"/>
      </rPr>
      <t xml:space="preserve"> 
</t>
    </r>
    <r>
      <rPr>
        <sz val="10"/>
        <color theme="1"/>
        <rFont val="宋体"/>
        <family val="3"/>
        <charset val="134"/>
      </rPr>
      <t>跳跃戒指</t>
    </r>
    <r>
      <rPr>
        <sz val="10"/>
        <color theme="1"/>
        <rFont val="Times New Roman"/>
        <family val="3"/>
      </rPr>
      <t xml:space="preserve"> Ring of Jumping </t>
    </r>
    <r>
      <rPr>
        <sz val="10"/>
        <color theme="1"/>
        <rFont val="宋体"/>
        <family val="3"/>
        <charset val="134"/>
      </rPr>
      <t>是</t>
    </r>
    <r>
      <rPr>
        <sz val="10"/>
        <color theme="1"/>
        <rFont val="Times New Roman"/>
        <family val="3"/>
      </rPr>
      <t xml:space="preserve"> 
</t>
    </r>
    <r>
      <rPr>
        <sz val="10"/>
        <color theme="1"/>
        <rFont val="宋体"/>
        <family val="3"/>
        <charset val="134"/>
      </rPr>
      <t>心灵护盾戒指</t>
    </r>
    <r>
      <rPr>
        <sz val="10"/>
        <color theme="1"/>
        <rFont val="Times New Roman"/>
        <family val="3"/>
      </rPr>
      <t xml:space="preserve"> Ring of Mind Shielding </t>
    </r>
    <r>
      <rPr>
        <sz val="10"/>
        <color theme="1"/>
        <rFont val="宋体"/>
        <family val="3"/>
        <charset val="134"/>
      </rPr>
      <t>是</t>
    </r>
    <r>
      <rPr>
        <sz val="10"/>
        <color theme="1"/>
        <rFont val="Times New Roman"/>
        <family val="3"/>
      </rPr>
      <t xml:space="preserve"> 
+2</t>
    </r>
    <r>
      <rPr>
        <sz val="10"/>
        <color theme="1"/>
        <rFont val="宋体"/>
        <family val="3"/>
        <charset val="134"/>
      </rPr>
      <t>盾牌</t>
    </r>
    <r>
      <rPr>
        <sz val="10"/>
        <color theme="1"/>
        <rFont val="Times New Roman"/>
        <family val="3"/>
      </rPr>
      <t xml:space="preserve"> Shield+2 </t>
    </r>
    <r>
      <rPr>
        <sz val="10"/>
        <color theme="1"/>
        <rFont val="宋体"/>
        <family val="3"/>
        <charset val="134"/>
      </rPr>
      <t>否</t>
    </r>
    <r>
      <rPr>
        <sz val="10"/>
        <color theme="1"/>
        <rFont val="Times New Roman"/>
        <family val="3"/>
      </rPr>
      <t xml:space="preserve"> 
</t>
    </r>
    <r>
      <rPr>
        <sz val="10"/>
        <color theme="1"/>
        <rFont val="宋体"/>
        <family val="3"/>
        <charset val="134"/>
      </rPr>
      <t>无诅咒的非普通奇物</t>
    </r>
    <r>
      <rPr>
        <sz val="10"/>
        <color theme="1"/>
        <rFont val="Times New Roman"/>
        <family val="3"/>
      </rPr>
      <t xml:space="preserve">* </t>
    </r>
    <r>
      <rPr>
        <sz val="10"/>
        <color theme="1"/>
        <rFont val="宋体"/>
        <family val="3"/>
        <charset val="134"/>
      </rPr>
      <t>多种</t>
    </r>
    <r>
      <rPr>
        <sz val="10"/>
        <color theme="1"/>
        <rFont val="Times New Roman"/>
        <family val="3"/>
      </rPr>
      <t xml:space="preserve"> 
+2</t>
    </r>
    <r>
      <rPr>
        <sz val="10"/>
        <color theme="1"/>
        <rFont val="宋体"/>
        <family val="3"/>
        <charset val="134"/>
      </rPr>
      <t>战法师魔杖</t>
    </r>
    <r>
      <rPr>
        <sz val="10"/>
        <color theme="1"/>
        <rFont val="Times New Roman"/>
        <family val="3"/>
      </rPr>
      <t xml:space="preserve"> Wand of the War Mage+2 </t>
    </r>
    <r>
      <rPr>
        <sz val="10"/>
        <color theme="1"/>
        <rFont val="宋体"/>
        <family val="3"/>
        <charset val="134"/>
      </rPr>
      <t>是</t>
    </r>
    <r>
      <rPr>
        <sz val="10"/>
        <color theme="1"/>
        <rFont val="Times New Roman"/>
        <family val="3"/>
      </rPr>
      <t xml:space="preserve"> 
+2</t>
    </r>
    <r>
      <rPr>
        <sz val="10"/>
        <color theme="1"/>
        <rFont val="宋体"/>
        <family val="3"/>
        <charset val="134"/>
      </rPr>
      <t>武器</t>
    </r>
    <r>
      <rPr>
        <sz val="10"/>
        <color theme="1"/>
        <rFont val="Times New Roman"/>
        <family val="3"/>
      </rPr>
      <t xml:space="preserve"> Weapon+2 </t>
    </r>
    <r>
      <rPr>
        <sz val="10"/>
        <color theme="1"/>
        <rFont val="宋体"/>
        <family val="3"/>
        <charset val="134"/>
      </rPr>
      <t>否</t>
    </r>
    <r>
      <rPr>
        <sz val="10"/>
        <color theme="1"/>
        <rFont val="Times New Roman"/>
        <family val="3"/>
      </rPr>
      <t xml:space="preserve"> 
+2</t>
    </r>
    <r>
      <rPr>
        <sz val="10"/>
        <color theme="1"/>
        <rFont val="宋体"/>
        <family val="3"/>
        <charset val="134"/>
      </rPr>
      <t>神威绑带</t>
    </r>
    <r>
      <rPr>
        <sz val="10"/>
        <color theme="1"/>
        <rFont val="Times New Roman"/>
        <family val="3"/>
      </rPr>
      <t xml:space="preserve"> Wraps of Unarmed Power+2 </t>
    </r>
    <r>
      <rPr>
        <sz val="10"/>
        <color theme="1"/>
        <rFont val="宋体"/>
        <family val="3"/>
        <charset val="134"/>
      </rPr>
      <t>否</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</si>
  <si>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+2</t>
    </r>
    <r>
      <rPr>
        <sz val="10"/>
        <color theme="1"/>
        <rFont val="宋体"/>
        <family val="3"/>
        <charset val="134"/>
      </rPr>
      <t>护甲</t>
    </r>
    <r>
      <rPr>
        <sz val="10"/>
        <color theme="1"/>
        <rFont val="Times New Roman"/>
        <family val="3"/>
      </rPr>
      <t xml:space="preserve"> Armor+2 </t>
    </r>
    <r>
      <rPr>
        <sz val="10"/>
        <color theme="1"/>
        <rFont val="宋体"/>
        <family val="3"/>
        <charset val="134"/>
      </rPr>
      <t>否</t>
    </r>
    <r>
      <rPr>
        <sz val="10"/>
        <color theme="1"/>
        <rFont val="Times New Roman"/>
        <family val="3"/>
      </rPr>
      <t xml:space="preserve"> 
</t>
    </r>
    <r>
      <rPr>
        <sz val="10"/>
        <color theme="1"/>
        <rFont val="宋体"/>
        <family val="3"/>
        <charset val="134"/>
      </rPr>
      <t>吸矢盾</t>
    </r>
    <r>
      <rPr>
        <sz val="10"/>
        <color theme="1"/>
        <rFont val="Times New Roman"/>
        <family val="3"/>
      </rPr>
      <t xml:space="preserve"> Arrow-Catching Shield </t>
    </r>
    <r>
      <rPr>
        <sz val="10"/>
        <color theme="1"/>
        <rFont val="宋体"/>
        <family val="3"/>
        <charset val="134"/>
      </rPr>
      <t>是</t>
    </r>
    <r>
      <rPr>
        <sz val="10"/>
        <color theme="1"/>
        <rFont val="Times New Roman"/>
        <family val="3"/>
      </rPr>
      <t xml:space="preserve"> 
</t>
    </r>
    <r>
      <rPr>
        <sz val="10"/>
        <color theme="1"/>
        <rFont val="宋体"/>
        <family val="3"/>
        <charset val="134"/>
      </rPr>
      <t>焰舌</t>
    </r>
    <r>
      <rPr>
        <sz val="10"/>
        <color theme="1"/>
        <rFont val="Times New Roman"/>
        <family val="3"/>
      </rPr>
      <t xml:space="preserve"> Flame Tongue </t>
    </r>
    <r>
      <rPr>
        <sz val="10"/>
        <color theme="1"/>
        <rFont val="宋体"/>
        <family val="3"/>
        <charset val="134"/>
      </rPr>
      <t>是</t>
    </r>
    <r>
      <rPr>
        <sz val="10"/>
        <color theme="1"/>
        <rFont val="Times New Roman"/>
        <family val="3"/>
      </rPr>
      <t xml:space="preserve"> 
</t>
    </r>
    <r>
      <rPr>
        <sz val="10"/>
        <color theme="1"/>
        <rFont val="宋体"/>
        <family val="3"/>
        <charset val="134"/>
      </rPr>
      <t>无诅咒的珍稀奇物</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自由行动戒指</t>
    </r>
    <r>
      <rPr>
        <sz val="10"/>
        <color theme="1"/>
        <rFont val="Times New Roman"/>
        <family val="3"/>
      </rPr>
      <t xml:space="preserve"> Ring of Free Action </t>
    </r>
    <r>
      <rPr>
        <sz val="10"/>
        <color theme="1"/>
        <rFont val="宋体"/>
        <family val="3"/>
        <charset val="134"/>
      </rPr>
      <t>是</t>
    </r>
    <r>
      <rPr>
        <sz val="10"/>
        <color theme="1"/>
        <rFont val="Times New Roman"/>
        <family val="3"/>
      </rPr>
      <t xml:space="preserve"> 
</t>
    </r>
    <r>
      <rPr>
        <sz val="10"/>
        <color theme="1"/>
        <rFont val="宋体"/>
        <family val="3"/>
        <charset val="134"/>
      </rPr>
      <t>防护戒指</t>
    </r>
    <r>
      <rPr>
        <sz val="10"/>
        <color theme="1"/>
        <rFont val="Times New Roman"/>
        <family val="3"/>
      </rPr>
      <t xml:space="preserve"> Ring of Protection </t>
    </r>
    <r>
      <rPr>
        <sz val="10"/>
        <color theme="1"/>
        <rFont val="宋体"/>
        <family val="3"/>
        <charset val="134"/>
      </rPr>
      <t>是</t>
    </r>
    <r>
      <rPr>
        <sz val="10"/>
        <color theme="1"/>
        <rFont val="Times New Roman"/>
        <family val="3"/>
      </rPr>
      <t xml:space="preserve"> 
</t>
    </r>
    <r>
      <rPr>
        <sz val="10"/>
        <color theme="1"/>
        <rFont val="宋体"/>
        <family val="3"/>
        <charset val="134"/>
      </rPr>
      <t>公羊戒指</t>
    </r>
    <r>
      <rPr>
        <sz val="10"/>
        <color theme="1"/>
        <rFont val="Times New Roman"/>
        <family val="3"/>
      </rPr>
      <t xml:space="preserve"> Ring of the Ram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</si>
  <si>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你选择获得一项奇械师子职。炼金师</t>
    </r>
    <r>
      <rPr>
        <sz val="10"/>
        <color theme="1"/>
        <rFont val="Times New Roman"/>
        <family val="3"/>
      </rPr>
      <t>Alchemist</t>
    </r>
    <r>
      <rPr>
        <sz val="10"/>
        <color theme="1"/>
        <rFont val="宋体"/>
        <family val="3"/>
        <charset val="134"/>
      </rPr>
      <t>，装甲师</t>
    </r>
    <r>
      <rPr>
        <sz val="10"/>
        <color theme="1"/>
        <rFont val="Times New Roman"/>
        <family val="3"/>
      </rPr>
      <t>Armorer</t>
    </r>
    <r>
      <rPr>
        <sz val="10"/>
        <color theme="1"/>
        <rFont val="宋体"/>
        <family val="3"/>
        <charset val="134"/>
      </rPr>
      <t>，魔炮师</t>
    </r>
    <r>
      <rPr>
        <sz val="10"/>
        <color theme="1"/>
        <rFont val="Times New Roman"/>
        <family val="3"/>
      </rPr>
      <t>Artillerist</t>
    </r>
    <r>
      <rPr>
        <sz val="10"/>
        <color theme="1"/>
        <rFont val="宋体"/>
        <family val="3"/>
        <charset val="134"/>
      </rPr>
      <t>，战地匠师</t>
    </r>
    <r>
      <rPr>
        <sz val="10"/>
        <color theme="1"/>
        <rFont val="Times New Roman"/>
        <family val="3"/>
      </rPr>
      <t>Battle Smith</t>
    </r>
    <r>
      <rPr>
        <sz val="10"/>
        <color theme="1"/>
        <rFont val="宋体"/>
        <family val="3"/>
        <charset val="134"/>
      </rPr>
      <t>和制图师</t>
    </r>
    <r>
      <rPr>
        <sz val="10"/>
        <color theme="1"/>
        <rFont val="Times New Roman"/>
        <family val="3"/>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phoneticPr fontId="68" type="noConversion"/>
  </si>
  <si>
    <r>
      <rPr>
        <sz val="10"/>
        <color theme="1"/>
        <rFont val="宋体"/>
        <family val="3"/>
        <charset val="134"/>
      </rPr>
      <t>你的仿制魔法物品特性获得以下提升：</t>
    </r>
    <r>
      <rPr>
        <sz val="10"/>
        <color theme="1"/>
        <rFont val="Times New Roman"/>
        <family val="3"/>
      </rPr>
      <t xml:space="preserve">
</t>
    </r>
    <r>
      <rPr>
        <sz val="10"/>
        <color theme="1"/>
        <rFont val="宋体"/>
        <family val="3"/>
        <charset val="134"/>
      </rPr>
      <t>充能魔法物品</t>
    </r>
    <r>
      <rPr>
        <sz val="10"/>
        <color theme="1"/>
        <rFont val="Times New Roman"/>
        <family val="3"/>
      </rPr>
      <t>Charge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尺内的一件你用仿制魔法物品创造的魔法物品，并使用充能。你充能这件物品并花费一个不低于一环的法术位。该物品获得的充能数量等于所花费的法术位环阶。</t>
    </r>
    <r>
      <rPr>
        <sz val="10"/>
        <color theme="1"/>
        <rFont val="Times New Roman"/>
        <family val="3"/>
      </rPr>
      <t xml:space="preserve">
</t>
    </r>
    <r>
      <rPr>
        <sz val="10"/>
        <color theme="1"/>
        <rFont val="宋体"/>
        <family val="3"/>
        <charset val="134"/>
      </rPr>
      <t>汲取魔法物品</t>
    </r>
    <r>
      <rPr>
        <sz val="10"/>
        <color theme="1"/>
        <rFont val="Times New Roman"/>
        <family val="3"/>
      </rPr>
      <t>Drain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t>
    </r>
    <r>
      <rPr>
        <sz val="10"/>
        <color theme="1"/>
        <rFont val="Times New Roman"/>
        <family val="3"/>
      </rPr>
      <t xml:space="preserve">
</t>
    </r>
    <r>
      <rPr>
        <sz val="10"/>
        <color theme="1"/>
        <rFont val="宋体"/>
        <family val="3"/>
        <charset val="134"/>
      </rPr>
      <t>转变魔法物品</t>
    </r>
    <r>
      <rPr>
        <sz val="10"/>
        <color theme="1"/>
        <rFont val="Times New Roman"/>
        <family val="3"/>
      </rPr>
      <t>Transmute Magic Item</t>
    </r>
    <r>
      <rPr>
        <sz val="10"/>
        <color theme="1"/>
        <rFont val="宋体"/>
        <family val="3"/>
        <charset val="134"/>
      </rPr>
      <t>。</t>
    </r>
    <r>
      <rPr>
        <sz val="10"/>
        <color theme="1"/>
        <rFont val="Times New Roman"/>
        <family val="3"/>
      </rPr>
      <t xml:space="preserve"> </t>
    </r>
    <r>
      <rPr>
        <sz val="10"/>
        <color theme="1"/>
        <rFont val="宋体"/>
        <family val="3"/>
        <charset val="134"/>
      </rPr>
      <t>以一个魔法动作，你可以触碰</t>
    </r>
    <r>
      <rPr>
        <sz val="10"/>
        <color theme="1"/>
        <rFont val="Times New Roman"/>
        <family val="3"/>
      </rPr>
      <t>5</t>
    </r>
    <r>
      <rPr>
        <sz val="10"/>
        <color theme="1"/>
        <rFont val="宋体"/>
        <family val="3"/>
        <charset val="134"/>
      </rPr>
      <t>尺内的一件你用仿制魔法物品创造的魔法物品，并将其转变为一件不同的魔法物品。最终的物品必须基于你所知晓的魔法物品方案。此特性一经使用，直至完成长休你都无法再次使用。</t>
    </r>
    <phoneticPr fontId="68" type="noConversion"/>
  </si>
  <si>
    <r>
      <rPr>
        <sz val="10"/>
        <color theme="1"/>
        <rFont val="宋体"/>
        <family val="3"/>
        <charset val="134"/>
      </rPr>
      <t>当你或你</t>
    </r>
    <r>
      <rPr>
        <sz val="10"/>
        <color theme="1"/>
        <rFont val="Times New Roman"/>
        <family val="3"/>
      </rPr>
      <t>30</t>
    </r>
    <r>
      <rPr>
        <sz val="10"/>
        <color theme="1"/>
        <rFont val="宋体"/>
        <family val="3"/>
        <charset val="134"/>
      </rPr>
      <t>尺内能看见的一个生物在一次属性检定或豁免检定中失败时，你可以执行反应，在检定结果中加入加值，这可能将失败变为成功。加值等于你的智力调整值。</t>
    </r>
    <r>
      <rPr>
        <sz val="10"/>
        <color theme="1"/>
        <rFont val="Times New Roman"/>
        <family val="3"/>
      </rPr>
      <t xml:space="preserve">
</t>
    </r>
    <r>
      <rPr>
        <sz val="10"/>
        <color theme="1"/>
        <rFont val="宋体"/>
        <family val="3"/>
        <charset val="134"/>
      </rPr>
      <t>你可以执行该反应的次数等于你的智力调整值（最小为</t>
    </r>
    <r>
      <rPr>
        <sz val="10"/>
        <color theme="1"/>
        <rFont val="Times New Roman"/>
        <family val="3"/>
      </rPr>
      <t>1</t>
    </r>
    <r>
      <rPr>
        <sz val="10"/>
        <color theme="1"/>
        <rFont val="宋体"/>
        <family val="3"/>
        <charset val="134"/>
      </rPr>
      <t>次）。你在完成长休时重获所有消耗的使用次数。</t>
    </r>
    <phoneticPr fontId="68" type="noConversion"/>
  </si>
  <si>
    <t>现在你可以同时与至多四件魔法物品同调。</t>
    <phoneticPr fontId="68" type="noConversion"/>
  </si>
  <si>
    <t>魔法物品巧匠</t>
    <phoneticPr fontId="68" type="noConversion"/>
  </si>
  <si>
    <r>
      <rPr>
        <sz val="10"/>
        <color theme="1"/>
        <rFont val="宋体"/>
        <family val="3"/>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t>
    </r>
    <r>
      <rPr>
        <sz val="10"/>
        <color theme="1"/>
        <rFont val="Times New Roman"/>
        <family val="3"/>
      </rPr>
      <t xml:space="preserve">
</t>
    </r>
    <r>
      <rPr>
        <sz val="10"/>
        <color theme="1"/>
        <rFont val="宋体"/>
        <family val="3"/>
        <charset val="134"/>
      </rPr>
      <t>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t>
    </r>
    <r>
      <rPr>
        <sz val="10"/>
        <color theme="1"/>
        <rFont val="Times New Roman"/>
        <family val="3"/>
      </rPr>
      <t xml:space="preserve">
</t>
    </r>
    <r>
      <rPr>
        <sz val="10"/>
        <color theme="1"/>
        <rFont val="宋体"/>
        <family val="3"/>
        <charset val="134"/>
      </rPr>
      <t>该法术将留存在物品中，直到使用次数用完（最大使用次数等于你智力调整值的两倍（至少两次））或直到你再次使用该特性储存一道法术到一件物品中。</t>
    </r>
    <phoneticPr fontId="68" type="noConversion"/>
  </si>
  <si>
    <t>进阶奇械术</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</si>
  <si>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魔法物品专家</t>
    </r>
    <r>
      <rPr>
        <sz val="10"/>
        <color theme="1"/>
        <rFont val="Times New Roman"/>
        <family val="3"/>
      </rPr>
      <t>Magic Item Savant</t>
    </r>
    <r>
      <rPr>
        <sz val="10"/>
        <color theme="1"/>
        <rFont val="宋体"/>
        <family val="3"/>
        <charset val="134"/>
      </rPr>
      <t>。现在你可以同时与至多五件魔法物品同调。</t>
    </r>
    <r>
      <rPr>
        <sz val="10"/>
        <color theme="1"/>
        <rFont val="Times New Roman"/>
        <family val="3"/>
      </rPr>
      <t xml:space="preserve">
</t>
    </r>
    <r>
      <rPr>
        <sz val="10"/>
        <color theme="1"/>
        <rFont val="宋体"/>
        <family val="3"/>
        <charset val="134"/>
      </rPr>
      <t>重获灵感</t>
    </r>
    <r>
      <rPr>
        <sz val="10"/>
        <color theme="1"/>
        <rFont val="Times New Roman"/>
        <family val="3"/>
      </rPr>
      <t>Refreshed Genius</t>
    </r>
    <r>
      <rPr>
        <sz val="10"/>
        <color theme="1"/>
        <rFont val="宋体"/>
        <family val="3"/>
        <charset val="134"/>
      </rPr>
      <t>。当你完成短休时，你的灵光一闪重获一次已消耗的使用次数。</t>
    </r>
    <phoneticPr fontId="68" type="noConversion"/>
  </si>
  <si>
    <t>魔法物品大师</t>
    <phoneticPr fontId="68" type="noConversion"/>
  </si>
  <si>
    <t>现在你可以与至多六件魔法物品同调。</t>
    <phoneticPr fontId="68" type="noConversion"/>
  </si>
  <si>
    <r>
      <rPr>
        <sz val="10"/>
        <color theme="1"/>
        <rFont val="宋体"/>
        <family val="3"/>
        <charset val="134"/>
      </rPr>
      <t>你获得一项传奇恩惠专长（见第五章）或其他一项你选择的适用的专长。推荐选择能量抗性之恩惠</t>
    </r>
    <r>
      <rPr>
        <sz val="10"/>
        <color theme="1"/>
        <rFont val="Times New Roman"/>
        <family val="3"/>
      </rPr>
      <t>Boon of Energy Resistance</t>
    </r>
    <r>
      <rPr>
        <sz val="10"/>
        <color theme="1"/>
        <rFont val="宋体"/>
        <family val="3"/>
        <charset val="134"/>
      </rPr>
      <t>。</t>
    </r>
    <phoneticPr fontId="68" type="noConversion"/>
  </si>
  <si>
    <r>
      <rPr>
        <sz val="10"/>
        <color theme="1"/>
        <rFont val="宋体"/>
        <family val="3"/>
        <charset val="134"/>
      </rPr>
      <t>你与你的魔法物品建立了一种神秘的联系，你可以利用它来产生协助效果。你获得以下增益：</t>
    </r>
    <r>
      <rPr>
        <sz val="10"/>
        <color theme="1"/>
        <rFont val="Times New Roman"/>
        <family val="3"/>
      </rPr>
      <t xml:space="preserve">
</t>
    </r>
    <r>
      <rPr>
        <sz val="10"/>
        <color theme="1"/>
        <rFont val="宋体"/>
        <family val="3"/>
        <charset val="134"/>
      </rPr>
      <t>幸免于难</t>
    </r>
    <r>
      <rPr>
        <sz val="10"/>
        <color theme="1"/>
        <rFont val="Times New Roman"/>
        <family val="3"/>
      </rPr>
      <t>Cheat Death</t>
    </r>
    <r>
      <rPr>
        <sz val="10"/>
        <color theme="1"/>
        <rFont val="宋体"/>
        <family val="3"/>
        <charset val="134"/>
      </rPr>
      <t>。当你的生命值降至</t>
    </r>
    <r>
      <rPr>
        <sz val="10"/>
        <color theme="1"/>
        <rFont val="Times New Roman"/>
        <family val="3"/>
      </rPr>
      <t>0</t>
    </r>
    <r>
      <rPr>
        <sz val="10"/>
        <color theme="1"/>
        <rFont val="宋体"/>
        <family val="3"/>
        <charset val="134"/>
      </rPr>
      <t>，但没有立即被杀死时，你可以解消任意件你仿制魔法物品特性创造的，稀有度为非普通或珍稀的魔法物品，并将你的生命值改为魔法物品解离数量的</t>
    </r>
    <r>
      <rPr>
        <sz val="10"/>
        <color theme="1"/>
        <rFont val="Times New Roman"/>
        <family val="3"/>
      </rPr>
      <t>20</t>
    </r>
    <r>
      <rPr>
        <sz val="10"/>
        <color theme="1"/>
        <rFont val="宋体"/>
        <family val="3"/>
        <charset val="134"/>
      </rPr>
      <t>倍。</t>
    </r>
    <r>
      <rPr>
        <sz val="10"/>
        <color theme="1"/>
        <rFont val="Times New Roman"/>
        <family val="3"/>
      </rPr>
      <t xml:space="preserve">
</t>
    </r>
    <r>
      <rPr>
        <sz val="10"/>
        <color theme="1"/>
        <rFont val="宋体"/>
        <family val="3"/>
        <charset val="134"/>
      </rPr>
      <t>魔法指引</t>
    </r>
    <r>
      <rPr>
        <sz val="10"/>
        <color theme="1"/>
        <rFont val="Times New Roman"/>
        <family val="3"/>
      </rPr>
      <t>Magical Guidance</t>
    </r>
    <r>
      <rPr>
        <sz val="10"/>
        <color theme="1"/>
        <rFont val="宋体"/>
        <family val="3"/>
        <charset val="134"/>
      </rPr>
      <t>。当你完成短休时，如果你同调着至少一件魔法物品，你的灵光一闪重获所有已消耗的使用次数。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</si>
  <si>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t>
    </r>
    <r>
      <rPr>
        <sz val="10"/>
        <color theme="1"/>
        <rFont val="Times New Roman"/>
        <family val="3"/>
      </rPr>
      <t xml:space="preserve"> </t>
    </r>
    <r>
      <rPr>
        <sz val="10"/>
        <color theme="1"/>
        <rFont val="宋体"/>
        <family val="3"/>
        <charset val="134"/>
      </rPr>
      <t>你获得炼金工具和草药工具的熟练。如果你已经拥有其中之一的熟练，则你获得另一种你选择的工匠工具的熟练（或如果你有全部两种熟练，选择另外两种）。</t>
    </r>
    <r>
      <rPr>
        <sz val="10"/>
        <color theme="1"/>
        <rFont val="Times New Roman"/>
        <family val="3"/>
      </rPr>
      <t xml:space="preserve">
</t>
    </r>
    <r>
      <rPr>
        <sz val="10"/>
        <color theme="1"/>
        <rFont val="宋体"/>
        <family val="3"/>
        <charset val="134"/>
      </rPr>
      <t>药剂酿造</t>
    </r>
    <r>
      <rPr>
        <sz val="10"/>
        <color theme="1"/>
        <rFont val="Times New Roman"/>
        <family val="3"/>
      </rPr>
      <t>Potion Crafting</t>
    </r>
    <r>
      <rPr>
        <sz val="10"/>
        <color theme="1"/>
        <rFont val="宋体"/>
        <family val="3"/>
        <charset val="134"/>
      </rPr>
      <t>。当你使用《城主指南》的制造规则酿造药水时，制造所需花费的时间减半。</t>
    </r>
    <phoneticPr fontId="68" type="noConversion"/>
  </si>
  <si>
    <r>
      <rPr>
        <sz val="10"/>
        <color theme="1"/>
        <rFont val="宋体"/>
        <family val="3"/>
        <charset val="134"/>
      </rPr>
      <t>在达到下方炼金师法术列表中列出特定奇械师等级时，你将始终准备着等级对应的法术。</t>
    </r>
    <r>
      <rPr>
        <sz val="10"/>
        <color theme="1"/>
        <rFont val="Times New Roman"/>
        <family val="3"/>
      </rPr>
      <t xml:space="preserve">
</t>
    </r>
    <r>
      <rPr>
        <sz val="10"/>
        <color theme="1"/>
        <rFont val="宋体"/>
        <family val="3"/>
        <charset val="134"/>
      </rPr>
      <t>炼金师法术</t>
    </r>
    <r>
      <rPr>
        <sz val="10"/>
        <color theme="1"/>
        <rFont val="Times New Roman"/>
        <family val="3"/>
      </rPr>
      <t xml:space="preserve">Alchemist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治愈真言</t>
    </r>
    <r>
      <rPr>
        <sz val="10"/>
        <color theme="1"/>
        <rFont val="Times New Roman"/>
        <family val="3"/>
      </rPr>
      <t>Healing Word</t>
    </r>
    <r>
      <rPr>
        <sz val="10"/>
        <color theme="1"/>
        <rFont val="宋体"/>
        <family val="3"/>
        <charset val="134"/>
      </rPr>
      <t>，致病射线</t>
    </r>
    <r>
      <rPr>
        <sz val="10"/>
        <color theme="1"/>
        <rFont val="Times New Roman"/>
        <family val="3"/>
      </rPr>
      <t xml:space="preserve">Ray of Sickness  
5 </t>
    </r>
    <r>
      <rPr>
        <sz val="10"/>
        <color theme="1"/>
        <rFont val="宋体"/>
        <family val="3"/>
        <charset val="134"/>
      </rPr>
      <t>炽焰法球</t>
    </r>
    <r>
      <rPr>
        <sz val="10"/>
        <color theme="1"/>
        <rFont val="Times New Roman"/>
        <family val="3"/>
      </rPr>
      <t>Flaming Sphere</t>
    </r>
    <r>
      <rPr>
        <sz val="10"/>
        <color theme="1"/>
        <rFont val="宋体"/>
        <family val="3"/>
        <charset val="134"/>
      </rPr>
      <t>，马友夫酸液箭</t>
    </r>
    <r>
      <rPr>
        <sz val="10"/>
        <color theme="1"/>
        <rFont val="Times New Roman"/>
        <family val="3"/>
      </rPr>
      <t xml:space="preserve">Melf's Acid Arrow  
9 </t>
    </r>
    <r>
      <rPr>
        <sz val="10"/>
        <color theme="1"/>
        <rFont val="宋体"/>
        <family val="3"/>
        <charset val="134"/>
      </rPr>
      <t>气化形体</t>
    </r>
    <r>
      <rPr>
        <sz val="10"/>
        <color theme="1"/>
        <rFont val="Times New Roman"/>
        <family val="3"/>
      </rPr>
      <t>Gaseous Form</t>
    </r>
    <r>
      <rPr>
        <sz val="10"/>
        <color theme="1"/>
        <rFont val="宋体"/>
        <family val="3"/>
        <charset val="134"/>
      </rPr>
      <t>，群体治愈真言</t>
    </r>
    <r>
      <rPr>
        <sz val="10"/>
        <color theme="1"/>
        <rFont val="Times New Roman"/>
        <family val="3"/>
      </rPr>
      <t xml:space="preserve">Mass Healing Word  
13 </t>
    </r>
    <r>
      <rPr>
        <sz val="10"/>
        <color theme="1"/>
        <rFont val="宋体"/>
        <family val="3"/>
        <charset val="134"/>
      </rPr>
      <t>防死结界</t>
    </r>
    <r>
      <rPr>
        <sz val="10"/>
        <color theme="1"/>
        <rFont val="Times New Roman"/>
        <family val="3"/>
      </rPr>
      <t>Death Ward</t>
    </r>
    <r>
      <rPr>
        <sz val="10"/>
        <color theme="1"/>
        <rFont val="宋体"/>
        <family val="3"/>
        <charset val="134"/>
      </rPr>
      <t>，浓酸球</t>
    </r>
    <r>
      <rPr>
        <sz val="10"/>
        <color theme="1"/>
        <rFont val="Times New Roman"/>
        <family val="3"/>
      </rPr>
      <t xml:space="preserve">Vitriolic Sphere  
17 </t>
    </r>
    <r>
      <rPr>
        <sz val="10"/>
        <color theme="1"/>
        <rFont val="宋体"/>
        <family val="3"/>
        <charset val="134"/>
      </rPr>
      <t>死云术</t>
    </r>
    <r>
      <rPr>
        <sz val="10"/>
        <color theme="1"/>
        <rFont val="Times New Roman"/>
        <family val="3"/>
      </rPr>
      <t>Cloudkill</t>
    </r>
    <r>
      <rPr>
        <sz val="10"/>
        <color theme="1"/>
        <rFont val="宋体"/>
        <family val="3"/>
        <charset val="134"/>
      </rPr>
      <t>，死者复活</t>
    </r>
    <r>
      <rPr>
        <sz val="10"/>
        <color theme="1"/>
        <rFont val="Times New Roman"/>
        <family val="3"/>
      </rPr>
      <t xml:space="preserve">Raise Dead  </t>
    </r>
    <phoneticPr fontId="68" type="noConversion"/>
  </si>
  <si>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t>
    </r>
    <r>
      <rPr>
        <sz val="10"/>
        <color theme="1"/>
        <rFont val="Times New Roman"/>
        <family val="3"/>
      </rPr>
      <t xml:space="preserve">
</t>
    </r>
    <r>
      <rPr>
        <sz val="10"/>
        <color theme="1"/>
        <rFont val="宋体"/>
        <family val="3"/>
        <charset val="134"/>
      </rPr>
      <t>喝下灵药</t>
    </r>
    <r>
      <rPr>
        <sz val="10"/>
        <color theme="1"/>
        <rFont val="Times New Roman"/>
        <family val="3"/>
      </rPr>
      <t>Drink an Elixir</t>
    </r>
    <r>
      <rPr>
        <sz val="10"/>
        <color theme="1"/>
        <rFont val="宋体"/>
        <family val="3"/>
        <charset val="134"/>
      </rPr>
      <t>。以一个附赠动作，一个生物可以喝下一瓶灵药，或将其喂给它</t>
    </r>
    <r>
      <rPr>
        <sz val="10"/>
        <color theme="1"/>
        <rFont val="Times New Roman"/>
        <family val="3"/>
      </rPr>
      <t>5</t>
    </r>
    <r>
      <rPr>
        <sz val="10"/>
        <color theme="1"/>
        <rFont val="宋体"/>
        <family val="3"/>
        <charset val="134"/>
      </rPr>
      <t>尺内的另一个生物。</t>
    </r>
    <r>
      <rPr>
        <sz val="10"/>
        <color theme="1"/>
        <rFont val="Times New Roman"/>
        <family val="3"/>
      </rPr>
      <t xml:space="preserve">
</t>
    </r>
    <r>
      <rPr>
        <sz val="10"/>
        <color theme="1"/>
        <rFont val="宋体"/>
        <family val="3"/>
        <charset val="134"/>
      </rPr>
      <t>创造额外的灵药</t>
    </r>
    <r>
      <rPr>
        <sz val="10"/>
        <color theme="1"/>
        <rFont val="Times New Roman"/>
        <family val="3"/>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t>
    </r>
    <r>
      <rPr>
        <sz val="10"/>
        <color theme="1"/>
        <rFont val="Times New Roman"/>
        <family val="3"/>
      </rPr>
      <t xml:space="preserve">
</t>
    </r>
    <r>
      <rPr>
        <sz val="10"/>
        <color theme="1"/>
        <rFont val="宋体"/>
        <family val="3"/>
        <charset val="134"/>
      </rPr>
      <t>当你到达特定奇械师等级时，你可以在每次长休结束时制造额外的灵药：</t>
    </r>
    <r>
      <rPr>
        <sz val="10"/>
        <color theme="1"/>
        <rFont val="Times New Roman"/>
        <family val="3"/>
      </rPr>
      <t>5</t>
    </r>
    <r>
      <rPr>
        <sz val="10"/>
        <color theme="1"/>
        <rFont val="宋体"/>
        <family val="3"/>
        <charset val="134"/>
      </rPr>
      <t>级一共三瓶，</t>
    </r>
    <r>
      <rPr>
        <sz val="10"/>
        <color theme="1"/>
        <rFont val="Times New Roman"/>
        <family val="3"/>
      </rPr>
      <t>9</t>
    </r>
    <r>
      <rPr>
        <sz val="10"/>
        <color theme="1"/>
        <rFont val="宋体"/>
        <family val="3"/>
        <charset val="134"/>
      </rPr>
      <t>级一共四瓶，</t>
    </r>
    <r>
      <rPr>
        <sz val="10"/>
        <color theme="1"/>
        <rFont val="Times New Roman"/>
        <family val="3"/>
      </rPr>
      <t>15</t>
    </r>
    <r>
      <rPr>
        <sz val="10"/>
        <color theme="1"/>
        <rFont val="宋体"/>
        <family val="3"/>
        <charset val="134"/>
      </rPr>
      <t>级一共五瓶。</t>
    </r>
    <r>
      <rPr>
        <sz val="10"/>
        <color theme="1"/>
        <rFont val="Times New Roman"/>
        <family val="3"/>
      </rPr>
      <t xml:space="preserve">
</t>
    </r>
    <r>
      <rPr>
        <sz val="10"/>
        <color theme="1"/>
        <rFont val="宋体"/>
        <family val="3"/>
        <charset val="134"/>
      </rPr>
      <t>实验性灵药</t>
    </r>
    <r>
      <rPr>
        <sz val="10"/>
        <color theme="1"/>
        <rFont val="Times New Roman"/>
        <family val="3"/>
      </rPr>
      <t xml:space="preserve"> D6 </t>
    </r>
    <r>
      <rPr>
        <sz val="10"/>
        <color theme="1"/>
        <rFont val="宋体"/>
        <family val="3"/>
        <charset val="134"/>
      </rPr>
      <t>效果</t>
    </r>
    <r>
      <rPr>
        <sz val="10"/>
        <color theme="1"/>
        <rFont val="Times New Roman"/>
        <family val="3"/>
      </rPr>
      <t xml:space="preserve"> 
1 </t>
    </r>
    <r>
      <rPr>
        <sz val="10"/>
        <color theme="1"/>
        <rFont val="宋体"/>
        <family val="3"/>
        <charset val="134"/>
      </rPr>
      <t>治疗</t>
    </r>
    <r>
      <rPr>
        <sz val="10"/>
        <color theme="1"/>
        <rFont val="Times New Roman"/>
        <family val="3"/>
      </rPr>
      <t>Healing</t>
    </r>
    <r>
      <rPr>
        <sz val="10"/>
        <color theme="1"/>
        <rFont val="宋体"/>
        <family val="3"/>
        <charset val="134"/>
      </rPr>
      <t>。饮用者恢复等于</t>
    </r>
    <r>
      <rPr>
        <sz val="10"/>
        <color theme="1"/>
        <rFont val="Times New Roman"/>
        <family val="3"/>
      </rPr>
      <t>2d8</t>
    </r>
    <r>
      <rPr>
        <sz val="10"/>
        <color theme="1"/>
        <rFont val="宋体"/>
        <family val="3"/>
        <charset val="134"/>
      </rPr>
      <t>外加你智力调整值的生命值。恢复的生命值在你奇械师等级到达</t>
    </r>
    <r>
      <rPr>
        <sz val="10"/>
        <color theme="1"/>
        <rFont val="Times New Roman"/>
        <family val="3"/>
      </rPr>
      <t>9</t>
    </r>
    <r>
      <rPr>
        <sz val="10"/>
        <color theme="1"/>
        <rFont val="宋体"/>
        <family val="3"/>
        <charset val="134"/>
      </rPr>
      <t>级（</t>
    </r>
    <r>
      <rPr>
        <sz val="10"/>
        <color theme="1"/>
        <rFont val="Times New Roman"/>
        <family val="3"/>
      </rPr>
      <t>3d8</t>
    </r>
    <r>
      <rPr>
        <sz val="10"/>
        <color theme="1"/>
        <rFont val="宋体"/>
        <family val="3"/>
        <charset val="134"/>
      </rPr>
      <t>）和</t>
    </r>
    <r>
      <rPr>
        <sz val="10"/>
        <color theme="1"/>
        <rFont val="Times New Roman"/>
        <family val="3"/>
      </rPr>
      <t>15</t>
    </r>
    <r>
      <rPr>
        <sz val="10"/>
        <color theme="1"/>
        <rFont val="宋体"/>
        <family val="3"/>
        <charset val="134"/>
      </rPr>
      <t>级（</t>
    </r>
    <r>
      <rPr>
        <sz val="10"/>
        <color theme="1"/>
        <rFont val="Times New Roman"/>
        <family val="3"/>
      </rPr>
      <t>4d8</t>
    </r>
    <r>
      <rPr>
        <sz val="10"/>
        <color theme="1"/>
        <rFont val="宋体"/>
        <family val="3"/>
        <charset val="134"/>
      </rPr>
      <t>）时增加</t>
    </r>
    <r>
      <rPr>
        <sz val="10"/>
        <color theme="1"/>
        <rFont val="Times New Roman"/>
        <family val="3"/>
      </rPr>
      <t>1d8</t>
    </r>
    <r>
      <rPr>
        <sz val="10"/>
        <color theme="1"/>
        <rFont val="宋体"/>
        <family val="3"/>
        <charset val="134"/>
      </rPr>
      <t>。</t>
    </r>
    <r>
      <rPr>
        <sz val="10"/>
        <color theme="1"/>
        <rFont val="Times New Roman"/>
        <family val="3"/>
      </rPr>
      <t xml:space="preserve"> 
2 </t>
    </r>
    <r>
      <rPr>
        <sz val="10"/>
        <color theme="1"/>
        <rFont val="宋体"/>
        <family val="3"/>
        <charset val="134"/>
      </rPr>
      <t>疾速</t>
    </r>
    <r>
      <rPr>
        <sz val="10"/>
        <color theme="1"/>
        <rFont val="Times New Roman"/>
        <family val="3"/>
      </rPr>
      <t>Swiftness</t>
    </r>
    <r>
      <rPr>
        <sz val="10"/>
        <color theme="1"/>
        <rFont val="宋体"/>
        <family val="3"/>
        <charset val="134"/>
      </rPr>
      <t>。饮用者的速度增加</t>
    </r>
    <r>
      <rPr>
        <sz val="10"/>
        <color theme="1"/>
        <rFont val="Times New Roman"/>
        <family val="3"/>
      </rPr>
      <t>10</t>
    </r>
    <r>
      <rPr>
        <sz val="10"/>
        <color theme="1"/>
        <rFont val="宋体"/>
        <family val="3"/>
        <charset val="134"/>
      </rPr>
      <t>尺，持续</t>
    </r>
    <r>
      <rPr>
        <sz val="10"/>
        <color theme="1"/>
        <rFont val="Times New Roman"/>
        <family val="3"/>
      </rPr>
      <t>1</t>
    </r>
    <r>
      <rPr>
        <sz val="10"/>
        <color theme="1"/>
        <rFont val="宋体"/>
        <family val="3"/>
        <charset val="134"/>
      </rPr>
      <t>小时。增加的速度在你奇械师等级到达</t>
    </r>
    <r>
      <rPr>
        <sz val="10"/>
        <color theme="1"/>
        <rFont val="Times New Roman"/>
        <family val="3"/>
      </rPr>
      <t>9</t>
    </r>
    <r>
      <rPr>
        <sz val="10"/>
        <color theme="1"/>
        <rFont val="宋体"/>
        <family val="3"/>
        <charset val="134"/>
      </rPr>
      <t>级（</t>
    </r>
    <r>
      <rPr>
        <sz val="10"/>
        <color theme="1"/>
        <rFont val="Times New Roman"/>
        <family val="3"/>
      </rPr>
      <t>15</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20</t>
    </r>
    <r>
      <rPr>
        <sz val="10"/>
        <color theme="1"/>
        <rFont val="宋体"/>
        <family val="3"/>
        <charset val="134"/>
      </rPr>
      <t>尺）时提升。</t>
    </r>
    <r>
      <rPr>
        <sz val="10"/>
        <color theme="1"/>
        <rFont val="Times New Roman"/>
        <family val="3"/>
      </rPr>
      <t xml:space="preserve"> 
3 </t>
    </r>
    <r>
      <rPr>
        <sz val="10"/>
        <color theme="1"/>
        <rFont val="宋体"/>
        <family val="3"/>
        <charset val="134"/>
      </rPr>
      <t>韧性</t>
    </r>
    <r>
      <rPr>
        <sz val="10"/>
        <color theme="1"/>
        <rFont val="Times New Roman"/>
        <family val="3"/>
      </rPr>
      <t>Resilience</t>
    </r>
    <r>
      <rPr>
        <sz val="10"/>
        <color theme="1"/>
        <rFont val="宋体"/>
        <family val="3"/>
        <charset val="134"/>
      </rPr>
      <t>。饮用者的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加值，持续</t>
    </r>
    <r>
      <rPr>
        <sz val="10"/>
        <color theme="1"/>
        <rFont val="Times New Roman"/>
        <family val="3"/>
      </rPr>
      <t>10</t>
    </r>
    <r>
      <rPr>
        <sz val="10"/>
        <color theme="1"/>
        <rFont val="宋体"/>
        <family val="3"/>
        <charset val="134"/>
      </rPr>
      <t>分钟。持续时间在你奇械师等级到达</t>
    </r>
    <r>
      <rPr>
        <sz val="10"/>
        <color theme="1"/>
        <rFont val="Times New Roman"/>
        <family val="3"/>
      </rPr>
      <t>9</t>
    </r>
    <r>
      <rPr>
        <sz val="10"/>
        <color theme="1"/>
        <rFont val="宋体"/>
        <family val="3"/>
        <charset val="134"/>
      </rPr>
      <t>级（</t>
    </r>
    <r>
      <rPr>
        <sz val="10"/>
        <color theme="1"/>
        <rFont val="Times New Roman"/>
        <family val="3"/>
      </rPr>
      <t>1</t>
    </r>
    <r>
      <rPr>
        <sz val="10"/>
        <color theme="1"/>
        <rFont val="宋体"/>
        <family val="3"/>
        <charset val="134"/>
      </rPr>
      <t>小时）和</t>
    </r>
    <r>
      <rPr>
        <sz val="10"/>
        <color theme="1"/>
        <rFont val="Times New Roman"/>
        <family val="3"/>
      </rPr>
      <t>15</t>
    </r>
    <r>
      <rPr>
        <sz val="10"/>
        <color theme="1"/>
        <rFont val="宋体"/>
        <family val="3"/>
        <charset val="134"/>
      </rPr>
      <t>级（</t>
    </r>
    <r>
      <rPr>
        <sz val="10"/>
        <color theme="1"/>
        <rFont val="Times New Roman"/>
        <family val="3"/>
      </rPr>
      <t>8</t>
    </r>
    <r>
      <rPr>
        <sz val="10"/>
        <color theme="1"/>
        <rFont val="宋体"/>
        <family val="3"/>
        <charset val="134"/>
      </rPr>
      <t>小时）时增加。</t>
    </r>
    <r>
      <rPr>
        <sz val="10"/>
        <color theme="1"/>
        <rFont val="Times New Roman"/>
        <family val="3"/>
      </rPr>
      <t xml:space="preserve"> 
4 </t>
    </r>
    <r>
      <rPr>
        <sz val="10"/>
        <color theme="1"/>
        <rFont val="宋体"/>
        <family val="3"/>
        <charset val="134"/>
      </rPr>
      <t>气魄</t>
    </r>
    <r>
      <rPr>
        <sz val="10"/>
        <color theme="1"/>
        <rFont val="Times New Roman"/>
        <family val="3"/>
      </rPr>
      <t>Boldness</t>
    </r>
    <r>
      <rPr>
        <sz val="10"/>
        <color theme="1"/>
        <rFont val="宋体"/>
        <family val="3"/>
        <charset val="134"/>
      </rPr>
      <t>。饮用者可以投掷</t>
    </r>
    <r>
      <rPr>
        <sz val="10"/>
        <color theme="1"/>
        <rFont val="Times New Roman"/>
        <family val="3"/>
      </rPr>
      <t>1d4</t>
    </r>
    <r>
      <rPr>
        <sz val="10"/>
        <color theme="1"/>
        <rFont val="宋体"/>
        <family val="3"/>
        <charset val="134"/>
      </rPr>
      <t>，在接下来一分钟内，能够在每次攻击检定和豁免检定中加入这个值。持续时间在你奇械师等级到达</t>
    </r>
    <r>
      <rPr>
        <sz val="10"/>
        <color theme="1"/>
        <rFont val="Times New Roman"/>
        <family val="3"/>
      </rPr>
      <t>9</t>
    </r>
    <r>
      <rPr>
        <sz val="10"/>
        <color theme="1"/>
        <rFont val="宋体"/>
        <family val="3"/>
        <charset val="134"/>
      </rPr>
      <t>级（</t>
    </r>
    <r>
      <rPr>
        <sz val="10"/>
        <color theme="1"/>
        <rFont val="Times New Roman"/>
        <family val="3"/>
      </rPr>
      <t>10</t>
    </r>
    <r>
      <rPr>
        <sz val="10"/>
        <color theme="1"/>
        <rFont val="宋体"/>
        <family val="3"/>
        <charset val="134"/>
      </rPr>
      <t>分钟）和</t>
    </r>
    <r>
      <rPr>
        <sz val="10"/>
        <color theme="1"/>
        <rFont val="Times New Roman"/>
        <family val="3"/>
      </rPr>
      <t>15</t>
    </r>
    <r>
      <rPr>
        <sz val="10"/>
        <color theme="1"/>
        <rFont val="宋体"/>
        <family val="3"/>
        <charset val="134"/>
      </rPr>
      <t>级（</t>
    </r>
    <r>
      <rPr>
        <sz val="10"/>
        <color theme="1"/>
        <rFont val="Times New Roman"/>
        <family val="3"/>
      </rPr>
      <t>1</t>
    </r>
    <r>
      <rPr>
        <sz val="10"/>
        <color theme="1"/>
        <rFont val="宋体"/>
        <family val="3"/>
        <charset val="134"/>
      </rPr>
      <t>小时）时增加。</t>
    </r>
    <r>
      <rPr>
        <sz val="10"/>
        <color theme="1"/>
        <rFont val="Times New Roman"/>
        <family val="3"/>
      </rPr>
      <t xml:space="preserve"> 
5 </t>
    </r>
    <r>
      <rPr>
        <sz val="10"/>
        <color theme="1"/>
        <rFont val="宋体"/>
        <family val="3"/>
        <charset val="134"/>
      </rPr>
      <t>飞行</t>
    </r>
    <r>
      <rPr>
        <sz val="10"/>
        <color theme="1"/>
        <rFont val="Times New Roman"/>
        <family val="3"/>
      </rPr>
      <t>Flight</t>
    </r>
    <r>
      <rPr>
        <sz val="10"/>
        <color theme="1"/>
        <rFont val="宋体"/>
        <family val="3"/>
        <charset val="134"/>
      </rPr>
      <t>。饮用者获得</t>
    </r>
    <r>
      <rPr>
        <sz val="10"/>
        <color theme="1"/>
        <rFont val="Times New Roman"/>
        <family val="3"/>
      </rPr>
      <t>10</t>
    </r>
    <r>
      <rPr>
        <sz val="10"/>
        <color theme="1"/>
        <rFont val="宋体"/>
        <family val="3"/>
        <charset val="134"/>
      </rPr>
      <t>尺飞行速度，持续</t>
    </r>
    <r>
      <rPr>
        <sz val="10"/>
        <color theme="1"/>
        <rFont val="Times New Roman"/>
        <family val="3"/>
      </rPr>
      <t>10</t>
    </r>
    <r>
      <rPr>
        <sz val="10"/>
        <color theme="1"/>
        <rFont val="宋体"/>
        <family val="3"/>
        <charset val="134"/>
      </rPr>
      <t>分钟。飞行速度在你奇械师等级到达</t>
    </r>
    <r>
      <rPr>
        <sz val="10"/>
        <color theme="1"/>
        <rFont val="Times New Roman"/>
        <family val="3"/>
      </rPr>
      <t>9</t>
    </r>
    <r>
      <rPr>
        <sz val="10"/>
        <color theme="1"/>
        <rFont val="宋体"/>
        <family val="3"/>
        <charset val="134"/>
      </rPr>
      <t>级（</t>
    </r>
    <r>
      <rPr>
        <sz val="10"/>
        <color theme="1"/>
        <rFont val="Times New Roman"/>
        <family val="3"/>
      </rPr>
      <t>20</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30</t>
    </r>
    <r>
      <rPr>
        <sz val="10"/>
        <color theme="1"/>
        <rFont val="宋体"/>
        <family val="3"/>
        <charset val="134"/>
      </rPr>
      <t>尺）时提升。</t>
    </r>
    <r>
      <rPr>
        <sz val="10"/>
        <color theme="1"/>
        <rFont val="Times New Roman"/>
        <family val="3"/>
      </rPr>
      <t xml:space="preserve"> 
6 </t>
    </r>
    <r>
      <rPr>
        <sz val="10"/>
        <color theme="1"/>
        <rFont val="宋体"/>
        <family val="3"/>
        <charset val="134"/>
      </rPr>
      <t>你选择这个表格其他行来决定灵药的效果。</t>
    </r>
    <r>
      <rPr>
        <sz val="10"/>
        <color theme="1"/>
        <rFont val="Times New Roman"/>
        <family val="3"/>
      </rPr>
      <t xml:space="preserve"> </t>
    </r>
    <phoneticPr fontId="68" type="noConversion"/>
  </si>
  <si>
    <r>
      <rPr>
        <sz val="10"/>
        <color theme="1"/>
        <rFont val="宋体"/>
        <family val="3"/>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family val="3"/>
      </rPr>
      <t>+1</t>
    </r>
    <r>
      <rPr>
        <sz val="10"/>
        <color theme="1"/>
        <rFont val="宋体"/>
        <family val="3"/>
        <charset val="134"/>
      </rPr>
      <t>）。</t>
    </r>
    <phoneticPr fontId="68" type="noConversion"/>
  </si>
  <si>
    <r>
      <rPr>
        <sz val="10"/>
        <color theme="1"/>
        <rFont val="宋体"/>
        <family val="3"/>
        <charset val="134"/>
      </rPr>
      <t>只要使用炼金工具作为施法法器，你便可以施展数次次级复原术</t>
    </r>
    <r>
      <rPr>
        <sz val="10"/>
        <color theme="1"/>
        <rFont val="Times New Roman"/>
        <family val="3"/>
      </rPr>
      <t xml:space="preserve">Lesser Restoration </t>
    </r>
    <r>
      <rPr>
        <sz val="10"/>
        <color theme="1"/>
        <rFont val="宋体"/>
        <family val="3"/>
        <charset val="134"/>
      </rPr>
      <t>而无需消耗法术位也无需准备此法术。你可以这么做的次数等于你的智力调整值（至少</t>
    </r>
    <r>
      <rPr>
        <sz val="10"/>
        <color theme="1"/>
        <rFont val="Times New Roman"/>
        <family val="3"/>
      </rPr>
      <t>1</t>
    </r>
    <r>
      <rPr>
        <sz val="10"/>
        <color theme="1"/>
        <rFont val="宋体"/>
        <family val="3"/>
        <charset val="134"/>
      </rPr>
      <t>次），在完成长休时你重获所有已消耗的使用次数。</t>
    </r>
    <phoneticPr fontId="68" type="noConversion"/>
  </si>
  <si>
    <r>
      <rPr>
        <sz val="10"/>
        <color theme="1"/>
        <rFont val="宋体"/>
        <family val="3"/>
        <charset val="134"/>
      </rPr>
      <t>你获得以下好处：</t>
    </r>
    <r>
      <rPr>
        <sz val="10"/>
        <color theme="1"/>
        <rFont val="Times New Roman"/>
        <family val="3"/>
      </rPr>
      <t xml:space="preserve">
</t>
    </r>
    <r>
      <rPr>
        <sz val="10"/>
        <color theme="1"/>
        <rFont val="宋体"/>
        <family val="3"/>
        <charset val="134"/>
      </rPr>
      <t>炼金喷发</t>
    </r>
    <r>
      <rPr>
        <sz val="10"/>
        <color theme="1"/>
        <rFont val="Times New Roman"/>
        <family val="3"/>
      </rPr>
      <t>Alchemical Eruption</t>
    </r>
    <r>
      <rPr>
        <sz val="10"/>
        <color theme="1"/>
        <rFont val="宋体"/>
        <family val="3"/>
        <charset val="134"/>
      </rPr>
      <t>。当你施展一道奇械师法术，对一个目标造成强酸，火焰或毒素伤害时，你可以对那个目标额外造成</t>
    </r>
    <r>
      <rPr>
        <sz val="10"/>
        <color theme="1"/>
        <rFont val="Times New Roman"/>
        <family val="3"/>
      </rPr>
      <t>2d8</t>
    </r>
    <r>
      <rPr>
        <sz val="10"/>
        <color theme="1"/>
        <rFont val="宋体"/>
        <family val="3"/>
        <charset val="134"/>
      </rPr>
      <t>力场伤害。你的每个回合只能使用此增益一次。</t>
    </r>
    <r>
      <rPr>
        <sz val="10"/>
        <color theme="1"/>
        <rFont val="Times New Roman"/>
        <family val="3"/>
      </rPr>
      <t xml:space="preserve">
</t>
    </r>
    <r>
      <rPr>
        <sz val="10"/>
        <color theme="1"/>
        <rFont val="宋体"/>
        <family val="3"/>
        <charset val="134"/>
      </rPr>
      <t>炼金抗性</t>
    </r>
    <r>
      <rPr>
        <sz val="10"/>
        <color theme="1"/>
        <rFont val="Times New Roman"/>
        <family val="3"/>
      </rPr>
      <t>Chemical Resistance</t>
    </r>
    <r>
      <rPr>
        <sz val="10"/>
        <color theme="1"/>
        <rFont val="宋体"/>
        <family val="3"/>
        <charset val="134"/>
      </rPr>
      <t>。你获得对强酸伤害和毒素伤害的抗性。你也获得中毒状态的免疫。</t>
    </r>
    <r>
      <rPr>
        <sz val="10"/>
        <color theme="1"/>
        <rFont val="Times New Roman"/>
        <family val="3"/>
      </rPr>
      <t xml:space="preserve">
</t>
    </r>
    <r>
      <rPr>
        <sz val="10"/>
        <color theme="1"/>
        <rFont val="宋体"/>
        <family val="3"/>
        <charset val="134"/>
      </rPr>
      <t>咒唤坩埚</t>
    </r>
    <r>
      <rPr>
        <sz val="10"/>
        <color theme="1"/>
        <rFont val="Times New Roman"/>
        <family val="3"/>
      </rPr>
      <t>Conjured Cauldron</t>
    </r>
    <r>
      <rPr>
        <sz val="10"/>
        <color theme="1"/>
        <rFont val="宋体"/>
        <family val="3"/>
        <charset val="134"/>
      </rPr>
      <t>。你可以施展塔莎泡泡坩埚</t>
    </r>
    <r>
      <rPr>
        <sz val="10"/>
        <color theme="1"/>
        <rFont val="Times New Roman"/>
        <family val="3"/>
      </rPr>
      <t xml:space="preserve">Tasha's Bubbling Cauldron </t>
    </r>
    <r>
      <rPr>
        <sz val="10"/>
        <color theme="1"/>
        <rFont val="宋体"/>
        <family val="3"/>
        <charset val="134"/>
      </rPr>
      <t>而无需消耗法术位，无需准备该法术，也无需法术成分，只需使用炼金工具作为施法法器。此特性一经使用，直至完成长休你都无法再次使用。</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</si>
  <si>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护甲受训</t>
    </r>
    <r>
      <rPr>
        <sz val="10"/>
        <color theme="1"/>
        <rFont val="Times New Roman"/>
        <family val="3"/>
      </rPr>
      <t>Armor Training</t>
    </r>
    <r>
      <rPr>
        <sz val="10"/>
        <color theme="1"/>
        <rFont val="宋体"/>
        <family val="3"/>
        <charset val="134"/>
      </rPr>
      <t>。你获得重甲受训。</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护甲制造</t>
    </r>
    <r>
      <rPr>
        <sz val="10"/>
        <color theme="1"/>
        <rFont val="Times New Roman"/>
        <family val="3"/>
      </rPr>
      <t>Armor Crafting</t>
    </r>
    <r>
      <rPr>
        <sz val="10"/>
        <color theme="1"/>
        <rFont val="宋体"/>
        <family val="3"/>
        <charset val="134"/>
      </rPr>
      <t>。</t>
    </r>
    <r>
      <rPr>
        <sz val="10"/>
        <color theme="1"/>
        <rFont val="Times New Roman"/>
        <family val="3"/>
      </rPr>
      <t xml:space="preserve"> </t>
    </r>
    <r>
      <rPr>
        <sz val="10"/>
        <color theme="1"/>
        <rFont val="宋体"/>
        <family val="3"/>
        <charset val="134"/>
      </rPr>
      <t>当你制造非魔法或魔法护甲，制造所需花费的时间减半。</t>
    </r>
    <phoneticPr fontId="68" type="noConversion"/>
  </si>
  <si>
    <r>
      <rPr>
        <sz val="10"/>
        <color theme="1"/>
        <rFont val="宋体"/>
        <family val="3"/>
        <charset val="134"/>
      </rPr>
      <t>在达到下方装甲师法术列表中列出特定奇械师等级时，你将始终准备着等级对应的法术。</t>
    </r>
    <r>
      <rPr>
        <sz val="10"/>
        <color theme="1"/>
        <rFont val="Times New Roman"/>
        <family val="3"/>
      </rPr>
      <t xml:space="preserve"> 
</t>
    </r>
    <r>
      <rPr>
        <sz val="10"/>
        <color theme="1"/>
        <rFont val="宋体"/>
        <family val="3"/>
        <charset val="134"/>
      </rPr>
      <t>装甲师法术</t>
    </r>
    <r>
      <rPr>
        <sz val="10"/>
        <color theme="1"/>
        <rFont val="Times New Roman"/>
        <family val="3"/>
      </rPr>
      <t xml:space="preserve">Armorer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魔法飞弹</t>
    </r>
    <r>
      <rPr>
        <sz val="10"/>
        <color theme="1"/>
        <rFont val="Times New Roman"/>
        <family val="3"/>
      </rPr>
      <t>Magic Missile</t>
    </r>
    <r>
      <rPr>
        <sz val="10"/>
        <color theme="1"/>
        <rFont val="宋体"/>
        <family val="3"/>
        <charset val="134"/>
      </rPr>
      <t>，雷鸣波</t>
    </r>
    <r>
      <rPr>
        <sz val="10"/>
        <color theme="1"/>
        <rFont val="Times New Roman"/>
        <family val="3"/>
      </rPr>
      <t xml:space="preserve">thunderwave  
5
 </t>
    </r>
    <r>
      <rPr>
        <sz val="10"/>
        <color theme="1"/>
        <rFont val="宋体"/>
        <family val="3"/>
        <charset val="134"/>
      </rPr>
      <t>镜影术</t>
    </r>
    <r>
      <rPr>
        <sz val="10"/>
        <color theme="1"/>
        <rFont val="Times New Roman"/>
        <family val="3"/>
      </rPr>
      <t>mirror image</t>
    </r>
    <r>
      <rPr>
        <sz val="10"/>
        <color theme="1"/>
        <rFont val="宋体"/>
        <family val="3"/>
        <charset val="134"/>
      </rPr>
      <t>，粉碎音波</t>
    </r>
    <r>
      <rPr>
        <sz val="10"/>
        <color theme="1"/>
        <rFont val="Times New Roman"/>
        <family val="3"/>
      </rPr>
      <t xml:space="preserve">shatter  
9
 </t>
    </r>
    <r>
      <rPr>
        <sz val="10"/>
        <color theme="1"/>
        <rFont val="宋体"/>
        <family val="3"/>
        <charset val="134"/>
      </rPr>
      <t>催眠图纹</t>
    </r>
    <r>
      <rPr>
        <sz val="10"/>
        <color theme="1"/>
        <rFont val="Times New Roman"/>
        <family val="3"/>
      </rPr>
      <t>hypnotic pattern</t>
    </r>
    <r>
      <rPr>
        <sz val="10"/>
        <color theme="1"/>
        <rFont val="宋体"/>
        <family val="3"/>
        <charset val="134"/>
      </rPr>
      <t>，闪电束</t>
    </r>
    <r>
      <rPr>
        <sz val="10"/>
        <color theme="1"/>
        <rFont val="Times New Roman"/>
        <family val="3"/>
      </rPr>
      <t xml:space="preserve">lightning bolt  
13
 </t>
    </r>
    <r>
      <rPr>
        <sz val="10"/>
        <color theme="1"/>
        <rFont val="宋体"/>
        <family val="3"/>
        <charset val="134"/>
      </rPr>
      <t>火焰护盾</t>
    </r>
    <r>
      <rPr>
        <sz val="10"/>
        <color theme="1"/>
        <rFont val="Times New Roman"/>
        <family val="3"/>
      </rPr>
      <t>fire shield</t>
    </r>
    <r>
      <rPr>
        <sz val="10"/>
        <color theme="1"/>
        <rFont val="宋体"/>
        <family val="3"/>
        <charset val="134"/>
      </rPr>
      <t>，高等隐形术</t>
    </r>
    <r>
      <rPr>
        <sz val="10"/>
        <color theme="1"/>
        <rFont val="Times New Roman"/>
        <family val="3"/>
      </rPr>
      <t xml:space="preserve">greater invisibility  
17
 </t>
    </r>
    <r>
      <rPr>
        <sz val="10"/>
        <color theme="1"/>
        <rFont val="宋体"/>
        <family val="3"/>
        <charset val="134"/>
      </rPr>
      <t>穿墙术</t>
    </r>
    <r>
      <rPr>
        <sz val="10"/>
        <color theme="1"/>
        <rFont val="Times New Roman"/>
        <family val="3"/>
      </rPr>
      <t>passwall</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</si>
  <si>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你手中拿着铁匠工具期间以一个魔法动作，你可以将一套你着装的护甲转变为奥能装甲。这套护甲会持续变为奥能装甲，直到你穿戴了另外一套护甲，或你死亡。</t>
    </r>
    <r>
      <rPr>
        <sz val="10"/>
        <color theme="1"/>
        <rFont val="Times New Roman"/>
        <family val="3"/>
      </rPr>
      <t xml:space="preserve">
</t>
    </r>
    <r>
      <rPr>
        <sz val="10"/>
        <color theme="1"/>
        <rFont val="宋体"/>
        <family val="3"/>
        <charset val="134"/>
      </rPr>
      <t>穿戴你的奥能装甲期间，你获得以下好处：</t>
    </r>
    <r>
      <rPr>
        <sz val="10"/>
        <color theme="1"/>
        <rFont val="Times New Roman"/>
        <family val="3"/>
      </rPr>
      <t xml:space="preserve">
</t>
    </r>
    <r>
      <rPr>
        <sz val="10"/>
        <color theme="1"/>
        <rFont val="宋体"/>
        <family val="3"/>
        <charset val="134"/>
      </rPr>
      <t>无需力量需求</t>
    </r>
    <r>
      <rPr>
        <sz val="10"/>
        <color theme="1"/>
        <rFont val="Times New Roman"/>
        <family val="3"/>
      </rPr>
      <t>No Strength Requirement</t>
    </r>
    <r>
      <rPr>
        <sz val="10"/>
        <color theme="1"/>
        <rFont val="宋体"/>
        <family val="3"/>
        <charset val="134"/>
      </rPr>
      <t>。如果这套护甲正常时有力量需求，则对你来说奥能装甲将没有这个先决条件。</t>
    </r>
    <r>
      <rPr>
        <sz val="10"/>
        <color theme="1"/>
        <rFont val="Times New Roman"/>
        <family val="3"/>
      </rPr>
      <t xml:space="preserve">
</t>
    </r>
    <r>
      <rPr>
        <sz val="10"/>
        <color theme="1"/>
        <rFont val="宋体"/>
        <family val="3"/>
        <charset val="134"/>
      </rPr>
      <t>速穿速脱</t>
    </r>
    <r>
      <rPr>
        <sz val="10"/>
        <color theme="1"/>
        <rFont val="Times New Roman"/>
        <family val="3"/>
      </rPr>
      <t>Quick Don and Doff</t>
    </r>
    <r>
      <rPr>
        <sz val="10"/>
        <color theme="1"/>
        <rFont val="宋体"/>
        <family val="3"/>
        <charset val="134"/>
      </rPr>
      <t>。你可以以一个操作动作穿戴和卸除这套装甲。</t>
    </r>
    <r>
      <rPr>
        <sz val="10"/>
        <color theme="1"/>
        <rFont val="Times New Roman"/>
        <family val="3"/>
      </rPr>
      <t xml:space="preserve">
</t>
    </r>
    <r>
      <rPr>
        <sz val="10"/>
        <color theme="1"/>
        <rFont val="宋体"/>
        <family val="3"/>
        <charset val="134"/>
      </rPr>
      <t>施法法器</t>
    </r>
    <r>
      <rPr>
        <sz val="10"/>
        <color theme="1"/>
        <rFont val="Times New Roman"/>
        <family val="3"/>
      </rPr>
      <t>Spellcasting Focus</t>
    </r>
    <r>
      <rPr>
        <sz val="10"/>
        <color theme="1"/>
        <rFont val="宋体"/>
        <family val="3"/>
        <charset val="134"/>
      </rPr>
      <t>。你可以使用奥能装甲作为施法法器施展奇械师法术。</t>
    </r>
    <r>
      <rPr>
        <sz val="10"/>
        <color theme="1"/>
        <rFont val="Times New Roman"/>
        <family val="3"/>
      </rPr>
      <t xml:space="preserve"> </t>
    </r>
    <phoneticPr fontId="68" type="noConversion"/>
  </si>
  <si>
    <r>
      <rPr>
        <sz val="10"/>
        <color theme="1"/>
        <rFont val="宋体"/>
        <family val="3"/>
        <charset val="134"/>
      </rPr>
      <t>你可以定制你的奥能装甲。当你这么做的时候，从下述装甲型号中选择一项：无畏者，守护者或渗透者。你所选择的型号会在你穿戴它期间给予你特别的增益。</t>
    </r>
    <r>
      <rPr>
        <sz val="10"/>
        <color theme="1"/>
        <rFont val="Times New Roman"/>
        <family val="3"/>
      </rPr>
      <t xml:space="preserve">
</t>
    </r>
    <r>
      <rPr>
        <sz val="10"/>
        <color theme="1"/>
        <rFont val="宋体"/>
        <family val="3"/>
        <charset val="134"/>
      </rPr>
      <t>每一种型号都提供特别的武器。当你使用那件武器发动攻击时，你可以加入你的智力调整值，而不是力量或敏捷调整值，在攻击和伤害检定中。</t>
    </r>
    <r>
      <rPr>
        <sz val="10"/>
        <color theme="1"/>
        <rFont val="Times New Roman"/>
        <family val="3"/>
      </rPr>
      <t xml:space="preserve">
</t>
    </r>
    <r>
      <rPr>
        <sz val="10"/>
        <color theme="1"/>
        <rFont val="宋体"/>
        <family val="3"/>
        <charset val="134"/>
      </rPr>
      <t>每当你持有铁匠工具完成一次短休或长休，你可以改变奥能装甲的型号。</t>
    </r>
    <phoneticPr fontId="68" type="noConversion"/>
  </si>
  <si>
    <t>无畏者</t>
    <phoneticPr fontId="68" type="noConversion"/>
  </si>
  <si>
    <r>
      <rPr>
        <sz val="10"/>
        <color theme="1"/>
        <rFont val="宋体"/>
        <family val="3"/>
        <charset val="134"/>
      </rPr>
      <t>你将你的装甲设计为战斗中高大威武的破坏者。它具有以下特性：</t>
    </r>
    <r>
      <rPr>
        <sz val="10"/>
        <color theme="1"/>
        <rFont val="Times New Roman"/>
        <family val="3"/>
      </rPr>
      <t xml:space="preserve"> 
</t>
    </r>
    <r>
      <rPr>
        <sz val="10"/>
        <color theme="1"/>
        <rFont val="宋体"/>
        <family val="3"/>
        <charset val="134"/>
      </rPr>
      <t>力场破坏器</t>
    </r>
    <r>
      <rPr>
        <sz val="10"/>
        <color theme="1"/>
        <rFont val="Times New Roman"/>
        <family val="3"/>
      </rPr>
      <t>Force Demolisher</t>
    </r>
    <r>
      <rPr>
        <sz val="10"/>
        <color theme="1"/>
        <rFont val="宋体"/>
        <family val="3"/>
        <charset val="134"/>
      </rPr>
      <t>。你的护甲上伸出一个奥能破坏球或破坏锤组件。这种破坏器被视为一种具有触及词条的简易近战武器，且命中时造成</t>
    </r>
    <r>
      <rPr>
        <sz val="10"/>
        <color theme="1"/>
        <rFont val="Times New Roman"/>
        <family val="3"/>
      </rPr>
      <t>1d10</t>
    </r>
    <r>
      <rPr>
        <sz val="10"/>
        <color theme="1"/>
        <rFont val="宋体"/>
        <family val="3"/>
        <charset val="134"/>
      </rPr>
      <t>力场伤害。当你使用破坏器命中一名体型比你小至少一级的生物时，你可以将该生物直线推离你至多</t>
    </r>
    <r>
      <rPr>
        <sz val="10"/>
        <color theme="1"/>
        <rFont val="Times New Roman"/>
        <family val="3"/>
      </rPr>
      <t>10</t>
    </r>
    <r>
      <rPr>
        <sz val="10"/>
        <color theme="1"/>
        <rFont val="宋体"/>
        <family val="3"/>
        <charset val="134"/>
      </rPr>
      <t>尺，或向你拉近至多</t>
    </r>
    <r>
      <rPr>
        <sz val="10"/>
        <color theme="1"/>
        <rFont val="Times New Roman"/>
        <family val="3"/>
      </rPr>
      <t>10</t>
    </r>
    <r>
      <rPr>
        <sz val="10"/>
        <color theme="1"/>
        <rFont val="宋体"/>
        <family val="3"/>
        <charset val="134"/>
      </rPr>
      <t>尺。</t>
    </r>
    <r>
      <rPr>
        <sz val="10"/>
        <color theme="1"/>
        <rFont val="Times New Roman"/>
        <family val="3"/>
      </rPr>
      <t xml:space="preserve">
</t>
    </r>
    <r>
      <rPr>
        <sz val="10"/>
        <color theme="1"/>
        <rFont val="宋体"/>
        <family val="3"/>
        <charset val="134"/>
      </rPr>
      <t>伟岸身姿</t>
    </r>
    <r>
      <rPr>
        <sz val="10"/>
        <color theme="1"/>
        <rFont val="Times New Roman"/>
        <family val="3"/>
      </rPr>
      <t>Giant Stature</t>
    </r>
    <r>
      <rPr>
        <sz val="10"/>
        <color theme="1"/>
        <rFont val="宋体"/>
        <family val="3"/>
        <charset val="134"/>
      </rPr>
      <t>。以一个附赠动作，你转变形态，并增大你的装甲，持续一分钟。持续时间内，你的触及提升</t>
    </r>
    <r>
      <rPr>
        <sz val="10"/>
        <color theme="1"/>
        <rFont val="Times New Roman"/>
        <family val="3"/>
      </rPr>
      <t>5</t>
    </r>
    <r>
      <rPr>
        <sz val="10"/>
        <color theme="1"/>
        <rFont val="宋体"/>
        <family val="3"/>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family val="3"/>
      </rPr>
      <t>1</t>
    </r>
    <r>
      <rPr>
        <sz val="10"/>
        <color theme="1"/>
        <rFont val="宋体"/>
        <family val="3"/>
        <charset val="134"/>
      </rPr>
      <t>次）。当你完成长休时，你重获所有已消耗的次数。</t>
    </r>
    <phoneticPr fontId="68" type="noConversion"/>
  </si>
  <si>
    <t>守护者</t>
    <phoneticPr fontId="68" type="noConversion"/>
  </si>
  <si>
    <r>
      <rPr>
        <sz val="10"/>
        <color theme="1"/>
        <rFont val="宋体"/>
        <family val="3"/>
        <charset val="134"/>
      </rPr>
      <t>你将你的装甲设计为湍流里的顽石。它具有以下特性：</t>
    </r>
    <r>
      <rPr>
        <sz val="10"/>
        <color theme="1"/>
        <rFont val="Times New Roman"/>
        <family val="3"/>
      </rPr>
      <t xml:space="preserve">
</t>
    </r>
    <r>
      <rPr>
        <sz val="10"/>
        <color theme="1"/>
        <rFont val="宋体"/>
        <family val="3"/>
        <charset val="134"/>
      </rPr>
      <t>雷霆脉冲</t>
    </r>
    <r>
      <rPr>
        <sz val="10"/>
        <color theme="1"/>
        <rFont val="Times New Roman"/>
        <family val="3"/>
      </rPr>
      <t>Thunder Pulse</t>
    </r>
    <r>
      <rPr>
        <sz val="10"/>
        <color theme="1"/>
        <rFont val="宋体"/>
        <family val="3"/>
        <charset val="134"/>
      </rPr>
      <t>。你可以利用护甲的打击释放震荡冲击波。这种脉冲被视为一种简易近战武器，且命中时造成</t>
    </r>
    <r>
      <rPr>
        <sz val="10"/>
        <color theme="1"/>
        <rFont val="Times New Roman"/>
        <family val="3"/>
      </rPr>
      <t>1d8</t>
    </r>
    <r>
      <rPr>
        <sz val="10"/>
        <color theme="1"/>
        <rFont val="宋体"/>
        <family val="3"/>
        <charset val="134"/>
      </rPr>
      <t>雷鸣伤害。被脉冲命中的生物在对除你以外的目标进行攻击检定时具有劣势，持续至你的下个回合开始。</t>
    </r>
    <r>
      <rPr>
        <sz val="10"/>
        <color theme="1"/>
        <rFont val="Times New Roman"/>
        <family val="3"/>
      </rPr>
      <t xml:space="preserve">
</t>
    </r>
    <r>
      <rPr>
        <sz val="10"/>
        <color theme="1"/>
        <rFont val="宋体"/>
        <family val="3"/>
        <charset val="134"/>
      </rPr>
      <t>防护场</t>
    </r>
    <r>
      <rPr>
        <sz val="10"/>
        <color theme="1"/>
        <rFont val="Times New Roman"/>
        <family val="3"/>
      </rPr>
      <t>Defensive Field</t>
    </r>
    <r>
      <rPr>
        <sz val="10"/>
        <color theme="1"/>
        <rFont val="宋体"/>
        <family val="3"/>
        <charset val="134"/>
      </rPr>
      <t>。你处于浴血期间，你能以附赠动作获得等于你奇械师等级的临时生命值。你卸除这套装甲时失去这些临时生命值。</t>
    </r>
    <phoneticPr fontId="68" type="noConversion"/>
  </si>
  <si>
    <t>渗透者</t>
    <phoneticPr fontId="68" type="noConversion"/>
  </si>
  <si>
    <r>
      <rPr>
        <sz val="10"/>
        <color theme="1"/>
        <rFont val="宋体"/>
        <family val="3"/>
        <charset val="134"/>
      </rPr>
      <t>你将你的装甲设计为处理一些隐秘的工作。它具有以下特性：</t>
    </r>
    <r>
      <rPr>
        <sz val="10"/>
        <color theme="1"/>
        <rFont val="Times New Roman"/>
        <family val="3"/>
      </rPr>
      <t xml:space="preserve">
</t>
    </r>
    <r>
      <rPr>
        <sz val="10"/>
        <color theme="1"/>
        <rFont val="宋体"/>
        <family val="3"/>
        <charset val="134"/>
      </rPr>
      <t>闪电发射器</t>
    </r>
    <r>
      <rPr>
        <sz val="10"/>
        <color theme="1"/>
        <rFont val="Times New Roman"/>
        <family val="3"/>
      </rPr>
      <t>Lightning Launcher</t>
    </r>
    <r>
      <rPr>
        <sz val="10"/>
        <color theme="1"/>
        <rFont val="宋体"/>
        <family val="3"/>
        <charset val="134"/>
      </rPr>
      <t>。一块宝石样的节点出现在你的护甲上，你可以从此处射出闪电箭。发射器被视为一种常规射程为</t>
    </r>
    <r>
      <rPr>
        <sz val="10"/>
        <color theme="1"/>
        <rFont val="Times New Roman"/>
        <family val="3"/>
      </rPr>
      <t>90</t>
    </r>
    <r>
      <rPr>
        <sz val="10"/>
        <color theme="1"/>
        <rFont val="宋体"/>
        <family val="3"/>
        <charset val="134"/>
      </rPr>
      <t>尺，最大射程为</t>
    </r>
    <r>
      <rPr>
        <sz val="10"/>
        <color theme="1"/>
        <rFont val="Times New Roman"/>
        <family val="3"/>
      </rPr>
      <t>300</t>
    </r>
    <r>
      <rPr>
        <sz val="10"/>
        <color theme="1"/>
        <rFont val="宋体"/>
        <family val="3"/>
        <charset val="134"/>
      </rPr>
      <t>尺的简易远程武器，且命中时造成</t>
    </r>
    <r>
      <rPr>
        <sz val="10"/>
        <color theme="1"/>
        <rFont val="Times New Roman"/>
        <family val="3"/>
      </rPr>
      <t>1d6</t>
    </r>
    <r>
      <rPr>
        <sz val="10"/>
        <color theme="1"/>
        <rFont val="宋体"/>
        <family val="3"/>
        <charset val="134"/>
      </rPr>
      <t>闪电伤害。每个你的回合一次，当你使用发射器命中一个生物，你可以对那个目标额外造成</t>
    </r>
    <r>
      <rPr>
        <sz val="10"/>
        <color theme="1"/>
        <rFont val="Times New Roman"/>
        <family val="3"/>
      </rPr>
      <t>1d6</t>
    </r>
    <r>
      <rPr>
        <sz val="10"/>
        <color theme="1"/>
        <rFont val="宋体"/>
        <family val="3"/>
        <charset val="134"/>
      </rPr>
      <t>闪电伤害。</t>
    </r>
    <r>
      <rPr>
        <sz val="10"/>
        <color theme="1"/>
        <rFont val="Times New Roman"/>
        <family val="3"/>
      </rPr>
      <t xml:space="preserve">
</t>
    </r>
    <r>
      <rPr>
        <sz val="10"/>
        <color theme="1"/>
        <rFont val="宋体"/>
        <family val="3"/>
        <charset val="134"/>
      </rPr>
      <t>动力步伐</t>
    </r>
    <r>
      <rPr>
        <sz val="10"/>
        <color theme="1"/>
        <rFont val="Times New Roman"/>
        <family val="3"/>
      </rPr>
      <t>Powered Steps</t>
    </r>
    <r>
      <rPr>
        <sz val="10"/>
        <color theme="1"/>
        <rFont val="宋体"/>
        <family val="3"/>
        <charset val="134"/>
      </rPr>
      <t>。你的速度提升</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减震场</t>
    </r>
    <r>
      <rPr>
        <sz val="10"/>
        <color theme="1"/>
        <rFont val="Times New Roman"/>
        <family val="3"/>
      </rPr>
      <t xml:space="preserve"> Dampening Field</t>
    </r>
    <r>
      <rPr>
        <sz val="10"/>
        <color theme="1"/>
        <rFont val="宋体"/>
        <family val="3"/>
        <charset val="134"/>
      </rPr>
      <t>。你的敏捷（隐匿）检定具有优势。如果你的盔甲原本会让你在此检定上具有劣势，优势和劣势将会正常抵消。</t>
    </r>
    <phoneticPr fontId="68" type="noConversion"/>
  </si>
  <si>
    <t>每当你在自己回合内执行攻击动作时，可以发动两次攻击而非一次。</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</si>
  <si>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装甲仿制</t>
    </r>
    <r>
      <rPr>
        <sz val="10"/>
        <color theme="1"/>
        <rFont val="Times New Roman"/>
        <family val="3"/>
      </rPr>
      <t>Armor Replication</t>
    </r>
    <r>
      <rPr>
        <sz val="10"/>
        <color theme="1"/>
        <rFont val="宋体"/>
        <family val="3"/>
        <charset val="134"/>
      </rPr>
      <t>。你为你的仿制魔法物品特性知晓了一种额外的方案，该方案类别必须是护甲。若你替换该方案，则你必须将其替换为另一种护甲方案。</t>
    </r>
    <r>
      <rPr>
        <sz val="10"/>
        <color theme="1"/>
        <rFont val="Times New Roman"/>
        <family val="3"/>
      </rPr>
      <t xml:space="preserve">
</t>
    </r>
    <r>
      <rPr>
        <sz val="10"/>
        <color theme="1"/>
        <rFont val="宋体"/>
        <family val="3"/>
        <charset val="134"/>
      </rPr>
      <t>此外，你可以用那个特性创造一件额外的物品，且这件物品类别必须是护甲。</t>
    </r>
    <r>
      <rPr>
        <sz val="10"/>
        <color theme="1"/>
        <rFont val="Times New Roman"/>
        <family val="3"/>
      </rPr>
      <t xml:space="preserve">
</t>
    </r>
    <r>
      <rPr>
        <sz val="10"/>
        <color theme="1"/>
        <rFont val="宋体"/>
        <family val="3"/>
        <charset val="134"/>
      </rPr>
      <t>增强武库</t>
    </r>
    <r>
      <rPr>
        <sz val="10"/>
        <color theme="1"/>
        <rFont val="Times New Roman"/>
        <family val="3"/>
      </rPr>
      <t>Improved Arsenal</t>
    </r>
    <r>
      <rPr>
        <sz val="10"/>
        <color theme="1"/>
        <rFont val="宋体"/>
        <family val="3"/>
        <charset val="134"/>
      </rPr>
      <t>。</t>
    </r>
    <r>
      <rPr>
        <sz val="10"/>
        <color theme="1"/>
        <rFont val="Times New Roman"/>
        <family val="3"/>
      </rPr>
      <t xml:space="preserve"> </t>
    </r>
    <r>
      <rPr>
        <sz val="10"/>
        <color theme="1"/>
        <rFont val="宋体"/>
        <family val="3"/>
        <charset val="134"/>
      </rPr>
      <t>你使用你的奥能装甲型号的特殊武器进行的攻击检定和伤害掷骰具有</t>
    </r>
    <r>
      <rPr>
        <sz val="10"/>
        <color theme="1"/>
        <rFont val="Times New Roman"/>
        <family val="3"/>
      </rPr>
      <t>+1</t>
    </r>
    <r>
      <rPr>
        <sz val="10"/>
        <color theme="1"/>
        <rFont val="宋体"/>
        <family val="3"/>
        <charset val="134"/>
      </rPr>
      <t>加值。</t>
    </r>
    <phoneticPr fontId="68" type="noConversion"/>
  </si>
  <si>
    <t>精进装甲师</t>
    <phoneticPr fontId="68" type="noConversion"/>
  </si>
  <si>
    <r>
      <rPr>
        <sz val="10"/>
        <color theme="1"/>
        <rFont val="宋体"/>
        <family val="3"/>
        <charset val="134"/>
      </rPr>
      <t>基于奥能装甲类型，你的装甲获得了额外的增益，如下述所叙。</t>
    </r>
    <r>
      <rPr>
        <sz val="10"/>
        <color theme="1"/>
        <rFont val="Times New Roman"/>
        <family val="3"/>
      </rPr>
      <t xml:space="preserve">
</t>
    </r>
    <r>
      <rPr>
        <sz val="10"/>
        <color theme="1"/>
        <rFont val="宋体"/>
        <family val="3"/>
        <charset val="134"/>
      </rPr>
      <t>无畏者</t>
    </r>
    <r>
      <rPr>
        <sz val="10"/>
        <color theme="1"/>
        <rFont val="Times New Roman"/>
        <family val="3"/>
      </rPr>
      <t>Dreadnaught</t>
    </r>
    <r>
      <rPr>
        <sz val="10"/>
        <color theme="1"/>
        <rFont val="宋体"/>
        <family val="3"/>
        <charset val="134"/>
      </rPr>
      <t>。你的力场破坏器的伤害骰提升至</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另外，当你使用你的伟岸身姿时，你的触及提升</t>
    </r>
    <r>
      <rPr>
        <sz val="10"/>
        <color theme="1"/>
        <rFont val="Times New Roman"/>
        <family val="3"/>
      </rPr>
      <t>10</t>
    </r>
    <r>
      <rPr>
        <sz val="10"/>
        <color theme="1"/>
        <rFont val="宋体"/>
        <family val="3"/>
        <charset val="134"/>
      </rPr>
      <t>尺，你的体型可以提升至大型或巨型（由你选择），且你在持续期间获得力量检定和力量豁免的优势。</t>
    </r>
    <r>
      <rPr>
        <sz val="10"/>
        <color theme="1"/>
        <rFont val="Times New Roman"/>
        <family val="3"/>
      </rPr>
      <t xml:space="preserve">
</t>
    </r>
    <r>
      <rPr>
        <sz val="10"/>
        <color theme="1"/>
        <rFont val="宋体"/>
        <family val="3"/>
        <charset val="134"/>
      </rPr>
      <t>守护者</t>
    </r>
    <r>
      <rPr>
        <sz val="10"/>
        <color theme="1"/>
        <rFont val="Times New Roman"/>
        <family val="3"/>
      </rPr>
      <t>Guardian</t>
    </r>
    <r>
      <rPr>
        <sz val="10"/>
        <color theme="1"/>
        <rFont val="宋体"/>
        <family val="3"/>
        <charset val="134"/>
      </rPr>
      <t>。你的雷鸣脉冲的伤害骰提升至</t>
    </r>
    <r>
      <rPr>
        <sz val="10"/>
        <color theme="1"/>
        <rFont val="Times New Roman"/>
        <family val="3"/>
      </rPr>
      <t>1d10</t>
    </r>
    <r>
      <rPr>
        <sz val="10"/>
        <color theme="1"/>
        <rFont val="宋体"/>
        <family val="3"/>
        <charset val="134"/>
      </rPr>
      <t>雷鸣伤害。</t>
    </r>
    <r>
      <rPr>
        <sz val="10"/>
        <color theme="1"/>
        <rFont val="Times New Roman"/>
        <family val="3"/>
      </rPr>
      <t xml:space="preserve">
</t>
    </r>
    <r>
      <rPr>
        <sz val="10"/>
        <color theme="1"/>
        <rFont val="宋体"/>
        <family val="3"/>
        <charset val="134"/>
      </rPr>
      <t>另外，当一名不超过巨型的你可见的生物在你</t>
    </r>
    <r>
      <rPr>
        <sz val="10"/>
        <color theme="1"/>
        <rFont val="Times New Roman"/>
        <family val="3"/>
      </rPr>
      <t>30</t>
    </r>
    <r>
      <rPr>
        <sz val="10"/>
        <color theme="1"/>
        <rFont val="宋体"/>
        <family val="3"/>
        <charset val="134"/>
      </rPr>
      <t>尺内结束其回合时，你能以反应魔法性地迫使该生物进行一次对抗你法术豁免</t>
    </r>
    <r>
      <rPr>
        <sz val="10"/>
        <color theme="1"/>
        <rFont val="Times New Roman"/>
        <family val="3"/>
      </rPr>
      <t>DC</t>
    </r>
    <r>
      <rPr>
        <sz val="10"/>
        <color theme="1"/>
        <rFont val="宋体"/>
        <family val="3"/>
        <charset val="134"/>
      </rPr>
      <t>的力量豁免。豁免失败则你将该生物直线牵引至</t>
    </r>
    <r>
      <rPr>
        <sz val="10"/>
        <color theme="1"/>
        <rFont val="Times New Roman"/>
        <family val="3"/>
      </rPr>
      <t>25</t>
    </r>
    <r>
      <rPr>
        <sz val="10"/>
        <color theme="1"/>
        <rFont val="宋体"/>
        <family val="3"/>
        <charset val="134"/>
      </rPr>
      <t>尺内一处未占据空间。若你将该目标牵引至你</t>
    </r>
    <r>
      <rPr>
        <sz val="10"/>
        <color theme="1"/>
        <rFont val="Times New Roman"/>
        <family val="3"/>
      </rPr>
      <t>5</t>
    </r>
    <r>
      <rPr>
        <sz val="10"/>
        <color theme="1"/>
        <rFont val="宋体"/>
        <family val="3"/>
        <charset val="134"/>
      </rPr>
      <t>尺内的空间，作为该反应的一部分，你还可以对其发动一次近战武器攻击。</t>
    </r>
    <r>
      <rPr>
        <sz val="10"/>
        <color theme="1"/>
        <rFont val="Times New Roman"/>
        <family val="3"/>
      </rPr>
      <t xml:space="preserve">
</t>
    </r>
    <r>
      <rPr>
        <sz val="10"/>
        <color theme="1"/>
        <rFont val="宋体"/>
        <family val="3"/>
        <charset val="134"/>
      </rPr>
      <t>你可以执行该反应的次数等于你的智力调整值（至少</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渗透者</t>
    </r>
    <r>
      <rPr>
        <sz val="10"/>
        <color theme="1"/>
        <rFont val="Times New Roman"/>
        <family val="3"/>
      </rPr>
      <t>Infiltrator</t>
    </r>
    <r>
      <rPr>
        <sz val="10"/>
        <color theme="1"/>
        <rFont val="宋体"/>
        <family val="3"/>
        <charset val="134"/>
      </rPr>
      <t>。你的闪电发射器的伤害骰提升至</t>
    </r>
    <r>
      <rPr>
        <sz val="10"/>
        <color theme="1"/>
        <rFont val="Times New Roman"/>
        <family val="3"/>
      </rPr>
      <t>2d6</t>
    </r>
    <r>
      <rPr>
        <sz val="10"/>
        <color theme="1"/>
        <rFont val="宋体"/>
        <family val="3"/>
        <charset val="134"/>
      </rPr>
      <t>闪电伤害。任何因你的闪电发射器受到闪电伤害的生物微弱地发出着魔法的光芒，直至你的下个回合开始。任何发微光的生物会散发半径</t>
    </r>
    <r>
      <rPr>
        <sz val="10"/>
        <color theme="1"/>
        <rFont val="Times New Roman"/>
        <family val="3"/>
      </rPr>
      <t>5</t>
    </r>
    <r>
      <rPr>
        <sz val="10"/>
        <color theme="1"/>
        <rFont val="宋体"/>
        <family val="3"/>
        <charset val="134"/>
      </rPr>
      <t>尺的微光光照，光线会在它攻击你时造成干扰，使其对你的攻击检定具有劣势。</t>
    </r>
    <r>
      <rPr>
        <sz val="10"/>
        <color theme="1"/>
        <rFont val="Times New Roman"/>
        <family val="3"/>
      </rPr>
      <t xml:space="preserve">
</t>
    </r>
    <r>
      <rPr>
        <sz val="10"/>
        <color theme="1"/>
        <rFont val="宋体"/>
        <family val="3"/>
        <charset val="134"/>
      </rPr>
      <t>另外，你能以附赠动作获得等于你速度两倍的飞行速度，持续至当前回合结束。你可以执行该附赠动作的次数等于你的智力调整值（至少</t>
    </r>
    <r>
      <rPr>
        <sz val="10"/>
        <color theme="1"/>
        <rFont val="Times New Roman"/>
        <family val="3"/>
      </rPr>
      <t>1</t>
    </r>
    <r>
      <rPr>
        <sz val="10"/>
        <color theme="1"/>
        <rFont val="宋体"/>
        <family val="3"/>
        <charset val="134"/>
      </rPr>
      <t>次），你在完成长休时重获所有已消耗的使用次数。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</si>
  <si>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远程武器组</t>
    </r>
    <r>
      <rPr>
        <sz val="10"/>
        <color theme="1"/>
        <rFont val="Times New Roman"/>
        <family val="3"/>
      </rPr>
      <t>Ranged Weaponry</t>
    </r>
    <r>
      <rPr>
        <sz val="10"/>
        <color theme="1"/>
        <rFont val="宋体"/>
        <family val="3"/>
        <charset val="134"/>
      </rPr>
      <t>。你获得军用远程武器的熟练。</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。你获得木雕工具的熟练。如果你已经拥有此工具的熟练，则你获得另一种你选择的工匠工具的熟练。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魔杖制作</t>
    </r>
    <r>
      <rPr>
        <sz val="10"/>
        <color theme="1"/>
        <rFont val="Times New Roman"/>
        <family val="3"/>
      </rPr>
      <t>Armor Crafting</t>
    </r>
    <r>
      <rPr>
        <sz val="10"/>
        <color theme="1"/>
        <rFont val="宋体"/>
        <family val="3"/>
        <charset val="134"/>
      </rPr>
      <t>。当你制造一根魔法魔杖，制造所需花费的时间减半。</t>
    </r>
    <phoneticPr fontId="68" type="noConversion"/>
  </si>
  <si>
    <r>
      <rPr>
        <sz val="10"/>
        <color theme="1"/>
        <rFont val="宋体"/>
        <family val="3"/>
        <charset val="134"/>
      </rPr>
      <t>在达到下方魔炮师法术列表中列出特定奇械师等级时，你将始终准备着等级对应的法术。</t>
    </r>
    <r>
      <rPr>
        <sz val="10"/>
        <color theme="1"/>
        <rFont val="Times New Roman"/>
        <family val="3"/>
      </rPr>
      <t xml:space="preserve"> 
</t>
    </r>
    <r>
      <rPr>
        <sz val="10"/>
        <color theme="1"/>
        <rFont val="宋体"/>
        <family val="3"/>
        <charset val="134"/>
      </rPr>
      <t>魔炮师法术</t>
    </r>
    <r>
      <rPr>
        <sz val="10"/>
        <color theme="1"/>
        <rFont val="Times New Roman"/>
        <family val="3"/>
      </rPr>
      <t xml:space="preserve">Artillerist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5 </t>
    </r>
    <r>
      <rPr>
        <sz val="10"/>
        <color theme="1"/>
        <rFont val="宋体"/>
        <family val="3"/>
        <charset val="134"/>
      </rPr>
      <t>灼热射线</t>
    </r>
    <r>
      <rPr>
        <sz val="10"/>
        <color theme="1"/>
        <rFont val="Times New Roman"/>
        <family val="3"/>
      </rPr>
      <t>scorching ray</t>
    </r>
    <r>
      <rPr>
        <sz val="10"/>
        <color theme="1"/>
        <rFont val="宋体"/>
        <family val="3"/>
        <charset val="134"/>
      </rPr>
      <t>，粉碎音波</t>
    </r>
    <r>
      <rPr>
        <sz val="10"/>
        <color theme="1"/>
        <rFont val="Times New Roman"/>
        <family val="3"/>
      </rPr>
      <t xml:space="preserve">shatter  
9 </t>
    </r>
    <r>
      <rPr>
        <sz val="10"/>
        <color theme="1"/>
        <rFont val="宋体"/>
        <family val="3"/>
        <charset val="134"/>
      </rPr>
      <t>火球术</t>
    </r>
    <r>
      <rPr>
        <sz val="10"/>
        <color theme="1"/>
        <rFont val="Times New Roman"/>
        <family val="3"/>
      </rPr>
      <t>fireball</t>
    </r>
    <r>
      <rPr>
        <sz val="10"/>
        <color theme="1"/>
        <rFont val="宋体"/>
        <family val="3"/>
        <charset val="134"/>
      </rPr>
      <t>，风墙术</t>
    </r>
    <r>
      <rPr>
        <sz val="10"/>
        <color theme="1"/>
        <rFont val="Times New Roman"/>
        <family val="3"/>
      </rPr>
      <t xml:space="preserve">wind wall  
13 </t>
    </r>
    <r>
      <rPr>
        <sz val="10"/>
        <color theme="1"/>
        <rFont val="宋体"/>
        <family val="3"/>
        <charset val="134"/>
      </rPr>
      <t>冰风暴</t>
    </r>
    <r>
      <rPr>
        <sz val="10"/>
        <color theme="1"/>
        <rFont val="Times New Roman"/>
        <family val="3"/>
      </rPr>
      <t>ice storm</t>
    </r>
    <r>
      <rPr>
        <sz val="10"/>
        <color theme="1"/>
        <rFont val="宋体"/>
        <family val="3"/>
        <charset val="134"/>
      </rPr>
      <t>，火墙术</t>
    </r>
    <r>
      <rPr>
        <sz val="10"/>
        <color theme="1"/>
        <rFont val="Times New Roman"/>
        <family val="3"/>
      </rPr>
      <t xml:space="preserve">wall of fire  
17 </t>
    </r>
    <r>
      <rPr>
        <sz val="10"/>
        <color theme="1"/>
        <rFont val="宋体"/>
        <family val="3"/>
        <charset val="134"/>
      </rPr>
      <t>寒冰锥</t>
    </r>
    <r>
      <rPr>
        <sz val="10"/>
        <color theme="1"/>
        <rFont val="Times New Roman"/>
        <family val="3"/>
      </rPr>
      <t>cone of cold</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</si>
  <si>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t>
    </r>
    <r>
      <rPr>
        <sz val="10"/>
        <color theme="1"/>
        <rFont val="Times New Roman"/>
        <family val="3"/>
      </rPr>
      <t xml:space="preserve">
</t>
    </r>
    <r>
      <rPr>
        <sz val="10"/>
        <color theme="1"/>
        <rFont val="宋体"/>
        <family val="3"/>
        <charset val="134"/>
      </rPr>
      <t>你可以将你的奥法火器作为你施展奇械师法术的施法法器。当你用这把枪械施展奇械师法术时，投掷</t>
    </r>
    <r>
      <rPr>
        <sz val="10"/>
        <color theme="1"/>
        <rFont val="Times New Roman"/>
        <family val="3"/>
      </rPr>
      <t>1d8</t>
    </r>
    <r>
      <rPr>
        <sz val="10"/>
        <color theme="1"/>
        <rFont val="宋体"/>
        <family val="3"/>
        <charset val="134"/>
      </rPr>
      <t>，你在该法术的其中一次伤害掷骰中加入等于骰值的加值。</t>
    </r>
    <phoneticPr fontId="68" type="noConversion"/>
  </si>
  <si>
    <r>
      <rPr>
        <sz val="10"/>
        <color theme="1"/>
        <rFont val="宋体"/>
        <family val="3"/>
        <charset val="134"/>
      </rPr>
      <t>你制造的每一门奥法炮台都将拥有更大的破坏力。你获得以下的好处：</t>
    </r>
    <r>
      <rPr>
        <sz val="10"/>
        <color theme="1"/>
        <rFont val="Times New Roman"/>
        <family val="3"/>
      </rPr>
      <t xml:space="preserve">
</t>
    </r>
    <r>
      <rPr>
        <sz val="10"/>
        <color theme="1"/>
        <rFont val="宋体"/>
        <family val="3"/>
        <charset val="134"/>
      </rPr>
      <t>引爆</t>
    </r>
    <r>
      <rPr>
        <sz val="10"/>
        <color theme="1"/>
        <rFont val="Times New Roman"/>
        <family val="3"/>
      </rPr>
      <t>Detonate</t>
    </r>
    <r>
      <rPr>
        <sz val="10"/>
        <color theme="1"/>
        <rFont val="宋体"/>
        <family val="3"/>
        <charset val="134"/>
      </rPr>
      <t>。当你的炮台受到伤害时，若你在其</t>
    </r>
    <r>
      <rPr>
        <sz val="10"/>
        <color theme="1"/>
        <rFont val="Times New Roman"/>
        <family val="3"/>
      </rPr>
      <t>60</t>
    </r>
    <r>
      <rPr>
        <sz val="10"/>
        <color theme="1"/>
        <rFont val="宋体"/>
        <family val="3"/>
        <charset val="134"/>
      </rPr>
      <t>尺内，你能以反应命令引爆炮台。这么做会摧毁炮台，并迫使其</t>
    </r>
    <r>
      <rPr>
        <sz val="10"/>
        <color theme="1"/>
        <rFont val="Times New Roman"/>
        <family val="3"/>
      </rPr>
      <t>20</t>
    </r>
    <r>
      <rPr>
        <sz val="10"/>
        <color theme="1"/>
        <rFont val="宋体"/>
        <family val="3"/>
        <charset val="134"/>
      </rPr>
      <t>尺内的每名生物进行一次对抗你法术豁免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3d10</t>
    </r>
    <r>
      <rPr>
        <sz val="10"/>
        <color theme="1"/>
        <rFont val="宋体"/>
        <family val="3"/>
        <charset val="134"/>
      </rPr>
      <t>力场伤害，成功受半伤。</t>
    </r>
    <r>
      <rPr>
        <sz val="10"/>
        <color theme="1"/>
        <rFont val="Times New Roman"/>
        <family val="3"/>
      </rPr>
      <t xml:space="preserve">
</t>
    </r>
    <r>
      <rPr>
        <sz val="10"/>
        <color theme="1"/>
        <rFont val="宋体"/>
        <family val="3"/>
        <charset val="134"/>
      </rPr>
      <t>火力</t>
    </r>
    <r>
      <rPr>
        <sz val="10"/>
        <color theme="1"/>
        <rFont val="Times New Roman"/>
        <family val="3"/>
      </rPr>
      <t>Firepower</t>
    </r>
    <r>
      <rPr>
        <sz val="10"/>
        <color theme="1"/>
        <rFont val="宋体"/>
        <family val="3"/>
        <charset val="134"/>
      </rPr>
      <t>。炮台的伤害掷骰或防御者提供的临时生命值增加</t>
    </r>
    <r>
      <rPr>
        <sz val="10"/>
        <color theme="1"/>
        <rFont val="Times New Roman"/>
        <family val="3"/>
      </rPr>
      <t>1d8</t>
    </r>
    <r>
      <rPr>
        <sz val="10"/>
        <color theme="1"/>
        <rFont val="宋体"/>
        <family val="3"/>
        <charset val="134"/>
      </rPr>
      <t>。</t>
    </r>
    <phoneticPr fontId="68" type="noConversion"/>
  </si>
  <si>
    <r>
      <rPr>
        <sz val="10"/>
        <color theme="1"/>
        <rFont val="宋体"/>
        <family val="3"/>
        <charset val="134"/>
      </rPr>
      <t>你成为了用魔能炮台构筑阵地的大师。你获得以下增益：</t>
    </r>
    <r>
      <rPr>
        <sz val="10"/>
        <color theme="1"/>
        <rFont val="Times New Roman"/>
        <family val="3"/>
      </rPr>
      <t xml:space="preserve">
</t>
    </r>
    <r>
      <rPr>
        <sz val="10"/>
        <color theme="1"/>
        <rFont val="宋体"/>
        <family val="3"/>
        <charset val="134"/>
      </rPr>
      <t>双倍火力</t>
    </r>
    <r>
      <rPr>
        <sz val="10"/>
        <color theme="1"/>
        <rFont val="Times New Roman"/>
        <family val="3"/>
      </rPr>
      <t>Double Firepower</t>
    </r>
    <r>
      <rPr>
        <sz val="10"/>
        <color theme="1"/>
        <rFont val="宋体"/>
        <family val="3"/>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t>
    </r>
    <r>
      <rPr>
        <sz val="10"/>
        <color theme="1"/>
        <rFont val="Times New Roman"/>
        <family val="3"/>
      </rPr>
      <t xml:space="preserve">
</t>
    </r>
    <r>
      <rPr>
        <sz val="10"/>
        <color theme="1"/>
        <rFont val="宋体"/>
        <family val="3"/>
        <charset val="134"/>
      </rPr>
      <t>闪烁场投影</t>
    </r>
    <r>
      <rPr>
        <sz val="10"/>
        <color theme="1"/>
        <rFont val="Times New Roman"/>
        <family val="3"/>
      </rPr>
      <t>Shimmering Field Projection</t>
    </r>
    <r>
      <rPr>
        <sz val="10"/>
        <color theme="1"/>
        <rFont val="宋体"/>
        <family val="3"/>
        <charset val="134"/>
      </rPr>
      <t>。若你和你的盟友身处你的奥法炮台</t>
    </r>
    <r>
      <rPr>
        <sz val="10"/>
        <color theme="1"/>
        <rFont val="Times New Roman"/>
        <family val="3"/>
      </rPr>
      <t>10</t>
    </r>
    <r>
      <rPr>
        <sz val="10"/>
        <color theme="1"/>
        <rFont val="宋体"/>
        <family val="3"/>
        <charset val="134"/>
      </rPr>
      <t>尺内，你们具有半身掩护。</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</si>
  <si>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。你获得铁匠工具的熟练。如果你已经拥有此熟练，则你获得另一种你选择的工匠工具的熟练。</t>
    </r>
    <r>
      <rPr>
        <sz val="10"/>
        <color theme="1"/>
        <rFont val="Times New Roman"/>
        <family val="3"/>
      </rPr>
      <t xml:space="preserve">
</t>
    </r>
    <r>
      <rPr>
        <sz val="10"/>
        <color theme="1"/>
        <rFont val="宋体"/>
        <family val="3"/>
        <charset val="134"/>
      </rPr>
      <t>武器制造</t>
    </r>
    <r>
      <rPr>
        <sz val="10"/>
        <color theme="1"/>
        <rFont val="Times New Roman"/>
        <family val="3"/>
      </rPr>
      <t>Weapon Crafting</t>
    </r>
    <r>
      <rPr>
        <sz val="10"/>
        <color theme="1"/>
        <rFont val="宋体"/>
        <family val="3"/>
        <charset val="134"/>
      </rPr>
      <t>。当你制造一把非魔法或魔法武器时，制造所需花费的时间减半。</t>
    </r>
    <phoneticPr fontId="68" type="noConversion"/>
  </si>
  <si>
    <r>
      <rPr>
        <sz val="10"/>
        <color theme="1"/>
        <rFont val="宋体"/>
        <family val="3"/>
        <charset val="134"/>
      </rPr>
      <t>在达到下方战地匠师法术列表中列出特定奇械师等级时，你将始终准备着等级对应的法术。</t>
    </r>
    <r>
      <rPr>
        <sz val="10"/>
        <color theme="1"/>
        <rFont val="Times New Roman"/>
        <family val="3"/>
      </rPr>
      <t xml:space="preserve"> 
</t>
    </r>
    <r>
      <rPr>
        <sz val="10"/>
        <color theme="1"/>
        <rFont val="宋体"/>
        <family val="3"/>
        <charset val="134"/>
      </rPr>
      <t>战地匠师法术</t>
    </r>
    <r>
      <rPr>
        <sz val="10"/>
        <color theme="1"/>
        <rFont val="Times New Roman"/>
        <family val="3"/>
      </rPr>
      <t xml:space="preserve">Battle Smith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英雄气概</t>
    </r>
    <r>
      <rPr>
        <sz val="10"/>
        <color theme="1"/>
        <rFont val="Times New Roman"/>
        <family val="3"/>
      </rPr>
      <t>heroism</t>
    </r>
    <r>
      <rPr>
        <sz val="10"/>
        <color theme="1"/>
        <rFont val="宋体"/>
        <family val="3"/>
        <charset val="134"/>
      </rPr>
      <t>，护盾术</t>
    </r>
    <r>
      <rPr>
        <sz val="10"/>
        <color theme="1"/>
        <rFont val="Times New Roman"/>
        <family val="3"/>
      </rPr>
      <t xml:space="preserve">shield  
5 </t>
    </r>
    <r>
      <rPr>
        <sz val="10"/>
        <color theme="1"/>
        <rFont val="宋体"/>
        <family val="3"/>
        <charset val="134"/>
      </rPr>
      <t>闪耀斩</t>
    </r>
    <r>
      <rPr>
        <sz val="10"/>
        <color theme="1"/>
        <rFont val="Times New Roman"/>
        <family val="3"/>
      </rPr>
      <t>Shining smite</t>
    </r>
    <r>
      <rPr>
        <sz val="10"/>
        <color theme="1"/>
        <rFont val="宋体"/>
        <family val="3"/>
        <charset val="134"/>
      </rPr>
      <t>，守护之链</t>
    </r>
    <r>
      <rPr>
        <sz val="10"/>
        <color theme="1"/>
        <rFont val="Times New Roman"/>
        <family val="3"/>
      </rPr>
      <t xml:space="preserve">warding bond  
9 </t>
    </r>
    <r>
      <rPr>
        <sz val="10"/>
        <color theme="1"/>
        <rFont val="宋体"/>
        <family val="3"/>
        <charset val="134"/>
      </rPr>
      <t>活力灵光</t>
    </r>
    <r>
      <rPr>
        <sz val="10"/>
        <color theme="1"/>
        <rFont val="Times New Roman"/>
        <family val="3"/>
      </rPr>
      <t>aura of vitality</t>
    </r>
    <r>
      <rPr>
        <sz val="10"/>
        <color theme="1"/>
        <rFont val="宋体"/>
        <family val="3"/>
        <charset val="134"/>
      </rPr>
      <t>，箭如雨下</t>
    </r>
    <r>
      <rPr>
        <sz val="10"/>
        <color theme="1"/>
        <rFont val="Times New Roman"/>
        <family val="3"/>
      </rPr>
      <t xml:space="preserve">conjure barrage  
13 </t>
    </r>
    <r>
      <rPr>
        <sz val="10"/>
        <color theme="1"/>
        <rFont val="宋体"/>
        <family val="3"/>
        <charset val="134"/>
      </rPr>
      <t>净化灵光</t>
    </r>
    <r>
      <rPr>
        <sz val="10"/>
        <color theme="1"/>
        <rFont val="Times New Roman"/>
        <family val="3"/>
      </rPr>
      <t>aura of purity</t>
    </r>
    <r>
      <rPr>
        <sz val="10"/>
        <color theme="1"/>
        <rFont val="宋体"/>
        <family val="3"/>
        <charset val="134"/>
      </rPr>
      <t>，火焰护盾</t>
    </r>
    <r>
      <rPr>
        <sz val="10"/>
        <color theme="1"/>
        <rFont val="Times New Roman"/>
        <family val="3"/>
      </rPr>
      <t xml:space="preserve">fire shield  
17 </t>
    </r>
    <r>
      <rPr>
        <sz val="10"/>
        <color theme="1"/>
        <rFont val="宋体"/>
        <family val="3"/>
        <charset val="134"/>
      </rPr>
      <t>放逐斩</t>
    </r>
    <r>
      <rPr>
        <sz val="10"/>
        <color theme="1"/>
        <rFont val="Times New Roman"/>
        <family val="3"/>
      </rPr>
      <t>banishing smite</t>
    </r>
    <r>
      <rPr>
        <sz val="10"/>
        <color theme="1"/>
        <rFont val="宋体"/>
        <family val="3"/>
        <charset val="134"/>
      </rPr>
      <t>，群体疗伤术</t>
    </r>
    <r>
      <rPr>
        <sz val="10"/>
        <color theme="1"/>
        <rFont val="Times New Roman"/>
        <family val="3"/>
      </rPr>
      <t xml:space="preserve">mass cure wounds  </t>
    </r>
    <phoneticPr fontId="68" type="noConversion"/>
  </si>
  <si>
    <r>
      <rPr>
        <sz val="10"/>
        <color theme="1"/>
        <rFont val="宋体"/>
        <family val="3"/>
        <charset val="134"/>
      </rPr>
      <t>你的战斗训练和魔法实验为你带来了两种好处：</t>
    </r>
    <r>
      <rPr>
        <sz val="10"/>
        <color theme="1"/>
        <rFont val="Times New Roman"/>
        <family val="3"/>
      </rPr>
      <t xml:space="preserve">
</t>
    </r>
    <r>
      <rPr>
        <sz val="10"/>
        <color theme="1"/>
        <rFont val="宋体"/>
        <family val="3"/>
        <charset val="134"/>
      </rPr>
      <t>奥法增强</t>
    </r>
    <r>
      <rPr>
        <sz val="10"/>
        <color theme="1"/>
        <rFont val="Times New Roman"/>
        <family val="3"/>
      </rPr>
      <t>Arcane Empowerment</t>
    </r>
    <r>
      <rPr>
        <sz val="10"/>
        <color theme="1"/>
        <rFont val="宋体"/>
        <family val="3"/>
        <charset val="134"/>
      </rPr>
      <t>。当你以魔法武器攻击时，你可以在攻击检定与伤害掷骰中使用智力调整值，以代替力量或敏捷。</t>
    </r>
    <r>
      <rPr>
        <sz val="10"/>
        <color theme="1"/>
        <rFont val="Times New Roman"/>
        <family val="3"/>
      </rPr>
      <t xml:space="preserve">
</t>
    </r>
    <r>
      <rPr>
        <sz val="10"/>
        <color theme="1"/>
        <rFont val="宋体"/>
        <family val="3"/>
        <charset val="134"/>
      </rPr>
      <t>武器学识</t>
    </r>
    <r>
      <rPr>
        <sz val="10"/>
        <color theme="1"/>
        <rFont val="Times New Roman"/>
        <family val="3"/>
      </rPr>
      <t>Weapon Knowledge</t>
    </r>
    <r>
      <rPr>
        <sz val="10"/>
        <color theme="1"/>
        <rFont val="宋体"/>
        <family val="3"/>
        <charset val="134"/>
      </rPr>
      <t>。你获得军用武器的熟练。你可以将你具有熟练的武器作为你施展奇械师法术的施法法器。</t>
    </r>
    <phoneticPr fontId="68" type="noConversion"/>
  </si>
  <si>
    <r>
      <rPr>
        <sz val="10"/>
        <color theme="1"/>
        <rFont val="宋体"/>
        <family val="3"/>
        <charset val="134"/>
      </rPr>
      <t>你的工匠技艺为你诞生出了一名同伴，一个钢铁守卫</t>
    </r>
    <r>
      <rPr>
        <sz val="10"/>
        <color theme="1"/>
        <rFont val="Times New Roman"/>
        <family val="3"/>
      </rPr>
      <t>Steel Defender</t>
    </r>
    <r>
      <rPr>
        <sz val="10"/>
        <color theme="1"/>
        <rFont val="宋体"/>
        <family val="3"/>
        <charset val="134"/>
      </rPr>
      <t>（见数据卡）。你决定守卫的外观以及其是两足还是四足；你的决定对它的游戏数据没有影响。</t>
    </r>
    <r>
      <rPr>
        <sz val="10"/>
        <color theme="1"/>
        <rFont val="Times New Roman"/>
        <family val="3"/>
      </rPr>
      <t xml:space="preserve">
</t>
    </r>
    <r>
      <rPr>
        <sz val="10"/>
        <color theme="1"/>
        <rFont val="宋体"/>
        <family val="3"/>
        <charset val="134"/>
      </rPr>
      <t>钢铁守卫对你和你的盟友友好，并服从你的命令。它会在你死去时消失。</t>
    </r>
    <r>
      <rPr>
        <sz val="10"/>
        <color theme="1"/>
        <rFont val="Times New Roman"/>
        <family val="3"/>
      </rPr>
      <t xml:space="preserve">
</t>
    </r>
    <r>
      <rPr>
        <sz val="10"/>
        <color theme="1"/>
        <rFont val="宋体"/>
        <family val="3"/>
        <charset val="134"/>
      </rPr>
      <t>战斗中的守卫</t>
    </r>
    <r>
      <rPr>
        <sz val="10"/>
        <color theme="1"/>
        <rFont val="Times New Roman"/>
        <family val="3"/>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t>
    </r>
    <r>
      <rPr>
        <sz val="10"/>
        <color theme="1"/>
        <rFont val="Times New Roman"/>
        <family val="3"/>
      </rPr>
      <t xml:space="preserve">
</t>
    </r>
    <r>
      <rPr>
        <sz val="10"/>
        <color theme="1"/>
        <rFont val="宋体"/>
        <family val="3"/>
        <charset val="134"/>
      </rPr>
      <t>恢复与替换守卫</t>
    </r>
    <r>
      <rPr>
        <sz val="10"/>
        <color theme="1"/>
        <rFont val="Times New Roman"/>
        <family val="3"/>
      </rPr>
      <t>Restoring or Replacing the Defender</t>
    </r>
    <r>
      <rPr>
        <sz val="10"/>
        <color theme="1"/>
        <rFont val="宋体"/>
        <family val="3"/>
        <charset val="134"/>
      </rPr>
      <t>。如果守卫在最近</t>
    </r>
    <r>
      <rPr>
        <sz val="10"/>
        <color theme="1"/>
        <rFont val="Times New Roman"/>
        <family val="3"/>
      </rPr>
      <t>1</t>
    </r>
    <r>
      <rPr>
        <sz val="10"/>
        <color theme="1"/>
        <rFont val="宋体"/>
        <family val="3"/>
        <charset val="134"/>
      </rPr>
      <t>小时内死亡，你能以魔法动作触碰它，并消耗一个法术位。守卫会在</t>
    </r>
    <r>
      <rPr>
        <sz val="10"/>
        <color theme="1"/>
        <rFont val="Times New Roman"/>
        <family val="3"/>
      </rPr>
      <t>1</t>
    </r>
    <r>
      <rPr>
        <sz val="10"/>
        <color theme="1"/>
        <rFont val="宋体"/>
        <family val="3"/>
        <charset val="134"/>
      </rPr>
      <t>分钟后复活，复活时恢复所有生命值。</t>
    </r>
    <r>
      <rPr>
        <sz val="10"/>
        <color theme="1"/>
        <rFont val="Times New Roman"/>
        <family val="3"/>
      </rPr>
      <t xml:space="preserve">
</t>
    </r>
    <r>
      <rPr>
        <sz val="10"/>
        <color theme="1"/>
        <rFont val="宋体"/>
        <family val="3"/>
        <charset val="134"/>
      </rPr>
      <t>每当你完成长休时，若你持握着铁匠工具，你可以创造一个新的钢铁守卫。如果你已经以此特性拥有一台守卫，最早的那一个会消失。</t>
    </r>
    <r>
      <rPr>
        <sz val="10"/>
        <color theme="1"/>
        <rFont val="Times New Roman"/>
        <family val="3"/>
      </rPr>
      <t xml:space="preserve">
</t>
    </r>
    <r>
      <rPr>
        <sz val="10"/>
        <color theme="1"/>
        <rFont val="宋体"/>
        <family val="3"/>
        <charset val="134"/>
      </rPr>
      <t>钢铁守卫</t>
    </r>
    <r>
      <rPr>
        <sz val="10"/>
        <color theme="1"/>
        <rFont val="Times New Roman"/>
        <family val="3"/>
      </rPr>
      <t xml:space="preserve">Steel Defender
</t>
    </r>
    <r>
      <rPr>
        <sz val="10"/>
        <color theme="1"/>
        <rFont val="宋体"/>
        <family val="3"/>
        <charset val="134"/>
      </rPr>
      <t>中型构装</t>
    </r>
    <r>
      <rPr>
        <sz val="10"/>
        <color theme="1"/>
        <rFont val="Times New Roman"/>
        <family val="3"/>
      </rPr>
      <t xml:space="preserve">
AC 15 </t>
    </r>
    <r>
      <rPr>
        <sz val="10"/>
        <color theme="1"/>
        <rFont val="宋体"/>
        <family val="3"/>
        <charset val="134"/>
      </rPr>
      <t>先攻</t>
    </r>
    <r>
      <rPr>
        <sz val="10"/>
        <color theme="1"/>
        <rFont val="Times New Roman"/>
        <family val="3"/>
      </rPr>
      <t xml:space="preserve"> +1</t>
    </r>
    <r>
      <rPr>
        <sz val="10"/>
        <color theme="1"/>
        <rFont val="宋体"/>
        <family val="3"/>
        <charset val="134"/>
      </rPr>
      <t>（</t>
    </r>
    <r>
      <rPr>
        <sz val="10"/>
        <color theme="1"/>
        <rFont val="Times New Roman"/>
        <family val="3"/>
      </rPr>
      <t>11</t>
    </r>
    <r>
      <rPr>
        <sz val="10"/>
        <color theme="1"/>
        <rFont val="宋体"/>
        <family val="3"/>
        <charset val="134"/>
      </rPr>
      <t>）</t>
    </r>
    <r>
      <rPr>
        <sz val="10"/>
        <color theme="1"/>
        <rFont val="Times New Roman"/>
        <family val="3"/>
      </rPr>
      <t xml:space="preserve"> 
HP 5+</t>
    </r>
    <r>
      <rPr>
        <sz val="10"/>
        <color theme="1"/>
        <rFont val="宋体"/>
        <family val="3"/>
        <charset val="134"/>
      </rPr>
      <t>五倍你奇械师等级（守卫具有等于你奇械师等级的生命骰</t>
    </r>
    <r>
      <rPr>
        <sz val="10"/>
        <color theme="1"/>
        <rFont val="Times New Roman"/>
        <family val="3"/>
      </rPr>
      <t>[d8]</t>
    </r>
    <r>
      <rPr>
        <sz val="10"/>
        <color theme="1"/>
        <rFont val="宋体"/>
        <family val="3"/>
        <charset val="134"/>
      </rPr>
      <t>）</t>
    </r>
    <r>
      <rPr>
        <sz val="10"/>
        <color theme="1"/>
        <rFont val="Times New Roman"/>
        <family val="3"/>
      </rPr>
      <t xml:space="preserve"> 
</t>
    </r>
    <r>
      <rPr>
        <sz val="10"/>
        <color theme="1"/>
        <rFont val="宋体"/>
        <family val="3"/>
        <charset val="134"/>
      </rPr>
      <t>速度</t>
    </r>
    <r>
      <rPr>
        <sz val="10"/>
        <color theme="1"/>
        <rFont val="Times New Roman"/>
        <family val="3"/>
      </rPr>
      <t xml:space="preserve"> 40</t>
    </r>
    <r>
      <rPr>
        <sz val="10"/>
        <color theme="1"/>
        <rFont val="宋体"/>
        <family val="3"/>
        <charset val="134"/>
      </rPr>
      <t>尺</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力量</t>
    </r>
    <r>
      <rPr>
        <sz val="10"/>
        <color theme="1"/>
        <rFont val="Times New Roman"/>
        <family val="3"/>
      </rPr>
      <t xml:space="preserve"> 14 +2 +2  </t>
    </r>
    <r>
      <rPr>
        <sz val="10"/>
        <color theme="1"/>
        <rFont val="宋体"/>
        <family val="3"/>
        <charset val="134"/>
      </rPr>
      <t>敏捷</t>
    </r>
    <r>
      <rPr>
        <sz val="10"/>
        <color theme="1"/>
        <rFont val="Times New Roman"/>
        <family val="3"/>
      </rPr>
      <t xml:space="preserve"> 12 +1 +1  </t>
    </r>
    <r>
      <rPr>
        <sz val="10"/>
        <color theme="1"/>
        <rFont val="宋体"/>
        <family val="3"/>
        <charset val="134"/>
      </rPr>
      <t>体质</t>
    </r>
    <r>
      <rPr>
        <sz val="10"/>
        <color theme="1"/>
        <rFont val="Times New Roman"/>
        <family val="3"/>
      </rPr>
      <t xml:space="preserve"> 14  +2  +2 
</t>
    </r>
    <r>
      <rPr>
        <sz val="10"/>
        <color theme="1"/>
        <rFont val="宋体"/>
        <family val="3"/>
        <charset val="134"/>
      </rPr>
      <t>智力</t>
    </r>
    <r>
      <rPr>
        <sz val="10"/>
        <color theme="1"/>
        <rFont val="Times New Roman"/>
        <family val="3"/>
      </rPr>
      <t xml:space="preserve"> 4 -3 -3  </t>
    </r>
    <r>
      <rPr>
        <sz val="10"/>
        <color theme="1"/>
        <rFont val="宋体"/>
        <family val="3"/>
        <charset val="134"/>
      </rPr>
      <t>感知</t>
    </r>
    <r>
      <rPr>
        <sz val="10"/>
        <color theme="1"/>
        <rFont val="Times New Roman"/>
        <family val="3"/>
      </rPr>
      <t xml:space="preserve"> 10 +0 +0  </t>
    </r>
    <r>
      <rPr>
        <sz val="10"/>
        <color theme="1"/>
        <rFont val="宋体"/>
        <family val="3"/>
        <charset val="134"/>
      </rPr>
      <t>魅力</t>
    </r>
    <r>
      <rPr>
        <sz val="10"/>
        <color theme="1"/>
        <rFont val="Times New Roman"/>
        <family val="3"/>
      </rPr>
      <t xml:space="preserve"> 6  -2  -2 
</t>
    </r>
    <r>
      <rPr>
        <sz val="10"/>
        <color theme="1"/>
        <rFont val="宋体"/>
        <family val="3"/>
        <charset val="134"/>
      </rPr>
      <t>免疫</t>
    </r>
    <r>
      <rPr>
        <sz val="10"/>
        <color theme="1"/>
        <rFont val="Times New Roman"/>
        <family val="3"/>
      </rPr>
      <t xml:space="preserve"> </t>
    </r>
    <r>
      <rPr>
        <sz val="10"/>
        <color theme="1"/>
        <rFont val="宋体"/>
        <family val="3"/>
        <charset val="134"/>
      </rPr>
      <t>毒素；魅惑，力竭，中毒</t>
    </r>
    <r>
      <rPr>
        <sz val="10"/>
        <color theme="1"/>
        <rFont val="Times New Roman"/>
        <family val="3"/>
      </rPr>
      <t xml:space="preserve"> 
</t>
    </r>
    <r>
      <rPr>
        <sz val="10"/>
        <color theme="1"/>
        <rFont val="宋体"/>
        <family val="3"/>
        <charset val="134"/>
      </rPr>
      <t>感官</t>
    </r>
    <r>
      <rPr>
        <sz val="10"/>
        <color theme="1"/>
        <rFont val="Times New Roman"/>
        <family val="3"/>
      </rPr>
      <t xml:space="preserve"> </t>
    </r>
    <r>
      <rPr>
        <sz val="10"/>
        <color theme="1"/>
        <rFont val="宋体"/>
        <family val="3"/>
        <charset val="134"/>
      </rPr>
      <t>黑暗视觉</t>
    </r>
    <r>
      <rPr>
        <sz val="10"/>
        <color theme="1"/>
        <rFont val="Times New Roman"/>
        <family val="3"/>
      </rPr>
      <t>60</t>
    </r>
    <r>
      <rPr>
        <sz val="10"/>
        <color theme="1"/>
        <rFont val="宋体"/>
        <family val="3"/>
        <charset val="134"/>
      </rPr>
      <t>尺，被动察觉</t>
    </r>
    <r>
      <rPr>
        <sz val="10"/>
        <color theme="1"/>
        <rFont val="Times New Roman"/>
        <family val="3"/>
      </rPr>
      <t xml:space="preserve">10 
</t>
    </r>
    <r>
      <rPr>
        <sz val="10"/>
        <color theme="1"/>
        <rFont val="宋体"/>
        <family val="3"/>
        <charset val="134"/>
      </rPr>
      <t>语言</t>
    </r>
    <r>
      <rPr>
        <sz val="10"/>
        <color theme="1"/>
        <rFont val="Times New Roman"/>
        <family val="3"/>
      </rPr>
      <t xml:space="preserve"> </t>
    </r>
    <r>
      <rPr>
        <sz val="10"/>
        <color theme="1"/>
        <rFont val="宋体"/>
        <family val="3"/>
        <charset val="134"/>
      </rPr>
      <t>理解你说的语言</t>
    </r>
    <r>
      <rPr>
        <sz val="10"/>
        <color theme="1"/>
        <rFont val="Times New Roman"/>
        <family val="3"/>
      </rPr>
      <t xml:space="preserve"> 
CR </t>
    </r>
    <r>
      <rPr>
        <sz val="10"/>
        <color theme="1"/>
        <rFont val="宋体"/>
        <family val="3"/>
        <charset val="134"/>
      </rPr>
      <t>无（</t>
    </r>
    <r>
      <rPr>
        <sz val="10"/>
        <color theme="1"/>
        <rFont val="Times New Roman"/>
        <family val="3"/>
      </rPr>
      <t>XP0</t>
    </r>
    <r>
      <rPr>
        <sz val="10"/>
        <color theme="1"/>
        <rFont val="宋体"/>
        <family val="3"/>
        <charset val="134"/>
      </rPr>
      <t>；</t>
    </r>
    <r>
      <rPr>
        <sz val="10"/>
        <color theme="1"/>
        <rFont val="Times New Roman"/>
        <family val="3"/>
      </rPr>
      <t>PB</t>
    </r>
    <r>
      <rPr>
        <sz val="10"/>
        <color theme="1"/>
        <rFont val="宋体"/>
        <family val="3"/>
        <charset val="134"/>
      </rPr>
      <t>等于你的熟练加值）</t>
    </r>
    <r>
      <rPr>
        <sz val="10"/>
        <color theme="1"/>
        <rFont val="Times New Roman"/>
        <family val="3"/>
      </rPr>
      <t xml:space="preserve"> 
</t>
    </r>
    <r>
      <rPr>
        <sz val="10"/>
        <color theme="1"/>
        <rFont val="宋体"/>
        <family val="3"/>
        <charset val="134"/>
      </rPr>
      <t>特质</t>
    </r>
    <r>
      <rPr>
        <sz val="10"/>
        <color theme="1"/>
        <rFont val="Times New Roman"/>
        <family val="3"/>
      </rPr>
      <t xml:space="preserve">Traits
</t>
    </r>
    <r>
      <rPr>
        <sz val="10"/>
        <color theme="1"/>
        <rFont val="宋体"/>
        <family val="3"/>
        <charset val="134"/>
      </rPr>
      <t>钢铁连结</t>
    </r>
    <r>
      <rPr>
        <sz val="10"/>
        <color theme="1"/>
        <rFont val="Times New Roman"/>
        <family val="3"/>
      </rPr>
      <t>Steel Bond</t>
    </r>
    <r>
      <rPr>
        <sz val="10"/>
        <color theme="1"/>
        <rFont val="宋体"/>
        <family val="3"/>
        <charset val="134"/>
      </rPr>
      <t>。将你的熟练加值加入守卫进行的任何属性检定与豁免检定。</t>
    </r>
    <r>
      <rPr>
        <sz val="10"/>
        <color theme="1"/>
        <rFont val="Times New Roman"/>
        <family val="3"/>
      </rPr>
      <t xml:space="preserve"> 
</t>
    </r>
    <r>
      <rPr>
        <sz val="10"/>
        <color theme="1"/>
        <rFont val="宋体"/>
        <family val="3"/>
        <charset val="134"/>
      </rPr>
      <t>动作</t>
    </r>
    <r>
      <rPr>
        <sz val="10"/>
        <color theme="1"/>
        <rFont val="Times New Roman"/>
        <family val="3"/>
      </rPr>
      <t xml:space="preserve">Actions
</t>
    </r>
    <r>
      <rPr>
        <sz val="10"/>
        <color theme="1"/>
        <rFont val="宋体"/>
        <family val="3"/>
        <charset val="134"/>
      </rPr>
      <t>力场动能撕扯</t>
    </r>
    <r>
      <rPr>
        <sz val="10"/>
        <color theme="1"/>
        <rFont val="Times New Roman"/>
        <family val="3"/>
      </rPr>
      <t>Force-Empowered Rend</t>
    </r>
    <r>
      <rPr>
        <sz val="10"/>
        <color theme="1"/>
        <rFont val="宋体"/>
        <family val="3"/>
        <charset val="134"/>
      </rPr>
      <t>。</t>
    </r>
    <r>
      <rPr>
        <sz val="10"/>
        <color theme="1"/>
        <rFont val="Times New Roman"/>
        <family val="3"/>
      </rPr>
      <t xml:space="preserve"> </t>
    </r>
    <r>
      <rPr>
        <sz val="10"/>
        <color theme="1"/>
        <rFont val="宋体"/>
        <family val="3"/>
        <charset val="134"/>
      </rPr>
      <t>近战攻击：加值等于你的法术攻击加值，触及</t>
    </r>
    <r>
      <rPr>
        <sz val="10"/>
        <color theme="1"/>
        <rFont val="Times New Roman"/>
        <family val="3"/>
      </rPr>
      <t>5</t>
    </r>
    <r>
      <rPr>
        <sz val="10"/>
        <color theme="1"/>
        <rFont val="宋体"/>
        <family val="3"/>
        <charset val="134"/>
      </rPr>
      <t>尺。命中：</t>
    </r>
    <r>
      <rPr>
        <sz val="10"/>
        <color theme="1"/>
        <rFont val="Times New Roman"/>
        <family val="3"/>
      </rPr>
      <t>1d8+2</t>
    </r>
    <r>
      <rPr>
        <sz val="10"/>
        <color theme="1"/>
        <rFont val="宋体"/>
        <family val="3"/>
        <charset val="134"/>
      </rPr>
      <t>加你的智力调整值的力场伤害。</t>
    </r>
    <r>
      <rPr>
        <sz val="10"/>
        <color theme="1"/>
        <rFont val="Times New Roman"/>
        <family val="3"/>
      </rPr>
      <t xml:space="preserve">
</t>
    </r>
    <r>
      <rPr>
        <sz val="10"/>
        <color theme="1"/>
        <rFont val="宋体"/>
        <family val="3"/>
        <charset val="134"/>
      </rPr>
      <t>修理</t>
    </r>
    <r>
      <rPr>
        <sz val="10"/>
        <color theme="1"/>
        <rFont val="Times New Roman"/>
        <family val="3"/>
      </rPr>
      <t>Repair</t>
    </r>
    <r>
      <rPr>
        <sz val="10"/>
        <color theme="1"/>
        <rFont val="宋体"/>
        <family val="3"/>
        <charset val="134"/>
      </rPr>
      <t>（</t>
    </r>
    <r>
      <rPr>
        <sz val="10"/>
        <color theme="1"/>
        <rFont val="Times New Roman"/>
        <family val="3"/>
      </rPr>
      <t>3/</t>
    </r>
    <r>
      <rPr>
        <sz val="10"/>
        <color theme="1"/>
        <rFont val="宋体"/>
        <family val="3"/>
        <charset val="134"/>
      </rPr>
      <t>天）。守卫或</t>
    </r>
    <r>
      <rPr>
        <sz val="10"/>
        <color theme="1"/>
        <rFont val="Times New Roman"/>
        <family val="3"/>
      </rPr>
      <t>5</t>
    </r>
    <r>
      <rPr>
        <sz val="10"/>
        <color theme="1"/>
        <rFont val="宋体"/>
        <family val="3"/>
        <charset val="134"/>
      </rPr>
      <t>尺内其可见的一名构装或一个物件恢复等于</t>
    </r>
    <r>
      <rPr>
        <sz val="10"/>
        <color theme="1"/>
        <rFont val="Times New Roman"/>
        <family val="3"/>
      </rPr>
      <t>2d8</t>
    </r>
    <r>
      <rPr>
        <sz val="10"/>
        <color theme="1"/>
        <rFont val="宋体"/>
        <family val="3"/>
        <charset val="134"/>
      </rPr>
      <t>加你的智力调整值的生命值。</t>
    </r>
    <r>
      <rPr>
        <sz val="10"/>
        <color theme="1"/>
        <rFont val="Times New Roman"/>
        <family val="3"/>
      </rPr>
      <t xml:space="preserve"> 
</t>
    </r>
    <r>
      <rPr>
        <sz val="10"/>
        <color theme="1"/>
        <rFont val="宋体"/>
        <family val="3"/>
        <charset val="134"/>
      </rPr>
      <t>反应</t>
    </r>
    <r>
      <rPr>
        <sz val="10"/>
        <color theme="1"/>
        <rFont val="Times New Roman"/>
        <family val="3"/>
      </rPr>
      <t xml:space="preserve">Reactions
</t>
    </r>
    <r>
      <rPr>
        <sz val="10"/>
        <color theme="1"/>
        <rFont val="宋体"/>
        <family val="3"/>
        <charset val="134"/>
      </rPr>
      <t>偏转攻击</t>
    </r>
    <r>
      <rPr>
        <sz val="10"/>
        <color theme="1"/>
        <rFont val="Times New Roman"/>
        <family val="3"/>
      </rPr>
      <t>Deflect Attack</t>
    </r>
    <r>
      <rPr>
        <sz val="10"/>
        <color theme="1"/>
        <rFont val="宋体"/>
        <family val="3"/>
        <charset val="134"/>
      </rPr>
      <t>。</t>
    </r>
    <r>
      <rPr>
        <sz val="10"/>
        <color theme="1"/>
        <rFont val="Times New Roman"/>
        <family val="3"/>
      </rPr>
      <t xml:space="preserve"> </t>
    </r>
    <r>
      <rPr>
        <sz val="10"/>
        <color theme="1"/>
        <rFont val="宋体"/>
        <family val="3"/>
        <charset val="134"/>
      </rPr>
      <t>触发：守卫</t>
    </r>
    <r>
      <rPr>
        <sz val="10"/>
        <color theme="1"/>
        <rFont val="Times New Roman"/>
        <family val="3"/>
      </rPr>
      <t>5</t>
    </r>
    <r>
      <rPr>
        <sz val="10"/>
        <color theme="1"/>
        <rFont val="宋体"/>
        <family val="3"/>
        <charset val="134"/>
      </rPr>
      <t>尺内的一名其可见的生物对另一名生物进行攻击检定。响应：触发生物此次攻击检定具有劣势。</t>
    </r>
    <r>
      <rPr>
        <sz val="10"/>
        <color theme="1"/>
        <rFont val="Times New Roman"/>
        <family val="3"/>
      </rPr>
      <t xml:space="preserve"> </t>
    </r>
    <phoneticPr fontId="68" type="noConversion"/>
  </si>
  <si>
    <r>
      <rPr>
        <sz val="10"/>
        <color theme="1"/>
        <rFont val="宋体"/>
        <family val="3"/>
        <charset val="134"/>
      </rPr>
      <t>你可以使用木雕工具或铁匠工具，以魔法动作，在你</t>
    </r>
    <r>
      <rPr>
        <sz val="10"/>
        <color theme="1"/>
        <rFont val="Times New Roman"/>
        <family val="3"/>
      </rPr>
      <t>5</t>
    </r>
    <r>
      <rPr>
        <sz val="10"/>
        <color theme="1"/>
        <rFont val="宋体"/>
        <family val="3"/>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family val="3"/>
      </rPr>
      <t>1</t>
    </r>
    <r>
      <rPr>
        <sz val="10"/>
        <color theme="1"/>
        <rFont val="宋体"/>
        <family val="3"/>
        <charset val="134"/>
      </rPr>
      <t>小时后消失，或在生命值降至</t>
    </r>
    <r>
      <rPr>
        <sz val="10"/>
        <color theme="1"/>
        <rFont val="Times New Roman"/>
        <family val="3"/>
      </rPr>
      <t>0</t>
    </r>
    <r>
      <rPr>
        <sz val="10"/>
        <color theme="1"/>
        <rFont val="宋体"/>
        <family val="3"/>
        <charset val="134"/>
      </rPr>
      <t>时提前消失。你能以魔法动作将其提前解散。</t>
    </r>
    <r>
      <rPr>
        <sz val="10"/>
        <color theme="1"/>
        <rFont val="Times New Roman"/>
        <family val="3"/>
      </rPr>
      <t xml:space="preserve">
</t>
    </r>
    <r>
      <rPr>
        <sz val="10"/>
        <color theme="1"/>
        <rFont val="宋体"/>
        <family val="3"/>
        <charset val="134"/>
      </rPr>
      <t xml:space="preserve">一旦你创造了一门炮台，直至完成长休你都无法再这么做，你也可以消耗一个法术位创造一门炮台。同一时间，你只能拥有一门炮台，若你已拥有炮台，你不能创造新的炮台。
</t>
    </r>
    <r>
      <rPr>
        <sz val="10"/>
        <color theme="1"/>
        <rFont val="Times New Roman"/>
        <family val="3"/>
      </rPr>
      <t xml:space="preserve">
</t>
    </r>
    <r>
      <rPr>
        <sz val="10"/>
        <color theme="1"/>
        <rFont val="宋体"/>
        <family val="3"/>
        <charset val="134"/>
      </rPr>
      <t>魔能炮台</t>
    </r>
    <r>
      <rPr>
        <sz val="10"/>
        <color theme="1"/>
        <rFont val="Times New Roman"/>
        <family val="3"/>
      </rPr>
      <t xml:space="preserve">Eldritch Cannon
</t>
    </r>
    <r>
      <rPr>
        <sz val="10"/>
        <color theme="1"/>
        <rFont val="宋体"/>
        <family val="3"/>
        <charset val="134"/>
      </rPr>
      <t>小型或微型物件</t>
    </r>
    <r>
      <rPr>
        <sz val="10"/>
        <color theme="1"/>
        <rFont val="Times New Roman"/>
        <family val="3"/>
      </rPr>
      <t xml:space="preserve">
</t>
    </r>
    <r>
      <rPr>
        <sz val="10"/>
        <color theme="1"/>
        <rFont val="宋体"/>
        <family val="3"/>
        <charset val="134"/>
      </rPr>
      <t>护甲等级：</t>
    </r>
    <r>
      <rPr>
        <sz val="10"/>
        <color theme="1"/>
        <rFont val="Times New Roman"/>
        <family val="3"/>
      </rPr>
      <t xml:space="preserve">18
</t>
    </r>
    <r>
      <rPr>
        <sz val="10"/>
        <color theme="1"/>
        <rFont val="宋体"/>
        <family val="3"/>
        <charset val="134"/>
      </rPr>
      <t>生命值：你奇械师等级的五倍（向炮台施展修复术</t>
    </r>
    <r>
      <rPr>
        <sz val="10"/>
        <color theme="1"/>
        <rFont val="Times New Roman"/>
        <family val="3"/>
      </rPr>
      <t xml:space="preserve">Mending </t>
    </r>
    <r>
      <rPr>
        <sz val="10"/>
        <color theme="1"/>
        <rFont val="宋体"/>
        <family val="3"/>
        <charset val="134"/>
      </rPr>
      <t>会使其恢复</t>
    </r>
    <r>
      <rPr>
        <sz val="10"/>
        <color theme="1"/>
        <rFont val="Times New Roman"/>
        <family val="3"/>
      </rPr>
      <t>2d6</t>
    </r>
    <r>
      <rPr>
        <sz val="10"/>
        <color theme="1"/>
        <rFont val="宋体"/>
        <family val="3"/>
        <charset val="134"/>
      </rPr>
      <t>生命）</t>
    </r>
    <r>
      <rPr>
        <sz val="10"/>
        <color theme="1"/>
        <rFont val="Times New Roman"/>
        <family val="3"/>
      </rPr>
      <t xml:space="preserve">
</t>
    </r>
    <r>
      <rPr>
        <sz val="10"/>
        <color theme="1"/>
        <rFont val="宋体"/>
        <family val="3"/>
        <charset val="134"/>
      </rPr>
      <t>免疫：毒素，心灵</t>
    </r>
    <r>
      <rPr>
        <sz val="10"/>
        <color theme="1"/>
        <rFont val="Times New Roman"/>
        <family val="3"/>
      </rPr>
      <t xml:space="preserve">
</t>
    </r>
    <r>
      <rPr>
        <sz val="10"/>
        <color theme="1"/>
        <rFont val="宋体"/>
        <family val="3"/>
        <charset val="134"/>
      </rPr>
      <t>激活炮台</t>
    </r>
    <r>
      <rPr>
        <sz val="10"/>
        <color theme="1"/>
        <rFont val="Times New Roman"/>
        <family val="3"/>
      </rPr>
      <t>Activate Cannon</t>
    </r>
    <r>
      <rPr>
        <sz val="10"/>
        <color theme="1"/>
        <rFont val="宋体"/>
        <family val="3"/>
        <charset val="134"/>
      </rPr>
      <t>（需要你在炮台</t>
    </r>
    <r>
      <rPr>
        <sz val="10"/>
        <color theme="1"/>
        <rFont val="Times New Roman"/>
        <family val="3"/>
      </rPr>
      <t>60</t>
    </r>
    <r>
      <rPr>
        <sz val="10"/>
        <color theme="1"/>
        <rFont val="宋体"/>
        <family val="3"/>
        <charset val="134"/>
      </rPr>
      <t>尺内）。以一个附赠动作，你命令你的炮台使用投火机，力场弩炮或防御者选项；你可以在该选项之前或之后指挥炮台移动至多</t>
    </r>
    <r>
      <rPr>
        <sz val="10"/>
        <color theme="1"/>
        <rFont val="Times New Roman"/>
        <family val="3"/>
      </rPr>
      <t>15</t>
    </r>
    <r>
      <rPr>
        <sz val="10"/>
        <color theme="1"/>
        <rFont val="宋体"/>
        <family val="3"/>
        <charset val="134"/>
      </rPr>
      <t>尺：</t>
    </r>
    <r>
      <rPr>
        <sz val="10"/>
        <color theme="1"/>
        <rFont val="Times New Roman"/>
        <family val="3"/>
      </rPr>
      <t xml:space="preserve">
</t>
    </r>
    <r>
      <rPr>
        <sz val="10"/>
        <color theme="1"/>
        <rFont val="宋体"/>
        <family val="3"/>
        <charset val="134"/>
      </rPr>
      <t>投火机</t>
    </r>
    <r>
      <rPr>
        <sz val="10"/>
        <color theme="1"/>
        <rFont val="Times New Roman"/>
        <family val="3"/>
      </rPr>
      <t>Flamethrower</t>
    </r>
    <r>
      <rPr>
        <sz val="10"/>
        <color theme="1"/>
        <rFont val="宋体"/>
        <family val="3"/>
        <charset val="134"/>
      </rPr>
      <t>。炮台喷出</t>
    </r>
    <r>
      <rPr>
        <sz val="10"/>
        <color theme="1"/>
        <rFont val="Times New Roman"/>
        <family val="3"/>
      </rPr>
      <t>15</t>
    </r>
    <r>
      <rPr>
        <sz val="10"/>
        <color theme="1"/>
        <rFont val="宋体"/>
        <family val="3"/>
        <charset val="134"/>
      </rPr>
      <t>尺锥状火焰。区域内的每个生物进行一次对抗你法术豁免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2d8</t>
    </r>
    <r>
      <rPr>
        <sz val="10"/>
        <color theme="1"/>
        <rFont val="宋体"/>
        <family val="3"/>
        <charset val="134"/>
      </rPr>
      <t>火焰伤害，成功受半伤。锥状内未被着装或携带的易燃物品将会开始燃烧。</t>
    </r>
    <r>
      <rPr>
        <sz val="10"/>
        <color theme="1"/>
        <rFont val="Times New Roman"/>
        <family val="3"/>
      </rPr>
      <t xml:space="preserve">
</t>
    </r>
    <r>
      <rPr>
        <sz val="10"/>
        <color theme="1"/>
        <rFont val="宋体"/>
        <family val="3"/>
        <charset val="134"/>
      </rPr>
      <t>力场弩炮</t>
    </r>
    <r>
      <rPr>
        <sz val="10"/>
        <color theme="1"/>
        <rFont val="Times New Roman"/>
        <family val="3"/>
      </rPr>
      <t>Force Ballista</t>
    </r>
    <r>
      <rPr>
        <sz val="10"/>
        <color theme="1"/>
        <rFont val="宋体"/>
        <family val="3"/>
        <charset val="134"/>
      </rPr>
      <t>。以炮台为源点对</t>
    </r>
    <r>
      <rPr>
        <sz val="10"/>
        <color theme="1"/>
        <rFont val="Times New Roman"/>
        <family val="3"/>
      </rPr>
      <t>120</t>
    </r>
    <r>
      <rPr>
        <sz val="10"/>
        <color theme="1"/>
        <rFont val="宋体"/>
        <family val="3"/>
        <charset val="134"/>
      </rPr>
      <t>尺内的一个生物或物品进行一次远程法术攻击。命中时，目标受到</t>
    </r>
    <r>
      <rPr>
        <sz val="10"/>
        <color theme="1"/>
        <rFont val="Times New Roman"/>
        <family val="3"/>
      </rPr>
      <t>2d8</t>
    </r>
    <r>
      <rPr>
        <sz val="10"/>
        <color theme="1"/>
        <rFont val="宋体"/>
        <family val="3"/>
        <charset val="134"/>
      </rPr>
      <t>力场伤害，且如果目标是一个生物，它会被炮台推离至多</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防御者</t>
    </r>
    <r>
      <rPr>
        <sz val="10"/>
        <color theme="1"/>
        <rFont val="Times New Roman"/>
        <family val="3"/>
      </rPr>
      <t>Protector</t>
    </r>
    <r>
      <rPr>
        <sz val="10"/>
        <color theme="1"/>
        <rFont val="宋体"/>
        <family val="3"/>
        <charset val="134"/>
      </rPr>
      <t>。炮台释放出一股正能量，赋予它自己和其</t>
    </r>
    <r>
      <rPr>
        <sz val="10"/>
        <color theme="1"/>
        <rFont val="Times New Roman"/>
        <family val="3"/>
      </rPr>
      <t>10</t>
    </r>
    <r>
      <rPr>
        <sz val="10"/>
        <color theme="1"/>
        <rFont val="宋体"/>
        <family val="3"/>
        <charset val="134"/>
      </rPr>
      <t>尺内的每个你选择的生物等于</t>
    </r>
    <r>
      <rPr>
        <sz val="10"/>
        <color theme="1"/>
        <rFont val="Times New Roman"/>
        <family val="3"/>
      </rPr>
      <t>1d8</t>
    </r>
    <r>
      <rPr>
        <sz val="10"/>
        <color theme="1"/>
        <rFont val="宋体"/>
        <family val="3"/>
        <charset val="134"/>
      </rPr>
      <t>加你的智力调整值（最少为</t>
    </r>
    <r>
      <rPr>
        <sz val="10"/>
        <color theme="1"/>
        <rFont val="Times New Roman"/>
        <family val="3"/>
      </rPr>
      <t>1</t>
    </r>
    <r>
      <rPr>
        <sz val="10"/>
        <color theme="1"/>
        <rFont val="宋体"/>
        <family val="3"/>
        <charset val="134"/>
      </rPr>
      <t>）的临时生命值。</t>
    </r>
    <phoneticPr fontId="68" type="noConversion"/>
  </si>
  <si>
    <r>
      <rPr>
        <sz val="10"/>
        <color theme="1"/>
        <rFont val="宋体"/>
        <family val="3"/>
        <charset val="134"/>
      </rPr>
      <t>当你使用魔法武器以一次攻击检定命中一名目标，或钢铁守卫命中一名目标时，你可以将奥术能量引导至这次打击中，以创造以下的效应：</t>
    </r>
    <r>
      <rPr>
        <sz val="10"/>
        <color theme="1"/>
        <rFont val="Times New Roman"/>
        <family val="3"/>
      </rPr>
      <t xml:space="preserve">
</t>
    </r>
    <r>
      <rPr>
        <sz val="10"/>
        <color theme="1"/>
        <rFont val="宋体"/>
        <family val="3"/>
        <charset val="134"/>
      </rPr>
      <t>毁灭能量</t>
    </r>
    <r>
      <rPr>
        <sz val="10"/>
        <color theme="1"/>
        <rFont val="Times New Roman"/>
        <family val="3"/>
      </rPr>
      <t>Destructive Energy</t>
    </r>
    <r>
      <rPr>
        <sz val="10"/>
        <color theme="1"/>
        <rFont val="宋体"/>
        <family val="3"/>
        <charset val="134"/>
      </rPr>
      <t>。目标额外受到</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复苏能量</t>
    </r>
    <r>
      <rPr>
        <sz val="10"/>
        <color theme="1"/>
        <rFont val="Times New Roman"/>
        <family val="3"/>
      </rPr>
      <t>Restorative Energy</t>
    </r>
    <r>
      <rPr>
        <sz val="10"/>
        <color theme="1"/>
        <rFont val="宋体"/>
        <family val="3"/>
        <charset val="134"/>
      </rPr>
      <t>。选择距离目标</t>
    </r>
    <r>
      <rPr>
        <sz val="10"/>
        <color theme="1"/>
        <rFont val="Times New Roman"/>
        <family val="3"/>
      </rPr>
      <t>30</t>
    </r>
    <r>
      <rPr>
        <sz val="10"/>
        <color theme="1"/>
        <rFont val="宋体"/>
        <family val="3"/>
        <charset val="134"/>
      </rPr>
      <t>尺以内的一个你可见的生物或物体。治愈能量涌进选择的对象，为其恢复</t>
    </r>
    <r>
      <rPr>
        <sz val="10"/>
        <color theme="1"/>
        <rFont val="Times New Roman"/>
        <family val="3"/>
      </rPr>
      <t>2d6</t>
    </r>
    <r>
      <rPr>
        <sz val="10"/>
        <color theme="1"/>
        <rFont val="宋体"/>
        <family val="3"/>
        <charset val="134"/>
      </rPr>
      <t>生命值。</t>
    </r>
    <r>
      <rPr>
        <sz val="10"/>
        <color theme="1"/>
        <rFont val="Times New Roman"/>
        <family val="3"/>
      </rPr>
      <t xml:space="preserve">
</t>
    </r>
    <r>
      <rPr>
        <sz val="10"/>
        <color theme="1"/>
        <rFont val="宋体"/>
        <family val="3"/>
        <charset val="134"/>
      </rPr>
      <t>你可以引导能量的次数等于你的智力调整值（至少</t>
    </r>
    <r>
      <rPr>
        <sz val="10"/>
        <color theme="1"/>
        <rFont val="Times New Roman"/>
        <family val="3"/>
      </rPr>
      <t>1</t>
    </r>
    <r>
      <rPr>
        <sz val="10"/>
        <color theme="1"/>
        <rFont val="宋体"/>
        <family val="3"/>
        <charset val="134"/>
      </rPr>
      <t>次），但你无法在一回合内如此做超过一次。当你完成长休时，你重获所有已消耗的次数。</t>
    </r>
    <phoneticPr fontId="68" type="noConversion"/>
  </si>
  <si>
    <r>
      <rPr>
        <sz val="10"/>
        <color theme="1"/>
        <rFont val="宋体"/>
        <family val="3"/>
        <charset val="134"/>
      </rPr>
      <t>你的奥能震荡和钢铁守卫变得更加强力，使你获得以下增益：</t>
    </r>
    <r>
      <rPr>
        <sz val="10"/>
        <color theme="1"/>
        <rFont val="Times New Roman"/>
        <family val="3"/>
      </rPr>
      <t xml:space="preserve">
</t>
    </r>
    <r>
      <rPr>
        <sz val="10"/>
        <color theme="1"/>
        <rFont val="宋体"/>
        <family val="3"/>
        <charset val="134"/>
      </rPr>
      <t>强化激荡</t>
    </r>
    <r>
      <rPr>
        <sz val="10"/>
        <color theme="1"/>
        <rFont val="Times New Roman"/>
        <family val="3"/>
      </rPr>
      <t>Improved Jolt</t>
    </r>
    <r>
      <rPr>
        <sz val="10"/>
        <color theme="1"/>
        <rFont val="宋体"/>
        <family val="3"/>
        <charset val="134"/>
      </rPr>
      <t>。你的奥能震荡的额外伤害和生命恢复提升为</t>
    </r>
    <r>
      <rPr>
        <sz val="10"/>
        <color theme="1"/>
        <rFont val="Times New Roman"/>
        <family val="3"/>
      </rPr>
      <t xml:space="preserve">4d6
</t>
    </r>
    <r>
      <rPr>
        <sz val="10"/>
        <color theme="1"/>
        <rFont val="宋体"/>
        <family val="3"/>
        <charset val="134"/>
      </rPr>
      <t>强化偏转</t>
    </r>
    <r>
      <rPr>
        <sz val="10"/>
        <color theme="1"/>
        <rFont val="Times New Roman"/>
        <family val="3"/>
      </rPr>
      <t>Improved Deflection</t>
    </r>
    <r>
      <rPr>
        <sz val="10"/>
        <color theme="1"/>
        <rFont val="宋体"/>
        <family val="3"/>
        <charset val="134"/>
      </rPr>
      <t>。每当你的钢铁守卫使用它的偏转攻击时，攻击者受到</t>
    </r>
    <r>
      <rPr>
        <sz val="10"/>
        <color theme="1"/>
        <rFont val="Times New Roman"/>
        <family val="3"/>
      </rPr>
      <t>1d4</t>
    </r>
    <r>
      <rPr>
        <sz val="10"/>
        <color theme="1"/>
        <rFont val="宋体"/>
        <family val="3"/>
        <charset val="134"/>
      </rPr>
      <t>加你的智力调整值的力场伤害。</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</si>
  <si>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。你获得书法工具和制图工具的熟练项。如果你已经拥有其中之一的熟练项，则你获得另一种你选择的工匠工具的熟练（或如果你有全部两种熟练，选择另外两种）。</t>
    </r>
    <r>
      <rPr>
        <sz val="10"/>
        <color theme="1"/>
        <rFont val="Times New Roman"/>
        <family val="3"/>
      </rPr>
      <t xml:space="preserve">
</t>
    </r>
    <r>
      <rPr>
        <sz val="10"/>
        <color theme="1"/>
        <rFont val="宋体"/>
        <family val="3"/>
        <charset val="134"/>
      </rPr>
      <t>卷轴制造</t>
    </r>
    <r>
      <rPr>
        <sz val="10"/>
        <color theme="1"/>
        <rFont val="Times New Roman"/>
        <family val="3"/>
      </rPr>
      <t>Scroll Crafting</t>
    </r>
    <r>
      <rPr>
        <sz val="10"/>
        <color theme="1"/>
        <rFont val="宋体"/>
        <family val="3"/>
        <charset val="134"/>
      </rPr>
      <t>。当你使用《玩家手册》的制造规则制作法术卷轴</t>
    </r>
    <r>
      <rPr>
        <sz val="10"/>
        <color theme="1"/>
        <rFont val="Times New Roman"/>
        <family val="3"/>
      </rPr>
      <t>Spell Scroll</t>
    </r>
    <r>
      <rPr>
        <sz val="10"/>
        <color theme="1"/>
        <rFont val="宋体"/>
        <family val="3"/>
        <charset val="134"/>
      </rPr>
      <t>时，制造所需花费的时间减半。</t>
    </r>
    <phoneticPr fontId="68" type="noConversion"/>
  </si>
  <si>
    <r>
      <rPr>
        <sz val="10"/>
        <color theme="1"/>
        <rFont val="宋体"/>
        <family val="3"/>
        <charset val="134"/>
      </rPr>
      <t>当你到达制图师法术表中特定的奇械师等级时，你就始终准备着表中对应的法术。</t>
    </r>
    <r>
      <rPr>
        <sz val="10"/>
        <color theme="1"/>
        <rFont val="Times New Roman"/>
        <family val="3"/>
      </rPr>
      <t xml:space="preserve">
</t>
    </r>
    <r>
      <rPr>
        <sz val="10"/>
        <color theme="1"/>
        <rFont val="宋体"/>
        <family val="3"/>
        <charset val="134"/>
      </rPr>
      <t>制图师法术</t>
    </r>
    <r>
      <rPr>
        <sz val="10"/>
        <color theme="1"/>
        <rFont val="Times New Roman"/>
        <family val="3"/>
      </rPr>
      <t xml:space="preserve">Cartographer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妖火</t>
    </r>
    <r>
      <rPr>
        <sz val="10"/>
        <color theme="1"/>
        <rFont val="Times New Roman"/>
        <family val="3"/>
      </rPr>
      <t>Faerie Fire</t>
    </r>
    <r>
      <rPr>
        <sz val="10"/>
        <color theme="1"/>
        <rFont val="宋体"/>
        <family val="3"/>
        <charset val="134"/>
      </rPr>
      <t>，光导箭</t>
    </r>
    <r>
      <rPr>
        <sz val="10"/>
        <color theme="1"/>
        <rFont val="Times New Roman"/>
        <family val="3"/>
      </rPr>
      <t>Guiding Bolt</t>
    </r>
    <r>
      <rPr>
        <sz val="10"/>
        <color theme="1"/>
        <rFont val="宋体"/>
        <family val="3"/>
        <charset val="134"/>
      </rPr>
      <t>，治愈真言</t>
    </r>
    <r>
      <rPr>
        <sz val="10"/>
        <color theme="1"/>
        <rFont val="Times New Roman"/>
        <family val="3"/>
      </rPr>
      <t xml:space="preserve">Healing Word 
5 </t>
    </r>
    <r>
      <rPr>
        <sz val="10"/>
        <color theme="1"/>
        <rFont val="宋体"/>
        <family val="3"/>
        <charset val="134"/>
      </rPr>
      <t>物件定位术</t>
    </r>
    <r>
      <rPr>
        <sz val="10"/>
        <color theme="1"/>
        <rFont val="Times New Roman"/>
        <family val="3"/>
      </rPr>
      <t>Locate Object</t>
    </r>
    <r>
      <rPr>
        <sz val="10"/>
        <color theme="1"/>
        <rFont val="宋体"/>
        <family val="3"/>
        <charset val="134"/>
      </rPr>
      <t>，心灵尖刺</t>
    </r>
    <r>
      <rPr>
        <sz val="10"/>
        <color theme="1"/>
        <rFont val="Times New Roman"/>
        <family val="3"/>
      </rPr>
      <t xml:space="preserve">Mind Spike  
9 </t>
    </r>
    <r>
      <rPr>
        <sz val="10"/>
        <color theme="1"/>
        <rFont val="宋体"/>
        <family val="3"/>
        <charset val="134"/>
      </rPr>
      <t>召雷术</t>
    </r>
    <r>
      <rPr>
        <sz val="10"/>
        <color theme="1"/>
        <rFont val="Times New Roman"/>
        <family val="3"/>
      </rPr>
      <t>Call Lightning</t>
    </r>
    <r>
      <rPr>
        <sz val="10"/>
        <color theme="1"/>
        <rFont val="宋体"/>
        <family val="3"/>
        <charset val="134"/>
      </rPr>
      <t>，鹰眼术</t>
    </r>
    <r>
      <rPr>
        <sz val="10"/>
        <color theme="1"/>
        <rFont val="Times New Roman"/>
        <family val="3"/>
      </rPr>
      <t xml:space="preserve">Clairvoyance 
13 </t>
    </r>
    <r>
      <rPr>
        <sz val="10"/>
        <color theme="1"/>
        <rFont val="宋体"/>
        <family val="3"/>
        <charset val="134"/>
      </rPr>
      <t>放逐术</t>
    </r>
    <r>
      <rPr>
        <sz val="10"/>
        <color theme="1"/>
        <rFont val="Times New Roman"/>
        <family val="3"/>
      </rPr>
      <t>Banishment</t>
    </r>
    <r>
      <rPr>
        <sz val="10"/>
        <color theme="1"/>
        <rFont val="宋体"/>
        <family val="3"/>
        <charset val="134"/>
      </rPr>
      <t>，生物定位术</t>
    </r>
    <r>
      <rPr>
        <sz val="10"/>
        <color theme="1"/>
        <rFont val="Times New Roman"/>
        <family val="3"/>
      </rPr>
      <t xml:space="preserve">Locate Creature 
17 </t>
    </r>
    <r>
      <rPr>
        <sz val="10"/>
        <color theme="1"/>
        <rFont val="宋体"/>
        <family val="3"/>
        <charset val="134"/>
      </rPr>
      <t>探知术</t>
    </r>
    <r>
      <rPr>
        <sz val="10"/>
        <color theme="1"/>
        <rFont val="Times New Roman"/>
        <family val="3"/>
      </rPr>
      <t>Scrying</t>
    </r>
    <r>
      <rPr>
        <sz val="10"/>
        <color theme="1"/>
        <rFont val="宋体"/>
        <family val="3"/>
        <charset val="134"/>
      </rPr>
      <t>，传送法阵</t>
    </r>
    <r>
      <rPr>
        <sz val="10"/>
        <color theme="1"/>
        <rFont val="Times New Roman"/>
        <family val="3"/>
      </rPr>
      <t xml:space="preserve">Teleportation Circle  </t>
    </r>
    <phoneticPr fontId="68" type="noConversion"/>
  </si>
  <si>
    <r>
      <rPr>
        <sz val="10"/>
        <color theme="1"/>
        <rFont val="宋体"/>
        <family val="3"/>
        <charset val="134"/>
      </rPr>
      <t>每当你持握着制图工具完成一次长休时，你可以触碰至少两名、至多</t>
    </r>
    <r>
      <rPr>
        <sz val="10"/>
        <color theme="1"/>
        <rFont val="Times New Roman"/>
        <family val="3"/>
      </rPr>
      <t>1+</t>
    </r>
    <r>
      <rPr>
        <sz val="10"/>
        <color theme="1"/>
        <rFont val="宋体"/>
        <family val="3"/>
        <charset val="134"/>
      </rPr>
      <t>你智力调整值名（至少</t>
    </r>
    <r>
      <rPr>
        <sz val="10"/>
        <color theme="1"/>
        <rFont val="Times New Roman"/>
        <family val="3"/>
      </rPr>
      <t>2</t>
    </r>
    <r>
      <rPr>
        <sz val="10"/>
        <color theme="1"/>
        <rFont val="宋体"/>
        <family val="3"/>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t>
    </r>
    <r>
      <rPr>
        <sz val="10"/>
        <color theme="1"/>
        <rFont val="Times New Roman"/>
        <family val="3"/>
      </rPr>
      <t xml:space="preserve">
</t>
    </r>
    <r>
      <rPr>
        <sz val="10"/>
        <color theme="1"/>
        <rFont val="宋体"/>
        <family val="3"/>
        <charset val="134"/>
      </rPr>
      <t>警觉</t>
    </r>
    <r>
      <rPr>
        <sz val="10"/>
        <color theme="1"/>
        <rFont val="Times New Roman"/>
        <family val="3"/>
      </rPr>
      <t>Awareness</t>
    </r>
    <r>
      <rPr>
        <sz val="10"/>
        <color theme="1"/>
        <rFont val="宋体"/>
        <family val="3"/>
        <charset val="134"/>
      </rPr>
      <t>。</t>
    </r>
    <r>
      <rPr>
        <sz val="10"/>
        <color theme="1"/>
        <rFont val="Times New Roman"/>
        <family val="3"/>
      </rPr>
      <t xml:space="preserve"> </t>
    </r>
    <r>
      <rPr>
        <sz val="10"/>
        <color theme="1"/>
        <rFont val="宋体"/>
        <family val="3"/>
        <charset val="134"/>
      </rPr>
      <t>目标进行的先攻检定具有</t>
    </r>
    <r>
      <rPr>
        <sz val="10"/>
        <color theme="1"/>
        <rFont val="Times New Roman"/>
        <family val="3"/>
      </rPr>
      <t>1d4</t>
    </r>
    <r>
      <rPr>
        <sz val="10"/>
        <color theme="1"/>
        <rFont val="宋体"/>
        <family val="3"/>
        <charset val="134"/>
      </rPr>
      <t>加值。</t>
    </r>
    <r>
      <rPr>
        <sz val="10"/>
        <color theme="1"/>
        <rFont val="Times New Roman"/>
        <family val="3"/>
      </rPr>
      <t xml:space="preserve">
</t>
    </r>
    <r>
      <rPr>
        <sz val="10"/>
        <color theme="1"/>
        <rFont val="宋体"/>
        <family val="3"/>
        <charset val="134"/>
      </rPr>
      <t>定位</t>
    </r>
    <r>
      <rPr>
        <sz val="10"/>
        <color theme="1"/>
        <rFont val="Times New Roman"/>
        <family val="3"/>
      </rPr>
      <t>Positioning</t>
    </r>
    <r>
      <rPr>
        <sz val="10"/>
        <color theme="1"/>
        <rFont val="宋体"/>
        <family val="3"/>
        <charset val="134"/>
      </rPr>
      <t>。</t>
    </r>
    <r>
      <rPr>
        <sz val="10"/>
        <color theme="1"/>
        <rFont val="Times New Roman"/>
        <family val="3"/>
      </rPr>
      <t xml:space="preserve"> </t>
    </r>
    <r>
      <rPr>
        <sz val="10"/>
        <color theme="1"/>
        <rFont val="宋体"/>
        <family val="3"/>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</si>
  <si>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照明绘图</t>
    </r>
    <r>
      <rPr>
        <sz val="10"/>
        <color theme="1"/>
        <rFont val="Times New Roman"/>
        <family val="3"/>
      </rPr>
      <t>Illuminated Cartography</t>
    </r>
    <r>
      <rPr>
        <sz val="10"/>
        <color theme="1"/>
        <rFont val="宋体"/>
        <family val="3"/>
        <charset val="134"/>
      </rPr>
      <t>。你可以无需消耗法术位地施展妖火</t>
    </r>
    <r>
      <rPr>
        <sz val="10"/>
        <color theme="1"/>
        <rFont val="Times New Roman"/>
        <family val="3"/>
      </rPr>
      <t>Faerie Fire</t>
    </r>
    <r>
      <rPr>
        <sz val="10"/>
        <color theme="1"/>
        <rFont val="宋体"/>
        <family val="3"/>
        <charset val="134"/>
      </rPr>
      <t>。受影响的生物将会如同墨水描绘一般清晰。你可以这么做的次数等于你的智力调整值（最小为</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传送门跃</t>
    </r>
    <r>
      <rPr>
        <sz val="10"/>
        <color theme="1"/>
        <rFont val="Times New Roman"/>
        <family val="3"/>
      </rPr>
      <t>Portal Jump</t>
    </r>
    <r>
      <rPr>
        <sz val="10"/>
        <color theme="1"/>
        <rFont val="宋体"/>
        <family val="3"/>
        <charset val="134"/>
      </rPr>
      <t>。在你的回合内，你可以花费等于你速度一半的移动力（向下取整）传送至位于你或你</t>
    </r>
    <r>
      <rPr>
        <sz val="10"/>
        <color theme="1"/>
        <rFont val="Times New Roman"/>
        <family val="3"/>
      </rPr>
      <t>30</t>
    </r>
    <r>
      <rPr>
        <sz val="10"/>
        <color theme="1"/>
        <rFont val="宋体"/>
        <family val="3"/>
        <charset val="134"/>
      </rPr>
      <t>尺内持有你冒险者的地图匣地图的生物</t>
    </r>
    <r>
      <rPr>
        <sz val="10"/>
        <color theme="1"/>
        <rFont val="Times New Roman"/>
        <family val="3"/>
      </rPr>
      <t>10</t>
    </r>
    <r>
      <rPr>
        <sz val="10"/>
        <color theme="1"/>
        <rFont val="宋体"/>
        <family val="3"/>
        <charset val="134"/>
      </rPr>
      <t>尺内的你可见的未占据空间。若你的速度为</t>
    </r>
    <r>
      <rPr>
        <sz val="10"/>
        <color theme="1"/>
        <rFont val="Times New Roman"/>
        <family val="3"/>
      </rPr>
      <t>0</t>
    </r>
    <r>
      <rPr>
        <sz val="10"/>
        <color theme="1"/>
        <rFont val="宋体"/>
        <family val="3"/>
        <charset val="134"/>
      </rPr>
      <t>，你不能使用此增益。</t>
    </r>
    <phoneticPr fontId="68" type="noConversion"/>
  </si>
  <si>
    <r>
      <rPr>
        <sz val="10"/>
        <color theme="1"/>
        <rFont val="宋体"/>
        <family val="3"/>
        <charset val="134"/>
      </rPr>
      <t>每回合一次，每当你施展一道制图师法术列表的法术或在以攻击检定命中受你妖火</t>
    </r>
    <r>
      <rPr>
        <sz val="10"/>
        <color theme="1"/>
        <rFont val="Times New Roman"/>
        <family val="3"/>
      </rPr>
      <t>Faerie Fire</t>
    </r>
    <r>
      <rPr>
        <sz val="10"/>
        <color theme="1"/>
        <rFont val="宋体"/>
        <family val="3"/>
        <charset val="134"/>
      </rPr>
      <t>影响的生物时，你可以将你的智力调整值加到该法术或攻击造成的其中一个伤害掷骰中。</t>
    </r>
    <r>
      <rPr>
        <sz val="10"/>
        <color theme="1"/>
        <rFont val="Times New Roman"/>
        <family val="3"/>
      </rPr>
      <t xml:space="preserve">
</t>
    </r>
    <r>
      <rPr>
        <sz val="10"/>
        <color theme="1"/>
        <rFont val="宋体"/>
        <family val="3"/>
        <charset val="134"/>
      </rPr>
      <t>此外，受到伤害不会使你失去妖火</t>
    </r>
    <r>
      <rPr>
        <sz val="10"/>
        <color theme="1"/>
        <rFont val="Times New Roman"/>
        <family val="3"/>
      </rPr>
      <t>Faerie Fire</t>
    </r>
    <r>
      <rPr>
        <sz val="10"/>
        <color theme="1"/>
        <rFont val="宋体"/>
        <family val="3"/>
        <charset val="134"/>
      </rPr>
      <t>的专注。</t>
    </r>
    <phoneticPr fontId="68" type="noConversion"/>
  </si>
  <si>
    <t>精准引导</t>
    <phoneticPr fontId="68" type="noConversion"/>
  </si>
  <si>
    <t>冒险者的地图匣</t>
    <phoneticPr fontId="68" type="noConversion"/>
  </si>
  <si>
    <t>地图魔法</t>
    <phoneticPr fontId="68" type="noConversion"/>
  </si>
  <si>
    <r>
      <rPr>
        <sz val="10"/>
        <color theme="1"/>
        <rFont val="宋体"/>
        <family val="3"/>
        <charset val="134"/>
      </rPr>
      <t>当你使用灵光一闪特性时，作为该次反应的一部分，你或一名由你选择的</t>
    </r>
    <r>
      <rPr>
        <sz val="10"/>
        <color theme="1"/>
        <rFont val="Times New Roman"/>
        <family val="3"/>
      </rPr>
      <t>30</t>
    </r>
    <r>
      <rPr>
        <sz val="10"/>
        <color theme="1"/>
        <rFont val="宋体"/>
        <family val="3"/>
        <charset val="134"/>
      </rPr>
      <t>尺内的自愿生物可以传送至多</t>
    </r>
    <r>
      <rPr>
        <sz val="10"/>
        <color theme="1"/>
        <rFont val="Times New Roman"/>
        <family val="3"/>
      </rPr>
      <t>30</t>
    </r>
    <r>
      <rPr>
        <sz val="10"/>
        <color theme="1"/>
        <rFont val="宋体"/>
        <family val="3"/>
        <charset val="134"/>
      </rPr>
      <t>尺至一处你可见的未占据空间中。</t>
    </r>
    <phoneticPr fontId="68" type="noConversion"/>
  </si>
  <si>
    <r>
      <rPr>
        <sz val="10"/>
        <color theme="1"/>
        <rFont val="宋体"/>
        <family val="3"/>
        <charset val="134"/>
      </rPr>
      <t>你的冒险者的地图匣特性强化了，你获得以下增益：</t>
    </r>
    <r>
      <rPr>
        <sz val="10"/>
        <color theme="1"/>
        <rFont val="Times New Roman"/>
        <family val="3"/>
      </rPr>
      <t xml:space="preserve">
</t>
    </r>
    <r>
      <rPr>
        <sz val="10"/>
        <color theme="1"/>
        <rFont val="宋体"/>
        <family val="3"/>
        <charset val="134"/>
      </rPr>
      <t>安全归处</t>
    </r>
    <r>
      <rPr>
        <sz val="10"/>
        <color theme="1"/>
        <rFont val="Times New Roman"/>
        <family val="3"/>
      </rPr>
      <t>Safe Haven</t>
    </r>
    <r>
      <rPr>
        <sz val="10"/>
        <color theme="1"/>
        <rFont val="宋体"/>
        <family val="3"/>
        <charset val="134"/>
      </rPr>
      <t>。</t>
    </r>
    <r>
      <rPr>
        <sz val="10"/>
        <color theme="1"/>
        <rFont val="Times New Roman"/>
        <family val="3"/>
      </rPr>
      <t xml:space="preserve"> </t>
    </r>
    <r>
      <rPr>
        <sz val="10"/>
        <color theme="1"/>
        <rFont val="宋体"/>
        <family val="3"/>
        <charset val="134"/>
      </rPr>
      <t>当地图持有者的生命值被降至</t>
    </r>
    <r>
      <rPr>
        <sz val="10"/>
        <color theme="1"/>
        <rFont val="Times New Roman"/>
        <family val="3"/>
      </rPr>
      <t>0</t>
    </r>
    <r>
      <rPr>
        <sz val="10"/>
        <color theme="1"/>
        <rFont val="宋体"/>
        <family val="3"/>
        <charset val="134"/>
      </rPr>
      <t>（但没被立刻杀死）时，该生物可以摧毁它的地图，该生物的生命值变为等于你奇械师等级的两倍，并传送至你或另一个地图持有者周围</t>
    </r>
    <r>
      <rPr>
        <sz val="10"/>
        <color theme="1"/>
        <rFont val="Times New Roman"/>
        <family val="3"/>
      </rPr>
      <t>5</t>
    </r>
    <r>
      <rPr>
        <sz val="10"/>
        <color theme="1"/>
        <rFont val="宋体"/>
        <family val="3"/>
        <charset val="134"/>
      </rPr>
      <t>尺内的一处未占据空间中。</t>
    </r>
    <r>
      <rPr>
        <sz val="10"/>
        <color theme="1"/>
        <rFont val="Times New Roman"/>
        <family val="3"/>
      </rPr>
      <t xml:space="preserve">
</t>
    </r>
    <r>
      <rPr>
        <sz val="10"/>
        <color theme="1"/>
        <rFont val="宋体"/>
        <family val="3"/>
        <charset val="134"/>
      </rPr>
      <t>径路悉晓</t>
    </r>
    <r>
      <rPr>
        <sz val="10"/>
        <color theme="1"/>
        <rFont val="Times New Roman"/>
        <family val="3"/>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3"/>
      </rPr>
      <t xml:space="preserve">Find the Path </t>
    </r>
    <r>
      <rPr>
        <sz val="10"/>
        <color theme="1"/>
        <rFont val="宋体"/>
        <family val="3"/>
        <charset val="134"/>
      </rPr>
      <t>。此特性一经使用，在你完成长休前都无法再次使用。</t>
    </r>
    <phoneticPr fontId="68" type="noConversion"/>
  </si>
  <si>
    <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1"/>
        <charset val="134"/>
      </rPr>
      <t>：
主页面的法术的仪式施法与专注的变色效果修复
以上由</t>
    </r>
    <r>
      <rPr>
        <b/>
        <sz val="11"/>
        <color theme="1"/>
        <rFont val="Times New Roman"/>
        <family val="1"/>
      </rPr>
      <t>MadMax</t>
    </r>
    <r>
      <rPr>
        <sz val="11"/>
        <color theme="1"/>
        <rFont val="宋体"/>
        <family val="1"/>
        <charset val="134"/>
      </rPr>
      <t xml:space="preserve">完成
</t>
    </r>
    <r>
      <rPr>
        <sz val="11"/>
        <color theme="1"/>
        <rFont val="Times New Roman"/>
        <family val="1"/>
      </rPr>
      <t>PHB</t>
    </r>
    <r>
      <rPr>
        <sz val="11"/>
        <color theme="1"/>
        <rFont val="宋体"/>
        <family val="1"/>
        <charset val="134"/>
      </rPr>
      <t xml:space="preserve">法术校对完成
</t>
    </r>
    <r>
      <rPr>
        <sz val="11"/>
        <color theme="1"/>
        <rFont val="Times New Roman"/>
        <family val="1"/>
      </rPr>
      <t>1.</t>
    </r>
    <r>
      <rPr>
        <sz val="11"/>
        <color theme="1"/>
        <rFont val="宋体"/>
        <family val="1"/>
        <charset val="134"/>
      </rPr>
      <t xml:space="preserve">诸如光亮术、护盾术、庇护术、炽焰斩、异界誓盟等法术的职业分类错误
</t>
    </r>
    <r>
      <rPr>
        <sz val="11"/>
        <color theme="1"/>
        <rFont val="Times New Roman"/>
        <family val="1"/>
      </rPr>
      <t>2.</t>
    </r>
    <r>
      <rPr>
        <sz val="11"/>
        <color theme="1"/>
        <rFont val="宋体"/>
        <family val="1"/>
        <charset val="134"/>
      </rPr>
      <t>死亡法阵的法术遗漏
以上由</t>
    </r>
    <r>
      <rPr>
        <b/>
        <sz val="11"/>
        <color theme="1"/>
        <rFont val="宋体"/>
        <family val="3"/>
        <charset val="134"/>
      </rPr>
      <t>小小苏</t>
    </r>
    <r>
      <rPr>
        <sz val="11"/>
        <color theme="1"/>
        <rFont val="宋体"/>
        <family val="1"/>
        <charset val="134"/>
      </rPr>
      <t xml:space="preserve">完成
</t>
    </r>
    <r>
      <rPr>
        <sz val="11"/>
        <color theme="1"/>
        <rFont val="Times New Roman"/>
        <family val="1"/>
      </rPr>
      <t>0.3.0</t>
    </r>
    <r>
      <rPr>
        <sz val="11"/>
        <color theme="1"/>
        <rFont val="宋体"/>
        <family val="1"/>
        <charset val="134"/>
      </rPr>
      <t>：
主页面武器部分显示优化（</t>
    </r>
    <r>
      <rPr>
        <sz val="11"/>
        <color theme="1"/>
        <rFont val="Times New Roman"/>
        <family val="1"/>
      </rPr>
      <t>Mortis</t>
    </r>
    <r>
      <rPr>
        <sz val="11"/>
        <color theme="1"/>
        <rFont val="宋体"/>
        <family val="1"/>
        <charset val="134"/>
      </rPr>
      <t>没了</t>
    </r>
    <r>
      <rPr>
        <sz val="11"/>
        <color theme="1"/>
        <rFont val="Times New Roman"/>
        <family val="1"/>
      </rPr>
      <t>#</t>
    </r>
    <r>
      <rPr>
        <sz val="11"/>
        <color theme="1"/>
        <rFont val="宋体"/>
        <family val="1"/>
        <charset val="134"/>
      </rPr>
      <t>悲）
背包页面增加一键填入套组宏
以上由</t>
    </r>
    <r>
      <rPr>
        <b/>
        <sz val="11"/>
        <color theme="1"/>
        <rFont val="Times New Roman"/>
        <family val="1"/>
      </rPr>
      <t>MadMax</t>
    </r>
    <r>
      <rPr>
        <sz val="11"/>
        <color theme="1"/>
        <rFont val="宋体"/>
        <family val="1"/>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1"/>
        <charset val="134"/>
      </rPr>
      <t xml:space="preserve">完成
</t>
    </r>
    <r>
      <rPr>
        <sz val="11"/>
        <color theme="1"/>
        <rFont val="Times New Roman"/>
        <family val="1"/>
      </rPr>
      <t>0.3.1</t>
    </r>
    <r>
      <rPr>
        <sz val="11"/>
        <color theme="1"/>
        <rFont val="宋体"/>
        <family val="1"/>
        <charset val="134"/>
      </rPr>
      <t xml:space="preserve">：盾牌着装选项移动至特性旁边
</t>
    </r>
    <r>
      <rPr>
        <sz val="11"/>
        <color theme="1"/>
        <rFont val="Times New Roman"/>
        <family val="1"/>
      </rPr>
      <t>0.3.2</t>
    </r>
    <r>
      <rPr>
        <sz val="11"/>
        <color theme="1"/>
        <rFont val="宋体"/>
        <family val="1"/>
        <charset val="134"/>
      </rPr>
      <t>：</t>
    </r>
    <r>
      <rPr>
        <sz val="11"/>
        <color theme="1"/>
        <rFont val="Times New Roman"/>
        <family val="1"/>
      </rPr>
      <t>BUG</t>
    </r>
    <r>
      <rPr>
        <sz val="11"/>
        <color theme="1"/>
        <rFont val="宋体"/>
        <family val="1"/>
        <charset val="134"/>
      </rPr>
      <t xml:space="preserve">修复，删除宏组件
</t>
    </r>
    <r>
      <rPr>
        <sz val="11"/>
        <color theme="1"/>
        <rFont val="Times New Roman"/>
        <family val="1"/>
      </rPr>
      <t>0.3.3</t>
    </r>
    <r>
      <rPr>
        <sz val="11"/>
        <color theme="1"/>
        <rFont val="宋体"/>
        <family val="1"/>
        <charset val="134"/>
      </rPr>
      <t>：录入</t>
    </r>
    <r>
      <rPr>
        <sz val="11"/>
        <color theme="1"/>
        <rFont val="Times New Roman"/>
        <family val="1"/>
      </rPr>
      <t>UA</t>
    </r>
    <r>
      <rPr>
        <sz val="11"/>
        <color theme="1"/>
        <rFont val="宋体"/>
        <family val="1"/>
        <charset val="134"/>
      </rPr>
      <t>内容（</t>
    </r>
    <r>
      <rPr>
        <sz val="11"/>
        <color theme="1"/>
        <rFont val="Times New Roman"/>
        <family val="1"/>
      </rPr>
      <t>25.4.21</t>
    </r>
    <r>
      <rPr>
        <sz val="11"/>
        <color theme="1"/>
        <rFont val="宋体"/>
        <family val="1"/>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1"/>
        <charset val="134"/>
      </rPr>
      <t>：重新将特性栏缩减，修复</t>
    </r>
    <r>
      <rPr>
        <sz val="11"/>
        <color theme="1"/>
        <rFont val="Times New Roman"/>
        <family val="1"/>
      </rPr>
      <t>BUG
0.3.5</t>
    </r>
    <r>
      <rPr>
        <sz val="11"/>
        <color theme="1"/>
        <rFont val="宋体"/>
        <family val="1"/>
        <charset val="134"/>
      </rPr>
      <t>：背景页面布局小调，左三页面边框改成深灰，灵能</t>
    </r>
    <r>
      <rPr>
        <sz val="11"/>
        <color theme="1"/>
        <rFont val="Times New Roman"/>
        <family val="1"/>
      </rPr>
      <t>UA</t>
    </r>
    <r>
      <rPr>
        <sz val="11"/>
        <color theme="1"/>
        <rFont val="宋体"/>
        <family val="1"/>
        <charset val="134"/>
      </rPr>
      <t>收录</t>
    </r>
    <r>
      <rPr>
        <sz val="11"/>
        <color theme="1"/>
        <rFont val="Times New Roman"/>
        <family val="1"/>
      </rPr>
      <t xml:space="preserve">
0.4.2beta</t>
    </r>
    <r>
      <rPr>
        <sz val="11"/>
        <color theme="1"/>
        <rFont val="宋体"/>
        <family val="1"/>
        <charset val="134"/>
      </rPr>
      <t>：
不全书非合作方职业、专长、背景扩展收录完成，种族暂未收录，加了点私货占位
注：没有收录</t>
    </r>
    <r>
      <rPr>
        <sz val="11"/>
        <color theme="1"/>
        <rFont val="Times New Roman"/>
        <family val="1"/>
      </rPr>
      <t>SCAG</t>
    </r>
    <r>
      <rPr>
        <sz val="11"/>
        <color theme="1"/>
        <rFont val="宋体"/>
        <family val="1"/>
        <charset val="134"/>
      </rPr>
      <t>（剑湾冒险者指南）的子职与种族
背景页面调整，为兼容</t>
    </r>
    <r>
      <rPr>
        <sz val="11"/>
        <color theme="1"/>
        <rFont val="Times New Roman"/>
        <family val="1"/>
      </rPr>
      <t>14</t>
    </r>
    <r>
      <rPr>
        <sz val="11"/>
        <color theme="1"/>
        <rFont val="宋体"/>
        <family val="1"/>
        <charset val="134"/>
      </rPr>
      <t>背景的描述
魔契师祈唤按等级显示
增加全局修正技能加值
总等级不足</t>
    </r>
    <r>
      <rPr>
        <sz val="11"/>
        <color theme="1"/>
        <rFont val="Times New Roman"/>
        <family val="1"/>
      </rPr>
      <t>19</t>
    </r>
    <r>
      <rPr>
        <sz val="11"/>
        <color theme="1"/>
        <rFont val="宋体"/>
        <family val="1"/>
        <charset val="134"/>
      </rPr>
      <t>级时不显示传奇恩惠专长
被遗忘国度书</t>
    </r>
    <r>
      <rPr>
        <sz val="11"/>
        <color theme="1"/>
        <rFont val="Times New Roman"/>
        <family val="1"/>
      </rPr>
      <t>UA</t>
    </r>
    <r>
      <rPr>
        <sz val="11"/>
        <color theme="1"/>
        <rFont val="宋体"/>
        <family val="1"/>
        <charset val="134"/>
      </rPr>
      <t>内容删除，艾伯伦与灵能</t>
    </r>
    <r>
      <rPr>
        <sz val="11"/>
        <color theme="1"/>
        <rFont val="Times New Roman"/>
        <family val="1"/>
      </rPr>
      <t>1</t>
    </r>
    <r>
      <rPr>
        <sz val="11"/>
        <color theme="1"/>
        <rFont val="宋体"/>
        <family val="1"/>
        <charset val="134"/>
      </rPr>
      <t>期</t>
    </r>
    <r>
      <rPr>
        <sz val="11"/>
        <color theme="1"/>
        <rFont val="Times New Roman"/>
        <family val="1"/>
      </rPr>
      <t>UA</t>
    </r>
    <r>
      <rPr>
        <sz val="11"/>
        <color theme="1"/>
        <rFont val="宋体"/>
        <family val="1"/>
        <charset val="134"/>
      </rPr>
      <t>保留占位，但不参与选择</t>
    </r>
    <phoneticPr fontId="68" type="noConversion"/>
  </si>
  <si>
    <r>
      <t>0.5.1</t>
    </r>
    <r>
      <rPr>
        <sz val="11"/>
        <color theme="1"/>
        <rFont val="宋体"/>
        <family val="1"/>
        <charset val="134"/>
      </rPr>
      <t>：
种族由</t>
    </r>
    <r>
      <rPr>
        <b/>
        <sz val="11"/>
        <color theme="1"/>
        <rFont val="Times New Roman"/>
        <family val="1"/>
      </rPr>
      <t>MadMax</t>
    </r>
    <r>
      <rPr>
        <sz val="11"/>
        <color theme="1"/>
        <rFont val="宋体"/>
        <family val="1"/>
        <charset val="134"/>
      </rPr>
      <t>收录完成（目前已收录不全书除</t>
    </r>
    <r>
      <rPr>
        <sz val="11"/>
        <color theme="1"/>
        <rFont val="Times New Roman"/>
        <family val="1"/>
      </rPr>
      <t>SCAG</t>
    </r>
    <r>
      <rPr>
        <sz val="11"/>
        <color theme="1"/>
        <rFont val="宋体"/>
        <family val="1"/>
        <charset val="134"/>
      </rPr>
      <t>、合作方与</t>
    </r>
    <r>
      <rPr>
        <sz val="11"/>
        <color theme="1"/>
        <rFont val="Times New Roman"/>
        <family val="1"/>
      </rPr>
      <t>UA</t>
    </r>
    <r>
      <rPr>
        <sz val="11"/>
        <color theme="1"/>
        <rFont val="宋体"/>
        <family val="1"/>
        <charset val="134"/>
      </rPr>
      <t>全部扩展！）
克苏鲁扩展由</t>
    </r>
    <r>
      <rPr>
        <b/>
        <sz val="11"/>
        <color theme="1"/>
        <rFont val="宋体"/>
        <family val="3"/>
        <charset val="134"/>
      </rPr>
      <t>泉</t>
    </r>
    <r>
      <rPr>
        <sz val="11"/>
        <color theme="1"/>
        <rFont val="宋体"/>
        <family val="1"/>
        <charset val="134"/>
      </rPr>
      <t xml:space="preserve">收录完成
做了一些细节优化
</t>
    </r>
    <r>
      <rPr>
        <sz val="11"/>
        <color theme="1"/>
        <rFont val="Times New Roman"/>
        <family val="1"/>
      </rPr>
      <t>0.5.2</t>
    </r>
    <r>
      <rPr>
        <sz val="11"/>
        <color theme="1"/>
        <rFont val="宋体"/>
        <family val="1"/>
        <charset val="134"/>
      </rPr>
      <t>：
新增扩展内容包含资源的注释
血猎手职业收录
荒洲探险家指南收录（除种族）</t>
    </r>
    <r>
      <rPr>
        <sz val="11"/>
        <color theme="1"/>
        <rFont val="Times New Roman"/>
        <family val="1"/>
      </rPr>
      <t xml:space="preserve">
0.5.3</t>
    </r>
    <r>
      <rPr>
        <sz val="11"/>
        <color theme="1"/>
        <rFont val="宋体"/>
        <family val="1"/>
        <charset val="134"/>
      </rPr>
      <t xml:space="preserve">：德拉肯海姆扩展收录（未收录污染法术）；主要界面布局修改，私货再次删除
</t>
    </r>
    <r>
      <rPr>
        <sz val="11"/>
        <color theme="1"/>
        <rFont val="Times New Roman"/>
        <family val="1"/>
      </rPr>
      <t>0.5.4</t>
    </r>
    <r>
      <rPr>
        <sz val="11"/>
        <color theme="1"/>
        <rFont val="宋体"/>
        <family val="1"/>
        <charset val="134"/>
      </rPr>
      <t xml:space="preserve">：自定义新增专长、战风与背景
</t>
    </r>
    <r>
      <rPr>
        <sz val="11"/>
        <color theme="1"/>
        <rFont val="Times New Roman"/>
        <family val="1"/>
      </rPr>
      <t>0.5.5</t>
    </r>
    <r>
      <rPr>
        <sz val="11"/>
        <color theme="1"/>
        <rFont val="宋体"/>
        <family val="1"/>
        <charset val="134"/>
      </rPr>
      <t>：塔尔多雷扩展收录，</t>
    </r>
    <r>
      <rPr>
        <sz val="11"/>
        <color theme="1"/>
        <rFont val="Times New Roman"/>
        <family val="1"/>
      </rPr>
      <t>BUG</t>
    </r>
    <r>
      <rPr>
        <sz val="11"/>
        <color theme="1"/>
        <rFont val="宋体"/>
        <family val="1"/>
        <charset val="134"/>
      </rPr>
      <t xml:space="preserve">修复，部分区域的公式调整，背包速查增加价格显示
</t>
    </r>
    <r>
      <rPr>
        <sz val="11"/>
        <color theme="1"/>
        <rFont val="Times New Roman"/>
        <family val="1"/>
      </rPr>
      <t>0.5.6</t>
    </r>
    <r>
      <rPr>
        <sz val="11"/>
        <color theme="1"/>
        <rFont val="宋体"/>
        <family val="1"/>
        <charset val="134"/>
      </rPr>
      <t xml:space="preserve">：将部分注释更换为输入信息，减少红色角标数量
</t>
    </r>
    <r>
      <rPr>
        <sz val="11"/>
        <color theme="1"/>
        <rFont val="Times New Roman"/>
        <family val="1"/>
      </rPr>
      <t>0.5.7</t>
    </r>
    <r>
      <rPr>
        <sz val="11"/>
        <color theme="1"/>
        <rFont val="宋体"/>
        <family val="1"/>
        <charset val="134"/>
      </rPr>
      <t>：
秘密尖塔、歪曲之月和胧忆岛扩展收录，法术大全颜色区分完善
以上由</t>
    </r>
    <r>
      <rPr>
        <b/>
        <sz val="11"/>
        <color theme="1"/>
        <rFont val="Times New Roman"/>
        <family val="1"/>
      </rPr>
      <t>MadMax</t>
    </r>
    <r>
      <rPr>
        <sz val="11"/>
        <color theme="1"/>
        <rFont val="宋体"/>
        <family val="1"/>
        <charset val="134"/>
      </rPr>
      <t xml:space="preserve">完成
主要页面装备区块布局修改，完善了部分公式
</t>
    </r>
    <r>
      <rPr>
        <sz val="11"/>
        <color theme="1"/>
        <rFont val="Times New Roman"/>
        <family val="1"/>
      </rPr>
      <t>0.5.8</t>
    </r>
    <r>
      <rPr>
        <sz val="11"/>
        <color theme="1"/>
        <rFont val="宋体"/>
        <family val="1"/>
        <charset val="134"/>
      </rPr>
      <t xml:space="preserve">：主要界面布局修改，增加特殊能力计数，删除劣势格
</t>
    </r>
    <r>
      <rPr>
        <sz val="11"/>
        <color theme="1"/>
        <rFont val="Times New Roman"/>
        <family val="1"/>
      </rPr>
      <t>0.5.9</t>
    </r>
    <r>
      <rPr>
        <sz val="11"/>
        <color theme="1"/>
        <rFont val="宋体"/>
        <family val="1"/>
        <charset val="134"/>
      </rPr>
      <t>：邪狱使，鬼魅幽谷收录完成，据点页面加入设施速查与规则描述</t>
    </r>
    <r>
      <rPr>
        <sz val="11"/>
        <color theme="1"/>
        <rFont val="Times New Roman"/>
        <family val="1"/>
      </rPr>
      <t xml:space="preserve">
0.6.0</t>
    </r>
    <r>
      <rPr>
        <sz val="11"/>
        <color theme="1"/>
        <rFont val="宋体"/>
        <family val="1"/>
        <charset val="134"/>
      </rPr>
      <t xml:space="preserve">：被偷偷吃掉了
</t>
    </r>
    <r>
      <rPr>
        <sz val="11"/>
        <color theme="1"/>
        <rFont val="Times New Roman"/>
        <family val="1"/>
      </rPr>
      <t>———————
0.7.0</t>
    </r>
    <r>
      <rPr>
        <sz val="11"/>
        <color theme="1"/>
        <rFont val="宋体"/>
        <family val="1"/>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 xml:space="preserve">和艾伯伦以外的资源已全部收录！
</t>
    </r>
    <r>
      <rPr>
        <sz val="11"/>
        <color theme="1"/>
        <rFont val="Times New Roman"/>
        <family val="1"/>
      </rPr>
      <t>0.7.1</t>
    </r>
    <r>
      <rPr>
        <sz val="11"/>
        <color theme="1"/>
        <rFont val="宋体"/>
        <family val="1"/>
        <charset val="134"/>
      </rPr>
      <t xml:space="preserve">：主要界面职业特性布局恢复
</t>
    </r>
    <r>
      <rPr>
        <sz val="11"/>
        <color theme="1"/>
        <rFont val="Times New Roman"/>
        <family val="1"/>
      </rPr>
      <t>0.7.2</t>
    </r>
    <r>
      <rPr>
        <sz val="11"/>
        <color theme="1"/>
        <rFont val="宋体"/>
        <family val="1"/>
        <charset val="134"/>
      </rPr>
      <t>：补上了消失的</t>
    </r>
    <r>
      <rPr>
        <sz val="11"/>
        <color theme="1"/>
        <rFont val="Times New Roman"/>
        <family val="1"/>
      </rPr>
      <t>0.6</t>
    </r>
    <r>
      <rPr>
        <sz val="11"/>
        <color theme="1"/>
        <rFont val="宋体"/>
        <family val="1"/>
        <charset val="134"/>
      </rPr>
      <t xml:space="preserve">版本的描述，修改了此页面的布局（这种事情也算一个小版本更新吗，哈基灵你这家伙）
</t>
    </r>
    <r>
      <rPr>
        <sz val="11"/>
        <color theme="1"/>
        <rFont val="Times New Roman"/>
        <family val="1"/>
      </rPr>
      <t>0.7.3</t>
    </r>
    <r>
      <rPr>
        <sz val="11"/>
        <color theme="1"/>
        <rFont val="宋体"/>
        <family val="1"/>
        <charset val="134"/>
      </rPr>
      <t xml:space="preserve">：法术大全按照环位排序，被遗忘的国度：费伦英雄收录
</t>
    </r>
    <r>
      <rPr>
        <sz val="11"/>
        <color theme="1"/>
        <rFont val="Times New Roman"/>
        <family val="1"/>
      </rPr>
      <t>0.7.3.1</t>
    </r>
    <r>
      <rPr>
        <sz val="11"/>
        <color theme="1"/>
        <rFont val="宋体"/>
        <family val="1"/>
        <charset val="134"/>
      </rPr>
      <t xml:space="preserve">：洛温：初光收录
</t>
    </r>
    <r>
      <rPr>
        <sz val="11"/>
        <color theme="1"/>
        <rFont val="Times New Roman"/>
        <family val="1"/>
      </rPr>
      <t>0.7.4</t>
    </r>
    <r>
      <rPr>
        <sz val="11"/>
        <color theme="1"/>
        <rFont val="宋体"/>
        <family val="1"/>
        <charset val="134"/>
      </rPr>
      <t xml:space="preserve">：增加生命骰自动显示（无兼职情况显示主职业，有兼职时不显示）
</t>
    </r>
    <r>
      <rPr>
        <sz val="11"/>
        <color theme="1"/>
        <rFont val="Times New Roman"/>
        <family val="1"/>
      </rPr>
      <t>0.7.4.1</t>
    </r>
    <r>
      <rPr>
        <sz val="11"/>
        <color theme="1"/>
        <rFont val="宋体"/>
        <family val="1"/>
        <charset val="134"/>
      </rPr>
      <t>：魔契师职业选取</t>
    </r>
    <r>
      <rPr>
        <sz val="11"/>
        <color theme="1"/>
        <rFont val="Times New Roman"/>
        <family val="1"/>
      </rPr>
      <t>bug</t>
    </r>
    <r>
      <rPr>
        <sz val="11"/>
        <color theme="1"/>
        <rFont val="宋体"/>
        <family val="1"/>
        <charset val="134"/>
      </rPr>
      <t xml:space="preserve">修复，经验条进度更改为下一级
</t>
    </r>
    <r>
      <rPr>
        <sz val="11"/>
        <color theme="1"/>
        <rFont val="Times New Roman"/>
        <family val="1"/>
      </rPr>
      <t>0.7.4.2</t>
    </r>
    <r>
      <rPr>
        <sz val="11"/>
        <color theme="1"/>
        <rFont val="宋体"/>
        <family val="1"/>
        <charset val="134"/>
      </rPr>
      <t>：删除辅助修订者的</t>
    </r>
    <r>
      <rPr>
        <sz val="11"/>
        <color theme="1"/>
        <rFont val="Times New Roman"/>
        <family val="1"/>
      </rPr>
      <t>QQ</t>
    </r>
    <r>
      <rPr>
        <sz val="11"/>
        <color theme="1"/>
        <rFont val="宋体"/>
        <family val="1"/>
        <charset val="134"/>
      </rPr>
      <t xml:space="preserve">号记录，优化经验条选项
</t>
    </r>
    <r>
      <rPr>
        <sz val="11"/>
        <color theme="1"/>
        <rFont val="Times New Roman"/>
        <family val="1"/>
      </rPr>
      <t>0.7.5</t>
    </r>
    <r>
      <rPr>
        <sz val="11"/>
        <color theme="1"/>
        <rFont val="宋体"/>
        <family val="1"/>
        <charset val="134"/>
      </rPr>
      <t>：在自定义页面增加了</t>
    </r>
    <r>
      <rPr>
        <sz val="11"/>
        <color theme="1"/>
        <rFont val="Times New Roman"/>
        <family val="1"/>
      </rPr>
      <t>27buy</t>
    </r>
    <r>
      <rPr>
        <sz val="11"/>
        <color theme="1"/>
        <rFont val="宋体"/>
        <family val="1"/>
        <charset val="134"/>
      </rPr>
      <t>计算器，把部分公式回退以支持移动端更改自动卡</t>
    </r>
    <phoneticPr fontId="68" type="noConversion"/>
  </si>
  <si>
    <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phoneticPr fontId="68" type="noConversion"/>
  </si>
  <si>
    <r>
      <t>5E2024</t>
    </r>
    <r>
      <rPr>
        <b/>
        <sz val="12"/>
        <color theme="0"/>
        <rFont val="宋体"/>
        <family val="3"/>
        <charset val="134"/>
      </rPr>
      <t>更新记录</t>
    </r>
    <r>
      <rPr>
        <b/>
        <sz val="12"/>
        <color theme="0"/>
        <rFont val="宋体"/>
        <family val="1"/>
        <charset val="134"/>
      </rPr>
      <t>（</t>
    </r>
    <r>
      <rPr>
        <b/>
        <sz val="12"/>
        <color theme="0"/>
        <rFont val="Times New Roman"/>
        <family val="1"/>
      </rPr>
      <t>1.0</t>
    </r>
    <r>
      <rPr>
        <b/>
        <sz val="12"/>
        <color theme="0"/>
        <rFont val="宋体"/>
        <family val="1"/>
        <charset val="134"/>
      </rPr>
      <t>正式版前）</t>
    </r>
    <phoneticPr fontId="68" type="noConversion"/>
  </si>
  <si>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</si>
  <si>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</si>
  <si>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</si>
  <si>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</si>
  <si>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</si>
  <si>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</si>
  <si>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</si>
  <si>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</si>
  <si>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力量、体质、魅力</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</si>
  <si>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</si>
  <si>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</si>
  <si>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</si>
  <si>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</si>
  <si>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</si>
  <si>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</si>
  <si>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</si>
  <si>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</si>
  <si>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</si>
  <si>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</si>
  <si>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</si>
  <si>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</si>
  <si>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</si>
  <si>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</si>
  <si>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洞悉与游说</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</si>
  <si>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</si>
  <si>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</si>
  <si>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</si>
  <si>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</si>
  <si>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</si>
  <si>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</si>
  <si>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</si>
  <si>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</si>
  <si>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</si>
  <si>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</si>
  <si>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</si>
  <si>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</si>
  <si>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</si>
  <si>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</si>
  <si>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欺瞒与隐匿</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</si>
  <si>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</si>
  <si>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敏捷、智力、魅力</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</si>
  <si>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</si>
  <si>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</si>
  <si>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</si>
  <si>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</si>
  <si>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</si>
  <si>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</si>
  <si>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</si>
  <si>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</si>
  <si>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</si>
  <si>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</si>
  <si>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异种龙纹</t>
    <phoneticPr fontId="68" type="noConversion"/>
  </si>
  <si>
    <t>侦测龙纹</t>
  </si>
  <si>
    <t>探寻龙纹</t>
  </si>
  <si>
    <t>畜牧龙纹</t>
  </si>
  <si>
    <t>医疗龙纹</t>
  </si>
  <si>
    <t>招待龙纹</t>
  </si>
  <si>
    <t>创造龙纹</t>
  </si>
  <si>
    <t>通行龙纹</t>
  </si>
  <si>
    <t>抄录龙纹</t>
  </si>
  <si>
    <t>哨戒龙纹</t>
  </si>
  <si>
    <t>阴影龙纹</t>
  </si>
  <si>
    <t>暴风龙纹</t>
  </si>
  <si>
    <t>守御龙纹</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</si>
  <si>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phoneticPr fontId="68" type="noConversion"/>
  </si>
  <si>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phoneticPr fontId="68" type="noConversion"/>
  </si>
  <si>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phoneticPr fontId="68" type="noConversion"/>
  </si>
  <si>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phoneticPr fontId="68" type="noConversion"/>
  </si>
  <si>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phoneticPr fontId="68" type="noConversion"/>
  </si>
  <si>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phoneticPr fontId="68" type="noConversion"/>
  </si>
  <si>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phoneticPr fontId="68" type="noConversion"/>
  </si>
  <si>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phoneticPr fontId="68" type="noConversion"/>
  </si>
  <si>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phoneticPr fontId="68" type="noConversion"/>
  </si>
  <si>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phoneticPr fontId="68" type="noConversion"/>
  </si>
  <si>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phoneticPr fontId="68" type="noConversion"/>
  </si>
  <si>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phoneticPr fontId="68" type="noConversion"/>
  </si>
  <si>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phoneticPr fontId="68" type="noConversion"/>
  </si>
  <si>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phoneticPr fontId="68" type="noConversion"/>
  </si>
  <si>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phoneticPr fontId="68" type="noConversion"/>
  </si>
  <si>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phoneticPr fontId="68" type="noConversion"/>
  </si>
  <si>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phoneticPr fontId="68" type="noConversion"/>
  </si>
  <si>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phoneticPr fontId="68" type="noConversion"/>
  </si>
  <si>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phoneticPr fontId="68" type="noConversion"/>
  </si>
  <si>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phoneticPr fontId="68" type="noConversion"/>
  </si>
  <si>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phoneticPr fontId="68" type="noConversion"/>
  </si>
  <si>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phoneticPr fontId="68" type="noConversion"/>
  </si>
  <si>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phoneticPr fontId="68" type="noConversion"/>
  </si>
  <si>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phoneticPr fontId="68" type="noConversion"/>
  </si>
  <si>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phoneticPr fontId="68" type="noConversion"/>
  </si>
  <si>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phoneticPr fontId="68" type="noConversion"/>
  </si>
  <si>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phoneticPr fontId="68" type="noConversion"/>
  </si>
  <si>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phoneticPr fontId="68" type="noConversion"/>
  </si>
  <si>
    <t>轻型</t>
    <phoneticPr fontId="68" type="noConversion"/>
  </si>
  <si>
    <t>灵巧，轻型</t>
    <phoneticPr fontId="68" type="noConversion"/>
  </si>
  <si>
    <t>推离</t>
    <phoneticPr fontId="68" type="noConversion"/>
  </si>
  <si>
    <t>削弱</t>
    <phoneticPr fontId="68" type="noConversion"/>
  </si>
  <si>
    <t>3 GP</t>
    <phoneticPr fontId="68" type="noConversion"/>
  </si>
  <si>
    <t xml:space="preserve">—轻甲— </t>
    <phoneticPr fontId="68" type="noConversion"/>
  </si>
  <si>
    <t>—中甲—</t>
    <phoneticPr fontId="68" type="noConversion"/>
  </si>
  <si>
    <t xml:space="preserve">—重甲—  </t>
    <phoneticPr fontId="68" type="noConversion"/>
  </si>
  <si>
    <t>—简易近战—</t>
    <phoneticPr fontId="68" type="noConversion"/>
  </si>
  <si>
    <t>—简易远程—</t>
    <phoneticPr fontId="68" type="noConversion"/>
  </si>
  <si>
    <t>—军用近战—</t>
    <phoneticPr fontId="68" type="noConversion"/>
  </si>
  <si>
    <t>—军用远程—</t>
    <phoneticPr fontId="68" type="noConversion"/>
  </si>
  <si>
    <t>犬师拳狩</t>
    <phoneticPr fontId="68" type="noConversion"/>
  </si>
  <si>
    <t>惧恶之手</t>
    <phoneticPr fontId="68" type="noConversion"/>
  </si>
  <si>
    <t>怒雷恶氓</t>
    <phoneticPr fontId="68" type="noConversion"/>
  </si>
  <si>
    <t>街角圣徒</t>
    <phoneticPr fontId="68" type="noConversion"/>
  </si>
  <si>
    <t>方圆擂尊</t>
    <phoneticPr fontId="68" type="noConversion"/>
  </si>
  <si>
    <t>甜蜜科学</t>
    <phoneticPr fontId="68" type="noConversion"/>
  </si>
  <si>
    <t>力量与体质</t>
    <phoneticPr fontId="68" type="noConversion"/>
  </si>
  <si>
    <t>当你在自己的回合执行攻击动作时，你可以发动两次攻击而非一次。</t>
  </si>
  <si>
    <r>
      <rPr>
        <sz val="10"/>
        <color theme="1"/>
        <rFont val="宋体"/>
        <family val="1"/>
        <charset val="134"/>
      </rPr>
      <t>选择</t>
    </r>
    <r>
      <rPr>
        <sz val="10"/>
        <color theme="1"/>
        <rFont val="Times New Roman"/>
        <family val="1"/>
      </rPr>
      <t>2</t>
    </r>
    <r>
      <rPr>
        <sz val="10"/>
        <color theme="1"/>
        <rFont val="宋体"/>
        <family val="1"/>
        <charset val="134"/>
      </rPr>
      <t>项：特技、运动、欺瞒、威吓、察觉、巧手或隐匿</t>
    </r>
    <phoneticPr fontId="68" type="noConversion"/>
  </si>
  <si>
    <t>简易和临时武器</t>
    <phoneticPr fontId="68" type="noConversion"/>
  </si>
  <si>
    <r>
      <rPr>
        <sz val="10"/>
        <color theme="1"/>
        <rFont val="宋体"/>
        <family val="1"/>
        <charset val="134"/>
      </rPr>
      <t>任选</t>
    </r>
    <r>
      <rPr>
        <sz val="10"/>
        <color theme="1"/>
        <rFont val="Times New Roman"/>
        <family val="1"/>
      </rPr>
      <t>1</t>
    </r>
    <r>
      <rPr>
        <sz val="10"/>
        <color theme="1"/>
        <rFont val="宋体"/>
        <family val="1"/>
        <charset val="134"/>
      </rPr>
      <t>项赌具</t>
    </r>
    <phoneticPr fontId="68" type="noConversion"/>
  </si>
  <si>
    <r>
      <rPr>
        <sz val="10"/>
        <color theme="1"/>
        <rFont val="宋体"/>
        <family val="1"/>
        <charset val="134"/>
      </rPr>
      <t>选择</t>
    </r>
    <r>
      <rPr>
        <sz val="10"/>
        <color theme="1"/>
        <rFont val="Times New Roman"/>
        <family val="1"/>
      </rPr>
      <t>A</t>
    </r>
    <r>
      <rPr>
        <sz val="10"/>
        <color theme="1"/>
        <rFont val="宋体"/>
        <family val="1"/>
        <charset val="134"/>
      </rPr>
      <t>或</t>
    </r>
    <r>
      <rPr>
        <sz val="10"/>
        <color theme="1"/>
        <rFont val="Times New Roman"/>
        <family val="1"/>
      </rPr>
      <t>B</t>
    </r>
    <r>
      <rPr>
        <sz val="10"/>
        <color theme="1"/>
        <rFont val="宋体"/>
        <family val="1"/>
        <charset val="134"/>
      </rPr>
      <t>：</t>
    </r>
    <r>
      <rPr>
        <sz val="10"/>
        <color theme="1"/>
        <rFont val="Times New Roman"/>
        <family val="1"/>
      </rPr>
      <t xml:space="preserve">(A) </t>
    </r>
    <r>
      <rPr>
        <sz val="10"/>
        <color theme="1"/>
        <rFont val="宋体"/>
        <family val="1"/>
        <charset val="134"/>
      </rPr>
      <t>短棒，手斧，赌具（与上述工具熟练的种类相同），地城套组以及</t>
    </r>
    <r>
      <rPr>
        <sz val="10"/>
        <color theme="1"/>
        <rFont val="Times New Roman"/>
        <family val="1"/>
      </rPr>
      <t>31GP</t>
    </r>
    <r>
      <rPr>
        <sz val="10"/>
        <color theme="1"/>
        <rFont val="宋体"/>
        <family val="1"/>
        <charset val="134"/>
      </rPr>
      <t>；或者</t>
    </r>
    <r>
      <rPr>
        <sz val="10"/>
        <color theme="1"/>
        <rFont val="Times New Roman"/>
        <family val="1"/>
      </rPr>
      <t>(B) 50GP</t>
    </r>
    <phoneticPr fontId="68" type="noConversion"/>
  </si>
  <si>
    <r>
      <t>若你未着甲或仅着装轻甲且未持用盾牌，你的基础护甲等级等于</t>
    </r>
    <r>
      <rPr>
        <sz val="10"/>
        <color theme="1"/>
        <rFont val="Times New Roman"/>
        <family val="1"/>
      </rPr>
      <t>12+</t>
    </r>
    <r>
      <rPr>
        <sz val="10"/>
        <color theme="1"/>
        <rFont val="宋体"/>
        <family val="3"/>
        <charset val="134"/>
      </rPr>
      <t>你的体质调整值。</t>
    </r>
  </si>
  <si>
    <r>
      <t>当你的力量、敏捷、体质或魅力检定失败时，你能消耗</t>
    </r>
    <r>
      <rPr>
        <sz val="10"/>
        <color theme="1"/>
        <rFont val="Times New Roman"/>
        <family val="1"/>
      </rPr>
      <t>1</t>
    </r>
    <r>
      <rPr>
        <sz val="10"/>
        <color theme="1"/>
        <rFont val="宋体"/>
        <family val="3"/>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</si>
  <si>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t>当你以徒手打击命中一名生物时，你能在应用徒手打击的伤害选项的同时选择应用擒抱或推撞选项中的一项。</t>
  </si>
  <si>
    <r>
      <t>你选择获得一项拳斗士子职。子职的内容见后文。子职是一种特化，在特定的拳斗士等级给予你对应的独特能力。此后你将获得你所选的子职所有能力</t>
    </r>
    <r>
      <rPr>
        <sz val="10"/>
        <color theme="1"/>
        <rFont val="Times New Roman"/>
        <family val="1"/>
      </rPr>
      <t>——</t>
    </r>
    <r>
      <rPr>
        <sz val="10"/>
        <color theme="1"/>
        <rFont val="宋体"/>
        <family val="3"/>
        <charset val="134"/>
      </rPr>
      <t>只要其所需等级不超过你的拳斗士等级。</t>
    </r>
  </si>
  <si>
    <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</si>
  <si>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t>当你以徒手打击或拳斗武器发动一次攻击时，你能消耗</t>
    </r>
    <r>
      <rPr>
        <sz val="10"/>
        <color theme="1"/>
        <rFont val="Times New Roman"/>
        <family val="1"/>
      </rPr>
      <t>1</t>
    </r>
    <r>
      <rPr>
        <sz val="10"/>
        <color theme="1"/>
        <rFont val="宋体"/>
        <family val="3"/>
        <charset val="134"/>
      </rPr>
      <t>点锐气来毫无保留的攻击。若命中，你重获消耗的那点锐气，且你那次攻击造成最大伤害。</t>
    </r>
  </si>
  <si>
    <t>当你以徒手打击或以临时武器发动的攻击造成伤害时，你可以选择造成力场伤害或是其原本的伤害类型。</t>
  </si>
  <si>
    <r>
      <t>当你投掷先攻时，你能移除你身上的</t>
    </r>
    <r>
      <rPr>
        <sz val="10"/>
        <color theme="1"/>
        <rFont val="Times New Roman"/>
        <family val="1"/>
      </rPr>
      <t>1</t>
    </r>
    <r>
      <rPr>
        <sz val="10"/>
        <color theme="1"/>
        <rFont val="宋体"/>
        <family val="3"/>
        <charset val="134"/>
      </rPr>
      <t>级力竭并重置你一线胜机、反求诸己和甩脱重担的使用权</t>
    </r>
  </si>
  <si>
    <r>
      <t>你获得一项传奇恩惠专长或其他一项你选择的适用的专长。推荐选择英勇战斗之恩惠</t>
    </r>
    <r>
      <rPr>
        <sz val="10"/>
        <color theme="1"/>
        <rFont val="Times New Roman"/>
        <family val="1"/>
      </rPr>
      <t xml:space="preserve"> </t>
    </r>
    <r>
      <rPr>
        <sz val="10"/>
        <color theme="1"/>
        <rFont val="宋体"/>
        <family val="3"/>
        <charset val="134"/>
      </rPr>
      <t>。</t>
    </r>
  </si>
  <si>
    <r>
      <t>你在黑街和酒馆年复一年的战斗让你精通使用徒手打击和拳斗武器的战斗风格，拳斗武器包括：_x000D_
_x000D_
简易近战武器_x000D_
临时武器_x000D_
若你未持械或是仅使用拳斗武器，且你未着甲或仅着装轻甲并且没有持用盾牌，你获得以下增益：_x000D_
附赠徒手打击</t>
    </r>
    <r>
      <rPr>
        <sz val="10"/>
        <color theme="1"/>
        <rFont val="Times New Roman"/>
        <family val="1"/>
      </rPr>
      <t>Bonus Unarmed Strike</t>
    </r>
    <r>
      <rPr>
        <sz val="10"/>
        <color theme="1"/>
        <rFont val="宋体"/>
        <family val="3"/>
        <charset val="134"/>
      </rPr>
      <t>。你能以附赠动作发动一次徒手打击。_x000D_
拳斗骰</t>
    </r>
    <r>
      <rPr>
        <sz val="10"/>
        <color theme="1"/>
        <rFont val="Times New Roman"/>
        <family val="1"/>
      </rPr>
      <t>Fisticuffs Die</t>
    </r>
    <r>
      <rPr>
        <sz val="10"/>
        <color theme="1"/>
        <rFont val="宋体"/>
        <family val="3"/>
        <charset val="134"/>
      </rPr>
      <t>。你使用徒手打击或拳斗武器进行攻击时，可以选择用</t>
    </r>
    <r>
      <rPr>
        <sz val="10"/>
        <color theme="1"/>
        <rFont val="Times New Roman"/>
        <family val="1"/>
      </rPr>
      <t>1d8</t>
    </r>
    <r>
      <rPr>
        <sz val="10"/>
        <color theme="1"/>
        <rFont val="宋体"/>
        <family val="3"/>
        <charset val="134"/>
      </rPr>
      <t>骰代替原本的伤害。该骰子将随拳斗士职业等级的提升而增大，具体数据见拳斗士特性表中的拳斗骰一列。_x000D_
临时能弑</t>
    </r>
    <r>
      <rPr>
        <sz val="10"/>
        <color theme="1"/>
        <rFont val="Times New Roman"/>
        <family val="1"/>
      </rPr>
      <t>Improved Improvisation</t>
    </r>
    <r>
      <rPr>
        <sz val="10"/>
        <color theme="1"/>
        <rFont val="宋体"/>
        <family val="3"/>
        <charset val="134"/>
      </rPr>
      <t>。你有着将万物化作武器的天赋，这让你能运用临时武器的精通词条。所有临时武器对你而言具有削弱精通词条。</t>
    </r>
  </si>
  <si>
    <r>
      <t>你战胜逆境的经历让你在战斗时充满勇气，这种自信表现为你的锐气。你的拳斗士等级决定了你拥有多少点锐气，具体数据见拳斗士特性表中的锐气一列。_x000D_
你可以消耗锐气来增强或启动特定的拳斗士特性。你一开始掌握三种特性：振奋精神，左右开弓，寓攻于走。细节见下。_x000D_
每当你消耗</t>
    </r>
    <r>
      <rPr>
        <sz val="10"/>
        <color theme="1"/>
        <rFont val="Times New Roman"/>
        <family val="1"/>
      </rPr>
      <t>1</t>
    </r>
    <r>
      <rPr>
        <sz val="10"/>
        <color theme="1"/>
        <rFont val="宋体"/>
        <family val="3"/>
        <charset val="134"/>
      </rPr>
      <t>点锐气时，其将暂时不可以再被使用直至你完成一次短休或长休。在完成休息时，你将重获所有已消耗的锐气。_x000D_
振奋精神</t>
    </r>
    <r>
      <rPr>
        <sz val="10"/>
        <color theme="1"/>
        <rFont val="Times New Roman"/>
        <family val="1"/>
      </rPr>
      <t>Brace up</t>
    </r>
    <r>
      <rPr>
        <sz val="10"/>
        <color theme="1"/>
        <rFont val="宋体"/>
        <family val="3"/>
        <charset val="134"/>
      </rPr>
      <t>。你能以附赠动作消耗</t>
    </r>
    <r>
      <rPr>
        <sz val="10"/>
        <color theme="1"/>
        <rFont val="Times New Roman"/>
        <family val="1"/>
      </rPr>
      <t>1</t>
    </r>
    <r>
      <rPr>
        <sz val="10"/>
        <color theme="1"/>
        <rFont val="宋体"/>
        <family val="3"/>
        <charset val="134"/>
      </rPr>
      <t>点锐气来从攻击中为应对攻击打起精神。当你如此做时，投掷你的拳斗骰并获得骰值加你的拳斗士等级加你的体质调整值的临时生命值。该临时生命值将在</t>
    </r>
    <r>
      <rPr>
        <sz val="10"/>
        <color theme="1"/>
        <rFont val="Times New Roman"/>
        <family val="1"/>
      </rPr>
      <t>10</t>
    </r>
    <r>
      <rPr>
        <sz val="10"/>
        <color theme="1"/>
        <rFont val="宋体"/>
        <family val="3"/>
        <charset val="134"/>
      </rPr>
      <t>分钟后消失（若有剩余）。_x000D_
左右开弓</t>
    </r>
    <r>
      <rPr>
        <sz val="10"/>
        <color theme="1"/>
        <rFont val="Times New Roman"/>
        <family val="1"/>
      </rPr>
      <t>One-Two Punch</t>
    </r>
    <r>
      <rPr>
        <sz val="10"/>
        <color theme="1"/>
        <rFont val="宋体"/>
        <family val="3"/>
        <charset val="134"/>
      </rPr>
      <t>。你能消耗</t>
    </r>
    <r>
      <rPr>
        <sz val="10"/>
        <color theme="1"/>
        <rFont val="Times New Roman"/>
        <family val="1"/>
      </rPr>
      <t>1</t>
    </r>
    <r>
      <rPr>
        <sz val="10"/>
        <color theme="1"/>
        <rFont val="宋体"/>
        <family val="3"/>
        <charset val="134"/>
      </rPr>
      <t>点锐气，以附赠动作发动两次徒手打击。_x000D_
寓攻于走</t>
    </r>
    <r>
      <rPr>
        <sz val="10"/>
        <color theme="1"/>
        <rFont val="Times New Roman"/>
        <family val="1"/>
      </rPr>
      <t>Stick and Move</t>
    </r>
    <r>
      <rPr>
        <sz val="10"/>
        <color theme="1"/>
        <rFont val="宋体"/>
        <family val="3"/>
        <charset val="134"/>
      </rPr>
      <t>。你能消耗</t>
    </r>
    <r>
      <rPr>
        <sz val="10"/>
        <color theme="1"/>
        <rFont val="Times New Roman"/>
        <family val="1"/>
      </rPr>
      <t>1</t>
    </r>
    <r>
      <rPr>
        <sz val="10"/>
        <color theme="1"/>
        <rFont val="宋体"/>
        <family val="3"/>
        <charset val="134"/>
      </rPr>
      <t>点锐气，并使用附赠动作发动一次徒手打击并执行疾行或撤离动作。</t>
    </r>
  </si>
  <si>
    <t>当你受到伤害时，你能以反应重获所有已消耗的锐气。若当你执行此反应时你处于浴血，你还会获得等于你拳斗士等级四倍的临时生命值。该临时生命值将在你完成长休时消失（若有剩余）。_x000D_
此特性一经使用，直至完成短休或长休你都无法再次使用。</t>
  </si>
  <si>
    <r>
      <t>你能以附赠动作反求诸己。你具有对钝击、穿刺和挥砍伤害的抗性，且你免疫等级低于</t>
    </r>
    <r>
      <rPr>
        <sz val="10"/>
        <color theme="1"/>
        <rFont val="Times New Roman"/>
        <family val="1"/>
      </rPr>
      <t>6</t>
    </r>
    <r>
      <rPr>
        <sz val="10"/>
        <color theme="1"/>
        <rFont val="宋体"/>
        <family val="3"/>
        <charset val="134"/>
      </rPr>
      <t>级的力竭效应，持续</t>
    </r>
    <r>
      <rPr>
        <sz val="10"/>
        <color theme="1"/>
        <rFont val="Times New Roman"/>
        <family val="1"/>
      </rPr>
      <t>10</t>
    </r>
    <r>
      <rPr>
        <sz val="10"/>
        <color theme="1"/>
        <rFont val="宋体"/>
        <family val="3"/>
        <charset val="134"/>
      </rPr>
      <t>分钟。_x000D_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</si>
  <si>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当你在浴血期间使用浴血奋战时，你能令你的徒手打击和拳斗武器发动的攻击造成的伤害获得加值，持续</t>
    </r>
    <r>
      <rPr>
        <sz val="10"/>
        <color theme="1"/>
        <rFont val="Times New Roman"/>
        <family val="1"/>
      </rPr>
      <t>1</t>
    </r>
    <r>
      <rPr>
        <sz val="10"/>
        <color theme="1"/>
        <rFont val="宋体"/>
        <family val="3"/>
        <charset val="134"/>
      </rPr>
      <t>分钟。加值等于你的体质调整值加你的力竭等级。_x000D_
此特性一经使用，直至完成长休你都无法再次使用。</t>
    </r>
  </si>
  <si>
    <r>
      <t>每回合一次，当你以徒手打击或以拳斗武器发动的攻击命中时，你能额外造成</t>
    </r>
    <r>
      <rPr>
        <sz val="10"/>
        <color theme="1"/>
        <rFont val="Times New Roman"/>
        <family val="1"/>
      </rPr>
      <t>1d12</t>
    </r>
    <r>
      <rPr>
        <sz val="10"/>
        <color theme="1"/>
        <rFont val="宋体"/>
        <family val="3"/>
        <charset val="134"/>
      </rPr>
      <t>伤害。伤害类型与该武器或徒手打击造成的伤害类型相同。你能放弃此额外伤害转而应用以下效应之一：_x000D_
害恶</t>
    </r>
    <r>
      <rPr>
        <sz val="10"/>
        <color theme="1"/>
        <rFont val="Times New Roman"/>
        <family val="1"/>
      </rPr>
      <t>Endanger</t>
    </r>
    <r>
      <rPr>
        <sz val="10"/>
        <color theme="1"/>
        <rFont val="宋体"/>
        <family val="3"/>
        <charset val="134"/>
      </rPr>
      <t>。该生物下次被攻击命中时，那次攻击造成伤害骰能造成的最大伤害而不进行掷骰。_x000D_
挑衅</t>
    </r>
    <r>
      <rPr>
        <sz val="10"/>
        <color theme="1"/>
        <rFont val="Times New Roman"/>
        <family val="1"/>
      </rPr>
      <t>Provoke</t>
    </r>
    <r>
      <rPr>
        <sz val="10"/>
        <color theme="1"/>
        <rFont val="宋体"/>
        <family val="3"/>
        <charset val="134"/>
      </rPr>
      <t>。该生物对你以外的生物进行的攻击检定具有劣势，持续至你的下个回合结束。</t>
    </r>
  </si>
  <si>
    <r>
      <t>你获得以下增益。_x000D_
承重者</t>
    </r>
    <r>
      <rPr>
        <sz val="10"/>
        <color theme="1"/>
        <rFont val="Times New Roman"/>
        <family val="1"/>
      </rPr>
      <t>Heavy Lifter</t>
    </r>
    <r>
      <rPr>
        <sz val="10"/>
        <color theme="1"/>
        <rFont val="宋体"/>
        <family val="3"/>
        <charset val="134"/>
      </rPr>
      <t>。计算载重时，你的力量翻倍。_x000D_
破柱者</t>
    </r>
    <r>
      <rPr>
        <sz val="10"/>
        <color theme="1"/>
        <rFont val="Times New Roman"/>
        <family val="1"/>
      </rPr>
      <t>Pillar Breaker</t>
    </r>
    <r>
      <rPr>
        <sz val="10"/>
        <color theme="1"/>
        <rFont val="宋体"/>
        <family val="3"/>
        <charset val="134"/>
      </rPr>
      <t>。当你以徒手打击命中一个物件时，此次命中变为重击命中。_x000D_
绝伦健将</t>
    </r>
    <r>
      <rPr>
        <sz val="10"/>
        <color theme="1"/>
        <rFont val="Times New Roman"/>
        <family val="1"/>
      </rPr>
      <t>Unmatched Athlete</t>
    </r>
    <r>
      <rPr>
        <sz val="10"/>
        <color theme="1"/>
        <rFont val="宋体"/>
        <family val="3"/>
        <charset val="134"/>
      </rPr>
      <t>。你的跳跃距离翻倍。</t>
    </r>
  </si>
  <si>
    <r>
      <t>在你的每个回合开始时（无需动作），你能够移除你身上的</t>
    </r>
    <r>
      <rPr>
        <sz val="10"/>
        <color theme="1"/>
        <rFont val="Times New Roman"/>
        <family val="1"/>
      </rPr>
      <t>1</t>
    </r>
    <r>
      <rPr>
        <sz val="10"/>
        <color theme="1"/>
        <rFont val="宋体"/>
        <family val="3"/>
        <charset val="134"/>
      </rPr>
      <t>级力竭或结束你身上的以下一种状态：目盲，魅惑，耳聋，恐慌，麻痹，中毒，束缚或震慑。_x000D_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</si>
  <si>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你能以附赠动作求己入圣。你获得反求诸己的所有增益并能够每回合使用你的披荆斩棘两次而非一次。_x000D_
此特性一经使用，直至完成长休你都无法再次使用。</t>
    </r>
    <r>
      <rPr>
        <sz val="10"/>
        <color theme="1"/>
        <rFont val="Times New Roman"/>
        <family val="1"/>
      </rPr>
      <t>20</t>
    </r>
    <r>
      <rPr>
        <sz val="10"/>
        <color theme="1"/>
        <rFont val="宋体"/>
        <family val="3"/>
        <charset val="134"/>
      </rPr>
      <t>级起，你在长休前能使用该特性两次。</t>
    </r>
  </si>
  <si>
    <r>
      <t>你的力量、敏捷和体质豁免具有优势。_x000D_
此外，每当你进行豁免检定失败时，你能消耗</t>
    </r>
    <r>
      <rPr>
        <sz val="10"/>
        <color theme="1"/>
        <rFont val="Times New Roman"/>
        <family val="1"/>
      </rPr>
      <t>1</t>
    </r>
    <r>
      <rPr>
        <sz val="10"/>
        <color theme="1"/>
        <rFont val="宋体"/>
        <family val="3"/>
        <charset val="134"/>
      </rPr>
      <t>点锐气重骰之，你必须使用新的结果。</t>
    </r>
  </si>
  <si>
    <r>
      <t>当你的生命值降至</t>
    </r>
    <r>
      <rPr>
        <sz val="10"/>
        <color theme="1"/>
        <rFont val="Times New Roman"/>
        <family val="1"/>
      </rPr>
      <t>0</t>
    </r>
    <r>
      <rPr>
        <sz val="10"/>
        <color theme="1"/>
        <rFont val="宋体"/>
        <family val="3"/>
        <charset val="134"/>
      </rPr>
      <t>但没有被立即杀死时，你能改为降至</t>
    </r>
    <r>
      <rPr>
        <sz val="10"/>
        <color theme="1"/>
        <rFont val="Times New Roman"/>
        <family val="1"/>
      </rPr>
      <t>1</t>
    </r>
    <r>
      <rPr>
        <sz val="10"/>
        <color theme="1"/>
        <rFont val="宋体"/>
        <family val="3"/>
        <charset val="134"/>
      </rPr>
      <t>生命值。若你如此做，你获得等于你生命值上限一半的临时生命值，重获所有已消耗的锐气。且你具有除力场伤害外所有伤害的抗性，持续</t>
    </r>
    <r>
      <rPr>
        <sz val="10"/>
        <color theme="1"/>
        <rFont val="Times New Roman"/>
        <family val="1"/>
      </rPr>
      <t>1</t>
    </r>
    <r>
      <rPr>
        <sz val="10"/>
        <color theme="1"/>
        <rFont val="宋体"/>
        <family val="3"/>
        <charset val="134"/>
      </rPr>
      <t>分钟。_x000D_
此特性一经使用，直至完成长休你都无法再次使用。</t>
    </r>
  </si>
  <si>
    <r>
      <t>你的力量和韧性堪称传奇。你获得以下增益。_x000D_
老当益壮</t>
    </r>
    <r>
      <rPr>
        <sz val="10"/>
        <color theme="1"/>
        <rFont val="Times New Roman"/>
        <family val="1"/>
      </rPr>
      <t>Hale and Hearty</t>
    </r>
    <r>
      <rPr>
        <sz val="10"/>
        <color theme="1"/>
        <rFont val="宋体"/>
        <family val="3"/>
        <charset val="134"/>
      </rPr>
      <t>。</t>
    </r>
    <r>
      <rPr>
        <sz val="10"/>
        <color theme="1"/>
        <rFont val="Times New Roman"/>
        <family val="1"/>
      </rPr>
      <t xml:space="preserve"> </t>
    </r>
    <r>
      <rPr>
        <sz val="10"/>
        <color theme="1"/>
        <rFont val="宋体"/>
        <family val="3"/>
        <charset val="134"/>
      </rPr>
      <t>你的力量和体质值提升</t>
    </r>
    <r>
      <rPr>
        <sz val="10"/>
        <color theme="1"/>
        <rFont val="Times New Roman"/>
        <family val="1"/>
      </rPr>
      <t>2</t>
    </r>
    <r>
      <rPr>
        <sz val="10"/>
        <color theme="1"/>
        <rFont val="宋体"/>
        <family val="3"/>
        <charset val="134"/>
      </rPr>
      <t>，至多提升至</t>
    </r>
    <r>
      <rPr>
        <sz val="10"/>
        <color theme="1"/>
        <rFont val="Times New Roman"/>
        <family val="1"/>
      </rPr>
      <t>23</t>
    </r>
    <r>
      <rPr>
        <sz val="10"/>
        <color theme="1"/>
        <rFont val="宋体"/>
        <family val="3"/>
        <charset val="134"/>
      </rPr>
      <t>。_x000D_
一觉解千愁</t>
    </r>
    <r>
      <rPr>
        <sz val="10"/>
        <color theme="1"/>
        <rFont val="Times New Roman"/>
        <family val="1"/>
      </rPr>
      <t>Sleep It Off</t>
    </r>
    <r>
      <rPr>
        <sz val="10"/>
        <color theme="1"/>
        <rFont val="宋体"/>
        <family val="3"/>
        <charset val="134"/>
      </rPr>
      <t>。</t>
    </r>
    <r>
      <rPr>
        <sz val="10"/>
        <color theme="1"/>
        <rFont val="Times New Roman"/>
        <family val="1"/>
      </rPr>
      <t xml:space="preserve"> </t>
    </r>
    <r>
      <rPr>
        <sz val="10"/>
        <color theme="1"/>
        <rFont val="宋体"/>
        <family val="3"/>
        <charset val="134"/>
      </rPr>
      <t>当你完成长休时，若你已陷入力竭状态，你失去所有力竭等级。_x000D_
活力四溢</t>
    </r>
    <r>
      <rPr>
        <sz val="10"/>
        <color theme="1"/>
        <rFont val="Times New Roman"/>
        <family val="1"/>
      </rPr>
      <t>Vim and Vigor</t>
    </r>
    <r>
      <rPr>
        <sz val="10"/>
        <color theme="1"/>
        <rFont val="宋体"/>
        <family val="3"/>
        <charset val="134"/>
      </rPr>
      <t>。</t>
    </r>
    <r>
      <rPr>
        <sz val="10"/>
        <color theme="1"/>
        <rFont val="Times New Roman"/>
        <family val="1"/>
      </rPr>
      <t xml:space="preserve"> </t>
    </r>
    <r>
      <rPr>
        <sz val="10"/>
        <color theme="1"/>
        <rFont val="宋体"/>
        <family val="3"/>
        <charset val="134"/>
      </rPr>
      <t>当你完成短休时，你恢复等于你拳斗士等级两倍的生命值。</t>
    </r>
  </si>
  <si>
    <t>拳斗</t>
    <phoneticPr fontId="68" type="noConversion"/>
  </si>
  <si>
    <t>钢颚铁护</t>
    <phoneticPr fontId="68" type="noConversion"/>
  </si>
  <si>
    <t>锐气</t>
    <phoneticPr fontId="68" type="noConversion"/>
  </si>
  <si>
    <t>浴血奋战</t>
    <phoneticPr fontId="68" type="noConversion"/>
  </si>
  <si>
    <t>傲然致胜</t>
    <phoneticPr fontId="68" type="noConversion"/>
  </si>
  <si>
    <t>重磅巨拳</t>
    <phoneticPr fontId="68" type="noConversion"/>
  </si>
  <si>
    <t>拳斗士子职</t>
    <phoneticPr fontId="68" type="noConversion"/>
  </si>
  <si>
    <t>反求诸己</t>
    <phoneticPr fontId="68" type="noConversion"/>
  </si>
  <si>
    <t>万钧痛击</t>
    <phoneticPr fontId="68" type="noConversion"/>
  </si>
  <si>
    <t>锐不可当</t>
    <phoneticPr fontId="68" type="noConversion"/>
  </si>
  <si>
    <t>一线胜机</t>
    <phoneticPr fontId="68" type="noConversion"/>
  </si>
  <si>
    <t>披荆斩棘</t>
    <phoneticPr fontId="68" type="noConversion"/>
  </si>
  <si>
    <t>海格力斯</t>
    <phoneticPr fontId="68" type="noConversion"/>
  </si>
  <si>
    <t>甩脱重担</t>
    <phoneticPr fontId="68" type="noConversion"/>
  </si>
  <si>
    <t>求己入圣</t>
    <phoneticPr fontId="68" type="noConversion"/>
  </si>
  <si>
    <t>坚不可摧</t>
    <phoneticPr fontId="68" type="noConversion"/>
  </si>
  <si>
    <t>好勇斗狠</t>
    <phoneticPr fontId="68" type="noConversion"/>
  </si>
  <si>
    <t>斗战之魂</t>
    <phoneticPr fontId="68" type="noConversion"/>
  </si>
  <si>
    <t>巅峰状态</t>
    <phoneticPr fontId="68" type="noConversion"/>
  </si>
  <si>
    <t>拳手最好的朋友</t>
    <phoneticPr fontId="68" type="noConversion"/>
  </si>
  <si>
    <r>
      <rPr>
        <sz val="10"/>
        <color theme="1"/>
        <rFont val="宋体"/>
        <family val="1"/>
        <charset val="134"/>
      </rPr>
      <t>你召唤一只野狗或流浪狗，并与之建立连接，其使用猎犬</t>
    </r>
    <r>
      <rPr>
        <sz val="10"/>
        <color theme="1"/>
        <rFont val="Times New Roman"/>
        <family val="1"/>
      </rPr>
      <t>Hound</t>
    </r>
    <r>
      <rPr>
        <sz val="10"/>
        <color theme="1"/>
        <rFont val="宋体"/>
        <family val="1"/>
        <charset val="134"/>
      </rPr>
      <t>数据卡并能从你无尽的韧性中汲取力量。</t>
    </r>
    <r>
      <rPr>
        <sz val="10"/>
        <color theme="1"/>
        <rFont val="Times New Roman"/>
        <family val="1"/>
      </rPr>
      <t xml:space="preserve">
</t>
    </r>
    <r>
      <rPr>
        <sz val="10"/>
        <color theme="1"/>
        <rFont val="宋体"/>
        <family val="1"/>
        <charset val="134"/>
      </rPr>
      <t>猎犬对你和你的盟友友好并服从你命令。若你死亡，猎犬会逃走。</t>
    </r>
    <r>
      <rPr>
        <sz val="10"/>
        <color theme="1"/>
        <rFont val="Times New Roman"/>
        <family val="1"/>
      </rPr>
      <t xml:space="preserve">
</t>
    </r>
    <r>
      <rPr>
        <sz val="10"/>
        <color theme="1"/>
        <rFont val="宋体"/>
        <family val="1"/>
        <charset val="134"/>
      </rPr>
      <t>战斗中的猎犬</t>
    </r>
    <r>
      <rPr>
        <sz val="10"/>
        <color theme="1"/>
        <rFont val="Times New Roman"/>
        <family val="1"/>
      </rPr>
      <t>The Hound in Combat</t>
    </r>
    <r>
      <rPr>
        <sz val="10"/>
        <color theme="1"/>
        <rFont val="宋体"/>
        <family val="1"/>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t>
    </r>
    <r>
      <rPr>
        <sz val="10"/>
        <color theme="1"/>
        <rFont val="Times New Roman"/>
        <family val="1"/>
      </rPr>
      <t xml:space="preserve">
</t>
    </r>
    <r>
      <rPr>
        <sz val="10"/>
        <color theme="1"/>
        <rFont val="宋体"/>
        <family val="1"/>
        <charset val="134"/>
      </rPr>
      <t>恢复或更换猎犬</t>
    </r>
    <r>
      <rPr>
        <sz val="10"/>
        <color theme="1"/>
        <rFont val="Times New Roman"/>
        <family val="1"/>
      </rPr>
      <t>Restoring or Replacing the Hound</t>
    </r>
    <r>
      <rPr>
        <sz val="10"/>
        <color theme="1"/>
        <rFont val="宋体"/>
        <family val="1"/>
        <charset val="134"/>
      </rPr>
      <t>。若猎犬在</t>
    </r>
    <r>
      <rPr>
        <sz val="10"/>
        <color theme="1"/>
        <rFont val="Times New Roman"/>
        <family val="1"/>
      </rPr>
      <t>1</t>
    </r>
    <r>
      <rPr>
        <sz val="10"/>
        <color theme="1"/>
        <rFont val="宋体"/>
        <family val="1"/>
        <charset val="134"/>
      </rPr>
      <t>小时内死亡，你能以魔法动作触碰其并消耗</t>
    </r>
    <r>
      <rPr>
        <sz val="10"/>
        <color theme="1"/>
        <rFont val="Times New Roman"/>
        <family val="1"/>
      </rPr>
      <t>2</t>
    </r>
    <r>
      <rPr>
        <sz val="10"/>
        <color theme="1"/>
        <rFont val="宋体"/>
        <family val="1"/>
        <charset val="134"/>
      </rPr>
      <t>点锐气来使猎犬在</t>
    </r>
    <r>
      <rPr>
        <sz val="10"/>
        <color theme="1"/>
        <rFont val="Times New Roman"/>
        <family val="1"/>
      </rPr>
      <t>1</t>
    </r>
    <r>
      <rPr>
        <sz val="10"/>
        <color theme="1"/>
        <rFont val="宋体"/>
        <family val="1"/>
        <charset val="134"/>
      </rPr>
      <t>分钟后以满生命值重获生命。</t>
    </r>
    <r>
      <rPr>
        <sz val="10"/>
        <color theme="1"/>
        <rFont val="Times New Roman"/>
        <family val="1"/>
      </rPr>
      <t xml:space="preserve">
</t>
    </r>
    <r>
      <rPr>
        <sz val="10"/>
        <color theme="1"/>
        <rFont val="宋体"/>
        <family val="1"/>
        <charset val="134"/>
      </rPr>
      <t>每当你完成长休时，你能召唤一只新狗并与其建立连接，新的狗会出现在位于你</t>
    </r>
    <r>
      <rPr>
        <sz val="10"/>
        <color theme="1"/>
        <rFont val="Times New Roman"/>
        <family val="1"/>
      </rPr>
      <t>5</t>
    </r>
    <r>
      <rPr>
        <sz val="10"/>
        <color theme="1"/>
        <rFont val="宋体"/>
        <family val="1"/>
        <charset val="134"/>
      </rPr>
      <t>尺内的未占据空间。若你已经因此特性拥有一只猎犬，旧的那只会在新狗出现时消失。</t>
    </r>
    <r>
      <rPr>
        <sz val="10"/>
        <color theme="1"/>
        <rFont val="Times New Roman"/>
        <family val="1"/>
      </rPr>
      <t xml:space="preserve">
</t>
    </r>
    <r>
      <rPr>
        <sz val="10"/>
        <color theme="1"/>
        <rFont val="宋体"/>
        <family val="1"/>
        <charset val="134"/>
      </rPr>
      <t>猎犬</t>
    </r>
    <r>
      <rPr>
        <sz val="10"/>
        <color theme="1"/>
        <rFont val="Times New Roman"/>
        <family val="1"/>
      </rPr>
      <t xml:space="preserve">Hound
</t>
    </r>
    <r>
      <rPr>
        <sz val="10"/>
        <color theme="1"/>
        <rFont val="宋体"/>
        <family val="1"/>
        <charset val="134"/>
      </rPr>
      <t>中型野兽，中立</t>
    </r>
    <r>
      <rPr>
        <sz val="10"/>
        <color theme="1"/>
        <rFont val="Times New Roman"/>
        <family val="1"/>
      </rPr>
      <t xml:space="preserve">
AC 12+</t>
    </r>
    <r>
      <rPr>
        <sz val="10"/>
        <color theme="1"/>
        <rFont val="宋体"/>
        <family val="1"/>
        <charset val="134"/>
      </rPr>
      <t>你的体质调整值</t>
    </r>
    <r>
      <rPr>
        <sz val="10"/>
        <color theme="1"/>
        <rFont val="Times New Roman"/>
        <family val="1"/>
      </rPr>
      <t xml:space="preserve"> </t>
    </r>
    <r>
      <rPr>
        <sz val="10"/>
        <color theme="1"/>
        <rFont val="宋体"/>
        <family val="1"/>
        <charset val="134"/>
      </rPr>
      <t>先攻</t>
    </r>
    <r>
      <rPr>
        <sz val="10"/>
        <color theme="1"/>
        <rFont val="Times New Roman"/>
        <family val="1"/>
      </rPr>
      <t xml:space="preserve"> +2</t>
    </r>
    <r>
      <rPr>
        <sz val="10"/>
        <color theme="1"/>
        <rFont val="宋体"/>
        <family val="1"/>
        <charset val="134"/>
      </rPr>
      <t>（</t>
    </r>
    <r>
      <rPr>
        <sz val="10"/>
        <color theme="1"/>
        <rFont val="Times New Roman"/>
        <family val="1"/>
      </rPr>
      <t>12</t>
    </r>
    <r>
      <rPr>
        <sz val="10"/>
        <color theme="1"/>
        <rFont val="宋体"/>
        <family val="1"/>
        <charset val="134"/>
      </rPr>
      <t>）</t>
    </r>
    <r>
      <rPr>
        <sz val="10"/>
        <color theme="1"/>
        <rFont val="Times New Roman"/>
        <family val="1"/>
      </rPr>
      <t xml:space="preserve"> 
HP 5+</t>
    </r>
    <r>
      <rPr>
        <sz val="10"/>
        <color theme="1"/>
        <rFont val="宋体"/>
        <family val="1"/>
        <charset val="134"/>
      </rPr>
      <t>你拳斗士等级的五倍（猎犬具有等于你拳斗士等级的生命骰</t>
    </r>
    <r>
      <rPr>
        <sz val="10"/>
        <color theme="1"/>
        <rFont val="Times New Roman"/>
        <family val="1"/>
      </rPr>
      <t>[D8]</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40</t>
    </r>
    <r>
      <rPr>
        <sz val="10"/>
        <color theme="1"/>
        <rFont val="宋体"/>
        <family val="1"/>
        <charset val="134"/>
      </rPr>
      <t>尺</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14 +2 +2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15* +3 +3 
</t>
    </r>
    <r>
      <rPr>
        <sz val="10"/>
        <color theme="1"/>
        <rFont val="宋体"/>
        <family val="1"/>
        <charset val="134"/>
      </rPr>
      <t>智力</t>
    </r>
    <r>
      <rPr>
        <sz val="10"/>
        <color theme="1"/>
        <rFont val="Times New Roman"/>
        <family val="1"/>
      </rPr>
      <t xml:space="preserve"> 3 -4 -4  </t>
    </r>
    <r>
      <rPr>
        <sz val="10"/>
        <color theme="1"/>
        <rFont val="宋体"/>
        <family val="1"/>
        <charset val="134"/>
      </rPr>
      <t>感知</t>
    </r>
    <r>
      <rPr>
        <sz val="10"/>
        <color theme="1"/>
        <rFont val="Times New Roman"/>
        <family val="1"/>
      </rPr>
      <t xml:space="preserve"> 12 +1 +1  </t>
    </r>
    <r>
      <rPr>
        <sz val="10"/>
        <color theme="1"/>
        <rFont val="宋体"/>
        <family val="1"/>
        <charset val="134"/>
      </rPr>
      <t>魅力</t>
    </r>
    <r>
      <rPr>
        <sz val="10"/>
        <color theme="1"/>
        <rFont val="Times New Roman"/>
        <family val="1"/>
      </rPr>
      <t xml:space="preserve"> 13 +1 +1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理解你知晓的语言</t>
    </r>
    <r>
      <rPr>
        <sz val="10"/>
        <color theme="1"/>
        <rFont val="Times New Roman"/>
        <family val="1"/>
      </rPr>
      <t xml:space="preserve"> 
CR </t>
    </r>
    <r>
      <rPr>
        <sz val="10"/>
        <color theme="1"/>
        <rFont val="宋体"/>
        <family val="1"/>
        <charset val="134"/>
      </rPr>
      <t>无（</t>
    </r>
    <r>
      <rPr>
        <sz val="10"/>
        <color theme="1"/>
        <rFont val="Times New Roman"/>
        <family val="1"/>
      </rPr>
      <t>XP 0</t>
    </r>
    <r>
      <rPr>
        <sz val="10"/>
        <color theme="1"/>
        <rFont val="宋体"/>
        <family val="1"/>
        <charset val="134"/>
      </rPr>
      <t>；</t>
    </r>
    <r>
      <rPr>
        <sz val="10"/>
        <color theme="1"/>
        <rFont val="Times New Roman"/>
        <family val="1"/>
      </rPr>
      <t>PB</t>
    </r>
    <r>
      <rPr>
        <sz val="10"/>
        <color theme="1"/>
        <rFont val="宋体"/>
        <family val="1"/>
        <charset val="134"/>
      </rPr>
      <t>等于你的熟练加值）</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驯兽联结</t>
    </r>
    <r>
      <rPr>
        <sz val="10"/>
        <color theme="1"/>
        <rFont val="Times New Roman"/>
        <family val="1"/>
      </rPr>
      <t>Pack Bond</t>
    </r>
    <r>
      <rPr>
        <sz val="10"/>
        <color theme="1"/>
        <rFont val="宋体"/>
        <family val="1"/>
        <charset val="134"/>
      </rPr>
      <t>。将你的熟练加值加到野兽</t>
    </r>
    <r>
      <rPr>
        <sz val="10"/>
        <color theme="1"/>
        <rFont val="Times New Roman"/>
        <family val="1"/>
      </rPr>
      <t>*</t>
    </r>
    <r>
      <rPr>
        <sz val="10"/>
        <color theme="1"/>
        <rFont val="宋体"/>
        <family val="1"/>
        <charset val="134"/>
      </rPr>
      <t>进行的任意属性检定和豁免检定中。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啃咬</t>
    </r>
    <r>
      <rPr>
        <sz val="10"/>
        <color theme="1"/>
        <rFont val="Times New Roman"/>
        <family val="1"/>
      </rPr>
      <t>Bite</t>
    </r>
    <r>
      <rPr>
        <sz val="10"/>
        <color theme="1"/>
        <rFont val="宋体"/>
        <family val="1"/>
        <charset val="134"/>
      </rPr>
      <t>。近战攻击检定：加值等于你的体质调整值加你的</t>
    </r>
    <r>
      <rPr>
        <sz val="10"/>
        <color theme="1"/>
        <rFont val="Times New Roman"/>
        <family val="1"/>
      </rPr>
      <t>PB</t>
    </r>
    <r>
      <rPr>
        <sz val="10"/>
        <color theme="1"/>
        <rFont val="宋体"/>
        <family val="1"/>
        <charset val="134"/>
      </rPr>
      <t>，触及</t>
    </r>
    <r>
      <rPr>
        <sz val="10"/>
        <color theme="1"/>
        <rFont val="Times New Roman"/>
        <family val="1"/>
      </rPr>
      <t>5</t>
    </r>
    <r>
      <rPr>
        <sz val="10"/>
        <color theme="1"/>
        <rFont val="宋体"/>
        <family val="1"/>
        <charset val="134"/>
      </rPr>
      <t>尺。命中：</t>
    </r>
    <r>
      <rPr>
        <sz val="10"/>
        <color theme="1"/>
        <rFont val="Times New Roman"/>
        <family val="1"/>
      </rPr>
      <t>2d4+2+</t>
    </r>
    <r>
      <rPr>
        <sz val="10"/>
        <color theme="1"/>
        <rFont val="宋体"/>
        <family val="1"/>
        <charset val="134"/>
      </rPr>
      <t>你的体质调整值的穿刺伤害。若目标生物体型不超过大型，其必须成功通过一次力量豁免（</t>
    </r>
    <r>
      <rPr>
        <sz val="10"/>
        <color theme="1"/>
        <rFont val="Times New Roman"/>
        <family val="1"/>
      </rPr>
      <t>DC</t>
    </r>
    <r>
      <rPr>
        <sz val="10"/>
        <color theme="1"/>
        <rFont val="宋体"/>
        <family val="1"/>
        <charset val="134"/>
      </rPr>
      <t>等于</t>
    </r>
    <r>
      <rPr>
        <sz val="10"/>
        <color theme="1"/>
        <rFont val="Times New Roman"/>
        <family val="1"/>
      </rPr>
      <t>8+</t>
    </r>
    <r>
      <rPr>
        <sz val="10"/>
        <color theme="1"/>
        <rFont val="宋体"/>
        <family val="1"/>
        <charset val="134"/>
      </rPr>
      <t>你的体质调整值</t>
    </r>
    <r>
      <rPr>
        <sz val="10"/>
        <color theme="1"/>
        <rFont val="Times New Roman"/>
        <family val="1"/>
      </rPr>
      <t>+PB</t>
    </r>
    <r>
      <rPr>
        <sz val="10"/>
        <color theme="1"/>
        <rFont val="宋体"/>
        <family val="1"/>
        <charset val="134"/>
      </rPr>
      <t>），否则承受以下一种你选择的效应：目标陷入受擒状态；目标陷入倒地状态；目标被猎犬推离</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译注：均为原文如此</t>
    </r>
    <r>
      <rPr>
        <sz val="10"/>
        <color theme="1"/>
        <rFont val="Times New Roman"/>
        <family val="1"/>
      </rPr>
      <t xml:space="preserve"> </t>
    </r>
    <phoneticPr fontId="68" type="noConversion"/>
  </si>
  <si>
    <t>土狗锐气</t>
    <phoneticPr fontId="68" type="noConversion"/>
  </si>
  <si>
    <r>
      <rPr>
        <sz val="10"/>
        <color theme="1"/>
        <rFont val="宋体"/>
        <family val="1"/>
        <charset val="134"/>
      </rPr>
      <t>你把一切都分享给了你忠实的猎犬：食物、庇护所甚至是锐气。当你使用锐气特性赋予的能力时，你的猎犬也会获得增益。</t>
    </r>
    <r>
      <rPr>
        <sz val="10"/>
        <color theme="1"/>
        <rFont val="Times New Roman"/>
        <family val="1"/>
      </rPr>
      <t xml:space="preserve">
</t>
    </r>
    <r>
      <rPr>
        <sz val="10"/>
        <color theme="1"/>
        <rFont val="宋体"/>
        <family val="1"/>
        <charset val="134"/>
      </rPr>
      <t>振奋精神</t>
    </r>
    <r>
      <rPr>
        <sz val="10"/>
        <color theme="1"/>
        <rFont val="Times New Roman"/>
        <family val="1"/>
      </rPr>
      <t>Brace Up</t>
    </r>
    <r>
      <rPr>
        <sz val="10"/>
        <color theme="1"/>
        <rFont val="宋体"/>
        <family val="1"/>
        <charset val="134"/>
      </rPr>
      <t>。</t>
    </r>
    <r>
      <rPr>
        <sz val="10"/>
        <color theme="1"/>
        <rFont val="Times New Roman"/>
        <family val="1"/>
      </rPr>
      <t xml:space="preserve"> </t>
    </r>
    <r>
      <rPr>
        <sz val="10"/>
        <color theme="1"/>
        <rFont val="宋体"/>
        <family val="1"/>
        <charset val="134"/>
      </rPr>
      <t>当你因振奋精神能力获得临时生命值时，你的猎犬获得等量临时生命值。</t>
    </r>
    <r>
      <rPr>
        <sz val="10"/>
        <color theme="1"/>
        <rFont val="Times New Roman"/>
        <family val="1"/>
      </rPr>
      <t xml:space="preserve">
</t>
    </r>
    <r>
      <rPr>
        <sz val="10"/>
        <color theme="1"/>
        <rFont val="宋体"/>
        <family val="1"/>
        <charset val="134"/>
      </rPr>
      <t>左右开弓</t>
    </r>
    <r>
      <rPr>
        <sz val="10"/>
        <color theme="1"/>
        <rFont val="Times New Roman"/>
        <family val="1"/>
      </rPr>
      <t>One-Two Punch</t>
    </r>
    <r>
      <rPr>
        <sz val="10"/>
        <color theme="1"/>
        <rFont val="宋体"/>
        <family val="1"/>
        <charset val="134"/>
      </rPr>
      <t>。</t>
    </r>
    <r>
      <rPr>
        <sz val="10"/>
        <color theme="1"/>
        <rFont val="Times New Roman"/>
        <family val="1"/>
      </rPr>
      <t xml:space="preserve"> </t>
    </r>
    <r>
      <rPr>
        <sz val="10"/>
        <color theme="1"/>
        <rFont val="宋体"/>
        <family val="1"/>
        <charset val="134"/>
      </rPr>
      <t>当你使用左右开弓能力时，你的猎犬能代替你发动一次或两次攻击。</t>
    </r>
    <r>
      <rPr>
        <sz val="10"/>
        <color theme="1"/>
        <rFont val="Times New Roman"/>
        <family val="1"/>
      </rPr>
      <t xml:space="preserve">
</t>
    </r>
    <r>
      <rPr>
        <sz val="10"/>
        <color theme="1"/>
        <rFont val="宋体"/>
        <family val="1"/>
        <charset val="134"/>
      </rPr>
      <t>寓攻于走</t>
    </r>
    <r>
      <rPr>
        <sz val="10"/>
        <color theme="1"/>
        <rFont val="Times New Roman"/>
        <family val="1"/>
      </rPr>
      <t>Stick and Move</t>
    </r>
    <r>
      <rPr>
        <sz val="10"/>
        <color theme="1"/>
        <rFont val="宋体"/>
        <family val="1"/>
        <charset val="134"/>
      </rPr>
      <t>。</t>
    </r>
    <r>
      <rPr>
        <sz val="10"/>
        <color theme="1"/>
        <rFont val="Times New Roman"/>
        <family val="1"/>
      </rPr>
      <t xml:space="preserve"> </t>
    </r>
    <r>
      <rPr>
        <sz val="10"/>
        <color theme="1"/>
        <rFont val="宋体"/>
        <family val="1"/>
        <charset val="134"/>
      </rPr>
      <t>当你使用寓攻于走能力时，你的猎犬能执行疾行、撤离或援助动作（由你选择）。</t>
    </r>
    <phoneticPr fontId="68" type="noConversion"/>
  </si>
  <si>
    <t>协同攻击</t>
    <phoneticPr fontId="68" type="noConversion"/>
  </si>
  <si>
    <r>
      <rPr>
        <sz val="10"/>
        <color theme="1"/>
        <rFont val="宋体"/>
        <family val="1"/>
        <charset val="134"/>
      </rPr>
      <t>当你对一名生物发动攻击时，若你的猎犬位于其</t>
    </r>
    <r>
      <rPr>
        <sz val="10"/>
        <color theme="1"/>
        <rFont val="Times New Roman"/>
        <family val="1"/>
      </rPr>
      <t>5</t>
    </r>
    <r>
      <rPr>
        <sz val="10"/>
        <color theme="1"/>
        <rFont val="宋体"/>
        <family val="1"/>
        <charset val="134"/>
      </rPr>
      <t>尺内，猎犬能以反应令你的攻击具有优势。若命中，你额外造成</t>
    </r>
    <r>
      <rPr>
        <sz val="10"/>
        <color theme="1"/>
        <rFont val="Times New Roman"/>
        <family val="1"/>
      </rPr>
      <t>3d4</t>
    </r>
    <r>
      <rPr>
        <sz val="10"/>
        <color theme="1"/>
        <rFont val="宋体"/>
        <family val="1"/>
        <charset val="134"/>
      </rPr>
      <t>伤害。</t>
    </r>
    <r>
      <rPr>
        <sz val="10"/>
        <color theme="1"/>
        <rFont val="Times New Roman"/>
        <family val="1"/>
      </rPr>
      <t xml:space="preserve">
</t>
    </r>
    <r>
      <rPr>
        <sz val="10"/>
        <color theme="1"/>
        <rFont val="宋体"/>
        <family val="1"/>
        <charset val="134"/>
      </rPr>
      <t>此外，每当你的猎犬的攻击检定命中并造成伤害时，你可以选择令其造成力场伤害或原本的伤害类型。</t>
    </r>
    <phoneticPr fontId="68" type="noConversion"/>
  </si>
  <si>
    <t>猎犬最好的朋友</t>
    <phoneticPr fontId="68" type="noConversion"/>
  </si>
  <si>
    <t>当一名生物以攻击对你的猎犬造成伤害时，你能以反应移动至多等于你速度一半的距离并使用拳斗武器或徒手打击对那名生物发动一次近战攻击。</t>
    <phoneticPr fontId="68" type="noConversion"/>
  </si>
  <si>
    <t>彻底疯狂</t>
    <phoneticPr fontId="68" type="noConversion"/>
  </si>
  <si>
    <r>
      <rPr>
        <sz val="10"/>
        <color theme="1"/>
        <rFont val="宋体"/>
        <family val="1"/>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family val="1"/>
      </rPr>
      <t>1</t>
    </r>
    <r>
      <rPr>
        <sz val="10"/>
        <color theme="1"/>
        <rFont val="宋体"/>
        <family val="1"/>
        <charset val="134"/>
      </rPr>
      <t>分钟内，其速度提升</t>
    </r>
    <r>
      <rPr>
        <sz val="10"/>
        <color theme="1"/>
        <rFont val="Times New Roman"/>
        <family val="1"/>
      </rPr>
      <t>15</t>
    </r>
    <r>
      <rPr>
        <sz val="10"/>
        <color theme="1"/>
        <rFont val="宋体"/>
        <family val="1"/>
        <charset val="134"/>
      </rPr>
      <t>尺，且你命令其使用啃咬时无需执行附赠动作。</t>
    </r>
    <r>
      <rPr>
        <sz val="10"/>
        <color theme="1"/>
        <rFont val="Times New Roman"/>
        <family val="1"/>
      </rPr>
      <t xml:space="preserve">
</t>
    </r>
    <r>
      <rPr>
        <sz val="10"/>
        <color theme="1"/>
        <rFont val="宋体"/>
        <family val="1"/>
        <charset val="134"/>
      </rPr>
      <t>此特性一经使用，直至完成长休你都无法再次使用。你也能消耗</t>
    </r>
    <r>
      <rPr>
        <sz val="10"/>
        <color theme="1"/>
        <rFont val="Times New Roman"/>
        <family val="1"/>
      </rPr>
      <t>3</t>
    </r>
    <r>
      <rPr>
        <sz val="10"/>
        <color theme="1"/>
        <rFont val="宋体"/>
        <family val="1"/>
        <charset val="134"/>
      </rPr>
      <t>点锐气重置此特性的使用权（无需动作）。</t>
    </r>
    <phoneticPr fontId="68" type="noConversion"/>
  </si>
  <si>
    <r>
      <t>你与惧恶之力的联系让你获得以下增益。_x000D_
两道戏法</t>
    </r>
    <r>
      <rPr>
        <sz val="10"/>
        <color theme="1"/>
        <rFont val="Times New Roman"/>
        <family val="1"/>
      </rPr>
      <t>Two Cantrip</t>
    </r>
    <r>
      <rPr>
        <sz val="10"/>
        <color theme="1"/>
        <rFont val="宋体"/>
        <family val="3"/>
        <charset val="134"/>
      </rPr>
      <t>。你自魔契师法术列表习得两道你选择的戏法。你黑暗魔法法术的施法属性是体质。_x000D_
一环法术</t>
    </r>
    <r>
      <rPr>
        <sz val="10"/>
        <color theme="1"/>
        <rFont val="Times New Roman"/>
        <family val="1"/>
      </rPr>
      <t>Level 1 Spell</t>
    </r>
    <r>
      <rPr>
        <sz val="10"/>
        <color theme="1"/>
        <rFont val="宋体"/>
        <family val="3"/>
        <charset val="134"/>
      </rPr>
      <t>。自魔契师法术列表选择一道一环法术。你始终准备着这道法术。你可以无需法术位地施展该法术一次，并在完成长休后重获以此法施展该法术的能力。你也可以使用你拥有的任何法术位来施展该法术。_x000D_
更换法术</t>
    </r>
    <r>
      <rPr>
        <sz val="10"/>
        <color theme="1"/>
        <rFont val="Times New Roman"/>
        <family val="1"/>
      </rPr>
      <t>Spell Change</t>
    </r>
    <r>
      <rPr>
        <sz val="10"/>
        <color theme="1"/>
        <rFont val="宋体"/>
        <family val="3"/>
        <charset val="134"/>
      </rPr>
      <t>。每当你获得新的等级时，你可以将你以此特性选择的其中一道法术替换为另一道魔契师法术列表的环位相同的法术。</t>
    </r>
  </si>
  <si>
    <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family val="1"/>
      </rPr>
      <t>1</t>
    </r>
    <r>
      <rPr>
        <sz val="10"/>
        <color theme="1"/>
        <rFont val="宋体"/>
        <family val="3"/>
        <charset val="134"/>
      </rPr>
      <t>分钟。此特性一经使用，直至完成短休或长休你都无法再次使用。_x000D_
复仇打击</t>
    </r>
    <r>
      <rPr>
        <sz val="10"/>
        <color theme="1"/>
        <rFont val="Times New Roman"/>
        <family val="1"/>
      </rPr>
      <t>Revenging Strike</t>
    </r>
    <r>
      <rPr>
        <sz val="10"/>
        <color theme="1"/>
        <rFont val="宋体"/>
        <family val="3"/>
        <charset val="134"/>
      </rPr>
      <t>。当你被近战攻击命中时，若攻击你的生物位于你的触及范围内，你能以反应对其发动一次徒手打击。_x000D_
无尽渴血</t>
    </r>
    <r>
      <rPr>
        <sz val="10"/>
        <color theme="1"/>
        <rFont val="Times New Roman"/>
        <family val="1"/>
      </rPr>
      <t>Unslakeable Bloodlust</t>
    </r>
    <r>
      <rPr>
        <sz val="10"/>
        <color theme="1"/>
        <rFont val="宋体"/>
        <family val="3"/>
        <charset val="134"/>
      </rPr>
      <t>。当你以徒手打击命中一名目标时，你能将攻击的伤害骰投掷两次并对那名目标同时应用两个结果。_x000D_
旋风暴揍</t>
    </r>
    <r>
      <rPr>
        <sz val="10"/>
        <color theme="1"/>
        <rFont val="Times New Roman"/>
        <family val="1"/>
      </rPr>
      <t>Whirlwind of Violence</t>
    </r>
    <r>
      <rPr>
        <sz val="10"/>
        <color theme="1"/>
        <rFont val="宋体"/>
        <family val="3"/>
        <charset val="134"/>
      </rPr>
      <t>。每个回合中你的徒手打击首次失手时，你能重骰此次攻击但必须使用新的结果。</t>
    </r>
  </si>
  <si>
    <r>
      <t>你选择获得以下选项之一。每当你完成长休时，你可以更改你的选择。_x000D_
暗影斗篷</t>
    </r>
    <r>
      <rPr>
        <sz val="10"/>
        <color theme="1"/>
        <rFont val="Times New Roman"/>
        <family val="1"/>
      </rPr>
      <t>Cloak of Shadows</t>
    </r>
    <r>
      <rPr>
        <sz val="10"/>
        <color theme="1"/>
        <rFont val="宋体"/>
        <family val="3"/>
        <charset val="134"/>
      </rPr>
      <t>。你能无需法术位地施展一次隐形术</t>
    </r>
    <r>
      <rPr>
        <sz val="10"/>
        <color theme="1"/>
        <rFont val="Times New Roman"/>
        <family val="1"/>
      </rPr>
      <t>Invisibility</t>
    </r>
    <r>
      <rPr>
        <sz val="10"/>
        <color theme="1"/>
        <rFont val="宋体"/>
        <family val="3"/>
        <charset val="134"/>
      </rPr>
      <t>，当你完成短休或长休时，你重获以此法施展该法术的能力。_x000D_
千颜面具</t>
    </r>
    <r>
      <rPr>
        <sz val="10"/>
        <color theme="1"/>
        <rFont val="Times New Roman"/>
        <family val="1"/>
      </rPr>
      <t>Mask of Many Faces</t>
    </r>
    <r>
      <rPr>
        <sz val="10"/>
        <color theme="1"/>
        <rFont val="宋体"/>
        <family val="3"/>
        <charset val="134"/>
      </rPr>
      <t>。你能无需法术位地施展易容术</t>
    </r>
    <r>
      <rPr>
        <sz val="10"/>
        <color theme="1"/>
        <rFont val="Times New Roman"/>
        <family val="1"/>
      </rPr>
      <t>Disguise Self</t>
    </r>
    <r>
      <rPr>
        <sz val="10"/>
        <color theme="1"/>
        <rFont val="宋体"/>
        <family val="3"/>
        <charset val="134"/>
      </rPr>
      <t>。_x000D_
异界漫步</t>
    </r>
    <r>
      <rPr>
        <sz val="10"/>
        <color theme="1"/>
        <rFont val="Times New Roman"/>
        <family val="1"/>
      </rPr>
      <t>Otherworldly Walk</t>
    </r>
    <r>
      <rPr>
        <sz val="10"/>
        <color theme="1"/>
        <rFont val="宋体"/>
        <family val="3"/>
        <charset val="134"/>
      </rPr>
      <t>。你能无需法术位地施展一次迷踪步</t>
    </r>
    <r>
      <rPr>
        <sz val="10"/>
        <color theme="1"/>
        <rFont val="Times New Roman"/>
        <family val="1"/>
      </rPr>
      <t>Misty Step</t>
    </r>
    <r>
      <rPr>
        <sz val="10"/>
        <color theme="1"/>
        <rFont val="宋体"/>
        <family val="3"/>
        <charset val="134"/>
      </rPr>
      <t>，当你完成短休或长休时，你重获以此法施展该法术的能力。</t>
    </r>
  </si>
  <si>
    <r>
      <t>当你使用惧恶之手特性时，你获得法术变巨术</t>
    </r>
    <r>
      <rPr>
        <sz val="10"/>
        <color theme="1"/>
        <rFont val="Times New Roman"/>
        <family val="1"/>
      </rPr>
      <t>/</t>
    </r>
    <r>
      <rPr>
        <sz val="10"/>
        <color theme="1"/>
        <rFont val="宋体"/>
        <family val="3"/>
        <charset val="134"/>
      </rPr>
      <t>缩小术</t>
    </r>
    <r>
      <rPr>
        <sz val="10"/>
        <color theme="1"/>
        <rFont val="Times New Roman"/>
        <family val="1"/>
      </rPr>
      <t>Enlarge/Reduce</t>
    </r>
    <r>
      <rPr>
        <sz val="10"/>
        <color theme="1"/>
        <rFont val="宋体"/>
        <family val="3"/>
        <charset val="134"/>
      </rPr>
      <t>的变巨效应，并获得</t>
    </r>
    <r>
      <rPr>
        <sz val="10"/>
        <color theme="1"/>
        <rFont val="Times New Roman"/>
        <family val="1"/>
      </rPr>
      <t>10</t>
    </r>
    <r>
      <rPr>
        <sz val="10"/>
        <color theme="1"/>
        <rFont val="宋体"/>
        <family val="3"/>
        <charset val="134"/>
      </rPr>
      <t>尺触及。_x000D_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</si>
  <si>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你能以魔法动作消耗</t>
    </r>
    <r>
      <rPr>
        <sz val="10"/>
        <color theme="1"/>
        <rFont val="Times New Roman"/>
        <family val="1"/>
      </rPr>
      <t>6</t>
    </r>
    <r>
      <rPr>
        <sz val="10"/>
        <color theme="1"/>
        <rFont val="宋体"/>
        <family val="3"/>
        <charset val="134"/>
      </rPr>
      <t>点锐气来魔法性的将手伸入一名位于你触及内的你选择的生物体内，掏出其内脏并尝试将其处决。该生物必须进行一次敏捷豁免（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你的熟练加值）。豁免失败则该生物受到</t>
    </r>
    <r>
      <rPr>
        <sz val="10"/>
        <color theme="1"/>
        <rFont val="Times New Roman"/>
        <family val="1"/>
      </rPr>
      <t>100</t>
    </r>
    <r>
      <rPr>
        <sz val="10"/>
        <color theme="1"/>
        <rFont val="宋体"/>
        <family val="3"/>
        <charset val="134"/>
      </rPr>
      <t>穿刺伤害。豁免成功则改为受到</t>
    </r>
    <r>
      <rPr>
        <sz val="10"/>
        <color theme="1"/>
        <rFont val="Times New Roman"/>
        <family val="1"/>
      </rPr>
      <t>50</t>
    </r>
    <r>
      <rPr>
        <sz val="10"/>
        <color theme="1"/>
        <rFont val="宋体"/>
        <family val="3"/>
        <charset val="134"/>
      </rPr>
      <t>穿刺伤害。_x000D_
若该伤害令目标的生命值降至</t>
    </r>
    <r>
      <rPr>
        <sz val="10"/>
        <color theme="1"/>
        <rFont val="Times New Roman"/>
        <family val="1"/>
      </rPr>
      <t>0</t>
    </r>
    <r>
      <rPr>
        <sz val="10"/>
        <color theme="1"/>
        <rFont val="宋体"/>
        <family val="3"/>
        <charset val="134"/>
      </rPr>
      <t>，你在目标身上撕开一个血洞，喷涌出令人作呕的内脏，目标立即死亡。当目标因此死亡时，位于源自你的</t>
    </r>
    <r>
      <rPr>
        <sz val="10"/>
        <color theme="1"/>
        <rFont val="Times New Roman"/>
        <family val="1"/>
      </rPr>
      <t>30</t>
    </r>
    <r>
      <rPr>
        <sz val="10"/>
        <color theme="1"/>
        <rFont val="宋体"/>
        <family val="3"/>
        <charset val="134"/>
      </rPr>
      <t>尺光环区域内的每名你选择的生物必须成功通过一次感知豁免（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你的熟练加值），否则陷入恐慌状态持续</t>
    </r>
    <r>
      <rPr>
        <sz val="10"/>
        <color theme="1"/>
        <rFont val="Times New Roman"/>
        <family val="1"/>
      </rPr>
      <t>1</t>
    </r>
    <r>
      <rPr>
        <sz val="10"/>
        <color theme="1"/>
        <rFont val="宋体"/>
        <family val="3"/>
        <charset val="134"/>
      </rPr>
      <t>分钟。豁免失败的生物可以在其每个回合结束时重复感知豁免，成功则终止其身上的恐慌状态。_x000D_
此特性一经使用，你在完成长休前无法再次使用。</t>
    </r>
  </si>
  <si>
    <t>黑暗魔法</t>
    <phoneticPr fontId="68" type="noConversion"/>
  </si>
  <si>
    <t>魔鬼交易</t>
    <phoneticPr fontId="68" type="noConversion"/>
  </si>
  <si>
    <t>怪谬赘生</t>
    <phoneticPr fontId="68" type="noConversion"/>
  </si>
  <si>
    <t>内脏喷泉</t>
    <phoneticPr fontId="68" type="noConversion"/>
  </si>
  <si>
    <t>恶劣态度</t>
  </si>
  <si>
    <r>
      <t>若你还未获得威吓技能的熟练，你获得之。此外，你使用威吓技能的属性检定获得等于你力量调整值的加值（至少</t>
    </r>
    <r>
      <rPr>
        <sz val="10"/>
        <color theme="1"/>
        <rFont val="Times New Roman"/>
        <family val="1"/>
      </rPr>
      <t>+1</t>
    </r>
    <r>
      <rPr>
        <sz val="10"/>
        <color theme="1"/>
        <rFont val="宋体"/>
        <family val="3"/>
        <charset val="134"/>
      </rPr>
      <t>）。</t>
    </r>
  </si>
  <si>
    <t>咸涩礼敬</t>
  </si>
  <si>
    <r>
      <t>你对侮辱他人有着艺术般的技巧。你能以附赠动作挑衅一名</t>
    </r>
    <r>
      <rPr>
        <sz val="10"/>
        <color theme="1"/>
        <rFont val="Times New Roman"/>
        <family val="1"/>
      </rPr>
      <t>60</t>
    </r>
    <r>
      <rPr>
        <sz val="10"/>
        <color theme="1"/>
        <rFont val="宋体"/>
        <family val="3"/>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_x000D_
该豁免以及本子职其他特性的</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熟练加值。</t>
    </r>
  </si>
  <si>
    <t>腌臜诡技</t>
  </si>
  <si>
    <r>
      <t>你有些诡技能让你即使身处逆境也能挽回局势。你能使用以下一种腌臜诡技。你每回合仅能使用一次腌臜诡技，且一旦你使用了某个腌臜诡技，直至完成短休或长休你都无法再次使用该诡技。_x000D_
踩脚</t>
    </r>
    <r>
      <rPr>
        <sz val="10"/>
        <color theme="1"/>
        <rFont val="Times New Roman"/>
        <family val="1"/>
      </rPr>
      <t>Heelstomper</t>
    </r>
    <r>
      <rPr>
        <sz val="10"/>
        <color theme="1"/>
        <rFont val="宋体"/>
        <family val="3"/>
        <charset val="134"/>
      </rPr>
      <t>。当你以徒手打击或拳斗武器对一名生物造成伤害时，该生物必须成功通过一次敏捷豁免，否则其速度降至</t>
    </r>
    <r>
      <rPr>
        <sz val="10"/>
        <color theme="1"/>
        <rFont val="Times New Roman"/>
        <family val="1"/>
      </rPr>
      <t>0</t>
    </r>
    <r>
      <rPr>
        <sz val="10"/>
        <color theme="1"/>
        <rFont val="宋体"/>
        <family val="3"/>
        <charset val="134"/>
      </rPr>
      <t>，持续</t>
    </r>
    <r>
      <rPr>
        <sz val="10"/>
        <color theme="1"/>
        <rFont val="Times New Roman"/>
        <family val="1"/>
      </rPr>
      <t>1</t>
    </r>
    <r>
      <rPr>
        <sz val="10"/>
        <color theme="1"/>
        <rFont val="宋体"/>
        <family val="3"/>
        <charset val="134"/>
      </rPr>
      <t>分钟。受影响的生物可以在其每个回合结束时重复豁免，成功则终止其身上的该效应。_x000D_
偷桃</t>
    </r>
    <r>
      <rPr>
        <sz val="10"/>
        <color theme="1"/>
        <rFont val="Times New Roman"/>
        <family val="1"/>
      </rPr>
      <t>Low Blow</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当你以徒手打击或拳斗武器对一名生物造成伤害时，你能猛击该生物的下体。若你如此做，该生物必须成功通过一次力量豁免，否则对该生物发动的攻击具有优势，持续至你的下个回合结束。_x000D_
抛沙</t>
    </r>
    <r>
      <rPr>
        <sz val="10"/>
        <color theme="1"/>
        <rFont val="Times New Roman"/>
        <family val="1"/>
      </rPr>
      <t>Pocket Sand</t>
    </r>
    <r>
      <rPr>
        <sz val="10"/>
        <color theme="1"/>
        <rFont val="宋体"/>
        <family val="3"/>
        <charset val="134"/>
      </rPr>
      <t>。</t>
    </r>
    <r>
      <rPr>
        <sz val="10"/>
        <color theme="1"/>
        <rFont val="Times New Roman"/>
        <family val="1"/>
      </rPr>
      <t xml:space="preserve"> </t>
    </r>
    <r>
      <rPr>
        <sz val="10"/>
        <color theme="1"/>
        <rFont val="宋体"/>
        <family val="3"/>
        <charset val="134"/>
      </rPr>
      <t>你能以附赠动作对</t>
    </r>
    <r>
      <rPr>
        <sz val="10"/>
        <color theme="1"/>
        <rFont val="Times New Roman"/>
        <family val="1"/>
      </rPr>
      <t>10</t>
    </r>
    <r>
      <rPr>
        <sz val="10"/>
        <color theme="1"/>
        <rFont val="宋体"/>
        <family val="3"/>
        <charset val="134"/>
      </rPr>
      <t>尺内的一名生物的眼睛抛出尘土。该生物必须成功通过一次体质豁免，否则其陷入目盲状态，持续至其下个回合结束。</t>
    </r>
  </si>
  <si>
    <t>老而为贼</t>
  </si>
  <si>
    <r>
      <t>你只需要用一个手势和几句讥讽就能让整座屋子的生物被你激怒。你能以附赠动作选择一定数量的位于你</t>
    </r>
    <r>
      <rPr>
        <sz val="10"/>
        <color theme="1"/>
        <rFont val="Times New Roman"/>
        <family val="1"/>
      </rPr>
      <t>30</t>
    </r>
    <r>
      <rPr>
        <sz val="10"/>
        <color theme="1"/>
        <rFont val="宋体"/>
        <family val="3"/>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_x000D_
此特性一经使用，直至完成长休你都无法再次使用。你也可以消耗</t>
    </r>
    <r>
      <rPr>
        <sz val="10"/>
        <color theme="1"/>
        <rFont val="Times New Roman"/>
        <family val="1"/>
      </rPr>
      <t>3</t>
    </r>
    <r>
      <rPr>
        <sz val="10"/>
        <color theme="1"/>
        <rFont val="宋体"/>
        <family val="3"/>
        <charset val="134"/>
      </rPr>
      <t>点锐气（无需动作）来重置该特性的使用权。</t>
    </r>
  </si>
  <si>
    <t>龌龊诡技</t>
  </si>
  <si>
    <r>
      <t>你获得下列额外的腌臜诡技。你每回合仅能使用一次腌臜诡技，且一旦你使用了某个腌臜诡技，直至完成短休或长休你都无法再次使用该诡技。_x000D_
后脑兔击</t>
    </r>
    <r>
      <rPr>
        <sz val="10"/>
        <color theme="1"/>
        <rFont val="Times New Roman"/>
        <family val="1"/>
      </rPr>
      <t>Rabbit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当你以徒手打击或拳斗武器命中一名生物时，你猛击其头部。该生物失去其心灵伤害抗性（若有）且其豁免检定具有劣势，持续至你的下个回合结束。_x000D_
混球暗袭</t>
    </r>
    <r>
      <rPr>
        <sz val="10"/>
        <color theme="1"/>
        <rFont val="Times New Roman"/>
        <family val="1"/>
      </rPr>
      <t>Sucker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当你以徒手打击或拳斗武器命中一名生物时，你能将命中改为重击命中。对此重击命中，你改为投掷三次该攻击的伤害骰并将其累加，而非平常的两次。</t>
    </r>
  </si>
  <si>
    <r>
      <t>你能直接从外层位面引导神圣力量用以释放魔法效应。你起始时具有两种效应选项：信实之拳和诸神恩典，其效果如下所示。每当你使用本子职的引导神力时，你选择要创造哪种来自本子职的效应。_x000D_
一旦使用了本职业的引导神力，直至完成短休或长休你才能再次使用该引导神力。_x000D_
信实之拳</t>
    </r>
    <r>
      <rPr>
        <sz val="10"/>
        <color theme="1"/>
        <rFont val="Times New Roman"/>
        <family val="1"/>
      </rPr>
      <t>Fists of Faith</t>
    </r>
    <r>
      <rPr>
        <sz val="10"/>
        <color theme="1"/>
        <rFont val="宋体"/>
        <family val="3"/>
        <charset val="134"/>
      </rPr>
      <t>。你能以附赠动作将正义的怒火注入双拳。在接下来的</t>
    </r>
    <r>
      <rPr>
        <sz val="10"/>
        <color theme="1"/>
        <rFont val="Times New Roman"/>
        <family val="1"/>
      </rPr>
      <t>1</t>
    </r>
    <r>
      <rPr>
        <sz val="10"/>
        <color theme="1"/>
        <rFont val="宋体"/>
        <family val="3"/>
        <charset val="134"/>
      </rPr>
      <t>分钟内，你的徒手打击额外造成</t>
    </r>
    <r>
      <rPr>
        <sz val="10"/>
        <color theme="1"/>
        <rFont val="Times New Roman"/>
        <family val="1"/>
      </rPr>
      <t>1d4</t>
    </r>
    <r>
      <rPr>
        <sz val="10"/>
        <color theme="1"/>
        <rFont val="宋体"/>
        <family val="3"/>
        <charset val="134"/>
      </rPr>
      <t>光耀伤害，若目标为邪魔或亡灵，则为</t>
    </r>
    <r>
      <rPr>
        <sz val="10"/>
        <color theme="1"/>
        <rFont val="Times New Roman"/>
        <family val="1"/>
      </rPr>
      <t>2d4</t>
    </r>
    <r>
      <rPr>
        <sz val="10"/>
        <color theme="1"/>
        <rFont val="宋体"/>
        <family val="3"/>
        <charset val="134"/>
      </rPr>
      <t>。_x000D_
诸神恩典</t>
    </r>
    <r>
      <rPr>
        <sz val="10"/>
        <color theme="1"/>
        <rFont val="Times New Roman"/>
        <family val="1"/>
      </rPr>
      <t>Grace of the Gods</t>
    </r>
    <r>
      <rPr>
        <sz val="10"/>
        <color theme="1"/>
        <rFont val="宋体"/>
        <family val="3"/>
        <charset val="134"/>
      </rPr>
      <t>。你能以附赠动作祈求神明的恩典，在接下来的</t>
    </r>
    <r>
      <rPr>
        <sz val="10"/>
        <color theme="1"/>
        <rFont val="Times New Roman"/>
        <family val="1"/>
      </rPr>
      <t>1</t>
    </r>
    <r>
      <rPr>
        <sz val="10"/>
        <color theme="1"/>
        <rFont val="宋体"/>
        <family val="3"/>
        <charset val="134"/>
      </rPr>
      <t>分钟内，你获得对暗蚀伤害的抗性，且当你进行豁免检定时，掷</t>
    </r>
    <r>
      <rPr>
        <sz val="10"/>
        <color theme="1"/>
        <rFont val="Times New Roman"/>
        <family val="1"/>
      </rPr>
      <t>1d4</t>
    </r>
    <r>
      <rPr>
        <sz val="10"/>
        <color theme="1"/>
        <rFont val="宋体"/>
        <family val="3"/>
        <charset val="134"/>
      </rPr>
      <t>并将骰值加入检定。</t>
    </r>
  </si>
  <si>
    <r>
      <t>你的触碰带有祝福，可以医治伤口。你获得一个治疗能量池，其内的治疗能量在每次完成长休时补满。治疗能量池储备的可恢复生命值总值等于你的拳斗士等级的三倍。_x000D_
你能够以附赠动作触碰一名生物（可以是你自己），并抽取治疗能量池中的能量恢复该生物的生命值，其恢复量最多等于你治疗能量池中剩余的治疗量。_x000D_
此外，你也可以使用</t>
    </r>
    <r>
      <rPr>
        <sz val="10"/>
        <color theme="1"/>
        <rFont val="Times New Roman"/>
        <family val="1"/>
      </rPr>
      <t>5</t>
    </r>
    <r>
      <rPr>
        <sz val="10"/>
        <color theme="1"/>
        <rFont val="宋体"/>
        <family val="3"/>
        <charset val="134"/>
      </rPr>
      <t>点治疗量来移除目标身上的中毒状态，这些点数不会同时恢复生物的生命值。</t>
    </r>
  </si>
  <si>
    <t>当你使用浴血奋战时，你能补满你的圣疗能量池。_x000D_
此特性一经使用，直至完成长休你都无法再次使用。</t>
  </si>
  <si>
    <r>
      <t>当你使用反求诸己时，你能在源自你的</t>
    </r>
    <r>
      <rPr>
        <sz val="10"/>
        <color theme="1"/>
        <rFont val="Times New Roman"/>
        <family val="1"/>
      </rPr>
      <t>10</t>
    </r>
    <r>
      <rPr>
        <sz val="10"/>
        <color theme="1"/>
        <rFont val="宋体"/>
        <family val="3"/>
        <charset val="134"/>
      </rPr>
      <t>尺光环区域内散发出一道不可见的庇护灵光，持续</t>
    </r>
    <r>
      <rPr>
        <sz val="10"/>
        <color theme="1"/>
        <rFont val="Times New Roman"/>
        <family val="1"/>
      </rPr>
      <t>10</t>
    </r>
    <r>
      <rPr>
        <sz val="10"/>
        <color theme="1"/>
        <rFont val="宋体"/>
        <family val="3"/>
        <charset val="134"/>
      </rPr>
      <t>分钟。灵光在你陷入失能期间失效。灵光内你的盟友获得对钝击、穿刺和挥砍伤害的抗性。_x000D_
此特性一经使用，直至完成长休你都无法再次使用。</t>
    </r>
  </si>
  <si>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</si>
  <si>
    <t>圣疗</t>
    <phoneticPr fontId="68" type="noConversion"/>
  </si>
  <si>
    <t>磨难成圣</t>
    <phoneticPr fontId="68" type="noConversion"/>
  </si>
  <si>
    <t>抗性灵光</t>
    <phoneticPr fontId="68" type="noConversion"/>
  </si>
  <si>
    <t>神圣之手</t>
    <phoneticPr fontId="68" type="noConversion"/>
  </si>
  <si>
    <r>
      <t>你获得以下增益。_x000D_
高压锁绞</t>
    </r>
    <r>
      <rPr>
        <sz val="10"/>
        <color theme="1"/>
        <rFont val="Times New Roman"/>
        <family val="1"/>
      </rPr>
      <t>Compression Lock</t>
    </r>
    <r>
      <rPr>
        <sz val="10"/>
        <color theme="1"/>
        <rFont val="宋体"/>
        <family val="3"/>
        <charset val="134"/>
      </rPr>
      <t>。当你令一名或更多生物陷入受擒下开始你的回合时，你能对你擒抱的每名生物造成钝击伤害（无需动作）。伤害值等于掷一次你的拳斗士骰加你的力量调整值。_x000D_
无处可逃</t>
    </r>
    <r>
      <rPr>
        <sz val="10"/>
        <color theme="1"/>
        <rFont val="Times New Roman"/>
        <family val="1"/>
      </rPr>
      <t>Inescapable</t>
    </r>
    <r>
      <rPr>
        <sz val="10"/>
        <color theme="1"/>
        <rFont val="宋体"/>
        <family val="3"/>
        <charset val="134"/>
      </rPr>
      <t>。当一名生物对抗你的擒抱或推撞</t>
    </r>
    <r>
      <rPr>
        <sz val="10"/>
        <color theme="1"/>
        <rFont val="Times New Roman"/>
        <family val="1"/>
      </rPr>
      <t>DC</t>
    </r>
    <r>
      <rPr>
        <sz val="10"/>
        <color theme="1"/>
        <rFont val="宋体"/>
        <family val="3"/>
        <charset val="134"/>
      </rPr>
      <t>进行豁免或属性检定时，你能消耗</t>
    </r>
    <r>
      <rPr>
        <sz val="10"/>
        <color theme="1"/>
        <rFont val="Times New Roman"/>
        <family val="1"/>
      </rPr>
      <t>1</t>
    </r>
    <r>
      <rPr>
        <sz val="10"/>
        <color theme="1"/>
        <rFont val="宋体"/>
        <family val="3"/>
        <charset val="134"/>
      </rPr>
      <t>点锐气令其检定具有劣势。_x000D_
止步而倒</t>
    </r>
    <r>
      <rPr>
        <sz val="10"/>
        <color theme="1"/>
        <rFont val="Times New Roman"/>
        <family val="1"/>
      </rPr>
      <t>Stop and Drop</t>
    </r>
    <r>
      <rPr>
        <sz val="10"/>
        <color theme="1"/>
        <rFont val="宋体"/>
        <family val="3"/>
        <charset val="134"/>
      </rPr>
      <t>。当你以徒手打击命中一名生物，并且没有在攻击中使用精通词条</t>
    </r>
    <r>
      <rPr>
        <sz val="10"/>
        <color theme="1"/>
        <rFont val="Times New Roman"/>
        <family val="1"/>
      </rPr>
      <t>*</t>
    </r>
    <r>
      <rPr>
        <sz val="10"/>
        <color theme="1"/>
        <rFont val="宋体"/>
        <family val="3"/>
        <charset val="134"/>
      </rPr>
      <t>时。你能同时使用擒抱和推撞选项。_x000D_
译注：拳斗士测试版中有部分武器的攻击可以视为徒手打击，但是在正式版中取消了这一设定，因此正常情况下你的徒手打击无论如何都不可能有精通词条用。</t>
    </r>
  </si>
  <si>
    <t>选择运动或特技技能。若你没有选择技能的熟练，你获得其熟练，若你已获得熟练则获得其专精。</t>
  </si>
  <si>
    <r>
      <t>在你令一名生物陷入受擒期间，你对抗没有被你擒抱的生物的攻击时获得半身掩护。当一名没被你擒抱的生物对你进行的攻击检定失手时，你能以反应消耗</t>
    </r>
    <r>
      <rPr>
        <sz val="10"/>
        <color theme="1"/>
        <rFont val="Times New Roman"/>
        <family val="1"/>
      </rPr>
      <t>1</t>
    </r>
    <r>
      <rPr>
        <sz val="10"/>
        <color theme="1"/>
        <rFont val="宋体"/>
        <family val="3"/>
        <charset val="134"/>
      </rPr>
      <t>点锐气迫使该生物对你擒抱的生物以新的攻击检定发动一次相同的攻击。</t>
    </r>
  </si>
  <si>
    <t>当你使用徒手打击的推撞或擒抱选项时，你的体型视为大一级。此外，你带动受擒者移动时，若受擒生物体型不超过你，你无需额外消耗移动力。</t>
  </si>
  <si>
    <r>
      <t>当一名因你受擒的生物结束其回合时，你能反应迫使其进行一次对抗你擒抱逃脱</t>
    </r>
    <r>
      <rPr>
        <sz val="10"/>
        <color theme="1"/>
        <rFont val="Times New Roman"/>
        <family val="1"/>
      </rPr>
      <t>DC</t>
    </r>
    <r>
      <rPr>
        <sz val="10"/>
        <color theme="1"/>
        <rFont val="宋体"/>
        <family val="3"/>
        <charset val="134"/>
      </rPr>
      <t>的体质豁免，否则陷入失能状态直至其下个回合结束。若该生物处于浴血且已因该特性陷入失能，其改为将生命值降至</t>
    </r>
    <r>
      <rPr>
        <sz val="10"/>
        <color theme="1"/>
        <rFont val="Times New Roman"/>
        <family val="1"/>
      </rPr>
      <t>0</t>
    </r>
    <r>
      <rPr>
        <sz val="10"/>
        <color theme="1"/>
        <rFont val="宋体"/>
        <family val="3"/>
        <charset val="134"/>
      </rPr>
      <t>。_x000D_
一旦你以该特性将一名生物的生命值降至</t>
    </r>
    <r>
      <rPr>
        <sz val="10"/>
        <color theme="1"/>
        <rFont val="Times New Roman"/>
        <family val="1"/>
      </rPr>
      <t>0</t>
    </r>
    <r>
      <rPr>
        <sz val="10"/>
        <color theme="1"/>
        <rFont val="宋体"/>
        <family val="3"/>
        <charset val="134"/>
      </rPr>
      <t>，直至完成长休你都无法再次使用该特性。</t>
    </r>
  </si>
  <si>
    <t>稳扎稳打</t>
    <phoneticPr fontId="68" type="noConversion"/>
  </si>
  <si>
    <t>大肌霸</t>
    <phoneticPr fontId="68" type="noConversion"/>
  </si>
  <si>
    <t>肉盾</t>
    <phoneticPr fontId="68" type="noConversion"/>
  </si>
  <si>
    <t>重磅拳手</t>
    <phoneticPr fontId="68" type="noConversion"/>
  </si>
  <si>
    <t>利落收尾</t>
    <phoneticPr fontId="68" type="noConversion"/>
  </si>
  <si>
    <t>裸拳拳手</t>
  </si>
  <si>
    <r>
      <t>你以徒手打击进行的攻击检定在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</si>
  <si>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交叉反击</t>
  </si>
  <si>
    <r>
      <t>你在化解重击的同时能以流畅的动作发起反击。当你因近战攻击受到伤害时，你能以反应消耗一点锐气来降低你受到的该次伤害，降低数值等于</t>
    </r>
    <r>
      <rPr>
        <sz val="10"/>
        <color theme="1"/>
        <rFont val="Times New Roman"/>
        <family val="1"/>
      </rPr>
      <t>1d10</t>
    </r>
    <r>
      <rPr>
        <sz val="10"/>
        <color theme="1"/>
        <rFont val="宋体"/>
        <family val="3"/>
        <charset val="134"/>
      </rPr>
      <t>加你的力量调整值加你的拳斗士等级。_x000D_
若你将该次伤害降至</t>
    </r>
    <r>
      <rPr>
        <sz val="10"/>
        <color theme="1"/>
        <rFont val="Times New Roman"/>
        <family val="1"/>
      </rPr>
      <t>0</t>
    </r>
    <r>
      <rPr>
        <sz val="10"/>
        <color theme="1"/>
        <rFont val="宋体"/>
        <family val="3"/>
        <charset val="134"/>
      </rPr>
      <t>，作为同一反应的一部分。你能对你触及范围内的一名生物发动一次徒手打击或以拳斗武器发动一次攻击。</t>
    </r>
  </si>
  <si>
    <t>连击制造者</t>
  </si>
  <si>
    <t>当你以徒手打击对一名生物造成伤害时，代替你重磅巨拳选择同时应用擒抱或推撞选项，你可以令你在你的下个回合开始前对该目标进行的攻击检定具有优势。</t>
  </si>
  <si>
    <t>连击破坏者</t>
  </si>
  <si>
    <r>
      <t>当你使用交叉反击将触发伤害降至</t>
    </r>
    <r>
      <rPr>
        <sz val="10"/>
        <color theme="1"/>
        <rFont val="Times New Roman"/>
        <family val="1"/>
      </rPr>
      <t>0</t>
    </r>
    <r>
      <rPr>
        <sz val="10"/>
        <color theme="1"/>
        <rFont val="宋体"/>
        <family val="3"/>
        <charset val="134"/>
      </rPr>
      <t>时，你重获</t>
    </r>
    <r>
      <rPr>
        <sz val="10"/>
        <color theme="1"/>
        <rFont val="Times New Roman"/>
        <family val="1"/>
      </rPr>
      <t>1</t>
    </r>
    <r>
      <rPr>
        <sz val="10"/>
        <color theme="1"/>
        <rFont val="宋体"/>
        <family val="3"/>
        <charset val="134"/>
      </rPr>
      <t>点锐气。</t>
    </r>
  </si>
  <si>
    <t>K.O.</t>
  </si>
  <si>
    <r>
      <t>你获得以下增益。_x000D_
击倒</t>
    </r>
    <r>
      <rPr>
        <sz val="10"/>
        <color theme="1"/>
        <rFont val="Times New Roman"/>
        <family val="1"/>
      </rPr>
      <t>Coldcock</t>
    </r>
    <r>
      <rPr>
        <sz val="10"/>
        <color theme="1"/>
        <rFont val="宋体"/>
        <family val="3"/>
        <charset val="134"/>
      </rPr>
      <t>。当你对一名生物造成重击时，其必须进行一次体质豁免（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熟练加值）。豁免失败则其陷入昏迷状态，持续</t>
    </r>
    <r>
      <rPr>
        <sz val="10"/>
        <color theme="1"/>
        <rFont val="Times New Roman"/>
        <family val="1"/>
      </rPr>
      <t>1</t>
    </r>
    <r>
      <rPr>
        <sz val="10"/>
        <color theme="1"/>
        <rFont val="宋体"/>
        <family val="3"/>
        <charset val="134"/>
      </rPr>
      <t>分钟或在其受到任意伤害时提前结束。_x000D_
升龙</t>
    </r>
    <r>
      <rPr>
        <sz val="10"/>
        <color theme="1"/>
        <rFont val="Times New Roman"/>
        <family val="1"/>
      </rPr>
      <t>Uppercut</t>
    </r>
    <r>
      <rPr>
        <sz val="10"/>
        <color theme="1"/>
        <rFont val="宋体"/>
        <family val="3"/>
        <charset val="134"/>
      </rPr>
      <t>。当你以徒手打击命中一名生物时，你能以反应消耗</t>
    </r>
    <r>
      <rPr>
        <sz val="10"/>
        <color theme="1"/>
        <rFont val="Times New Roman"/>
        <family val="1"/>
      </rPr>
      <t>1</t>
    </r>
    <r>
      <rPr>
        <sz val="10"/>
        <color theme="1"/>
        <rFont val="宋体"/>
        <family val="3"/>
        <charset val="134"/>
      </rPr>
      <t>点锐气来使此次攻击重击命中。此反应一经使用，直至完成短休或长休你都无法再次使用。</t>
    </r>
  </si>
  <si>
    <t>奥法骑士</t>
    <phoneticPr fontId="68" type="noConversion"/>
  </si>
  <si>
    <t>诡术师</t>
    <phoneticPr fontId="68" type="noConversion"/>
  </si>
  <si>
    <t>筑灭师</t>
  </si>
  <si>
    <t>等级</t>
    <phoneticPr fontId="68" type="noConversion"/>
  </si>
  <si>
    <t>灵能UA-2期</t>
    <phoneticPr fontId="68" type="noConversion"/>
  </si>
  <si>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3"/>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3"/>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3"/>
      </rPr>
      <t>DC</t>
    </r>
    <r>
      <rPr>
        <sz val="10"/>
        <color theme="1"/>
        <rFont val="宋体"/>
        <family val="3"/>
        <charset val="134"/>
      </rPr>
      <t>与本职业的施法特性中的法术豁免</t>
    </r>
    <r>
      <rPr>
        <sz val="10"/>
        <color theme="1"/>
        <rFont val="Times New Roman"/>
        <family val="3"/>
      </rPr>
      <t>DC</t>
    </r>
    <r>
      <rPr>
        <sz val="10"/>
        <color theme="1"/>
        <rFont val="宋体"/>
        <family val="3"/>
        <charset val="134"/>
      </rPr>
      <t>相同。</t>
    </r>
    <r>
      <rPr>
        <sz val="10"/>
        <color theme="1"/>
        <rFont val="Times New Roman"/>
        <family val="3"/>
      </rPr>
      <t xml:space="preserve"> 
</t>
    </r>
    <r>
      <rPr>
        <sz val="10"/>
        <color theme="1"/>
        <rFont val="宋体"/>
        <family val="3"/>
        <charset val="134"/>
      </rPr>
      <t>念力驱使</t>
    </r>
    <r>
      <rPr>
        <sz val="10"/>
        <color theme="1"/>
        <rFont val="Times New Roman"/>
        <family val="3"/>
      </rPr>
      <t>Telekinetic Propel</t>
    </r>
    <r>
      <rPr>
        <sz val="10"/>
        <color theme="1"/>
        <rFont val="宋体"/>
        <family val="3"/>
        <charset val="134"/>
      </rPr>
      <t>。</t>
    </r>
    <r>
      <rPr>
        <sz val="10"/>
        <color theme="1"/>
        <rFont val="Times New Roman"/>
        <family val="3"/>
      </rPr>
      <t xml:space="preserve"> </t>
    </r>
    <r>
      <rPr>
        <sz val="10"/>
        <color theme="1"/>
        <rFont val="宋体"/>
        <family val="3"/>
        <charset val="134"/>
      </rPr>
      <t>以一个附赠动作，选择</t>
    </r>
    <r>
      <rPr>
        <sz val="10"/>
        <color theme="1"/>
        <rFont val="Times New Roman"/>
        <family val="3"/>
      </rPr>
      <t>30</t>
    </r>
    <r>
      <rPr>
        <sz val="10"/>
        <color theme="1"/>
        <rFont val="宋体"/>
        <family val="3"/>
        <charset val="134"/>
      </rPr>
      <t>尺内一名你可见的不超过大型的除你以外的生物。若如此做，目标必须成功通过一次力量豁免，否则就会被你向自己的方向或背向自己的方向直线移动</t>
    </r>
    <r>
      <rPr>
        <sz val="10"/>
        <color theme="1"/>
        <rFont val="Times New Roman"/>
        <family val="3"/>
      </rPr>
      <t>5</t>
    </r>
    <r>
      <rPr>
        <sz val="10"/>
        <color theme="1"/>
        <rFont val="宋体"/>
        <family val="3"/>
        <charset val="134"/>
      </rPr>
      <t>尺。此外，你执行此附赠动作时可以投掷一枚灵能骰，移动距离等于灵能骰点数的</t>
    </r>
    <r>
      <rPr>
        <sz val="10"/>
        <color theme="1"/>
        <rFont val="Times New Roman"/>
        <family val="3"/>
      </rPr>
      <t>5</t>
    </r>
    <r>
      <rPr>
        <sz val="10"/>
        <color theme="1"/>
        <rFont val="宋体"/>
        <family val="3"/>
        <charset val="134"/>
      </rPr>
      <t>倍。灵能骰只在目标豁免失败时被消耗。</t>
    </r>
    <r>
      <rPr>
        <sz val="10"/>
        <color theme="1"/>
        <rFont val="Times New Roman"/>
        <family val="3"/>
      </rPr>
      <t xml:space="preserve"> 
</t>
    </r>
    <r>
      <rPr>
        <sz val="10"/>
        <color theme="1"/>
        <rFont val="宋体"/>
        <family val="3"/>
        <charset val="134"/>
      </rPr>
      <t>心灵连接</t>
    </r>
    <r>
      <rPr>
        <sz val="10"/>
        <color theme="1"/>
        <rFont val="Times New Roman"/>
        <family val="3"/>
      </rPr>
      <t>Telepathic Connection</t>
    </r>
    <r>
      <rPr>
        <sz val="10"/>
        <color theme="1"/>
        <rFont val="宋体"/>
        <family val="3"/>
        <charset val="134"/>
      </rPr>
      <t>。你具有</t>
    </r>
    <r>
      <rPr>
        <sz val="10"/>
        <color theme="1"/>
        <rFont val="Times New Roman"/>
        <family val="3"/>
      </rPr>
      <t>30</t>
    </r>
    <r>
      <rPr>
        <sz val="10"/>
        <color theme="1"/>
        <rFont val="宋体"/>
        <family val="3"/>
        <charset val="134"/>
      </rPr>
      <t>尺心灵感应。以一个附赠动作，你可以投掷一枚灵能骰。你的心灵感应等于灵能骰点数的</t>
    </r>
    <r>
      <rPr>
        <sz val="10"/>
        <color theme="1"/>
        <rFont val="Times New Roman"/>
        <family val="3"/>
      </rPr>
      <t>10</t>
    </r>
    <r>
      <rPr>
        <sz val="10"/>
        <color theme="1"/>
        <rFont val="宋体"/>
        <family val="3"/>
        <charset val="134"/>
      </rPr>
      <t>倍的距离，持续</t>
    </r>
    <r>
      <rPr>
        <sz val="10"/>
        <color theme="1"/>
        <rFont val="Times New Roman"/>
        <family val="3"/>
      </rPr>
      <t>1</t>
    </r>
    <r>
      <rPr>
        <sz val="10"/>
        <color theme="1"/>
        <rFont val="宋体"/>
        <family val="3"/>
        <charset val="134"/>
      </rPr>
      <t>小时。你在每次长休后首次执行此附赠动作时，你无需消耗灵能骰。其他所有时间你使用该特性时，你消耗灵能骰。</t>
    </r>
    <phoneticPr fontId="68" type="noConversion"/>
  </si>
  <si>
    <t>你知晓戏法法师之手。你可以施展该法术而不需要言语成分，你可以在施展法术时令幽灵手隐形。</t>
    <phoneticPr fontId="68" type="noConversion"/>
  </si>
  <si>
    <r>
      <rPr>
        <sz val="10"/>
        <color theme="1"/>
        <rFont val="宋体"/>
        <family val="3"/>
        <charset val="134"/>
      </rPr>
      <t>你学会了更多由你的灵能骰充能的灵能技巧。你获得两项由你选择的灵能才赋，比如延伸意识</t>
    </r>
    <r>
      <rPr>
        <sz val="10"/>
        <color theme="1"/>
        <rFont val="Times New Roman"/>
        <family val="3"/>
      </rPr>
      <t>Expanded Awareness</t>
    </r>
    <r>
      <rPr>
        <sz val="10"/>
        <color theme="1"/>
        <rFont val="宋体"/>
        <family val="3"/>
        <charset val="134"/>
      </rPr>
      <t>与本我暗示</t>
    </r>
    <r>
      <rPr>
        <sz val="10"/>
        <color theme="1"/>
        <rFont val="Times New Roman"/>
        <family val="3"/>
      </rPr>
      <t>Id Insinuation</t>
    </r>
    <r>
      <rPr>
        <sz val="10"/>
        <color theme="1"/>
        <rFont val="宋体"/>
        <family val="3"/>
        <charset val="134"/>
      </rPr>
      <t>。才赋详述于后“灵能才赋选项”部分。</t>
    </r>
    <r>
      <rPr>
        <sz val="10"/>
        <color theme="1"/>
        <rFont val="Times New Roman"/>
        <family val="3"/>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3"/>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3"/>
      </rPr>
      <t>5</t>
    </r>
    <r>
      <rPr>
        <sz val="10"/>
        <color theme="1"/>
        <rFont val="宋体"/>
        <family val="3"/>
        <charset val="134"/>
      </rPr>
      <t>，</t>
    </r>
    <r>
      <rPr>
        <sz val="10"/>
        <color theme="1"/>
        <rFont val="Times New Roman"/>
        <family val="3"/>
      </rPr>
      <t>10</t>
    </r>
    <r>
      <rPr>
        <sz val="10"/>
        <color theme="1"/>
        <rFont val="宋体"/>
        <family val="3"/>
        <charset val="134"/>
      </rPr>
      <t>，</t>
    </r>
    <r>
      <rPr>
        <sz val="10"/>
        <color theme="1"/>
        <rFont val="Times New Roman"/>
        <family val="3"/>
      </rPr>
      <t>13</t>
    </r>
    <r>
      <rPr>
        <sz val="10"/>
        <color theme="1"/>
        <rFont val="宋体"/>
        <family val="3"/>
        <charset val="134"/>
      </rPr>
      <t>与</t>
    </r>
    <r>
      <rPr>
        <sz val="10"/>
        <color theme="1"/>
        <rFont val="Times New Roman"/>
        <family val="3"/>
      </rPr>
      <t>17</t>
    </r>
    <r>
      <rPr>
        <sz val="10"/>
        <color theme="1"/>
        <rFont val="宋体"/>
        <family val="3"/>
        <charset val="134"/>
      </rPr>
      <t>级时分别得到一种额外才赋。</t>
    </r>
    <phoneticPr fontId="68" type="noConversion"/>
  </si>
  <si>
    <r>
      <rPr>
        <sz val="10"/>
        <color theme="1"/>
        <rFont val="宋体"/>
        <family val="3"/>
        <charset val="134"/>
      </rPr>
      <t>你获得一项你选择的灵能使子职业——蜕变使</t>
    </r>
    <r>
      <rPr>
        <sz val="10"/>
        <color theme="1"/>
        <rFont val="Times New Roman"/>
        <family val="3"/>
      </rPr>
      <t>Metamorph</t>
    </r>
    <r>
      <rPr>
        <sz val="10"/>
        <color theme="1"/>
        <rFont val="宋体"/>
        <family val="3"/>
        <charset val="134"/>
      </rPr>
      <t>，念动使</t>
    </r>
    <r>
      <rPr>
        <sz val="10"/>
        <color theme="1"/>
        <rFont val="Times New Roman"/>
        <family val="3"/>
      </rPr>
      <t>Psykinetic</t>
    </r>
    <r>
      <rPr>
        <sz val="10"/>
        <color theme="1"/>
        <rFont val="宋体"/>
        <family val="3"/>
        <charset val="134"/>
      </rPr>
      <t>，传心使</t>
    </r>
    <r>
      <rPr>
        <sz val="10"/>
        <color theme="1"/>
        <rFont val="Times New Roman"/>
        <family val="3"/>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phoneticPr fontId="68" type="noConversion"/>
  </si>
  <si>
    <t>生物反馈</t>
  </si>
  <si>
    <t>强化预知</t>
  </si>
  <si>
    <t>破坏思维</t>
  </si>
  <si>
    <t>巧舌如魔</t>
  </si>
  <si>
    <t>延伸意识</t>
  </si>
  <si>
    <t>本我暗示</t>
  </si>
  <si>
    <t>弹无虚发</t>
  </si>
  <si>
    <t>观察思维</t>
  </si>
  <si>
    <t>灵能反射</t>
  </si>
  <si>
    <t>灵能护卫</t>
  </si>
  <si>
    <t>明晰思维</t>
  </si>
  <si>
    <r>
      <rPr>
        <sz val="10"/>
        <color theme="1"/>
        <rFont val="宋体"/>
        <family val="1"/>
        <charset val="134"/>
      </rPr>
      <t>当你施展了一道死灵或变化学派的灵能使法术时，你可以消耗至多智力调整值枚灵能骰。你获得等同于骰值外加你的智力调整值（最小值为</t>
    </r>
    <r>
      <rPr>
        <sz val="10"/>
        <color theme="1"/>
        <rFont val="Times New Roman"/>
        <family val="1"/>
      </rPr>
      <t>1</t>
    </r>
    <r>
      <rPr>
        <sz val="10"/>
        <color theme="1"/>
        <rFont val="宋体"/>
        <family val="1"/>
        <charset val="134"/>
      </rPr>
      <t>）临时生命值。</t>
    </r>
    <phoneticPr fontId="68" type="noConversion"/>
  </si>
  <si>
    <r>
      <rPr>
        <sz val="10"/>
        <color theme="1"/>
        <rFont val="宋体"/>
        <family val="1"/>
        <charset val="134"/>
      </rPr>
      <t>当你施展了一道防护或预言学派的灵能使法术时，你能够消耗一枚灵能骰。投掷其并选择一名</t>
    </r>
    <r>
      <rPr>
        <sz val="10"/>
        <color theme="1"/>
        <rFont val="Times New Roman"/>
        <family val="1"/>
      </rPr>
      <t>60</t>
    </r>
    <r>
      <rPr>
        <sz val="10"/>
        <color theme="1"/>
        <rFont val="宋体"/>
        <family val="1"/>
        <charset val="134"/>
      </rPr>
      <t>尺内你可见的生物（可以是你自己）。直至你的下个回合结束，该生物的下次</t>
    </r>
    <r>
      <rPr>
        <sz val="10"/>
        <color theme="1"/>
        <rFont val="Times New Roman"/>
        <family val="1"/>
      </rPr>
      <t>D20</t>
    </r>
    <r>
      <rPr>
        <sz val="10"/>
        <color theme="1"/>
        <rFont val="宋体"/>
        <family val="1"/>
        <charset val="134"/>
      </rPr>
      <t>检定获得等于灵能骰骰值的加值。</t>
    </r>
    <phoneticPr fontId="68" type="noConversion"/>
  </si>
  <si>
    <r>
      <rPr>
        <sz val="10"/>
        <color theme="1"/>
        <rFont val="宋体"/>
        <family val="1"/>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family val="1"/>
      </rPr>
      <t>1</t>
    </r>
    <r>
      <rPr>
        <sz val="10"/>
        <color theme="1"/>
        <rFont val="宋体"/>
        <family val="1"/>
        <charset val="134"/>
      </rPr>
      <t>）点心灵伤害。</t>
    </r>
    <phoneticPr fontId="68" type="noConversion"/>
  </si>
  <si>
    <t>当你执行影响动作时，你可以花费并投掷一枚灵能骰，并将骰值加入到此属性检定中。若令此属性检定成功，灵能骰被消耗。</t>
    <phoneticPr fontId="68" type="noConversion"/>
  </si>
  <si>
    <t>当你执行搜索动作时，你可以花费并投掷一枚灵能骰，并将骰值加入到此属性检定中。若令此属性检定成功，灵能骰被消耗。</t>
    <phoneticPr fontId="68" type="noConversion"/>
  </si>
  <si>
    <t>当你施展了一道惑控或幻术学派的灵能使法术，并且迫使一个生物进行一次豁免检定时，你能够消耗并投掷一枚灵能骰。你能看见的一个该法术的目标在对抗此法术的豁免检定中减去骰值的一半（向下取整）。</t>
    <phoneticPr fontId="68" type="noConversion"/>
  </si>
  <si>
    <t>当你对一个生物进行攻击检定失手时，你可以投掷一枚灵能骰并在攻击检定中加入骰值，这可能会让本次失手变为命中。该骰只有使本次攻击命中时花费。</t>
    <phoneticPr fontId="68" type="noConversion"/>
  </si>
  <si>
    <r>
      <rPr>
        <sz val="10"/>
        <color theme="1"/>
        <rFont val="宋体"/>
        <family val="1"/>
        <charset val="134"/>
      </rPr>
      <t>当你执行研究动作时，你能够投掷一枚灵能骰，并将骰值加入到此属性检定中。若令此属性检定成功，灵能骰被消耗。</t>
    </r>
    <r>
      <rPr>
        <sz val="10"/>
        <color theme="1"/>
        <rFont val="Times New Roman"/>
        <family val="1"/>
      </rPr>
      <t xml:space="preserve"> </t>
    </r>
    <phoneticPr fontId="68" type="noConversion"/>
  </si>
  <si>
    <r>
      <rPr>
        <sz val="10"/>
        <color theme="1"/>
        <rFont val="宋体"/>
        <family val="1"/>
        <charset val="134"/>
      </rPr>
      <t>你能看见的一个生物以一次攻击检定命中你时，你可以立即执行一个反应消耗并投掷一枚灵能骰，并从伤害总值中减去骰值加你的智力调整值的和（至少为</t>
    </r>
    <r>
      <rPr>
        <sz val="10"/>
        <color theme="1"/>
        <rFont val="Times New Roman"/>
        <family val="1"/>
      </rPr>
      <t>2</t>
    </r>
    <r>
      <rPr>
        <sz val="10"/>
        <color theme="1"/>
        <rFont val="宋体"/>
        <family val="1"/>
        <charset val="134"/>
      </rPr>
      <t>）。此外，你可以迫使攻击者进行一次感知豁免检定。豁免失败时，目标受到等同于两枚灵能骰总骰值的心灵伤害。</t>
    </r>
    <phoneticPr fontId="68" type="noConversion"/>
  </si>
  <si>
    <r>
      <rPr>
        <sz val="10"/>
        <color theme="1"/>
        <rFont val="宋体"/>
        <family val="1"/>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family val="1"/>
      </rPr>
      <t xml:space="preserve"> 
</t>
    </r>
    <r>
      <rPr>
        <sz val="10"/>
        <color theme="1"/>
        <rFont val="宋体"/>
        <family val="1"/>
        <charset val="134"/>
      </rPr>
      <t>当你使用心灵护卫时，你也可以在本回合使用不同的灵能才赋。</t>
    </r>
    <phoneticPr fontId="68" type="noConversion"/>
  </si>
  <si>
    <r>
      <rPr>
        <sz val="10"/>
        <color theme="1"/>
        <rFont val="宋体"/>
        <family val="1"/>
        <charset val="134"/>
      </rPr>
      <t>在你的回合开始时，你能够消耗一枚灵能骰来磨炼你的破坏性灵能力量。掷骰并记录骰值。你获得以下增益，持续一分钟或在你陷入失能时提前结束。</t>
    </r>
    <r>
      <rPr>
        <sz val="10"/>
        <color theme="1"/>
        <rFont val="Times New Roman"/>
        <family val="1"/>
      </rPr>
      <t xml:space="preserve"> 
</t>
    </r>
    <r>
      <rPr>
        <sz val="10"/>
        <color theme="1"/>
        <rFont val="宋体"/>
        <family val="1"/>
        <charset val="134"/>
      </rPr>
      <t>迂心绕灵</t>
    </r>
    <r>
      <rPr>
        <sz val="10"/>
        <color theme="1"/>
        <rFont val="Times New Roman"/>
        <family val="1"/>
      </rPr>
      <t>Bypassing Psionics</t>
    </r>
    <r>
      <rPr>
        <sz val="10"/>
        <color theme="1"/>
        <rFont val="宋体"/>
        <family val="1"/>
        <charset val="134"/>
      </rPr>
      <t>。</t>
    </r>
    <r>
      <rPr>
        <sz val="10"/>
        <color theme="1"/>
        <rFont val="Times New Roman"/>
        <family val="1"/>
      </rPr>
      <t xml:space="preserve"> </t>
    </r>
    <r>
      <rPr>
        <sz val="10"/>
        <color theme="1"/>
        <rFont val="宋体"/>
        <family val="1"/>
        <charset val="134"/>
      </rPr>
      <t>你的武器攻击、灵能使法术和灵能使特性造成的伤害忽视心灵伤害抗性。</t>
    </r>
    <r>
      <rPr>
        <sz val="10"/>
        <color theme="1"/>
        <rFont val="Times New Roman"/>
        <family val="1"/>
      </rPr>
      <t xml:space="preserve"> 
</t>
    </r>
    <r>
      <rPr>
        <sz val="10"/>
        <color theme="1"/>
        <rFont val="宋体"/>
        <family val="1"/>
        <charset val="134"/>
      </rPr>
      <t>攻击模式</t>
    </r>
    <r>
      <rPr>
        <sz val="10"/>
        <color theme="1"/>
        <rFont val="Times New Roman"/>
        <family val="1"/>
      </rPr>
      <t>Attack Mode</t>
    </r>
    <r>
      <rPr>
        <sz val="10"/>
        <color theme="1"/>
        <rFont val="宋体"/>
        <family val="1"/>
        <charset val="134"/>
      </rPr>
      <t>。</t>
    </r>
    <r>
      <rPr>
        <sz val="10"/>
        <color theme="1"/>
        <rFont val="Times New Roman"/>
        <family val="1"/>
      </rPr>
      <t xml:space="preserve"> </t>
    </r>
    <r>
      <rPr>
        <sz val="10"/>
        <color theme="1"/>
        <rFont val="宋体"/>
        <family val="1"/>
        <charset val="134"/>
      </rPr>
      <t>每回合一次，当你对一名或更多生物造成心灵伤害时，你能够将其中一枚伤害骰的骰值替换为激活此才赋时记录的骰值。</t>
    </r>
    <r>
      <rPr>
        <sz val="10"/>
        <color theme="1"/>
        <rFont val="Times New Roman"/>
        <family val="1"/>
      </rPr>
      <t xml:space="preserve"> 
</t>
    </r>
    <r>
      <rPr>
        <sz val="10"/>
        <color theme="1"/>
        <rFont val="宋体"/>
        <family val="1"/>
        <charset val="134"/>
      </rPr>
      <t>当你使用明晰思维时，你在本回合还能使用一种不同的灵能才赋。</t>
    </r>
    <phoneticPr fontId="68" type="noConversion"/>
  </si>
  <si>
    <t>你能够花一分钟冥想并集中精神。冥想结束后，你重获已消耗的灵能骰。此特性一经使用直至完成长休你都无法再次使用。</t>
    <phoneticPr fontId="68" type="noConversion"/>
  </si>
  <si>
    <r>
      <rPr>
        <sz val="10"/>
        <color theme="1"/>
        <rFont val="宋体"/>
        <family val="3"/>
        <charset val="134"/>
      </rPr>
      <t>你能在你的灵能力量中灌注生命能量。当你使用了一枚或更多灵能骰时，你可以消耗一枚生命骰，并将这些灵能骰中的所有</t>
    </r>
    <r>
      <rPr>
        <sz val="10"/>
        <color theme="1"/>
        <rFont val="Times New Roman"/>
        <family val="3"/>
      </rPr>
      <t>1</t>
    </r>
    <r>
      <rPr>
        <sz val="10"/>
        <color theme="1"/>
        <rFont val="宋体"/>
        <family val="3"/>
        <charset val="134"/>
      </rPr>
      <t>、</t>
    </r>
    <r>
      <rPr>
        <sz val="10"/>
        <color theme="1"/>
        <rFont val="Times New Roman"/>
        <family val="3"/>
      </rPr>
      <t>2</t>
    </r>
    <r>
      <rPr>
        <sz val="10"/>
        <color theme="1"/>
        <rFont val="宋体"/>
        <family val="3"/>
        <charset val="134"/>
      </rPr>
      <t>、</t>
    </r>
    <r>
      <rPr>
        <sz val="10"/>
        <color theme="1"/>
        <rFont val="Times New Roman"/>
        <family val="3"/>
      </rPr>
      <t>3</t>
    </r>
    <r>
      <rPr>
        <sz val="10"/>
        <color theme="1"/>
        <rFont val="宋体"/>
        <family val="3"/>
        <charset val="134"/>
      </rPr>
      <t>掷骰结果改为</t>
    </r>
    <r>
      <rPr>
        <sz val="10"/>
        <color theme="1"/>
        <rFont val="Times New Roman"/>
        <family val="3"/>
      </rPr>
      <t>4</t>
    </r>
    <r>
      <rPr>
        <sz val="10"/>
        <color theme="1"/>
        <rFont val="宋体"/>
        <family val="3"/>
        <charset val="134"/>
      </rPr>
      <t>。</t>
    </r>
    <phoneticPr fontId="68" type="noConversion"/>
  </si>
  <si>
    <t>灵能储备</t>
    <phoneticPr fontId="68" type="noConversion"/>
  </si>
  <si>
    <r>
      <rPr>
        <sz val="10"/>
        <color theme="1"/>
        <rFont val="宋体"/>
        <family val="1"/>
        <charset val="134"/>
      </rPr>
      <t>当你投掷先攻时，若你的灵能骰使用次数小于</t>
    </r>
    <r>
      <rPr>
        <sz val="10"/>
        <color theme="1"/>
        <rFont val="Times New Roman"/>
        <family val="1"/>
      </rPr>
      <t>4</t>
    </r>
    <r>
      <rPr>
        <sz val="10"/>
        <color theme="1"/>
        <rFont val="宋体"/>
        <family val="1"/>
        <charset val="134"/>
      </rPr>
      <t>次，你恢复至</t>
    </r>
    <r>
      <rPr>
        <sz val="10"/>
        <color theme="1"/>
        <rFont val="Times New Roman"/>
        <family val="1"/>
      </rPr>
      <t>4</t>
    </r>
    <r>
      <rPr>
        <sz val="10"/>
        <color theme="1"/>
        <rFont val="宋体"/>
        <family val="1"/>
        <charset val="134"/>
      </rPr>
      <t>次。</t>
    </r>
    <r>
      <rPr>
        <sz val="10"/>
        <color theme="1"/>
        <rFont val="Times New Roman"/>
        <family val="1"/>
      </rPr>
      <t xml:space="preserve"> </t>
    </r>
    <phoneticPr fontId="68" type="noConversion"/>
  </si>
  <si>
    <t>每回合一次，当你消耗一枚灵力骰并将其应用于灵能使特性或灵能才赋时，你可以消耗一枚或两枚生命骰，你每消耗一枚生命骰，额外骰一枚灵能骰，并将骰值加入到最终结果中。此特性额外投掷的灵能骰不会被消耗。</t>
    <phoneticPr fontId="68" type="noConversion"/>
  </si>
  <si>
    <r>
      <rPr>
        <sz val="10"/>
        <color theme="1"/>
        <rFont val="宋体"/>
        <family val="3"/>
        <charset val="134"/>
      </rPr>
      <t>当你到达传心使法术表中特定的灵能使等级时，你就始终准备着表中对应的法术。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疗伤术</t>
    </r>
    <r>
      <rPr>
        <sz val="10"/>
        <color theme="1"/>
        <rFont val="Times New Roman"/>
        <family val="3"/>
      </rPr>
      <t xml:space="preserve"> Cure Wounds</t>
    </r>
    <r>
      <rPr>
        <sz val="10"/>
        <color theme="1"/>
        <rFont val="宋体"/>
        <family val="3"/>
        <charset val="134"/>
      </rPr>
      <t>，致伤术</t>
    </r>
    <r>
      <rPr>
        <sz val="10"/>
        <color theme="1"/>
        <rFont val="Times New Roman"/>
        <family val="3"/>
      </rPr>
      <t xml:space="preserve"> Inflict Wounds
</t>
    </r>
    <r>
      <rPr>
        <sz val="10"/>
        <color theme="1"/>
        <rFont val="宋体"/>
        <family val="3"/>
        <charset val="134"/>
      </rPr>
      <t>次等复原术</t>
    </r>
    <r>
      <rPr>
        <sz val="10"/>
        <color theme="1"/>
        <rFont val="Times New Roman"/>
        <family val="3"/>
      </rPr>
      <t xml:space="preserve"> Lesser Restoration</t>
    </r>
    <r>
      <rPr>
        <sz val="10"/>
        <color theme="1"/>
        <rFont val="宋体"/>
        <family val="3"/>
        <charset val="134"/>
      </rPr>
      <t>，变身术</t>
    </r>
    <r>
      <rPr>
        <sz val="10"/>
        <color theme="1"/>
        <rFont val="Times New Roman"/>
        <family val="3"/>
      </rPr>
      <t xml:space="preserve"> Alter Self 
5 </t>
    </r>
    <r>
      <rPr>
        <sz val="10"/>
        <color theme="1"/>
        <rFont val="宋体"/>
        <family val="3"/>
        <charset val="134"/>
      </rPr>
      <t>活力灵光</t>
    </r>
    <r>
      <rPr>
        <sz val="10"/>
        <color theme="1"/>
        <rFont val="Times New Roman"/>
        <family val="3"/>
      </rPr>
      <t xml:space="preserve"> Aura of Vitality, </t>
    </r>
    <r>
      <rPr>
        <sz val="10"/>
        <color theme="1"/>
        <rFont val="宋体"/>
        <family val="3"/>
        <charset val="134"/>
      </rPr>
      <t>加速术</t>
    </r>
    <r>
      <rPr>
        <sz val="10"/>
        <color theme="1"/>
        <rFont val="Times New Roman"/>
        <family val="3"/>
      </rPr>
      <t xml:space="preserve"> Haste 
7 </t>
    </r>
    <r>
      <rPr>
        <sz val="10"/>
        <color theme="1"/>
        <rFont val="宋体"/>
        <family val="3"/>
        <charset val="134"/>
      </rPr>
      <t>变形术</t>
    </r>
    <r>
      <rPr>
        <sz val="10"/>
        <color theme="1"/>
        <rFont val="Times New Roman"/>
        <family val="3"/>
      </rPr>
      <t xml:space="preserve"> Polymorph, </t>
    </r>
    <r>
      <rPr>
        <sz val="10"/>
        <color theme="1"/>
        <rFont val="宋体"/>
        <family val="3"/>
        <charset val="134"/>
      </rPr>
      <t>石肤术</t>
    </r>
    <r>
      <rPr>
        <sz val="10"/>
        <color theme="1"/>
        <rFont val="Times New Roman"/>
        <family val="3"/>
      </rPr>
      <t xml:space="preserve"> Stoneskin 
9 </t>
    </r>
    <r>
      <rPr>
        <sz val="10"/>
        <color theme="1"/>
        <rFont val="宋体"/>
        <family val="3"/>
        <charset val="134"/>
      </rPr>
      <t>疫病术</t>
    </r>
    <r>
      <rPr>
        <sz val="10"/>
        <color theme="1"/>
        <rFont val="Times New Roman"/>
        <family val="3"/>
      </rPr>
      <t xml:space="preserve">Contagion, </t>
    </r>
    <r>
      <rPr>
        <sz val="10"/>
        <color theme="1"/>
        <rFont val="宋体"/>
        <family val="3"/>
        <charset val="134"/>
      </rPr>
      <t>群体疗伤术</t>
    </r>
    <r>
      <rPr>
        <sz val="10"/>
        <color theme="1"/>
        <rFont val="Times New Roman"/>
        <family val="3"/>
      </rPr>
      <t xml:space="preserve"> Mass Cure Wounds </t>
    </r>
    <phoneticPr fontId="68" type="noConversion"/>
  </si>
  <si>
    <r>
      <rPr>
        <sz val="10"/>
        <color theme="1"/>
        <rFont val="宋体"/>
        <family val="3"/>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family val="3"/>
      </rPr>
      <t xml:space="preserve"> 
</t>
    </r>
    <r>
      <rPr>
        <sz val="10"/>
        <color theme="1"/>
        <rFont val="宋体"/>
        <family val="3"/>
        <charset val="134"/>
      </rPr>
      <t>触及</t>
    </r>
    <r>
      <rPr>
        <sz val="10"/>
        <color theme="1"/>
        <rFont val="Times New Roman"/>
        <family val="3"/>
      </rPr>
      <t>Reach</t>
    </r>
    <r>
      <rPr>
        <sz val="10"/>
        <color theme="1"/>
        <rFont val="宋体"/>
        <family val="3"/>
        <charset val="134"/>
      </rPr>
      <t>。你的触及增加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速度</t>
    </r>
    <r>
      <rPr>
        <sz val="10"/>
        <color theme="1"/>
        <rFont val="Times New Roman"/>
        <family val="3"/>
      </rPr>
      <t>Speed</t>
    </r>
    <r>
      <rPr>
        <sz val="10"/>
        <color theme="1"/>
        <rFont val="宋体"/>
        <family val="3"/>
        <charset val="134"/>
      </rPr>
      <t>。你的速度增加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触碰</t>
    </r>
    <r>
      <rPr>
        <sz val="10"/>
        <color theme="1"/>
        <rFont val="Times New Roman"/>
        <family val="3"/>
      </rPr>
      <t>Touch</t>
    </r>
    <r>
      <rPr>
        <sz val="10"/>
        <color theme="1"/>
        <rFont val="宋体"/>
        <family val="3"/>
        <charset val="134"/>
      </rPr>
      <t>。你施展一道施法距离为触碰，施法时间为动作的法术时，可以将那道法术的施法距离变为</t>
    </r>
    <r>
      <rPr>
        <sz val="10"/>
        <color theme="1"/>
        <rFont val="Times New Roman"/>
        <family val="3"/>
      </rPr>
      <t>10</t>
    </r>
    <r>
      <rPr>
        <sz val="10"/>
        <color theme="1"/>
        <rFont val="宋体"/>
        <family val="3"/>
        <charset val="134"/>
      </rPr>
      <t>尺。</t>
    </r>
    <phoneticPr fontId="68" type="noConversion"/>
  </si>
  <si>
    <t>可变形态</t>
    <phoneticPr fontId="68" type="noConversion"/>
  </si>
  <si>
    <t>生体武器</t>
    <phoneticPr fontId="68" type="noConversion"/>
  </si>
  <si>
    <r>
      <rPr>
        <sz val="10"/>
        <color theme="1"/>
        <rFont val="宋体"/>
        <family val="3"/>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family val="3"/>
      </rPr>
      <t>Unconscious</t>
    </r>
    <r>
      <rPr>
        <sz val="10"/>
        <color theme="1"/>
        <rFont val="宋体"/>
        <family val="3"/>
        <charset val="134"/>
      </rPr>
      <t>状态，或你将肢体变回其原有形态（无需动作）。</t>
    </r>
    <r>
      <rPr>
        <sz val="10"/>
        <color theme="1"/>
        <rFont val="Times New Roman"/>
        <family val="3"/>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3"/>
      </rPr>
      <t xml:space="preserve"> 
</t>
    </r>
    <r>
      <rPr>
        <sz val="10"/>
        <color theme="1"/>
        <rFont val="宋体"/>
        <family val="3"/>
        <charset val="134"/>
      </rPr>
      <t>白骨利刃</t>
    </r>
    <r>
      <rPr>
        <sz val="10"/>
        <color theme="1"/>
        <rFont val="Times New Roman"/>
        <family val="3"/>
      </rPr>
      <t>Bone Blade</t>
    </r>
    <r>
      <rPr>
        <sz val="10"/>
        <color theme="1"/>
        <rFont val="宋体"/>
        <family val="3"/>
        <charset val="134"/>
      </rPr>
      <t>。</t>
    </r>
    <r>
      <rPr>
        <sz val="10"/>
        <color theme="1"/>
        <rFont val="Times New Roman"/>
        <family val="3"/>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3"/>
      </rPr>
      <t>1d8</t>
    </r>
    <r>
      <rPr>
        <sz val="10"/>
        <color theme="1"/>
        <rFont val="宋体"/>
        <family val="3"/>
        <charset val="134"/>
      </rPr>
      <t>穿刺伤害。若有至少一名不具有失能状态的盟友位于目标</t>
    </r>
    <r>
      <rPr>
        <sz val="10"/>
        <color theme="1"/>
        <rFont val="Times New Roman"/>
        <family val="3"/>
      </rPr>
      <t>5</t>
    </r>
    <r>
      <rPr>
        <sz val="10"/>
        <color theme="1"/>
        <rFont val="宋体"/>
        <family val="3"/>
        <charset val="134"/>
      </rPr>
      <t>尺内，你使用此利刃对目标进行的攻击检定具有优势。</t>
    </r>
    <r>
      <rPr>
        <sz val="10"/>
        <color theme="1"/>
        <rFont val="Times New Roman"/>
        <family val="3"/>
      </rPr>
      <t xml:space="preserve"> 
</t>
    </r>
    <r>
      <rPr>
        <sz val="10"/>
        <color theme="1"/>
        <rFont val="宋体"/>
        <family val="3"/>
        <charset val="134"/>
      </rPr>
      <t>血肉巨锤</t>
    </r>
    <r>
      <rPr>
        <sz val="10"/>
        <color theme="1"/>
        <rFont val="Times New Roman"/>
        <family val="3"/>
      </rPr>
      <t>Flesh Maul</t>
    </r>
    <r>
      <rPr>
        <sz val="10"/>
        <color theme="1"/>
        <rFont val="宋体"/>
        <family val="3"/>
        <charset val="134"/>
      </rPr>
      <t>。</t>
    </r>
    <r>
      <rPr>
        <sz val="10"/>
        <color theme="1"/>
        <rFont val="Times New Roman"/>
        <family val="3"/>
      </rPr>
      <t xml:space="preserve"> </t>
    </r>
    <r>
      <rPr>
        <sz val="10"/>
        <color theme="1"/>
        <rFont val="宋体"/>
        <family val="3"/>
        <charset val="134"/>
      </rPr>
      <t>你的前臂和拳头聚合成骨肉构成的巨锤。此巨锤视作一把简易近战武器，命中时造成</t>
    </r>
    <r>
      <rPr>
        <sz val="10"/>
        <color theme="1"/>
        <rFont val="Times New Roman"/>
        <family val="3"/>
      </rPr>
      <t>1d10</t>
    </r>
    <r>
      <rPr>
        <sz val="10"/>
        <color theme="1"/>
        <rFont val="宋体"/>
        <family val="3"/>
        <charset val="134"/>
      </rPr>
      <t>钝击伤害。被此武器命中的生物在其下一回合开始前进行的下次力量或体质豁免中具有劣势。</t>
    </r>
    <r>
      <rPr>
        <sz val="10"/>
        <color theme="1"/>
        <rFont val="Times New Roman"/>
        <family val="3"/>
      </rPr>
      <t xml:space="preserve"> 
</t>
    </r>
    <r>
      <rPr>
        <sz val="10"/>
        <color theme="1"/>
        <rFont val="宋体"/>
        <family val="3"/>
        <charset val="134"/>
      </rPr>
      <t>脏腑射弹</t>
    </r>
    <r>
      <rPr>
        <sz val="10"/>
        <color theme="1"/>
        <rFont val="Times New Roman"/>
        <family val="3"/>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3"/>
      </rPr>
      <t>30</t>
    </r>
    <r>
      <rPr>
        <sz val="10"/>
        <color theme="1"/>
        <rFont val="宋体"/>
        <family val="3"/>
        <charset val="134"/>
      </rPr>
      <t>尺常规射程和</t>
    </r>
    <r>
      <rPr>
        <sz val="10"/>
        <color theme="1"/>
        <rFont val="Times New Roman"/>
        <family val="3"/>
      </rPr>
      <t>90</t>
    </r>
    <r>
      <rPr>
        <sz val="10"/>
        <color theme="1"/>
        <rFont val="宋体"/>
        <family val="3"/>
        <charset val="134"/>
      </rPr>
      <t>尺最大射程，命中时造成</t>
    </r>
    <r>
      <rPr>
        <sz val="10"/>
        <color theme="1"/>
        <rFont val="Times New Roman"/>
        <family val="3"/>
      </rPr>
      <t>1d6</t>
    </r>
    <r>
      <rPr>
        <sz val="10"/>
        <color theme="1"/>
        <rFont val="宋体"/>
        <family val="3"/>
        <charset val="134"/>
      </rPr>
      <t>强酸伤害。每回合一次，你用此武器进行的攻击检定命中了一名生物时，你可以对其额外造成</t>
    </r>
    <r>
      <rPr>
        <sz val="10"/>
        <color theme="1"/>
        <rFont val="Times New Roman"/>
        <family val="3"/>
      </rPr>
      <t>1d6</t>
    </r>
    <r>
      <rPr>
        <sz val="10"/>
        <color theme="1"/>
        <rFont val="宋体"/>
        <family val="3"/>
        <charset val="134"/>
      </rPr>
      <t>强酸伤害。</t>
    </r>
    <phoneticPr fontId="68" type="noConversion"/>
  </si>
  <si>
    <r>
      <rPr>
        <sz val="10"/>
        <color theme="1"/>
        <rFont val="宋体"/>
        <family val="3"/>
        <charset val="134"/>
      </rPr>
      <t>每当你在自己的回合执行攻击动作时，你可以发动两次攻击而非一次。</t>
    </r>
    <r>
      <rPr>
        <sz val="10"/>
        <color theme="1"/>
        <rFont val="Times New Roman"/>
        <family val="3"/>
      </rPr>
      <t xml:space="preserve"> 
</t>
    </r>
    <r>
      <rPr>
        <sz val="10"/>
        <color theme="1"/>
        <rFont val="宋体"/>
        <family val="3"/>
        <charset val="134"/>
      </rPr>
      <t>此外，你可以将额外攻击中的一次，替换为施展一道施法时间为动作的灵能使戏法。</t>
    </r>
    <phoneticPr fontId="68" type="noConversion"/>
  </si>
  <si>
    <t>血肉织者</t>
    <phoneticPr fontId="68" type="noConversion"/>
  </si>
  <si>
    <r>
      <rPr>
        <sz val="10"/>
        <color theme="1"/>
        <rFont val="宋体"/>
        <family val="3"/>
        <charset val="134"/>
      </rPr>
      <t>你使用可变形态时，可以额外消耗一枚灵能骰以在特性激活期间获得下列增益：</t>
    </r>
    <r>
      <rPr>
        <sz val="10"/>
        <color theme="1"/>
        <rFont val="Times New Roman"/>
        <family val="3"/>
      </rPr>
      <t xml:space="preserve"> 
</t>
    </r>
    <r>
      <rPr>
        <sz val="10"/>
        <color theme="1"/>
        <rFont val="宋体"/>
        <family val="3"/>
        <charset val="134"/>
      </rPr>
      <t>生体守御</t>
    </r>
    <r>
      <rPr>
        <sz val="10"/>
        <color theme="1"/>
        <rFont val="Times New Roman"/>
        <family val="3"/>
      </rPr>
      <t>Organic Defense</t>
    </r>
    <r>
      <rPr>
        <sz val="10"/>
        <color theme="1"/>
        <rFont val="宋体"/>
        <family val="3"/>
        <charset val="134"/>
      </rPr>
      <t>。</t>
    </r>
    <r>
      <rPr>
        <sz val="10"/>
        <color theme="1"/>
        <rFont val="Times New Roman"/>
        <family val="3"/>
      </rPr>
      <t xml:space="preserve"> </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+2</t>
    </r>
    <r>
      <rPr>
        <sz val="10"/>
        <color theme="1"/>
        <rFont val="宋体"/>
        <family val="3"/>
        <charset val="134"/>
      </rPr>
      <t>加值。</t>
    </r>
    <r>
      <rPr>
        <sz val="10"/>
        <color theme="1"/>
        <rFont val="Times New Roman"/>
        <family val="3"/>
      </rPr>
      <t xml:space="preserve"> 
</t>
    </r>
    <r>
      <rPr>
        <sz val="10"/>
        <color theme="1"/>
        <rFont val="宋体"/>
        <family val="3"/>
        <charset val="134"/>
      </rPr>
      <t>强效疗愈</t>
    </r>
    <r>
      <rPr>
        <sz val="10"/>
        <color theme="1"/>
        <rFont val="Times New Roman"/>
        <family val="3"/>
      </rPr>
      <t>Empowered Healing</t>
    </r>
    <r>
      <rPr>
        <sz val="10"/>
        <color theme="1"/>
        <rFont val="宋体"/>
        <family val="3"/>
        <charset val="134"/>
      </rPr>
      <t>。</t>
    </r>
    <r>
      <rPr>
        <sz val="10"/>
        <color theme="1"/>
        <rFont val="Times New Roman"/>
        <family val="3"/>
      </rPr>
      <t xml:space="preserve"> </t>
    </r>
    <r>
      <rPr>
        <sz val="10"/>
        <color theme="1"/>
        <rFont val="宋体"/>
        <family val="3"/>
        <charset val="134"/>
      </rPr>
      <t>你用法术位施展一道为一名或更多名生物恢复生命值的法术时，可以消耗并投掷一枚灵能骰，将其骰值加入所恢复生命值的总量中。</t>
    </r>
    <r>
      <rPr>
        <sz val="10"/>
        <color theme="1"/>
        <rFont val="Times New Roman"/>
        <family val="3"/>
      </rPr>
      <t xml:space="preserve"> </t>
    </r>
    <phoneticPr fontId="68" type="noConversion"/>
  </si>
  <si>
    <t>进阶可变形态</t>
    <phoneticPr fontId="68" type="noConversion"/>
  </si>
  <si>
    <r>
      <rPr>
        <sz val="10"/>
        <color theme="1"/>
        <rFont val="宋体"/>
        <family val="3"/>
        <charset val="134"/>
      </rPr>
      <t>你使用可变形态时，其持续时间延长至</t>
    </r>
    <r>
      <rPr>
        <sz val="10"/>
        <color theme="1"/>
        <rFont val="Times New Roman"/>
        <family val="3"/>
      </rPr>
      <t>10</t>
    </r>
    <r>
      <rPr>
        <sz val="10"/>
        <color theme="1"/>
        <rFont val="宋体"/>
        <family val="3"/>
        <charset val="134"/>
      </rPr>
      <t>分钟，且你获得由你选择的下述增益之一，其效应持续至可变形态终止。</t>
    </r>
    <r>
      <rPr>
        <sz val="10"/>
        <color theme="1"/>
        <rFont val="Times New Roman"/>
        <family val="3"/>
      </rPr>
      <t xml:space="preserve"> 
</t>
    </r>
    <r>
      <rPr>
        <sz val="10"/>
        <color theme="1"/>
        <rFont val="宋体"/>
        <family val="3"/>
        <charset val="134"/>
      </rPr>
      <t>硬化表皮</t>
    </r>
    <r>
      <rPr>
        <sz val="10"/>
        <color theme="1"/>
        <rFont val="Times New Roman"/>
        <family val="3"/>
      </rPr>
      <t>Stony Epidermis</t>
    </r>
    <r>
      <rPr>
        <sz val="10"/>
        <color theme="1"/>
        <rFont val="宋体"/>
        <family val="3"/>
        <charset val="134"/>
      </rPr>
      <t>。</t>
    </r>
    <r>
      <rPr>
        <sz val="10"/>
        <color theme="1"/>
        <rFont val="Times New Roman"/>
        <family val="3"/>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3"/>
      </rPr>
      <t xml:space="preserve"> 
</t>
    </r>
    <r>
      <rPr>
        <sz val="10"/>
        <color theme="1"/>
        <rFont val="宋体"/>
        <family val="3"/>
        <charset val="134"/>
      </rPr>
      <t>高等奔行</t>
    </r>
    <r>
      <rPr>
        <sz val="10"/>
        <color theme="1"/>
        <rFont val="Times New Roman"/>
        <family val="3"/>
      </rPr>
      <t>Superior Stride</t>
    </r>
    <r>
      <rPr>
        <sz val="10"/>
        <color theme="1"/>
        <rFont val="宋体"/>
        <family val="3"/>
        <charset val="134"/>
      </rPr>
      <t>。</t>
    </r>
    <r>
      <rPr>
        <sz val="10"/>
        <color theme="1"/>
        <rFont val="Times New Roman"/>
        <family val="3"/>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3"/>
      </rPr>
      <t xml:space="preserve"> 
</t>
    </r>
    <r>
      <rPr>
        <sz val="10"/>
        <color theme="1"/>
        <rFont val="宋体"/>
        <family val="3"/>
        <charset val="134"/>
      </rPr>
      <t>非凡灵敏</t>
    </r>
    <r>
      <rPr>
        <sz val="10"/>
        <color theme="1"/>
        <rFont val="Times New Roman"/>
        <family val="3"/>
      </rPr>
      <t>Unnatural Flexibility</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加值，且你和你着装与持有的装备变得柔软可塑。你可以穿越至窄为</t>
    </r>
    <r>
      <rPr>
        <sz val="10"/>
        <color theme="1"/>
        <rFont val="Times New Roman"/>
        <family val="3"/>
      </rPr>
      <t>1</t>
    </r>
    <r>
      <rPr>
        <sz val="10"/>
        <color theme="1"/>
        <rFont val="宋体"/>
        <family val="3"/>
        <charset val="134"/>
      </rPr>
      <t>寸宽的缝隙，且你可以消耗</t>
    </r>
    <r>
      <rPr>
        <sz val="10"/>
        <color theme="1"/>
        <rFont val="Times New Roman"/>
        <family val="3"/>
      </rPr>
      <t>5</t>
    </r>
    <r>
      <rPr>
        <sz val="10"/>
        <color theme="1"/>
        <rFont val="宋体"/>
        <family val="3"/>
        <charset val="134"/>
      </rPr>
      <t>尺移动力逃脱非魔法的束缚或结束你身上的受擒状态。</t>
    </r>
    <phoneticPr fontId="68" type="noConversion"/>
  </si>
  <si>
    <r>
      <rPr>
        <sz val="10"/>
        <color theme="1"/>
        <rFont val="宋体"/>
        <family val="3"/>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family val="3"/>
      </rPr>
      <t xml:space="preserve"> 
</t>
    </r>
    <r>
      <rPr>
        <sz val="10"/>
        <color theme="1"/>
        <rFont val="宋体"/>
        <family val="3"/>
        <charset val="134"/>
      </rPr>
      <t>此外，你用生体武器命中一名生物时，作为代替，你可以消耗并投掷一枚灵能骰。目标额外受到等同于骰值的暗蚀伤害，同时位于以你为原点</t>
    </r>
    <r>
      <rPr>
        <sz val="10"/>
        <color theme="1"/>
        <rFont val="Times New Roman"/>
        <family val="3"/>
      </rPr>
      <t>10</t>
    </r>
    <r>
      <rPr>
        <sz val="10"/>
        <color theme="1"/>
        <rFont val="宋体"/>
        <family val="3"/>
        <charset val="134"/>
      </rPr>
      <t>尺光环内每名你选择的生物恢复等同于骰值加上你智力调整值的生命值。此特性一经使用，直到你下个回合开始前不能再次使用。</t>
    </r>
    <phoneticPr fontId="68" type="noConversion"/>
  </si>
  <si>
    <r>
      <rPr>
        <sz val="10"/>
        <color theme="1"/>
        <rFont val="宋体"/>
        <family val="3"/>
        <charset val="134"/>
      </rPr>
      <t>当你到达念动使法术表中特定的灵能使等级时，你就始终准备着表中对应的法术。</t>
    </r>
    <r>
      <rPr>
        <sz val="10"/>
        <color theme="1"/>
        <rFont val="Times New Roman"/>
        <family val="3"/>
      </rPr>
      <t xml:space="preserve"> 
</t>
    </r>
    <r>
      <rPr>
        <sz val="10"/>
        <color theme="1"/>
        <rFont val="宋体"/>
        <family val="3"/>
        <charset val="134"/>
      </rPr>
      <t>念动使法术</t>
    </r>
    <r>
      <rPr>
        <sz val="10"/>
        <color theme="1"/>
        <rFont val="Times New Roman"/>
        <family val="3"/>
      </rPr>
      <t xml:space="preserve">Psykinetic Spells </t>
    </r>
    <r>
      <rPr>
        <sz val="10"/>
        <color theme="1"/>
        <rFont val="宋体"/>
        <family val="3"/>
        <charset val="134"/>
      </rPr>
      <t>灵能使等级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t>
    </r>
    <r>
      <rPr>
        <sz val="10"/>
        <color theme="1"/>
        <rFont val="宋体"/>
        <family val="3"/>
        <charset val="134"/>
      </rPr>
      <t>匕首之云</t>
    </r>
    <r>
      <rPr>
        <sz val="10"/>
        <color theme="1"/>
        <rFont val="Times New Roman"/>
        <family val="3"/>
      </rPr>
      <t>Cloud of Daggers</t>
    </r>
    <r>
      <rPr>
        <sz val="10"/>
        <color theme="1"/>
        <rFont val="宋体"/>
        <family val="3"/>
        <charset val="134"/>
      </rPr>
      <t>，浮空术</t>
    </r>
    <r>
      <rPr>
        <sz val="10"/>
        <color theme="1"/>
        <rFont val="Times New Roman"/>
        <family val="3"/>
      </rPr>
      <t xml:space="preserve">Levitate 
5 </t>
    </r>
    <r>
      <rPr>
        <sz val="10"/>
        <color theme="1"/>
        <rFont val="宋体"/>
        <family val="3"/>
        <charset val="134"/>
      </rPr>
      <t>缓慢术</t>
    </r>
    <r>
      <rPr>
        <sz val="10"/>
        <color theme="1"/>
        <rFont val="Times New Roman"/>
        <family val="3"/>
      </rPr>
      <t>Slow</t>
    </r>
    <r>
      <rPr>
        <sz val="10"/>
        <color theme="1"/>
        <rFont val="宋体"/>
        <family val="3"/>
        <charset val="134"/>
      </rPr>
      <t>，念力碾压</t>
    </r>
    <r>
      <rPr>
        <sz val="10"/>
        <color theme="1"/>
        <rFont val="Times New Roman"/>
        <family val="3"/>
      </rPr>
      <t xml:space="preserve">Telekinetic Crush* 
7 </t>
    </r>
    <r>
      <rPr>
        <sz val="10"/>
        <color theme="1"/>
        <rFont val="宋体"/>
        <family val="3"/>
        <charset val="134"/>
      </rPr>
      <t>欧提路克弹力法球</t>
    </r>
    <r>
      <rPr>
        <sz val="10"/>
        <color theme="1"/>
        <rFont val="Times New Roman"/>
        <family val="3"/>
      </rPr>
      <t>Otiluke's Resilient Sphere</t>
    </r>
    <r>
      <rPr>
        <sz val="10"/>
        <color theme="1"/>
        <rFont val="宋体"/>
        <family val="3"/>
        <charset val="134"/>
      </rPr>
      <t>，塑石术</t>
    </r>
    <r>
      <rPr>
        <sz val="10"/>
        <color theme="1"/>
        <rFont val="Times New Roman"/>
        <family val="3"/>
      </rPr>
      <t xml:space="preserve">Stone Shape 
9 </t>
    </r>
    <r>
      <rPr>
        <sz val="10"/>
        <color theme="1"/>
        <rFont val="宋体"/>
        <family val="3"/>
        <charset val="134"/>
      </rPr>
      <t>心灵遥控</t>
    </r>
    <r>
      <rPr>
        <sz val="10"/>
        <color theme="1"/>
        <rFont val="Times New Roman"/>
        <family val="3"/>
      </rPr>
      <t>Telekinesis</t>
    </r>
    <r>
      <rPr>
        <sz val="10"/>
        <color theme="1"/>
        <rFont val="宋体"/>
        <family val="3"/>
        <charset val="134"/>
      </rPr>
      <t>，力场墙</t>
    </r>
    <r>
      <rPr>
        <sz val="10"/>
        <color theme="1"/>
        <rFont val="Times New Roman"/>
        <family val="3"/>
      </rPr>
      <t xml:space="preserve">Wall of Force </t>
    </r>
    <phoneticPr fontId="68" type="noConversion"/>
  </si>
  <si>
    <t>强化念力</t>
    <phoneticPr fontId="68" type="noConversion"/>
  </si>
  <si>
    <r>
      <rPr>
        <sz val="10"/>
        <color theme="1"/>
        <rFont val="宋体"/>
        <family val="3"/>
        <charset val="134"/>
      </rPr>
      <t>当你施展法师之手时，其施法距离增加</t>
    </r>
    <r>
      <rPr>
        <sz val="10"/>
        <color theme="1"/>
        <rFont val="Times New Roman"/>
        <family val="3"/>
      </rPr>
      <t>30</t>
    </r>
    <r>
      <rPr>
        <sz val="10"/>
        <color theme="1"/>
        <rFont val="宋体"/>
        <family val="3"/>
        <charset val="134"/>
      </rPr>
      <t>尺，且该法师之手可以承载至多</t>
    </r>
    <r>
      <rPr>
        <sz val="10"/>
        <color theme="1"/>
        <rFont val="Times New Roman"/>
        <family val="3"/>
      </rPr>
      <t>20</t>
    </r>
    <r>
      <rPr>
        <sz val="10"/>
        <color theme="1"/>
        <rFont val="宋体"/>
        <family val="3"/>
        <charset val="134"/>
      </rPr>
      <t>磅重。</t>
    </r>
    <phoneticPr fontId="68" type="noConversion"/>
  </si>
  <si>
    <r>
      <rPr>
        <sz val="10"/>
        <color theme="1"/>
        <rFont val="宋体"/>
        <family val="3"/>
        <charset val="134"/>
      </rPr>
      <t>当你使用你的念力驱使时，</t>
    </r>
    <r>
      <rPr>
        <sz val="10"/>
        <color theme="1"/>
        <rFont val="Times New Roman"/>
        <family val="3"/>
      </rPr>
      <t xml:space="preserve"> </t>
    </r>
    <r>
      <rPr>
        <sz val="10"/>
        <color theme="1"/>
        <rFont val="宋体"/>
        <family val="3"/>
        <charset val="134"/>
      </rPr>
      <t>你可以掷</t>
    </r>
    <r>
      <rPr>
        <sz val="10"/>
        <color theme="1"/>
        <rFont val="Times New Roman"/>
        <family val="3"/>
      </rPr>
      <t>1d4</t>
    </r>
    <r>
      <rPr>
        <sz val="10"/>
        <color theme="1"/>
        <rFont val="宋体"/>
        <family val="3"/>
        <charset val="134"/>
      </rPr>
      <t>并使用掷骰结果而非消耗一个灵能骰。</t>
    </r>
    <r>
      <rPr>
        <sz val="10"/>
        <color theme="1"/>
        <rFont val="Times New Roman"/>
        <family val="3"/>
      </rPr>
      <t xml:space="preserve"> 
</t>
    </r>
    <r>
      <rPr>
        <sz val="10"/>
        <color theme="1"/>
        <rFont val="宋体"/>
        <family val="3"/>
        <charset val="134"/>
      </rPr>
      <t>此外，当一个目标在对抗你念力驱使的豁免中失败时，你可以对目标施加以下效果之一。</t>
    </r>
    <r>
      <rPr>
        <sz val="10"/>
        <color theme="1"/>
        <rFont val="Times New Roman"/>
        <family val="3"/>
      </rPr>
      <t xml:space="preserve">
</t>
    </r>
    <r>
      <rPr>
        <sz val="10"/>
        <color theme="1"/>
        <rFont val="宋体"/>
        <family val="3"/>
        <charset val="134"/>
      </rPr>
      <t>提速</t>
    </r>
    <r>
      <rPr>
        <sz val="10"/>
        <color theme="1"/>
        <rFont val="Times New Roman"/>
        <family val="3"/>
      </rPr>
      <t>Boost</t>
    </r>
    <r>
      <rPr>
        <sz val="10"/>
        <color theme="1"/>
        <rFont val="宋体"/>
        <family val="3"/>
        <charset val="134"/>
      </rPr>
      <t>。</t>
    </r>
    <r>
      <rPr>
        <sz val="10"/>
        <color theme="1"/>
        <rFont val="Times New Roman"/>
        <family val="3"/>
      </rPr>
      <t xml:space="preserve"> </t>
    </r>
    <r>
      <rPr>
        <sz val="10"/>
        <color theme="1"/>
        <rFont val="宋体"/>
        <family val="3"/>
        <charset val="134"/>
      </rPr>
      <t>目标的速度增加</t>
    </r>
    <r>
      <rPr>
        <sz val="10"/>
        <color theme="1"/>
        <rFont val="Times New Roman"/>
        <family val="3"/>
      </rPr>
      <t>10</t>
    </r>
    <r>
      <rPr>
        <sz val="10"/>
        <color theme="1"/>
        <rFont val="宋体"/>
        <family val="3"/>
        <charset val="134"/>
      </rPr>
      <t>尺，直至你的下个回合开始。</t>
    </r>
    <r>
      <rPr>
        <sz val="10"/>
        <color theme="1"/>
        <rFont val="Times New Roman"/>
        <family val="3"/>
      </rPr>
      <t xml:space="preserve">
</t>
    </r>
    <r>
      <rPr>
        <sz val="10"/>
        <color theme="1"/>
        <rFont val="宋体"/>
        <family val="3"/>
        <charset val="134"/>
      </rPr>
      <t>迷惘</t>
    </r>
    <r>
      <rPr>
        <sz val="10"/>
        <color theme="1"/>
        <rFont val="Times New Roman"/>
        <family val="3"/>
      </rPr>
      <t>Disorient</t>
    </r>
    <r>
      <rPr>
        <sz val="10"/>
        <color theme="1"/>
        <rFont val="宋体"/>
        <family val="3"/>
        <charset val="134"/>
      </rPr>
      <t>。</t>
    </r>
    <r>
      <rPr>
        <sz val="10"/>
        <color theme="1"/>
        <rFont val="Times New Roman"/>
        <family val="3"/>
      </rPr>
      <t xml:space="preserve"> </t>
    </r>
    <r>
      <rPr>
        <sz val="10"/>
        <color theme="1"/>
        <rFont val="宋体"/>
        <family val="3"/>
        <charset val="134"/>
      </rPr>
      <t>目标无法进行借机攻击，直至其下个回合开始。</t>
    </r>
    <r>
      <rPr>
        <sz val="10"/>
        <color theme="1"/>
        <rFont val="Times New Roman"/>
        <family val="3"/>
      </rPr>
      <t xml:space="preserve">
</t>
    </r>
    <r>
      <rPr>
        <sz val="10"/>
        <color theme="1"/>
        <rFont val="宋体"/>
        <family val="3"/>
        <charset val="134"/>
      </rPr>
      <t>念力箭</t>
    </r>
    <r>
      <rPr>
        <sz val="10"/>
        <color theme="1"/>
        <rFont val="Times New Roman"/>
        <family val="3"/>
      </rPr>
      <t>Telekinetic Bolt</t>
    </r>
    <r>
      <rPr>
        <sz val="10"/>
        <color theme="1"/>
        <rFont val="宋体"/>
        <family val="3"/>
        <charset val="134"/>
      </rPr>
      <t>。目标受到等同于灵能骰结果的力场伤害。</t>
    </r>
    <r>
      <rPr>
        <sz val="10"/>
        <color theme="1"/>
        <rFont val="Times New Roman"/>
        <family val="3"/>
      </rPr>
      <t xml:space="preserve"> </t>
    </r>
    <phoneticPr fontId="68" type="noConversion"/>
  </si>
  <si>
    <t>毁灭迷狂</t>
    <phoneticPr fontId="68" type="noConversion"/>
  </si>
  <si>
    <r>
      <rPr>
        <sz val="10"/>
        <color theme="1"/>
        <rFont val="宋体"/>
        <family val="3"/>
        <charset val="134"/>
      </rPr>
      <t>在你的回合开始时，你可以消耗一个灵能骰进入毁灭状态。接下来</t>
    </r>
    <r>
      <rPr>
        <sz val="10"/>
        <color theme="1"/>
        <rFont val="Times New Roman"/>
        <family val="3"/>
      </rPr>
      <t>10</t>
    </r>
    <r>
      <rPr>
        <sz val="10"/>
        <color theme="1"/>
        <rFont val="宋体"/>
        <family val="3"/>
        <charset val="134"/>
      </rPr>
      <t>分钟内，你获得</t>
    </r>
    <r>
      <rPr>
        <sz val="10"/>
        <color theme="1"/>
        <rFont val="Times New Roman"/>
        <family val="3"/>
      </rPr>
      <t>20</t>
    </r>
    <r>
      <rPr>
        <sz val="10"/>
        <color theme="1"/>
        <rFont val="宋体"/>
        <family val="3"/>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family val="3"/>
      </rPr>
      <t xml:space="preserve"> </t>
    </r>
    <phoneticPr fontId="68" type="noConversion"/>
  </si>
  <si>
    <r>
      <rPr>
        <sz val="10"/>
        <color theme="1"/>
        <rFont val="宋体"/>
        <family val="3"/>
        <charset val="134"/>
      </rPr>
      <t>当你因被一次攻击检定命中时而施展护盾术</t>
    </r>
    <r>
      <rPr>
        <sz val="10"/>
        <color theme="1"/>
        <rFont val="Times New Roman"/>
        <family val="3"/>
      </rPr>
      <t xml:space="preserve">Shield </t>
    </r>
    <r>
      <rPr>
        <sz val="10"/>
        <color theme="1"/>
        <rFont val="宋体"/>
        <family val="3"/>
        <charset val="134"/>
      </rPr>
      <t>，并使该次攻击失手时，你可以消耗一个灵能骰将这股力返还给攻击者。攻击者进行一次敏捷豁免。掷一次灵能骰。若豁免失败，攻击者受到等同于掷骰结果</t>
    </r>
    <r>
      <rPr>
        <sz val="10"/>
        <color theme="1"/>
        <rFont val="Times New Roman"/>
        <family val="3"/>
      </rPr>
      <t>+</t>
    </r>
    <r>
      <rPr>
        <sz val="10"/>
        <color theme="1"/>
        <rFont val="宋体"/>
        <family val="3"/>
        <charset val="134"/>
      </rPr>
      <t>你的智力调整值的力场伤害，豁免成功则攻击者仅受半伤。</t>
    </r>
    <phoneticPr fontId="68" type="noConversion"/>
  </si>
  <si>
    <r>
      <rPr>
        <sz val="10"/>
        <color theme="1"/>
        <rFont val="宋体"/>
        <family val="3"/>
        <charset val="134"/>
      </rPr>
      <t>当你施展法术念力碾压</t>
    </r>
    <r>
      <rPr>
        <sz val="10"/>
        <color theme="1"/>
        <rFont val="Times New Roman"/>
        <family val="3"/>
      </rPr>
      <t xml:space="preserve">Telekinetic Crush </t>
    </r>
    <r>
      <rPr>
        <sz val="10"/>
        <color theme="1"/>
        <rFont val="宋体"/>
        <family val="3"/>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family val="3"/>
      </rPr>
      <t xml:space="preserve"> </t>
    </r>
    <phoneticPr fontId="68" type="noConversion"/>
  </si>
  <si>
    <r>
      <rPr>
        <sz val="10"/>
        <color theme="1"/>
        <rFont val="宋体"/>
        <family val="3"/>
        <charset val="134"/>
      </rPr>
      <t>你可以通过消耗四个灵能骰而非法术位来施展法术心灵遥控</t>
    </r>
    <r>
      <rPr>
        <sz val="10"/>
        <color theme="1"/>
        <rFont val="Times New Roman"/>
        <family val="3"/>
      </rPr>
      <t>Telekinesis</t>
    </r>
    <r>
      <rPr>
        <sz val="10"/>
        <color theme="1"/>
        <rFont val="宋体"/>
        <family val="3"/>
        <charset val="134"/>
      </rPr>
      <t>。当你用此特性无需法术位地施展心灵遥控</t>
    </r>
    <r>
      <rPr>
        <sz val="10"/>
        <color theme="1"/>
        <rFont val="Times New Roman"/>
        <family val="3"/>
      </rPr>
      <t>Telekinesis</t>
    </r>
    <r>
      <rPr>
        <sz val="10"/>
        <color theme="1"/>
        <rFont val="宋体"/>
        <family val="3"/>
        <charset val="134"/>
      </rPr>
      <t>时。你可以调整该法术，使其无需专注。若你如此做，本次施展的该法术持续时间变为</t>
    </r>
    <r>
      <rPr>
        <sz val="10"/>
        <color theme="1"/>
        <rFont val="Times New Roman"/>
        <family val="3"/>
      </rPr>
      <t>1</t>
    </r>
    <r>
      <rPr>
        <sz val="10"/>
        <color theme="1"/>
        <rFont val="宋体"/>
        <family val="3"/>
        <charset val="134"/>
      </rPr>
      <t>分钟，并且你能够以超巨型生物和物件为目标。</t>
    </r>
    <phoneticPr fontId="68" type="noConversion"/>
  </si>
  <si>
    <r>
      <rPr>
        <sz val="10"/>
        <color theme="1"/>
        <rFont val="宋体"/>
        <family val="3"/>
        <charset val="134"/>
      </rPr>
      <t>当你施展侦测思想</t>
    </r>
    <r>
      <rPr>
        <sz val="10"/>
        <color theme="1"/>
        <rFont val="Times New Roman"/>
        <family val="3"/>
      </rPr>
      <t>Detect Thoughts</t>
    </r>
    <r>
      <rPr>
        <sz val="10"/>
        <color theme="1"/>
        <rFont val="宋体"/>
        <family val="3"/>
        <charset val="134"/>
      </rPr>
      <t>，你可以花费一枚灵能骰调整此法术，使其无需法术成分或专注，此外，在使用侦测思想的阅读思想</t>
    </r>
    <r>
      <rPr>
        <sz val="10"/>
        <color theme="1"/>
        <rFont val="Times New Roman"/>
        <family val="3"/>
      </rPr>
      <t xml:space="preserve">Read Thoughts </t>
    </r>
    <r>
      <rPr>
        <sz val="10"/>
        <color theme="1"/>
        <rFont val="宋体"/>
        <family val="3"/>
        <charset val="134"/>
      </rPr>
      <t>选项时，若你的目标在感知豁免检定中失败，它将不会知道你正在窥探其心灵。</t>
    </r>
    <r>
      <rPr>
        <sz val="10"/>
        <color theme="1"/>
        <rFont val="Times New Roman"/>
        <family val="3"/>
      </rPr>
      <t xml:space="preserve"> </t>
    </r>
    <phoneticPr fontId="68" type="noConversion"/>
  </si>
  <si>
    <r>
      <rPr>
        <sz val="10"/>
        <color theme="1"/>
        <rFont val="宋体"/>
        <family val="3"/>
        <charset val="134"/>
      </rPr>
      <t>当你到达传心使法术表中特定的灵能使时，你就始终准备着表中对应的法术。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灾祸术</t>
    </r>
    <r>
      <rPr>
        <sz val="10"/>
        <color theme="1"/>
        <rFont val="Times New Roman"/>
        <family val="3"/>
      </rPr>
      <t xml:space="preserve"> Bane</t>
    </r>
    <r>
      <rPr>
        <sz val="10"/>
        <color theme="1"/>
        <rFont val="宋体"/>
        <family val="3"/>
        <charset val="134"/>
      </rPr>
      <t>，命令术</t>
    </r>
    <r>
      <rPr>
        <sz val="10"/>
        <color theme="1"/>
        <rFont val="Times New Roman"/>
        <family val="3"/>
      </rPr>
      <t xml:space="preserve"> Command
</t>
    </r>
    <r>
      <rPr>
        <sz val="10"/>
        <color theme="1"/>
        <rFont val="宋体"/>
        <family val="3"/>
        <charset val="134"/>
      </rPr>
      <t>侦测思想</t>
    </r>
    <r>
      <rPr>
        <sz val="10"/>
        <color theme="1"/>
        <rFont val="Times New Roman"/>
        <family val="3"/>
      </rPr>
      <t xml:space="preserve"> Detect Thoughts</t>
    </r>
    <r>
      <rPr>
        <sz val="10"/>
        <color theme="1"/>
        <rFont val="宋体"/>
        <family val="3"/>
        <charset val="134"/>
      </rPr>
      <t>，心灵尖刺</t>
    </r>
    <r>
      <rPr>
        <sz val="10"/>
        <color theme="1"/>
        <rFont val="Times New Roman"/>
        <family val="3"/>
      </rPr>
      <t xml:space="preserve">Mind Spike 
5 </t>
    </r>
    <r>
      <rPr>
        <sz val="10"/>
        <color theme="1"/>
        <rFont val="宋体"/>
        <family val="3"/>
        <charset val="134"/>
      </rPr>
      <t>法术反制</t>
    </r>
    <r>
      <rPr>
        <sz val="10"/>
        <color theme="1"/>
        <rFont val="Times New Roman"/>
        <family val="3"/>
      </rPr>
      <t xml:space="preserve">Counterspell, </t>
    </r>
    <r>
      <rPr>
        <sz val="10"/>
        <color theme="1"/>
        <rFont val="宋体"/>
        <family val="3"/>
        <charset val="134"/>
      </rPr>
      <t>缓慢术</t>
    </r>
    <r>
      <rPr>
        <sz val="10"/>
        <color theme="1"/>
        <rFont val="Times New Roman"/>
        <family val="3"/>
      </rPr>
      <t xml:space="preserve">Slow  
7 </t>
    </r>
    <r>
      <rPr>
        <sz val="10"/>
        <color theme="1"/>
        <rFont val="宋体"/>
        <family val="3"/>
        <charset val="134"/>
      </rPr>
      <t>强迫术</t>
    </r>
    <r>
      <rPr>
        <sz val="10"/>
        <color theme="1"/>
        <rFont val="Times New Roman"/>
        <family val="3"/>
      </rPr>
      <t xml:space="preserve"> Compulsion, </t>
    </r>
    <r>
      <rPr>
        <sz val="10"/>
        <color theme="1"/>
        <rFont val="宋体"/>
        <family val="3"/>
        <charset val="134"/>
      </rPr>
      <t>困惑术</t>
    </r>
    <r>
      <rPr>
        <sz val="10"/>
        <color theme="1"/>
        <rFont val="Times New Roman"/>
        <family val="3"/>
      </rPr>
      <t xml:space="preserve"> Confusion 
9 </t>
    </r>
    <r>
      <rPr>
        <sz val="10"/>
        <color theme="1"/>
        <rFont val="宋体"/>
        <family val="3"/>
        <charset val="134"/>
      </rPr>
      <t>篡改记忆</t>
    </r>
    <r>
      <rPr>
        <sz val="10"/>
        <color theme="1"/>
        <rFont val="Times New Roman"/>
        <family val="3"/>
      </rPr>
      <t xml:space="preserve"> Modify Memory,</t>
    </r>
    <r>
      <rPr>
        <sz val="10"/>
        <color theme="1"/>
        <rFont val="宋体"/>
        <family val="3"/>
        <charset val="134"/>
      </rPr>
      <t>悠兰德王者威仪</t>
    </r>
    <r>
      <rPr>
        <sz val="10"/>
        <color theme="1"/>
        <rFont val="Times New Roman"/>
        <family val="3"/>
      </rPr>
      <t xml:space="preserve">Yolande's Regal Presence  </t>
    </r>
    <phoneticPr fontId="68" type="noConversion"/>
  </si>
  <si>
    <t>信号干扰</t>
    <phoneticPr fontId="68" type="noConversion"/>
  </si>
  <si>
    <t>在你的心灵感应范围内，当有生物的攻击检定命中时，你可以执行反应并投掷一枚灵能骰，将该次攻击检定减去骰值，此举可能导致本次攻击检定失手。被投掷的灵能骰只有在目标确实失手的情况下才会被消耗。</t>
    <phoneticPr fontId="68" type="noConversion"/>
  </si>
  <si>
    <t>强固心智</t>
    <phoneticPr fontId="68" type="noConversion"/>
  </si>
  <si>
    <r>
      <rPr>
        <sz val="10"/>
        <color theme="1"/>
        <rFont val="宋体"/>
        <family val="3"/>
        <charset val="134"/>
      </rPr>
      <t>在你的回合开始时，你可以消耗一枚灵能骰强化自己的心智以进入坚守模式。接下来的</t>
    </r>
    <r>
      <rPr>
        <sz val="10"/>
        <color theme="1"/>
        <rFont val="Times New Roman"/>
        <family val="3"/>
      </rPr>
      <t>10</t>
    </r>
    <r>
      <rPr>
        <sz val="10"/>
        <color theme="1"/>
        <rFont val="宋体"/>
        <family val="3"/>
        <charset val="134"/>
      </rPr>
      <t>分钟内，你具有心灵伤害的抗性；每当你进行一次智力、感知或魅力豁免检定时，你都可以投掷一次灵能骰并将骰值加入本次豁免检定中。你无法在处于失能状态的情况下使用这一增益。</t>
    </r>
    <phoneticPr fontId="68" type="noConversion"/>
  </si>
  <si>
    <r>
      <rPr>
        <sz val="10"/>
        <color theme="1"/>
        <rFont val="宋体"/>
        <family val="3"/>
        <charset val="134"/>
      </rPr>
      <t>你拥有</t>
    </r>
    <r>
      <rPr>
        <sz val="10"/>
        <color theme="1"/>
        <rFont val="Times New Roman"/>
        <family val="3"/>
      </rPr>
      <t>60</t>
    </r>
    <r>
      <rPr>
        <sz val="10"/>
        <color theme="1"/>
        <rFont val="宋体"/>
        <family val="3"/>
        <charset val="134"/>
      </rPr>
      <t>尺范围的心灵感应。此外，你在使用任何灵能使戏法造成的伤害中加入你的智力调整值。</t>
    </r>
    <phoneticPr fontId="68" type="noConversion"/>
  </si>
  <si>
    <r>
      <rPr>
        <sz val="10"/>
        <color theme="1"/>
        <rFont val="宋体"/>
        <family val="3"/>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family val="3"/>
      </rPr>
      <t>d20</t>
    </r>
    <r>
      <rPr>
        <sz val="10"/>
        <color theme="1"/>
        <rFont val="宋体"/>
        <family val="3"/>
        <charset val="134"/>
      </rPr>
      <t>中，此举可能导致失败的检定变为成功，或将失手的攻击变为命中。只有在此次检定成功或此次攻击命中的情况下，灵能骰才会被消耗。</t>
    </r>
    <phoneticPr fontId="68" type="noConversion"/>
  </si>
  <si>
    <r>
      <rPr>
        <sz val="10"/>
        <color theme="1"/>
        <rFont val="宋体"/>
        <family val="3"/>
        <charset val="134"/>
      </rPr>
      <t>你可以消耗</t>
    </r>
    <r>
      <rPr>
        <sz val="10"/>
        <color theme="1"/>
        <rFont val="Times New Roman"/>
        <family val="3"/>
      </rPr>
      <t>4</t>
    </r>
    <r>
      <rPr>
        <sz val="10"/>
        <color theme="1"/>
        <rFont val="宋体"/>
        <family val="3"/>
        <charset val="134"/>
      </rPr>
      <t>枚灵能骰代替法术位来施展困惑术</t>
    </r>
    <r>
      <rPr>
        <sz val="10"/>
        <color theme="1"/>
        <rFont val="Times New Roman"/>
        <family val="3"/>
      </rPr>
      <t>Confusion</t>
    </r>
    <r>
      <rPr>
        <sz val="10"/>
        <color theme="1"/>
        <rFont val="宋体"/>
        <family val="3"/>
        <charset val="134"/>
      </rPr>
      <t>。当你用此特性不消耗法术位地施展困惑术时，你可以调整此法术使此法术球状区域的半径变为</t>
    </r>
    <r>
      <rPr>
        <sz val="10"/>
        <color theme="1"/>
        <rFont val="Times New Roman"/>
        <family val="3"/>
      </rPr>
      <t>30</t>
    </r>
    <r>
      <rPr>
        <sz val="10"/>
        <color theme="1"/>
        <rFont val="宋体"/>
        <family val="3"/>
        <charset val="134"/>
      </rPr>
      <t>尺，你还可以选择法术效应区域内的一个你可见的生物，令其对抗此次法术所做的豁免检定自动成功。</t>
    </r>
    <r>
      <rPr>
        <sz val="10"/>
        <color theme="1"/>
        <rFont val="Times New Roman"/>
        <family val="3"/>
      </rPr>
      <t xml:space="preserve"> 
</t>
    </r>
    <r>
      <rPr>
        <sz val="10"/>
        <color theme="1"/>
        <rFont val="宋体"/>
        <family val="3"/>
        <charset val="134"/>
      </rPr>
      <t>此外，受此法术效果影响的生物在区域内开始其回合时，你可以直接从法术的表格中选择其本回合的行为，而非让该生物去掷骰决定。</t>
    </r>
    <phoneticPr fontId="68" type="noConversion"/>
  </si>
  <si>
    <t>神秘子职UA</t>
  </si>
  <si>
    <t>浩劫子职UA</t>
  </si>
  <si>
    <t>恩护结社法术</t>
    <phoneticPr fontId="68" type="noConversion"/>
  </si>
  <si>
    <r>
      <rPr>
        <sz val="10"/>
        <color theme="1"/>
        <rFont val="宋体"/>
        <family val="1"/>
        <charset val="134"/>
      </rPr>
      <t>当你到达恩护结社法术表中特定的德鲁伊等级时，你就始终准备着表中对应的法术。</t>
    </r>
    <r>
      <rPr>
        <sz val="10"/>
        <color theme="1"/>
        <rFont val="Times New Roman"/>
        <family val="1"/>
      </rPr>
      <t xml:space="preserve">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祝福术</t>
    </r>
    <r>
      <rPr>
        <sz val="10"/>
        <color theme="1"/>
        <rFont val="Times New Roman"/>
        <family val="1"/>
      </rPr>
      <t>Bless</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Protection from Poison</t>
    </r>
    <r>
      <rPr>
        <sz val="10"/>
        <color theme="1"/>
        <rFont val="宋体"/>
        <family val="1"/>
        <charset val="134"/>
      </rPr>
      <t>，庇护术</t>
    </r>
    <r>
      <rPr>
        <sz val="10"/>
        <color theme="1"/>
        <rFont val="Times New Roman"/>
        <family val="1"/>
      </rPr>
      <t xml:space="preserve">Sanctuary  
5 </t>
    </r>
    <r>
      <rPr>
        <sz val="10"/>
        <color theme="1"/>
        <rFont val="宋体"/>
        <family val="1"/>
        <charset val="134"/>
      </rPr>
      <t>希望信标</t>
    </r>
    <r>
      <rPr>
        <sz val="10"/>
        <color theme="1"/>
        <rFont val="Times New Roman"/>
        <family val="1"/>
      </rPr>
      <t>Beacon of Hope</t>
    </r>
    <r>
      <rPr>
        <sz val="10"/>
        <color theme="1"/>
        <rFont val="宋体"/>
        <family val="1"/>
        <charset val="134"/>
      </rPr>
      <t>，植物滋长</t>
    </r>
    <r>
      <rPr>
        <sz val="10"/>
        <color theme="1"/>
        <rFont val="Times New Roman"/>
        <family val="1"/>
      </rPr>
      <t xml:space="preserve">Plant Growth  
7 </t>
    </r>
    <r>
      <rPr>
        <sz val="10"/>
        <color theme="1"/>
        <rFont val="宋体"/>
        <family val="1"/>
        <charset val="134"/>
      </rPr>
      <t>生命灵光</t>
    </r>
    <r>
      <rPr>
        <sz val="10"/>
        <color theme="1"/>
        <rFont val="Times New Roman"/>
        <family val="1"/>
      </rPr>
      <t>Aura of Life</t>
    </r>
    <r>
      <rPr>
        <sz val="10"/>
        <color theme="1"/>
        <rFont val="宋体"/>
        <family val="1"/>
        <charset val="134"/>
      </rPr>
      <t>，防死结界</t>
    </r>
    <r>
      <rPr>
        <sz val="10"/>
        <color theme="1"/>
        <rFont val="Times New Roman"/>
        <family val="1"/>
      </rPr>
      <t xml:space="preserve">Death Ward  
9 </t>
    </r>
    <r>
      <rPr>
        <sz val="10"/>
        <color theme="1"/>
        <rFont val="宋体"/>
        <family val="1"/>
        <charset val="134"/>
      </rPr>
      <t>高等复原术</t>
    </r>
    <r>
      <rPr>
        <sz val="10"/>
        <color theme="1"/>
        <rFont val="Times New Roman"/>
        <family val="1"/>
      </rPr>
      <t>Greater Restoration</t>
    </r>
    <r>
      <rPr>
        <sz val="10"/>
        <color theme="1"/>
        <rFont val="宋体"/>
        <family val="1"/>
        <charset val="134"/>
      </rPr>
      <t>，圣居</t>
    </r>
    <r>
      <rPr>
        <sz val="10"/>
        <color theme="1"/>
        <rFont val="Times New Roman"/>
        <family val="1"/>
      </rPr>
      <t xml:space="preserve">Hallow  </t>
    </r>
    <phoneticPr fontId="68" type="noConversion"/>
  </si>
  <si>
    <t>恩护之地</t>
    <phoneticPr fontId="68" type="noConversion"/>
  </si>
  <si>
    <r>
      <rPr>
        <sz val="10"/>
        <color theme="1"/>
        <rFont val="宋体"/>
        <family val="1"/>
        <charset val="134"/>
      </rPr>
      <t>你经年累月的学习使你提高了对自然的秩序和自愈能力的理解。你获得以下好处：</t>
    </r>
    <r>
      <rPr>
        <sz val="10"/>
        <color theme="1"/>
        <rFont val="Times New Roman"/>
        <family val="1"/>
      </rPr>
      <t xml:space="preserve">
</t>
    </r>
    <r>
      <rPr>
        <sz val="10"/>
        <color theme="1"/>
        <rFont val="宋体"/>
        <family val="1"/>
        <charset val="134"/>
      </rPr>
      <t>节能施法</t>
    </r>
    <r>
      <rPr>
        <sz val="10"/>
        <color theme="1"/>
        <rFont val="Times New Roman"/>
        <family val="1"/>
      </rPr>
      <t>Frugal Casting</t>
    </r>
    <r>
      <rPr>
        <sz val="10"/>
        <color theme="1"/>
        <rFont val="宋体"/>
        <family val="1"/>
        <charset val="134"/>
      </rPr>
      <t>。</t>
    </r>
    <r>
      <rPr>
        <sz val="10"/>
        <color theme="1"/>
        <rFont val="Times New Roman"/>
        <family val="1"/>
      </rPr>
      <t xml:space="preserve"> </t>
    </r>
    <r>
      <rPr>
        <sz val="10"/>
        <color theme="1"/>
        <rFont val="宋体"/>
        <family val="1"/>
        <charset val="134"/>
      </rPr>
      <t>当你施展德鲁伊法术时，你可以使其无需材料成分，除非该材料会被消耗或具有价值。</t>
    </r>
    <r>
      <rPr>
        <sz val="10"/>
        <color theme="1"/>
        <rFont val="Times New Roman"/>
        <family val="1"/>
      </rPr>
      <t xml:space="preserve">
</t>
    </r>
    <r>
      <rPr>
        <sz val="10"/>
        <color theme="1"/>
        <rFont val="宋体"/>
        <family val="1"/>
        <charset val="134"/>
      </rPr>
      <t>另外，当你施展一道消耗材料成分的德鲁伊法术时，有</t>
    </r>
    <r>
      <rPr>
        <sz val="10"/>
        <color theme="1"/>
        <rFont val="Times New Roman"/>
        <family val="1"/>
      </rPr>
      <t>10%</t>
    </r>
    <r>
      <rPr>
        <sz val="10"/>
        <color theme="1"/>
        <rFont val="宋体"/>
        <family val="1"/>
        <charset val="134"/>
      </rPr>
      <t>的几率，其不被消耗。</t>
    </r>
    <r>
      <rPr>
        <sz val="10"/>
        <color theme="1"/>
        <rFont val="Times New Roman"/>
        <family val="1"/>
      </rPr>
      <t xml:space="preserve">
</t>
    </r>
    <r>
      <rPr>
        <sz val="10"/>
        <color theme="1"/>
        <rFont val="宋体"/>
        <family val="1"/>
        <charset val="134"/>
      </rPr>
      <t>工具熟练项</t>
    </r>
    <r>
      <rPr>
        <sz val="10"/>
        <color theme="1"/>
        <rFont val="Times New Roman"/>
        <family val="1"/>
      </rPr>
      <t>Tool Proficiency</t>
    </r>
    <r>
      <rPr>
        <sz val="10"/>
        <color theme="1"/>
        <rFont val="宋体"/>
        <family val="1"/>
        <charset val="134"/>
      </rPr>
      <t>。</t>
    </r>
    <r>
      <rPr>
        <sz val="10"/>
        <color theme="1"/>
        <rFont val="Times New Roman"/>
        <family val="1"/>
      </rPr>
      <t xml:space="preserve"> </t>
    </r>
    <r>
      <rPr>
        <sz val="10"/>
        <color theme="1"/>
        <rFont val="宋体"/>
        <family val="1"/>
        <charset val="134"/>
      </rPr>
      <t>你获得一种你所选择的工匠工具的熟练项。</t>
    </r>
    <phoneticPr fontId="68" type="noConversion"/>
  </si>
  <si>
    <r>
      <rPr>
        <sz val="10"/>
        <color theme="1"/>
        <rFont val="宋体"/>
        <family val="1"/>
        <charset val="134"/>
      </rPr>
      <t>以一个附赠动作，你可以消耗一次你的荒野变形使用次数指定距你</t>
    </r>
    <r>
      <rPr>
        <sz val="10"/>
        <color theme="1"/>
        <rFont val="Times New Roman"/>
        <family val="1"/>
      </rPr>
      <t>120</t>
    </r>
    <r>
      <rPr>
        <sz val="10"/>
        <color theme="1"/>
        <rFont val="宋体"/>
        <family val="1"/>
        <charset val="134"/>
      </rPr>
      <t>尺内且你可见的地面上一点，使你的活力能量充盈于以此点为源点的</t>
    </r>
    <r>
      <rPr>
        <sz val="10"/>
        <color theme="1"/>
        <rFont val="Times New Roman"/>
        <family val="1"/>
      </rPr>
      <t>15</t>
    </r>
    <r>
      <rPr>
        <sz val="10"/>
        <color theme="1"/>
        <rFont val="宋体"/>
        <family val="1"/>
        <charset val="134"/>
      </rPr>
      <t>尺立方区域内。此效应持续一分钟或直至你陷入失能状态、远离立方区域</t>
    </r>
    <r>
      <rPr>
        <sz val="10"/>
        <color theme="1"/>
        <rFont val="Times New Roman"/>
        <family val="1"/>
      </rPr>
      <t>120</t>
    </r>
    <r>
      <rPr>
        <sz val="10"/>
        <color theme="1"/>
        <rFont val="宋体"/>
        <family val="1"/>
        <charset val="134"/>
      </rPr>
      <t>尺、死亡。</t>
    </r>
    <r>
      <rPr>
        <sz val="10"/>
        <color theme="1"/>
        <rFont val="Times New Roman"/>
        <family val="1"/>
      </rPr>
      <t xml:space="preserve">
</t>
    </r>
    <r>
      <rPr>
        <sz val="10"/>
        <color theme="1"/>
        <rFont val="宋体"/>
        <family val="1"/>
        <charset val="134"/>
      </rPr>
      <t>无论何种生物（也包括你自己）在立方区域中结束回合，你都可以给予其以下好处之一：</t>
    </r>
    <r>
      <rPr>
        <sz val="10"/>
        <color theme="1"/>
        <rFont val="Times New Roman"/>
        <family val="1"/>
      </rPr>
      <t xml:space="preserve">
</t>
    </r>
    <r>
      <rPr>
        <sz val="10"/>
        <color theme="1"/>
        <rFont val="宋体"/>
        <family val="1"/>
        <charset val="134"/>
      </rPr>
      <t>巩固</t>
    </r>
    <r>
      <rPr>
        <sz val="10"/>
        <color theme="1"/>
        <rFont val="Times New Roman"/>
        <family val="1"/>
      </rPr>
      <t>Bolster</t>
    </r>
    <r>
      <rPr>
        <sz val="10"/>
        <color theme="1"/>
        <rFont val="宋体"/>
        <family val="1"/>
        <charset val="134"/>
      </rPr>
      <t>。</t>
    </r>
    <r>
      <rPr>
        <sz val="10"/>
        <color theme="1"/>
        <rFont val="Times New Roman"/>
        <family val="1"/>
      </rPr>
      <t xml:space="preserve"> </t>
    </r>
    <r>
      <rPr>
        <sz val="10"/>
        <color theme="1"/>
        <rFont val="宋体"/>
        <family val="1"/>
        <charset val="134"/>
      </rPr>
      <t>该生物获得等同于</t>
    </r>
    <r>
      <rPr>
        <sz val="10"/>
        <color theme="1"/>
        <rFont val="Times New Roman"/>
        <family val="1"/>
      </rPr>
      <t>1d4+</t>
    </r>
    <r>
      <rPr>
        <sz val="10"/>
        <color theme="1"/>
        <rFont val="宋体"/>
        <family val="1"/>
        <charset val="134"/>
      </rPr>
      <t>你的德鲁伊等级的临时生命值。</t>
    </r>
    <r>
      <rPr>
        <sz val="10"/>
        <color theme="1"/>
        <rFont val="Times New Roman"/>
        <family val="1"/>
      </rPr>
      <t xml:space="preserve">
</t>
    </r>
    <r>
      <rPr>
        <sz val="10"/>
        <color theme="1"/>
        <rFont val="宋体"/>
        <family val="1"/>
        <charset val="134"/>
      </rPr>
      <t>净化</t>
    </r>
    <r>
      <rPr>
        <sz val="10"/>
        <color theme="1"/>
        <rFont val="Times New Roman"/>
        <family val="1"/>
      </rPr>
      <t>Purify</t>
    </r>
    <r>
      <rPr>
        <sz val="10"/>
        <color theme="1"/>
        <rFont val="宋体"/>
        <family val="1"/>
        <charset val="134"/>
      </rPr>
      <t>。</t>
    </r>
    <r>
      <rPr>
        <sz val="10"/>
        <color theme="1"/>
        <rFont val="Times New Roman"/>
        <family val="1"/>
      </rPr>
      <t xml:space="preserve"> </t>
    </r>
    <r>
      <rPr>
        <sz val="10"/>
        <color theme="1"/>
        <rFont val="宋体"/>
        <family val="1"/>
        <charset val="134"/>
      </rPr>
      <t>你终止该生物身上一个特定的效应，被结束的效应需为令该生物陷入恐慌或中毒状态的效应。（译注：例如，两个效果给你中毒，你只能解掉一个但是另一个仍然让你中毒）</t>
    </r>
    <r>
      <rPr>
        <sz val="10"/>
        <color theme="1"/>
        <rFont val="Times New Roman"/>
        <family val="1"/>
      </rPr>
      <t xml:space="preserve"> 
</t>
    </r>
    <r>
      <rPr>
        <sz val="10"/>
        <color theme="1"/>
        <rFont val="宋体"/>
        <family val="1"/>
        <charset val="134"/>
      </rPr>
      <t>另外，非魔法的原生植被会在立方区域内生根发芽。这些植物会在效应结束时消失。</t>
    </r>
    <r>
      <rPr>
        <sz val="10"/>
        <color theme="1"/>
        <rFont val="Times New Roman"/>
        <family val="1"/>
      </rPr>
      <t xml:space="preserve"> </t>
    </r>
    <r>
      <rPr>
        <sz val="10"/>
        <color theme="1"/>
        <rFont val="宋体"/>
        <family val="1"/>
        <charset val="134"/>
      </rPr>
      <t>（译注：这个是该特性带来</t>
    </r>
    <r>
      <rPr>
        <sz val="10"/>
        <color theme="1"/>
        <rFont val="Times New Roman"/>
        <family val="1"/>
      </rPr>
      <t>/</t>
    </r>
    <r>
      <rPr>
        <sz val="10"/>
        <color theme="1"/>
        <rFont val="宋体"/>
        <family val="1"/>
        <charset val="134"/>
      </rPr>
      <t>带走的植被，不要拿来除草！）</t>
    </r>
    <r>
      <rPr>
        <sz val="10"/>
        <color theme="1"/>
        <rFont val="Times New Roman"/>
        <family val="1"/>
      </rPr>
      <t xml:space="preserve">
</t>
    </r>
    <r>
      <rPr>
        <sz val="10"/>
        <color theme="1"/>
        <rFont val="宋体"/>
        <family val="1"/>
        <charset val="134"/>
      </rPr>
      <t>在接下来的回合中，以一个附赠动作，你可以将立方区域在你</t>
    </r>
    <r>
      <rPr>
        <sz val="10"/>
        <color theme="1"/>
        <rFont val="Times New Roman"/>
        <family val="1"/>
      </rPr>
      <t>120</t>
    </r>
    <r>
      <rPr>
        <sz val="10"/>
        <color theme="1"/>
        <rFont val="宋体"/>
        <family val="1"/>
        <charset val="134"/>
      </rPr>
      <t>尺范围内移动至多</t>
    </r>
    <r>
      <rPr>
        <sz val="10"/>
        <color theme="1"/>
        <rFont val="Times New Roman"/>
        <family val="1"/>
      </rPr>
      <t>30</t>
    </r>
    <r>
      <rPr>
        <sz val="10"/>
        <color theme="1"/>
        <rFont val="宋体"/>
        <family val="1"/>
        <charset val="134"/>
      </rPr>
      <t>尺距离。</t>
    </r>
    <phoneticPr fontId="68" type="noConversion"/>
  </si>
  <si>
    <t>恩护学徒</t>
    <phoneticPr fontId="68" type="noConversion"/>
  </si>
  <si>
    <t>强效恩护</t>
    <phoneticPr fontId="68" type="noConversion"/>
  </si>
  <si>
    <r>
      <rPr>
        <sz val="10"/>
        <color theme="1"/>
        <rFont val="宋体"/>
        <family val="1"/>
        <charset val="134"/>
      </rPr>
      <t>你的恩护之地特性在以下方面变得更加强大：</t>
    </r>
    <r>
      <rPr>
        <sz val="10"/>
        <color theme="1"/>
        <rFont val="Times New Roman"/>
        <family val="1"/>
      </rPr>
      <t xml:space="preserve"> 
</t>
    </r>
    <r>
      <rPr>
        <sz val="10"/>
        <color theme="1"/>
        <rFont val="宋体"/>
        <family val="1"/>
        <charset val="134"/>
      </rPr>
      <t>守护者之韧</t>
    </r>
    <r>
      <rPr>
        <sz val="10"/>
        <color theme="1"/>
        <rFont val="Times New Roman"/>
        <family val="1"/>
      </rPr>
      <t>Fortify Protectors</t>
    </r>
    <r>
      <rPr>
        <sz val="10"/>
        <color theme="1"/>
        <rFont val="宋体"/>
        <family val="1"/>
        <charset val="134"/>
      </rPr>
      <t>。</t>
    </r>
    <r>
      <rPr>
        <sz val="10"/>
        <color theme="1"/>
        <rFont val="Times New Roman"/>
        <family val="1"/>
      </rPr>
      <t xml:space="preserve"> </t>
    </r>
    <r>
      <rPr>
        <sz val="10"/>
        <color theme="1"/>
        <rFont val="宋体"/>
        <family val="1"/>
        <charset val="134"/>
      </rPr>
      <t>当身处你的恩护之地所创造的立方区域内时，你和你的盟友在体质豁免时获得等同于你的感知调整值的加值（至少加</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圣域斥逐</t>
    </r>
    <r>
      <rPr>
        <sz val="10"/>
        <color theme="1"/>
        <rFont val="Times New Roman"/>
        <family val="1"/>
      </rPr>
      <t>Reject Desecrators</t>
    </r>
    <r>
      <rPr>
        <sz val="10"/>
        <color theme="1"/>
        <rFont val="宋体"/>
        <family val="1"/>
        <charset val="134"/>
      </rPr>
      <t>。</t>
    </r>
    <r>
      <rPr>
        <sz val="10"/>
        <color theme="1"/>
        <rFont val="Times New Roman"/>
        <family val="1"/>
      </rPr>
      <t xml:space="preserve"> </t>
    </r>
    <r>
      <rPr>
        <sz val="10"/>
        <color theme="1"/>
        <rFont val="宋体"/>
        <family val="1"/>
        <charset val="134"/>
      </rPr>
      <t>无论何时当你的恩护之地创造的立方区域进入生物空间、生物进入区域或在其内结束回合时，该名敌人都要进行对抗你的</t>
    </r>
    <r>
      <rPr>
        <sz val="10"/>
        <color theme="1"/>
        <rFont val="Times New Roman"/>
        <family val="1"/>
      </rPr>
      <t>DC</t>
    </r>
    <r>
      <rPr>
        <sz val="10"/>
        <color theme="1"/>
        <rFont val="宋体"/>
        <family val="1"/>
        <charset val="134"/>
      </rPr>
      <t>的感知豁免。若豁免失败，该名敌人受到</t>
    </r>
    <r>
      <rPr>
        <sz val="10"/>
        <color theme="1"/>
        <rFont val="Times New Roman"/>
        <family val="1"/>
      </rPr>
      <t>2d10</t>
    </r>
    <r>
      <rPr>
        <sz val="10"/>
        <color theme="1"/>
        <rFont val="宋体"/>
        <family val="1"/>
        <charset val="134"/>
      </rPr>
      <t>光耀伤害，并且因新生长的植被的阻碍导致其速度减半，直到自己的下回合结束。豁免成功则只受到一半的伤害。一名生物每回合仅需进行一次该豁免检定。</t>
    </r>
    <r>
      <rPr>
        <sz val="10"/>
        <color theme="1"/>
        <rFont val="Times New Roman"/>
        <family val="1"/>
      </rPr>
      <t xml:space="preserve"> </t>
    </r>
    <phoneticPr fontId="68" type="noConversion"/>
  </si>
  <si>
    <t>便捷复原</t>
    <phoneticPr fontId="68" type="noConversion"/>
  </si>
  <si>
    <r>
      <rPr>
        <sz val="10"/>
        <color theme="1"/>
        <rFont val="宋体"/>
        <family val="1"/>
        <charset val="134"/>
      </rPr>
      <t>你可以无需法术位和任何法术成分地施展次等复原术</t>
    </r>
    <r>
      <rPr>
        <sz val="10"/>
        <color theme="1"/>
        <rFont val="Times New Roman"/>
        <family val="1"/>
      </rPr>
      <t>Lesser Restoration</t>
    </r>
    <r>
      <rPr>
        <sz val="10"/>
        <color theme="1"/>
        <rFont val="宋体"/>
        <family val="1"/>
        <charset val="134"/>
      </rPr>
      <t>与高等复原术</t>
    </r>
    <r>
      <rPr>
        <sz val="10"/>
        <color theme="1"/>
        <rFont val="Times New Roman"/>
        <family val="1"/>
      </rPr>
      <t>Greater Restoration</t>
    </r>
    <r>
      <rPr>
        <sz val="10"/>
        <color theme="1"/>
        <rFont val="宋体"/>
        <family val="1"/>
        <charset val="134"/>
      </rPr>
      <t>。你可以使用此特性来施展法术的次数等同于你的感知调整值（至少为</t>
    </r>
    <r>
      <rPr>
        <sz val="10"/>
        <color theme="1"/>
        <rFont val="Times New Roman"/>
        <family val="1"/>
      </rPr>
      <t>1</t>
    </r>
    <r>
      <rPr>
        <sz val="10"/>
        <color theme="1"/>
        <rFont val="宋体"/>
        <family val="1"/>
        <charset val="134"/>
      </rPr>
      <t>次），并且你在长休后回复所有的使用次数。</t>
    </r>
    <r>
      <rPr>
        <sz val="10"/>
        <color theme="1"/>
        <rFont val="Times New Roman"/>
        <family val="1"/>
      </rPr>
      <t xml:space="preserve"> </t>
    </r>
    <phoneticPr fontId="68" type="noConversion"/>
  </si>
  <si>
    <t>神圣之地</t>
    <phoneticPr fontId="68" type="noConversion"/>
  </si>
  <si>
    <r>
      <rPr>
        <sz val="10"/>
        <color theme="1"/>
        <rFont val="宋体"/>
        <family val="1"/>
        <charset val="134"/>
      </rPr>
      <t>你的恩护之地创造的立方区域的尺寸增加至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另外，当该区域内一名你可见的生物被攻击检定命中时，你可以以一个反应使其受到的伤害减半。</t>
    </r>
    <r>
      <rPr>
        <sz val="10"/>
        <color theme="1"/>
        <rFont val="Times New Roman"/>
        <family val="1"/>
      </rPr>
      <t xml:space="preserve"> </t>
    </r>
    <phoneticPr fontId="68" type="noConversion"/>
  </si>
  <si>
    <t>恩护结社</t>
    <phoneticPr fontId="68" type="noConversion"/>
  </si>
  <si>
    <t>残虐凶暴</t>
  </si>
  <si>
    <r>
      <t>在竞技场残酷环境的磨砺中，你学会了施展凶残的战技。每回合一次，当你使用近战武器进行一次攻击检定并命中一个生物时，你可以施加以下一种残暴效应。你可以使用该特性的次数等于你的魅力调整值（最少</t>
    </r>
    <r>
      <rPr>
        <sz val="10"/>
        <color theme="1"/>
        <rFont val="Times New Roman"/>
        <family val="1"/>
      </rPr>
      <t>1</t>
    </r>
    <r>
      <rPr>
        <sz val="10"/>
        <color theme="1"/>
        <rFont val="宋体"/>
        <family val="3"/>
        <charset val="134"/>
      </rPr>
      <t>次）。你在完成一次长休或短休时重获所有已消耗的使用次数。</t>
    </r>
    <r>
      <rPr>
        <sz val="10"/>
        <color theme="1"/>
        <rFont val="Times New Roman"/>
        <family val="1"/>
      </rPr>
      <t xml:space="preserve"> _x000D_
</t>
    </r>
    <r>
      <rPr>
        <sz val="10"/>
        <color theme="1"/>
        <rFont val="宋体"/>
        <family val="3"/>
        <charset val="134"/>
      </rPr>
      <t>放血</t>
    </r>
    <r>
      <rPr>
        <sz val="10"/>
        <color theme="1"/>
        <rFont val="Times New Roman"/>
        <family val="1"/>
      </rPr>
      <t>Bleed</t>
    </r>
    <r>
      <rPr>
        <sz val="10"/>
        <color theme="1"/>
        <rFont val="宋体"/>
        <family val="3"/>
        <charset val="134"/>
      </rPr>
      <t>。你可在该武器的精通词条外额外应用削弱精通词条，且目标额外受到等于你的魅力调整值的伤害（最少为</t>
    </r>
    <r>
      <rPr>
        <sz val="10"/>
        <color theme="1"/>
        <rFont val="Times New Roman"/>
        <family val="1"/>
      </rPr>
      <t>1</t>
    </r>
    <r>
      <rPr>
        <sz val="10"/>
        <color theme="1"/>
        <rFont val="宋体"/>
        <family val="3"/>
        <charset val="134"/>
      </rPr>
      <t>）。该伤害的类型与你的武器伤害类型一致。</t>
    </r>
    <r>
      <rPr>
        <sz val="10"/>
        <color theme="1"/>
        <rFont val="Times New Roman"/>
        <family val="1"/>
      </rPr>
      <t xml:space="preserve"> _x000D_
</t>
    </r>
    <r>
      <rPr>
        <sz val="10"/>
        <color theme="1"/>
        <rFont val="宋体"/>
        <family val="3"/>
        <charset val="134"/>
      </rPr>
      <t>诈巧</t>
    </r>
    <r>
      <rPr>
        <sz val="10"/>
        <color theme="1"/>
        <rFont val="Times New Roman"/>
        <family val="1"/>
      </rPr>
      <t>Bluff</t>
    </r>
    <r>
      <rPr>
        <sz val="10"/>
        <color theme="1"/>
        <rFont val="宋体"/>
        <family val="3"/>
        <charset val="134"/>
      </rPr>
      <t>。你可在该武器的精通词条外额外应用侵扰精通词条，且直至你的下回合结束前，你的下一次豁免检定具有优势。</t>
    </r>
    <r>
      <rPr>
        <sz val="10"/>
        <color theme="1"/>
        <rFont val="Times New Roman"/>
        <family val="1"/>
      </rPr>
      <t xml:space="preserve"> _x000D_
</t>
    </r>
    <r>
      <rPr>
        <sz val="10"/>
        <color theme="1"/>
        <rFont val="宋体"/>
        <family val="3"/>
        <charset val="134"/>
      </rPr>
      <t>摔绊</t>
    </r>
    <r>
      <rPr>
        <sz val="10"/>
        <color theme="1"/>
        <rFont val="Times New Roman"/>
        <family val="1"/>
      </rPr>
      <t>Stumble</t>
    </r>
    <r>
      <rPr>
        <sz val="10"/>
        <color theme="1"/>
        <rFont val="宋体"/>
        <family val="3"/>
        <charset val="134"/>
      </rPr>
      <t>。你可在该武器的精通词条外额外应用失衡精通词条，且目标在其下回合中仅可以执行一个动作或一个附赠动作。</t>
    </r>
  </si>
  <si>
    <t>武斗演出</t>
  </si>
  <si>
    <r>
      <t>你磨炼出具备观赏性的战斗技巧，既能击溃对手又能惊艳观众。你获得以下好处。</t>
    </r>
    <r>
      <rPr>
        <sz val="10"/>
        <color theme="1"/>
        <rFont val="Times New Roman"/>
        <family val="1"/>
      </rPr>
      <t xml:space="preserve"> _x000D_
</t>
    </r>
    <r>
      <rPr>
        <sz val="10"/>
        <color theme="1"/>
        <rFont val="宋体"/>
        <family val="3"/>
        <charset val="134"/>
      </rPr>
      <t>运动风采</t>
    </r>
    <r>
      <rPr>
        <sz val="10"/>
        <color theme="1"/>
        <rFont val="Times New Roman"/>
        <family val="1"/>
      </rPr>
      <t>Athletic Flair</t>
    </r>
    <r>
      <rPr>
        <sz val="10"/>
        <color theme="1"/>
        <rFont val="宋体"/>
        <family val="3"/>
        <charset val="134"/>
      </rPr>
      <t>。当你进行敏捷（特技）或力量（运动）检定时，你获得等于你的魅力调整值的加值（最少</t>
    </r>
    <r>
      <rPr>
        <sz val="10"/>
        <color theme="1"/>
        <rFont val="Times New Roman"/>
        <family val="1"/>
      </rPr>
      <t>+1</t>
    </r>
    <r>
      <rPr>
        <sz val="10"/>
        <color theme="1"/>
        <rFont val="宋体"/>
        <family val="3"/>
        <charset val="134"/>
      </rPr>
      <t>）。</t>
    </r>
    <r>
      <rPr>
        <sz val="10"/>
        <color theme="1"/>
        <rFont val="Times New Roman"/>
        <family val="1"/>
      </rPr>
      <t xml:space="preserve"> _x000D_
</t>
    </r>
    <r>
      <rPr>
        <sz val="10"/>
        <color theme="1"/>
        <rFont val="宋体"/>
        <family val="3"/>
        <charset val="134"/>
      </rPr>
      <t>额外熟练项</t>
    </r>
    <r>
      <rPr>
        <sz val="10"/>
        <color theme="1"/>
        <rFont val="Times New Roman"/>
        <family val="1"/>
      </rPr>
      <t>Bonus Proficiency</t>
    </r>
    <r>
      <rPr>
        <sz val="10"/>
        <color theme="1"/>
        <rFont val="宋体"/>
        <family val="3"/>
        <charset val="134"/>
      </rPr>
      <t>。你从特技、运动、欺瞒、威吓或表演技能中选择一项，并获得该技能的熟练。</t>
    </r>
  </si>
  <si>
    <t>华丽格挡</t>
  </si>
  <si>
    <r>
      <t>你学会华丽地格挡敌人的攻击。当敌人以一次近战攻击检定命中你时，以一个反应，你可将你的魅力调整值（最少</t>
    </r>
    <r>
      <rPr>
        <sz val="10"/>
        <color theme="1"/>
        <rFont val="Times New Roman"/>
        <family val="1"/>
      </rPr>
      <t>+1</t>
    </r>
    <r>
      <rPr>
        <sz val="10"/>
        <color theme="1"/>
        <rFont val="宋体"/>
        <family val="3"/>
        <charset val="134"/>
      </rPr>
      <t>）加到对抗那次攻击的</t>
    </r>
    <r>
      <rPr>
        <sz val="10"/>
        <color theme="1"/>
        <rFont val="Times New Roman"/>
        <family val="1"/>
      </rPr>
      <t>AC</t>
    </r>
    <r>
      <rPr>
        <sz val="10"/>
        <color theme="1"/>
        <rFont val="宋体"/>
        <family val="3"/>
        <charset val="134"/>
      </rPr>
      <t>上，可能令那次攻击改为失手。</t>
    </r>
    <r>
      <rPr>
        <sz val="10"/>
        <color theme="1"/>
        <rFont val="Times New Roman"/>
        <family val="1"/>
      </rPr>
      <t xml:space="preserve"> _x000D_
</t>
    </r>
    <r>
      <rPr>
        <sz val="10"/>
        <color theme="1"/>
        <rFont val="宋体"/>
        <family val="3"/>
        <charset val="134"/>
      </rPr>
      <t>华丽反击</t>
    </r>
    <r>
      <rPr>
        <sz val="10"/>
        <color theme="1"/>
        <rFont val="Times New Roman"/>
        <family val="1"/>
      </rPr>
      <t>Flourish Counter</t>
    </r>
    <r>
      <rPr>
        <sz val="10"/>
        <color theme="1"/>
        <rFont val="宋体"/>
        <family val="3"/>
        <charset val="134"/>
      </rPr>
      <t>。</t>
    </r>
    <r>
      <rPr>
        <sz val="10"/>
        <color theme="1"/>
        <rFont val="Times New Roman"/>
        <family val="1"/>
      </rPr>
      <t xml:space="preserve"> </t>
    </r>
    <r>
      <rPr>
        <sz val="10"/>
        <color theme="1"/>
        <rFont val="宋体"/>
        <family val="3"/>
        <charset val="134"/>
      </rPr>
      <t>若此反应使攻击失手，作为该反应的一部分，你可以发动一次强而有力的反击。你使用近战武器对触发此反应的生物进行一次攻击检定。若这次攻击命中，你可对目标施加一项残暴效应且不消耗使用次数。</t>
    </r>
    <r>
      <rPr>
        <sz val="10"/>
        <color theme="1"/>
        <rFont val="Times New Roman"/>
        <family val="1"/>
      </rPr>
      <t xml:space="preserve"> _x000D_
</t>
    </r>
    <r>
      <rPr>
        <sz val="10"/>
        <color theme="1"/>
        <rFont val="宋体"/>
        <family val="3"/>
        <charset val="134"/>
      </rPr>
      <t>这次反击一旦命中，直至完成一次长休前你都无法再次进行反击。你也可以消耗一次回气次数（无需动作）重置此特性的使用权。</t>
    </r>
  </si>
  <si>
    <t>悍猛凶暴</t>
  </si>
  <si>
    <r>
      <t>你的残暴武技已更趋精进。以下效应新增至你的残暴选项中。</t>
    </r>
    <r>
      <rPr>
        <sz val="10"/>
        <color theme="1"/>
        <rFont val="Times New Roman"/>
        <family val="1"/>
      </rPr>
      <t xml:space="preserve"> _x000D_
</t>
    </r>
    <r>
      <rPr>
        <sz val="10"/>
        <color theme="1"/>
        <rFont val="宋体"/>
        <family val="3"/>
        <charset val="134"/>
      </rPr>
      <t>撕裂</t>
    </r>
    <r>
      <rPr>
        <sz val="10"/>
        <color theme="1"/>
        <rFont val="Times New Roman"/>
        <family val="1"/>
      </rPr>
      <t>Rive</t>
    </r>
    <r>
      <rPr>
        <sz val="10"/>
        <color theme="1"/>
        <rFont val="宋体"/>
        <family val="3"/>
        <charset val="134"/>
      </rPr>
      <t>。你可在该武器的精通词条外额外应用横扫精通词条，且此次额外攻击的伤害可以加上你的属性调整值。</t>
    </r>
    <r>
      <rPr>
        <sz val="10"/>
        <color theme="1"/>
        <rFont val="Times New Roman"/>
        <family val="1"/>
      </rPr>
      <t xml:space="preserve"> _x000D_
</t>
    </r>
    <r>
      <rPr>
        <sz val="10"/>
        <color theme="1"/>
        <rFont val="宋体"/>
        <family val="3"/>
        <charset val="134"/>
      </rPr>
      <t>突进</t>
    </r>
    <r>
      <rPr>
        <sz val="10"/>
        <color theme="1"/>
        <rFont val="Times New Roman"/>
        <family val="1"/>
      </rPr>
      <t>Rush</t>
    </r>
    <r>
      <rPr>
        <sz val="10"/>
        <color theme="1"/>
        <rFont val="宋体"/>
        <family val="3"/>
        <charset val="134"/>
      </rPr>
      <t>。你可在该武器的精通词条外额外应用推离精通词条，且你可以移动至多相当于你速度的距离，而不会引发借机攻击。</t>
    </r>
    <r>
      <rPr>
        <sz val="10"/>
        <color theme="1"/>
        <rFont val="Times New Roman"/>
        <family val="1"/>
      </rPr>
      <t xml:space="preserve"> _x000D_
</t>
    </r>
    <r>
      <rPr>
        <sz val="10"/>
        <color theme="1"/>
        <rFont val="宋体"/>
        <family val="3"/>
        <charset val="134"/>
      </rPr>
      <t>断筋</t>
    </r>
    <r>
      <rPr>
        <sz val="10"/>
        <color theme="1"/>
        <rFont val="Times New Roman"/>
        <family val="1"/>
      </rPr>
      <t>Stagger</t>
    </r>
    <r>
      <rPr>
        <sz val="10"/>
        <color theme="1"/>
        <rFont val="宋体"/>
        <family val="3"/>
        <charset val="134"/>
      </rPr>
      <t>。你可在该武器的精通词条外额外应用缓速精通词条，且直至目标的下回合结束前，目标的下一次豁免检定具有劣势。</t>
    </r>
  </si>
  <si>
    <t>凶暴再临</t>
  </si>
  <si>
    <t>每当你使用回气恢复生命值时，你重获一次已消耗的残暴使用次数。此外，当你使用动作如潮时，你也重获一次已消耗的残暴使用次数。</t>
  </si>
  <si>
    <t>毁形残骨</t>
  </si>
  <si>
    <r>
      <t>当你以一次攻击检定命中处于浴血的生物时，你可尝试重创对方。目标需进行一次体质豁免（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你的魅力调整值）。若豁免失败，目标将承受以下效果：</t>
    </r>
    <r>
      <rPr>
        <sz val="10"/>
        <color theme="1"/>
        <rFont val="Times New Roman"/>
        <family val="1"/>
      </rPr>
      <t xml:space="preserve"> _x000D_
</t>
    </r>
    <r>
      <rPr>
        <sz val="10"/>
        <color theme="1"/>
        <rFont val="宋体"/>
        <family val="3"/>
        <charset val="134"/>
      </rPr>
      <t>伤残</t>
    </r>
    <r>
      <rPr>
        <sz val="10"/>
        <color theme="1"/>
        <rFont val="Times New Roman"/>
        <family val="1"/>
      </rPr>
      <t>Maimed</t>
    </r>
    <r>
      <rPr>
        <sz val="10"/>
        <color theme="1"/>
        <rFont val="宋体"/>
        <family val="3"/>
        <charset val="134"/>
      </rPr>
      <t>。当目标执行攻击动作时，其只能发动一次攻击。</t>
    </r>
    <r>
      <rPr>
        <sz val="10"/>
        <color theme="1"/>
        <rFont val="Times New Roman"/>
        <family val="1"/>
      </rPr>
      <t xml:space="preserve"> _x000D_
</t>
    </r>
    <r>
      <rPr>
        <sz val="10"/>
        <color theme="1"/>
        <rFont val="宋体"/>
        <family val="3"/>
        <charset val="134"/>
      </rPr>
      <t>迟滞</t>
    </r>
    <r>
      <rPr>
        <sz val="10"/>
        <color theme="1"/>
        <rFont val="Times New Roman"/>
        <family val="1"/>
      </rPr>
      <t>Sluggish</t>
    </r>
    <r>
      <rPr>
        <sz val="10"/>
        <color theme="1"/>
        <rFont val="宋体"/>
        <family val="3"/>
        <charset val="134"/>
      </rPr>
      <t>。目标的速度减半，且</t>
    </r>
    <r>
      <rPr>
        <sz val="10"/>
        <color theme="1"/>
        <rFont val="Times New Roman"/>
        <family val="1"/>
      </rPr>
      <t>AC-2</t>
    </r>
    <r>
      <rPr>
        <sz val="10"/>
        <color theme="1"/>
        <rFont val="宋体"/>
        <family val="3"/>
        <charset val="134"/>
      </rPr>
      <t>。</t>
    </r>
    <r>
      <rPr>
        <sz val="10"/>
        <color theme="1"/>
        <rFont val="Times New Roman"/>
        <family val="1"/>
      </rPr>
      <t xml:space="preserve"> _x000D_
</t>
    </r>
    <r>
      <rPr>
        <sz val="10"/>
        <color theme="1"/>
        <rFont val="宋体"/>
        <family val="3"/>
        <charset val="134"/>
      </rPr>
      <t>此效果持续至目标恢复生命值为止。</t>
    </r>
    <r>
      <rPr>
        <sz val="10"/>
        <color theme="1"/>
        <rFont val="Times New Roman"/>
        <family val="1"/>
      </rPr>
      <t xml:space="preserve"> _x000D_
</t>
    </r>
    <r>
      <rPr>
        <sz val="10"/>
        <color theme="1"/>
        <rFont val="宋体"/>
        <family val="3"/>
        <charset val="134"/>
      </rPr>
      <t>在目标失败于此次豁免后，直至完成一次长休前你都无法再次使用此特性。</t>
    </r>
  </si>
  <si>
    <t>角斗士</t>
    <phoneticPr fontId="68" type="noConversion"/>
  </si>
  <si>
    <t>亵渎者法术</t>
    <phoneticPr fontId="68" type="noConversion"/>
  </si>
  <si>
    <r>
      <rPr>
        <sz val="10"/>
        <color theme="1"/>
        <rFont val="宋体"/>
        <family val="1"/>
        <charset val="134"/>
      </rPr>
      <t>当你到达亵渎者法术表中特定的术士等级时，你就始终准备着表中对应的法术。</t>
    </r>
    <r>
      <rPr>
        <sz val="10"/>
        <color theme="1"/>
        <rFont val="Times New Roman"/>
        <family val="1"/>
      </rPr>
      <t xml:space="preserve">
</t>
    </r>
    <r>
      <rPr>
        <sz val="10"/>
        <color theme="1"/>
        <rFont val="宋体"/>
        <family val="1"/>
        <charset val="134"/>
      </rPr>
      <t>亵渎者法术</t>
    </r>
    <r>
      <rPr>
        <sz val="10"/>
        <color theme="1"/>
        <rFont val="Times New Roman"/>
        <family val="1"/>
      </rPr>
      <t xml:space="preserve"> Defiler Spells 
</t>
    </r>
    <r>
      <rPr>
        <sz val="10"/>
        <color theme="1"/>
        <rFont val="宋体"/>
        <family val="1"/>
        <charset val="134"/>
      </rPr>
      <t>术士等级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致伤术</t>
    </r>
    <r>
      <rPr>
        <sz val="10"/>
        <color theme="1"/>
        <rFont val="Times New Roman"/>
        <family val="1"/>
      </rPr>
      <t>Inflict Wounds</t>
    </r>
    <r>
      <rPr>
        <sz val="10"/>
        <color theme="1"/>
        <rFont val="宋体"/>
        <family val="1"/>
        <charset val="134"/>
      </rPr>
      <t>，致病射线</t>
    </r>
    <r>
      <rPr>
        <sz val="10"/>
        <color theme="1"/>
        <rFont val="Times New Roman"/>
        <family val="1"/>
      </rPr>
      <t xml:space="preserve">Ray of Sickness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，衰弱射线</t>
    </r>
    <r>
      <rPr>
        <sz val="10"/>
        <color theme="1"/>
        <rFont val="Times New Roman"/>
        <family val="1"/>
      </rPr>
      <t xml:space="preserve">Ray of Enfeeblement  
5 </t>
    </r>
    <r>
      <rPr>
        <sz val="10"/>
        <color theme="1"/>
        <rFont val="宋体"/>
        <family val="1"/>
        <charset val="134"/>
      </rPr>
      <t>降咒</t>
    </r>
    <r>
      <rPr>
        <sz val="10"/>
        <color theme="1"/>
        <rFont val="Times New Roman"/>
        <family val="1"/>
      </rPr>
      <t>Bestow Curse</t>
    </r>
    <r>
      <rPr>
        <sz val="10"/>
        <color theme="1"/>
        <rFont val="宋体"/>
        <family val="1"/>
        <charset val="134"/>
      </rPr>
      <t>，汲血之触</t>
    </r>
    <r>
      <rPr>
        <sz val="10"/>
        <color theme="1"/>
        <rFont val="Times New Roman"/>
        <family val="1"/>
      </rPr>
      <t xml:space="preserve">Vampiric Touch  
7 </t>
    </r>
    <r>
      <rPr>
        <sz val="10"/>
        <color theme="1"/>
        <rFont val="宋体"/>
        <family val="1"/>
        <charset val="134"/>
      </rPr>
      <t>枯萎术</t>
    </r>
    <r>
      <rPr>
        <sz val="10"/>
        <color theme="1"/>
        <rFont val="Times New Roman"/>
        <family val="1"/>
      </rPr>
      <t>Blight</t>
    </r>
    <r>
      <rPr>
        <sz val="10"/>
        <color theme="1"/>
        <rFont val="宋体"/>
        <family val="1"/>
        <charset val="134"/>
      </rPr>
      <t>，幻景</t>
    </r>
    <r>
      <rPr>
        <sz val="10"/>
        <color theme="1"/>
        <rFont val="Times New Roman"/>
        <family val="1"/>
      </rPr>
      <t xml:space="preserve">Hallucinatory Terrain  
9 </t>
    </r>
    <r>
      <rPr>
        <sz val="10"/>
        <color theme="1"/>
        <rFont val="宋体"/>
        <family val="1"/>
        <charset val="134"/>
      </rPr>
      <t>防活物护罩</t>
    </r>
    <r>
      <rPr>
        <sz val="10"/>
        <color theme="1"/>
        <rFont val="Times New Roman"/>
        <family val="1"/>
      </rPr>
      <t>Antilife Shell</t>
    </r>
    <r>
      <rPr>
        <sz val="10"/>
        <color theme="1"/>
        <rFont val="宋体"/>
        <family val="1"/>
        <charset val="134"/>
      </rPr>
      <t>，疫病术</t>
    </r>
    <r>
      <rPr>
        <sz val="10"/>
        <color theme="1"/>
        <rFont val="Times New Roman"/>
        <family val="1"/>
      </rPr>
      <t xml:space="preserve">Contagion  </t>
    </r>
    <phoneticPr fontId="68" type="noConversion"/>
  </si>
  <si>
    <t>亵渎，强化</t>
    <phoneticPr fontId="68" type="noConversion"/>
  </si>
  <si>
    <r>
      <rPr>
        <sz val="10"/>
        <color theme="1"/>
        <rFont val="宋体"/>
        <family val="1"/>
        <charset val="134"/>
      </rPr>
      <t>每回合一次，当你为你使用法术位施展的法术投掷伤害时，你可以汲取自己的生命能量来强化该法术。你投掷若干未消耗的生命骰，其数量最多不超过所消耗法术位环阶的一半（向上取整，至少一颗），随后将投出骰值之和加入到该法术的一次伤害掷骰中。那之后，你的这些生命骰将被消耗。</t>
    </r>
    <r>
      <rPr>
        <sz val="10"/>
        <color theme="1"/>
        <rFont val="Times New Roman"/>
        <family val="1"/>
      </rPr>
      <t xml:space="preserve"> 
</t>
    </r>
    <r>
      <rPr>
        <sz val="10"/>
        <color theme="1"/>
        <rFont val="宋体"/>
        <family val="1"/>
        <charset val="134"/>
      </rPr>
      <t>生命窃取</t>
    </r>
    <r>
      <rPr>
        <sz val="10"/>
        <color theme="1"/>
        <rFont val="Times New Roman"/>
        <family val="1"/>
      </rPr>
      <t>Life Steal</t>
    </r>
    <r>
      <rPr>
        <sz val="10"/>
        <color theme="1"/>
        <rFont val="宋体"/>
        <family val="1"/>
        <charset val="134"/>
      </rPr>
      <t>。</t>
    </r>
    <r>
      <rPr>
        <sz val="10"/>
        <color theme="1"/>
        <rFont val="Times New Roman"/>
        <family val="1"/>
      </rPr>
      <t xml:space="preserve"> </t>
    </r>
    <r>
      <rPr>
        <sz val="10"/>
        <color theme="1"/>
        <rFont val="宋体"/>
        <family val="1"/>
        <charset val="134"/>
      </rPr>
      <t>使用本特性时，你可以作为</t>
    </r>
    <r>
      <rPr>
        <sz val="10"/>
        <color theme="1"/>
        <rFont val="Times New Roman"/>
        <family val="1"/>
      </rPr>
      <t>"</t>
    </r>
    <r>
      <rPr>
        <sz val="10"/>
        <color theme="1"/>
        <rFont val="宋体"/>
        <family val="1"/>
        <charset val="134"/>
      </rPr>
      <t>汲取自己生命力</t>
    </r>
    <r>
      <rPr>
        <sz val="10"/>
        <color theme="1"/>
        <rFont val="Times New Roman"/>
        <family val="1"/>
      </rPr>
      <t>"</t>
    </r>
    <r>
      <rPr>
        <sz val="10"/>
        <color theme="1"/>
        <rFont val="宋体"/>
        <family val="1"/>
        <charset val="134"/>
      </rPr>
      <t>的代替，尝试去窃取另一名你周围</t>
    </r>
    <r>
      <rPr>
        <sz val="10"/>
        <color theme="1"/>
        <rFont val="Times New Roman"/>
        <family val="1"/>
      </rPr>
      <t>30</t>
    </r>
    <r>
      <rPr>
        <sz val="10"/>
        <color theme="1"/>
        <rFont val="宋体"/>
        <family val="1"/>
        <charset val="134"/>
      </rPr>
      <t>尺内可见的生物的生命力。所选生物需进行一次体质豁免对抗你的法术豁免</t>
    </r>
    <r>
      <rPr>
        <sz val="10"/>
        <color theme="1"/>
        <rFont val="Times New Roman"/>
        <family val="1"/>
      </rPr>
      <t>DC</t>
    </r>
    <r>
      <rPr>
        <sz val="10"/>
        <color theme="1"/>
        <rFont val="宋体"/>
        <family val="1"/>
        <charset val="134"/>
      </rPr>
      <t>（免疫于力竭状态的生物自动通过此豁免）。豁免失败时，你用</t>
    </r>
    <r>
      <rPr>
        <sz val="10"/>
        <color theme="1"/>
        <rFont val="Times New Roman"/>
        <family val="1"/>
      </rPr>
      <t>"</t>
    </r>
    <r>
      <rPr>
        <sz val="10"/>
        <color theme="1"/>
        <rFont val="宋体"/>
        <family val="1"/>
        <charset val="134"/>
      </rPr>
      <t>它的生命骰</t>
    </r>
    <r>
      <rPr>
        <sz val="10"/>
        <color theme="1"/>
        <rFont val="Times New Roman"/>
        <family val="1"/>
      </rPr>
      <t>"</t>
    </r>
    <r>
      <rPr>
        <sz val="10"/>
        <color theme="1"/>
        <rFont val="宋体"/>
        <family val="1"/>
        <charset val="134"/>
      </rPr>
      <t>代替</t>
    </r>
    <r>
      <rPr>
        <sz val="10"/>
        <color theme="1"/>
        <rFont val="Times New Roman"/>
        <family val="1"/>
      </rPr>
      <t>"</t>
    </r>
    <r>
      <rPr>
        <sz val="10"/>
        <color theme="1"/>
        <rFont val="宋体"/>
        <family val="1"/>
        <charset val="134"/>
      </rPr>
      <t>你自己的生命骰</t>
    </r>
    <r>
      <rPr>
        <sz val="10"/>
        <color theme="1"/>
        <rFont val="Times New Roman"/>
        <family val="1"/>
      </rPr>
      <t>"</t>
    </r>
    <r>
      <rPr>
        <sz val="10"/>
        <color theme="1"/>
        <rFont val="宋体"/>
        <family val="1"/>
        <charset val="134"/>
      </rPr>
      <t>进行上述投掷，同样，至多不超过所消耗法术位环阶的一半（向下取整，至少一颗）；随后将投出骰值之和加入到该法术的一次伤害掷骰中，而它被投掷的这些生命骰将被消耗。</t>
    </r>
    <r>
      <rPr>
        <sz val="10"/>
        <color theme="1"/>
        <rFont val="Times New Roman"/>
        <family val="1"/>
      </rPr>
      <t xml:space="preserve"> 
</t>
    </r>
    <r>
      <rPr>
        <sz val="10"/>
        <color theme="1"/>
        <rFont val="宋体"/>
        <family val="1"/>
        <charset val="134"/>
      </rPr>
      <t>一旦有生物失败于你生命窃取的豁免，你将直到完成长休前都无法再次使用生命窃取，除非你用</t>
    </r>
    <r>
      <rPr>
        <sz val="10"/>
        <color theme="1"/>
        <rFont val="Times New Roman"/>
        <family val="1"/>
      </rPr>
      <t>3</t>
    </r>
    <r>
      <rPr>
        <sz val="10"/>
        <color theme="1"/>
        <rFont val="宋体"/>
        <family val="1"/>
        <charset val="134"/>
      </rPr>
      <t>点术法点（无需动作）重获生命窃取的使用权。</t>
    </r>
    <phoneticPr fontId="68" type="noConversion"/>
  </si>
  <si>
    <t>污染施术</t>
    <phoneticPr fontId="68" type="noConversion"/>
  </si>
  <si>
    <r>
      <rPr>
        <sz val="10"/>
        <color theme="1"/>
        <rFont val="宋体"/>
        <family val="1"/>
        <charset val="134"/>
      </rPr>
      <t>你深入研习了你体内深处的那些受污染的魔法，令你获得以下增益：</t>
    </r>
    <r>
      <rPr>
        <sz val="10"/>
        <color theme="1"/>
        <rFont val="Times New Roman"/>
        <family val="1"/>
      </rPr>
      <t xml:space="preserve"> 
</t>
    </r>
    <r>
      <rPr>
        <sz val="10"/>
        <color theme="1"/>
        <rFont val="宋体"/>
        <family val="1"/>
        <charset val="134"/>
      </rPr>
      <t>亵渎者之护</t>
    </r>
    <r>
      <rPr>
        <sz val="10"/>
        <color theme="1"/>
        <rFont val="Times New Roman"/>
        <family val="1"/>
      </rPr>
      <t>Defiler's Ward</t>
    </r>
    <r>
      <rPr>
        <sz val="10"/>
        <color theme="1"/>
        <rFont val="宋体"/>
        <family val="1"/>
        <charset val="134"/>
      </rPr>
      <t>。</t>
    </r>
    <r>
      <rPr>
        <sz val="10"/>
        <color theme="1"/>
        <rFont val="Times New Roman"/>
        <family val="1"/>
      </rPr>
      <t xml:space="preserve"> </t>
    </r>
    <r>
      <rPr>
        <sz val="10"/>
        <color theme="1"/>
        <rFont val="宋体"/>
        <family val="1"/>
        <charset val="134"/>
      </rPr>
      <t>当你执行附赠动作来将术法点转化为法术位时，你可以用亵渎能量创造一圈环绕在身躯周围的保护魔法茧。投掷数量等同于所创造的法术位环阶的</t>
    </r>
    <r>
      <rPr>
        <sz val="10"/>
        <color theme="1"/>
        <rFont val="Times New Roman"/>
        <family val="1"/>
      </rPr>
      <t>d6</t>
    </r>
    <r>
      <rPr>
        <sz val="10"/>
        <color theme="1"/>
        <rFont val="宋体"/>
        <family val="1"/>
        <charset val="134"/>
      </rPr>
      <t>骰，你获得掷出的骰值之和的临时生命值。</t>
    </r>
    <r>
      <rPr>
        <sz val="10"/>
        <color theme="1"/>
        <rFont val="Times New Roman"/>
        <family val="1"/>
      </rPr>
      <t xml:space="preserve"> 
</t>
    </r>
    <r>
      <rPr>
        <sz val="10"/>
        <color theme="1"/>
        <rFont val="宋体"/>
        <family val="1"/>
        <charset val="134"/>
      </rPr>
      <t>在你拥有这些临时生命值期间，如果有生物以近战攻击检定命中了你，该生物将受到等同于你魅力调整值点的暗蚀或毒素（由你选择）伤害。</t>
    </r>
    <r>
      <rPr>
        <sz val="10"/>
        <color theme="1"/>
        <rFont val="Times New Roman"/>
        <family val="1"/>
      </rPr>
      <t xml:space="preserve"> 
</t>
    </r>
    <r>
      <rPr>
        <sz val="10"/>
        <color theme="1"/>
        <rFont val="宋体"/>
        <family val="1"/>
        <charset val="134"/>
      </rPr>
      <t>极致溃败</t>
    </r>
    <r>
      <rPr>
        <sz val="10"/>
        <color theme="1"/>
        <rFont val="Times New Roman"/>
        <family val="1"/>
      </rPr>
      <t>Strengthen Rot</t>
    </r>
    <r>
      <rPr>
        <sz val="10"/>
        <color theme="1"/>
        <rFont val="宋体"/>
        <family val="1"/>
        <charset val="134"/>
      </rPr>
      <t>。</t>
    </r>
    <r>
      <rPr>
        <sz val="10"/>
        <color theme="1"/>
        <rFont val="Times New Roman"/>
        <family val="1"/>
      </rPr>
      <t xml:space="preserve"> </t>
    </r>
    <r>
      <rPr>
        <sz val="10"/>
        <color theme="1"/>
        <rFont val="宋体"/>
        <family val="1"/>
        <charset val="134"/>
      </rPr>
      <t>由你的术士法术或术士特性造成的伤害无视暗蚀伤害抗性与毒素伤害抗性。</t>
    </r>
    <r>
      <rPr>
        <sz val="10"/>
        <color theme="1"/>
        <rFont val="Times New Roman"/>
        <family val="1"/>
      </rPr>
      <t xml:space="preserve"> </t>
    </r>
    <phoneticPr fontId="68" type="noConversion"/>
  </si>
  <si>
    <t>凋零灵光</t>
    <phoneticPr fontId="68" type="noConversion"/>
  </si>
  <si>
    <r>
      <rPr>
        <sz val="10"/>
        <color theme="1"/>
        <rFont val="宋体"/>
        <family val="1"/>
        <charset val="134"/>
      </rPr>
      <t>当你激活先天术法时，亵渎者魔法将充满在你的身周。在你先天术法激活期间，以你为源的</t>
    </r>
    <r>
      <rPr>
        <sz val="10"/>
        <color theme="1"/>
        <rFont val="Times New Roman"/>
        <family val="1"/>
      </rPr>
      <t>15</t>
    </r>
    <r>
      <rPr>
        <sz val="10"/>
        <color theme="1"/>
        <rFont val="宋体"/>
        <family val="1"/>
        <charset val="134"/>
      </rPr>
      <t>尺光环区域内将充盈着亵渎者魔法，为你提供以下增益：</t>
    </r>
    <r>
      <rPr>
        <sz val="10"/>
        <color theme="1"/>
        <rFont val="Times New Roman"/>
        <family val="1"/>
      </rPr>
      <t xml:space="preserve"> 
</t>
    </r>
    <r>
      <rPr>
        <sz val="10"/>
        <color theme="1"/>
        <rFont val="宋体"/>
        <family val="1"/>
        <charset val="134"/>
      </rPr>
      <t>亵渎环绕</t>
    </r>
    <r>
      <rPr>
        <sz val="10"/>
        <color theme="1"/>
        <rFont val="Times New Roman"/>
        <family val="1"/>
      </rPr>
      <t>Defiling Surround</t>
    </r>
    <r>
      <rPr>
        <sz val="10"/>
        <color theme="1"/>
        <rFont val="宋体"/>
        <family val="1"/>
        <charset val="134"/>
      </rPr>
      <t>。</t>
    </r>
    <r>
      <rPr>
        <sz val="10"/>
        <color theme="1"/>
        <rFont val="Times New Roman"/>
        <family val="1"/>
      </rPr>
      <t xml:space="preserve"> </t>
    </r>
    <r>
      <rPr>
        <sz val="10"/>
        <color theme="1"/>
        <rFont val="宋体"/>
        <family val="1"/>
        <charset val="134"/>
      </rPr>
      <t>当身处灵光内的敌人以攻击检定命中你时，你可以减少其对你造成的伤害总和。减少量等同于你的魅力调整值。</t>
    </r>
    <r>
      <rPr>
        <sz val="10"/>
        <color theme="1"/>
        <rFont val="Times New Roman"/>
        <family val="1"/>
      </rPr>
      <t xml:space="preserve"> 
</t>
    </r>
    <r>
      <rPr>
        <sz val="10"/>
        <color theme="1"/>
        <rFont val="宋体"/>
        <family val="1"/>
        <charset val="134"/>
      </rPr>
      <t>命髓虹吸</t>
    </r>
    <r>
      <rPr>
        <sz val="10"/>
        <color theme="1"/>
        <rFont val="Times New Roman"/>
        <family val="1"/>
      </rPr>
      <t>Essence Siphon</t>
    </r>
    <r>
      <rPr>
        <sz val="10"/>
        <color theme="1"/>
        <rFont val="宋体"/>
        <family val="1"/>
        <charset val="134"/>
      </rPr>
      <t>。</t>
    </r>
    <r>
      <rPr>
        <sz val="10"/>
        <color theme="1"/>
        <rFont val="Times New Roman"/>
        <family val="1"/>
      </rPr>
      <t xml:space="preserve"> </t>
    </r>
    <r>
      <rPr>
        <sz val="10"/>
        <color theme="1"/>
        <rFont val="宋体"/>
        <family val="1"/>
        <charset val="134"/>
      </rPr>
      <t>当有敌人死在灵光内时，你重获</t>
    </r>
    <r>
      <rPr>
        <sz val="10"/>
        <color theme="1"/>
        <rFont val="Times New Roman"/>
        <family val="1"/>
      </rPr>
      <t>1d4</t>
    </r>
    <r>
      <rPr>
        <sz val="10"/>
        <color theme="1"/>
        <rFont val="宋体"/>
        <family val="1"/>
        <charset val="134"/>
      </rPr>
      <t>术法点。此增益一旦生效后，在你下次激活先天术法后才能再次生效。</t>
    </r>
    <r>
      <rPr>
        <sz val="10"/>
        <color theme="1"/>
        <rFont val="Times New Roman"/>
        <family val="1"/>
      </rPr>
      <t xml:space="preserve"> </t>
    </r>
    <phoneticPr fontId="68" type="noConversion"/>
  </si>
  <si>
    <t>卓越亵渎者</t>
    <phoneticPr fontId="68" type="noConversion"/>
  </si>
  <si>
    <r>
      <rPr>
        <sz val="10"/>
        <color theme="1"/>
        <rFont val="宋体"/>
        <family val="1"/>
        <charset val="134"/>
      </rPr>
      <t>你对自己操控亵渎魔法的能力已研至登峰造极，令你获得以下增益：</t>
    </r>
    <r>
      <rPr>
        <sz val="10"/>
        <color theme="1"/>
        <rFont val="Times New Roman"/>
        <family val="1"/>
      </rPr>
      <t xml:space="preserve"> 
</t>
    </r>
    <r>
      <rPr>
        <sz val="10"/>
        <color theme="1"/>
        <rFont val="宋体"/>
        <family val="1"/>
        <charset val="134"/>
      </rPr>
      <t>朽彻灵魂</t>
    </r>
    <r>
      <rPr>
        <sz val="10"/>
        <color theme="1"/>
        <rFont val="Times New Roman"/>
        <family val="1"/>
      </rPr>
      <t>Fouled Soul</t>
    </r>
    <r>
      <rPr>
        <sz val="10"/>
        <color theme="1"/>
        <rFont val="宋体"/>
        <family val="1"/>
        <charset val="134"/>
      </rPr>
      <t>。</t>
    </r>
    <r>
      <rPr>
        <sz val="10"/>
        <color theme="1"/>
        <rFont val="Times New Roman"/>
        <family val="1"/>
      </rPr>
      <t xml:space="preserve"> </t>
    </r>
    <r>
      <rPr>
        <sz val="10"/>
        <color theme="1"/>
        <rFont val="宋体"/>
        <family val="1"/>
        <charset val="134"/>
      </rPr>
      <t>你免疫于中毒状态与力竭</t>
    </r>
    <r>
      <rPr>
        <sz val="10"/>
        <color theme="1"/>
        <rFont val="Times New Roman"/>
        <family val="1"/>
      </rPr>
      <t xml:space="preserve"> </t>
    </r>
    <r>
      <rPr>
        <sz val="10"/>
        <color theme="1"/>
        <rFont val="宋体"/>
        <family val="1"/>
        <charset val="134"/>
      </rPr>
      <t>状态。</t>
    </r>
    <r>
      <rPr>
        <sz val="10"/>
        <color theme="1"/>
        <rFont val="Times New Roman"/>
        <family val="1"/>
      </rPr>
      <t xml:space="preserve"> 
</t>
    </r>
    <r>
      <rPr>
        <sz val="10"/>
        <color theme="1"/>
        <rFont val="宋体"/>
        <family val="1"/>
        <charset val="134"/>
      </rPr>
      <t>至远亵渎</t>
    </r>
    <r>
      <rPr>
        <sz val="10"/>
        <color theme="1"/>
        <rFont val="Times New Roman"/>
        <family val="1"/>
      </rPr>
      <t>Furthered Defilement</t>
    </r>
    <r>
      <rPr>
        <sz val="10"/>
        <color theme="1"/>
        <rFont val="宋体"/>
        <family val="1"/>
        <charset val="134"/>
      </rPr>
      <t>。</t>
    </r>
    <r>
      <rPr>
        <sz val="10"/>
        <color theme="1"/>
        <rFont val="Times New Roman"/>
        <family val="1"/>
      </rPr>
      <t xml:space="preserve"> </t>
    </r>
    <r>
      <rPr>
        <sz val="10"/>
        <color theme="1"/>
        <rFont val="宋体"/>
        <family val="1"/>
        <charset val="134"/>
      </rPr>
      <t>你的凋零灵光光环半径扩大至</t>
    </r>
    <r>
      <rPr>
        <sz val="10"/>
        <color theme="1"/>
        <rFont val="Times New Roman"/>
        <family val="1"/>
      </rPr>
      <t>30</t>
    </r>
    <r>
      <rPr>
        <sz val="10"/>
        <color theme="1"/>
        <rFont val="宋体"/>
        <family val="1"/>
        <charset val="134"/>
      </rPr>
      <t>尺。此外，处于你的灵光内的敌人无法重获其生命值。</t>
    </r>
    <r>
      <rPr>
        <sz val="10"/>
        <color theme="1"/>
        <rFont val="Times New Roman"/>
        <family val="1"/>
      </rPr>
      <t xml:space="preserve"> </t>
    </r>
    <phoneticPr fontId="68" type="noConversion"/>
  </si>
  <si>
    <t>亵渎术法</t>
    <phoneticPr fontId="68" type="noConversion"/>
  </si>
  <si>
    <t>巫王法术</t>
    <phoneticPr fontId="68" type="noConversion"/>
  </si>
  <si>
    <r>
      <rPr>
        <sz val="10"/>
        <color theme="1"/>
        <rFont val="宋体"/>
        <family val="1"/>
        <charset val="134"/>
      </rPr>
      <t>宗主赐予的魔法使你始终准备着特定的法术。当你到达巫王法术表中特定的魔契师等级时，你就始终准备着表中对应的法术。</t>
    </r>
    <r>
      <rPr>
        <sz val="10"/>
        <color theme="1"/>
        <rFont val="Times New Roman"/>
        <family val="1"/>
      </rPr>
      <t xml:space="preserve"> 
</t>
    </r>
    <r>
      <rPr>
        <sz val="10"/>
        <color theme="1"/>
        <rFont val="宋体"/>
        <family val="1"/>
        <charset val="134"/>
      </rPr>
      <t>灵能施法</t>
    </r>
    <r>
      <rPr>
        <sz val="10"/>
        <color theme="1"/>
        <rFont val="Times New Roman"/>
        <family val="1"/>
      </rPr>
      <t>Psionic Casting</t>
    </r>
    <r>
      <rPr>
        <sz val="10"/>
        <color theme="1"/>
        <rFont val="宋体"/>
        <family val="1"/>
        <charset val="134"/>
      </rPr>
      <t>。</t>
    </r>
    <r>
      <rPr>
        <sz val="10"/>
        <color theme="1"/>
        <rFont val="Times New Roman"/>
        <family val="1"/>
      </rPr>
      <t xml:space="preserve"> </t>
    </r>
    <r>
      <rPr>
        <sz val="10"/>
        <color theme="1"/>
        <rFont val="宋体"/>
        <family val="1"/>
        <charset val="134"/>
      </rPr>
      <t>当你施展来自巫王法术表中的法术时，你可以无需材料或言语成分，那些会被消耗或有具体价值的材料成分除外。</t>
    </r>
    <r>
      <rPr>
        <sz val="10"/>
        <color theme="1"/>
        <rFont val="Times New Roman"/>
        <family val="1"/>
      </rPr>
      <t xml:space="preserve"> 
</t>
    </r>
    <r>
      <rPr>
        <sz val="10"/>
        <color theme="1"/>
        <rFont val="宋体"/>
        <family val="1"/>
        <charset val="134"/>
      </rPr>
      <t>巫王法术</t>
    </r>
    <r>
      <rPr>
        <sz val="10"/>
        <color theme="1"/>
        <rFont val="Times New Roman"/>
        <family val="1"/>
      </rPr>
      <t xml:space="preserve">Sorcerer-King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，强令对决</t>
    </r>
    <r>
      <rPr>
        <sz val="10"/>
        <color theme="1"/>
        <rFont val="Times New Roman"/>
        <family val="1"/>
      </rPr>
      <t>Compelled Duel</t>
    </r>
    <r>
      <rPr>
        <sz val="10"/>
        <color theme="1"/>
        <rFont val="宋体"/>
        <family val="1"/>
        <charset val="134"/>
      </rPr>
      <t>，激愤斩</t>
    </r>
    <r>
      <rPr>
        <sz val="10"/>
        <color theme="1"/>
        <rFont val="Times New Roman"/>
        <family val="1"/>
      </rPr>
      <t xml:space="preserve">Wrathful Smite
</t>
    </r>
    <r>
      <rPr>
        <sz val="10"/>
        <color theme="1"/>
        <rFont val="宋体"/>
        <family val="1"/>
        <charset val="134"/>
      </rPr>
      <t>定身类人</t>
    </r>
    <r>
      <rPr>
        <sz val="10"/>
        <color theme="1"/>
        <rFont val="Times New Roman"/>
        <family val="1"/>
      </rPr>
      <t>Hold Person</t>
    </r>
    <r>
      <rPr>
        <sz val="10"/>
        <color theme="1"/>
        <rFont val="宋体"/>
        <family val="1"/>
        <charset val="134"/>
      </rPr>
      <t>，心灵尖刺</t>
    </r>
    <r>
      <rPr>
        <sz val="10"/>
        <color theme="1"/>
        <rFont val="Times New Roman"/>
        <family val="1"/>
      </rPr>
      <t xml:space="preserve">Mind Spike  
5 </t>
    </r>
    <r>
      <rPr>
        <sz val="10"/>
        <color theme="1"/>
        <rFont val="宋体"/>
        <family val="1"/>
        <charset val="134"/>
      </rPr>
      <t>恐惧术</t>
    </r>
    <r>
      <rPr>
        <sz val="10"/>
        <color theme="1"/>
        <rFont val="Times New Roman"/>
        <family val="1"/>
      </rPr>
      <t>Fear</t>
    </r>
    <r>
      <rPr>
        <sz val="10"/>
        <color theme="1"/>
        <rFont val="宋体"/>
        <family val="1"/>
        <charset val="134"/>
      </rPr>
      <t>，短讯术</t>
    </r>
    <r>
      <rPr>
        <sz val="10"/>
        <color theme="1"/>
        <rFont val="Times New Roman"/>
        <family val="1"/>
      </rPr>
      <t xml:space="preserve">Sending  
7 </t>
    </r>
    <r>
      <rPr>
        <sz val="10"/>
        <color theme="1"/>
        <rFont val="宋体"/>
        <family val="1"/>
        <charset val="134"/>
      </rPr>
      <t>强迫术</t>
    </r>
    <r>
      <rPr>
        <sz val="10"/>
        <color theme="1"/>
        <rFont val="Times New Roman"/>
        <family val="1"/>
      </rPr>
      <t>Compulsion</t>
    </r>
    <r>
      <rPr>
        <sz val="10"/>
        <color theme="1"/>
        <rFont val="宋体"/>
        <family val="1"/>
        <charset val="134"/>
      </rPr>
      <t>，惊惧斩</t>
    </r>
    <r>
      <rPr>
        <sz val="10"/>
        <color theme="1"/>
        <rFont val="Times New Roman"/>
        <family val="1"/>
      </rPr>
      <t xml:space="preserve">Staggering Smite  
9 </t>
    </r>
    <r>
      <rPr>
        <sz val="10"/>
        <color theme="1"/>
        <rFont val="宋体"/>
        <family val="1"/>
        <charset val="134"/>
      </rPr>
      <t>支配类人</t>
    </r>
    <r>
      <rPr>
        <sz val="10"/>
        <color theme="1"/>
        <rFont val="Times New Roman"/>
        <family val="1"/>
      </rPr>
      <t>Dominate Person</t>
    </r>
    <r>
      <rPr>
        <sz val="10"/>
        <color theme="1"/>
        <rFont val="宋体"/>
        <family val="1"/>
        <charset val="134"/>
      </rPr>
      <t>，突触静止</t>
    </r>
    <r>
      <rPr>
        <sz val="10"/>
        <color theme="1"/>
        <rFont val="Times New Roman"/>
        <family val="1"/>
      </rPr>
      <t xml:space="preserve">Synaptic Static  
</t>
    </r>
    <phoneticPr fontId="68" type="noConversion"/>
  </si>
  <si>
    <t>暴君传令官</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</si>
  <si>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威慑气场</t>
    </r>
    <r>
      <rPr>
        <sz val="10"/>
        <color theme="1"/>
        <rFont val="Times New Roman"/>
        <family val="1"/>
      </rPr>
      <t>Intimidating Presence</t>
    </r>
    <r>
      <rPr>
        <sz val="10"/>
        <color theme="1"/>
        <rFont val="宋体"/>
        <family val="1"/>
        <charset val="134"/>
      </rPr>
      <t>。</t>
    </r>
    <r>
      <rPr>
        <sz val="10"/>
        <color theme="1"/>
        <rFont val="Times New Roman"/>
        <family val="1"/>
      </rPr>
      <t xml:space="preserve"> </t>
    </r>
    <r>
      <rPr>
        <sz val="10"/>
        <color theme="1"/>
        <rFont val="宋体"/>
        <family val="1"/>
        <charset val="134"/>
      </rPr>
      <t>若你不具有威吓技能熟练项，你获得威吓技能熟练项。你还会在威吓上获得专精。</t>
    </r>
    <r>
      <rPr>
        <sz val="10"/>
        <color theme="1"/>
        <rFont val="Times New Roman"/>
        <family val="1"/>
      </rPr>
      <t xml:space="preserve"> 
</t>
    </r>
    <r>
      <rPr>
        <sz val="10"/>
        <color theme="1"/>
        <rFont val="宋体"/>
        <family val="1"/>
        <charset val="134"/>
      </rPr>
      <t>暴政之声</t>
    </r>
    <r>
      <rPr>
        <sz val="10"/>
        <color theme="1"/>
        <rFont val="Times New Roman"/>
        <family val="1"/>
      </rPr>
      <t>Voice of Tyranny</t>
    </r>
    <r>
      <rPr>
        <sz val="10"/>
        <color theme="1"/>
        <rFont val="宋体"/>
        <family val="1"/>
        <charset val="134"/>
      </rPr>
      <t>。以一个附赠动作，你可以无需法术位施展法术命令术</t>
    </r>
    <r>
      <rPr>
        <sz val="10"/>
        <color theme="1"/>
        <rFont val="Times New Roman"/>
        <family val="1"/>
      </rPr>
      <t xml:space="preserve">Command </t>
    </r>
    <r>
      <rPr>
        <sz val="10"/>
        <color theme="1"/>
        <rFont val="宋体"/>
        <family val="1"/>
        <charset val="134"/>
      </rPr>
      <t>。你可施展的次数等同于你的魅力调整值次（至少一次），在完成一次长休后，你重获所有的已消耗的次数。</t>
    </r>
    <r>
      <rPr>
        <sz val="10"/>
        <color theme="1"/>
        <rFont val="Times New Roman"/>
        <family val="1"/>
      </rPr>
      <t xml:space="preserve"> </t>
    </r>
    <phoneticPr fontId="68" type="noConversion"/>
  </si>
  <si>
    <t>决断诏令</t>
    <phoneticPr fontId="68" type="noConversion"/>
  </si>
  <si>
    <r>
      <rPr>
        <sz val="10"/>
        <color theme="1"/>
        <rFont val="宋体"/>
        <family val="1"/>
        <charset val="134"/>
      </rPr>
      <t>你宗主的力量在你体内涌动，使你能鼓舞你的盟友并征服你的敌人。当你使用契约法术位施展法术时，你能在源自你的</t>
    </r>
    <r>
      <rPr>
        <sz val="10"/>
        <color theme="1"/>
        <rFont val="Times New Roman"/>
        <family val="1"/>
      </rPr>
      <t>30</t>
    </r>
    <r>
      <rPr>
        <sz val="10"/>
        <color theme="1"/>
        <rFont val="宋体"/>
        <family val="1"/>
        <charset val="134"/>
      </rPr>
      <t>尺光环区域内引发亵渎之力的爆发，对每个该光环区域内你可见的生物，选择以下效果之一：</t>
    </r>
    <r>
      <rPr>
        <sz val="10"/>
        <color theme="1"/>
        <rFont val="Times New Roman"/>
        <family val="1"/>
      </rPr>
      <t xml:space="preserve"> 
</t>
    </r>
    <r>
      <rPr>
        <sz val="10"/>
        <color theme="1"/>
        <rFont val="宋体"/>
        <family val="1"/>
        <charset val="134"/>
      </rPr>
      <t>统帅</t>
    </r>
    <r>
      <rPr>
        <sz val="10"/>
        <color theme="1"/>
        <rFont val="Times New Roman"/>
        <family val="1"/>
      </rPr>
      <t>Marshal</t>
    </r>
    <r>
      <rPr>
        <sz val="10"/>
        <color theme="1"/>
        <rFont val="宋体"/>
        <family val="1"/>
        <charset val="134"/>
      </rPr>
      <t>。</t>
    </r>
    <r>
      <rPr>
        <sz val="10"/>
        <color theme="1"/>
        <rFont val="Times New Roman"/>
        <family val="1"/>
      </rPr>
      <t xml:space="preserve"> </t>
    </r>
    <r>
      <rPr>
        <sz val="10"/>
        <color theme="1"/>
        <rFont val="宋体"/>
        <family val="1"/>
        <charset val="134"/>
      </rPr>
      <t>直至其下回合结束前，目标生物在攻击检定上具有优势</t>
    </r>
    <r>
      <rPr>
        <sz val="10"/>
        <color theme="1"/>
        <rFont val="Times New Roman"/>
        <family val="1"/>
      </rPr>
      <t xml:space="preserve"> </t>
    </r>
    <r>
      <rPr>
        <sz val="10"/>
        <color theme="1"/>
        <rFont val="宋体"/>
        <family val="1"/>
        <charset val="134"/>
      </rPr>
      <t>。</t>
    </r>
    <r>
      <rPr>
        <sz val="10"/>
        <color theme="1"/>
        <rFont val="Times New Roman"/>
        <family val="1"/>
      </rPr>
      <t xml:space="preserve"> 
</t>
    </r>
    <r>
      <rPr>
        <sz val="10"/>
        <color theme="1"/>
        <rFont val="宋体"/>
        <family val="1"/>
        <charset val="134"/>
      </rPr>
      <t>压迫</t>
    </r>
    <r>
      <rPr>
        <sz val="10"/>
        <color theme="1"/>
        <rFont val="Times New Roman"/>
        <family val="1"/>
      </rPr>
      <t>Oppress</t>
    </r>
    <r>
      <rPr>
        <sz val="10"/>
        <color theme="1"/>
        <rFont val="宋体"/>
        <family val="1"/>
        <charset val="134"/>
      </rPr>
      <t>。</t>
    </r>
    <r>
      <rPr>
        <sz val="10"/>
        <color theme="1"/>
        <rFont val="Times New Roman"/>
        <family val="1"/>
      </rPr>
      <t xml:space="preserve"> </t>
    </r>
    <r>
      <rPr>
        <sz val="10"/>
        <color theme="1"/>
        <rFont val="宋体"/>
        <family val="1"/>
        <charset val="134"/>
      </rPr>
      <t>目标生物必须成功通过一次对抗你法术豁免</t>
    </r>
    <r>
      <rPr>
        <sz val="10"/>
        <color theme="1"/>
        <rFont val="Times New Roman"/>
        <family val="1"/>
      </rPr>
      <t>DC</t>
    </r>
    <r>
      <rPr>
        <sz val="10"/>
        <color theme="1"/>
        <rFont val="宋体"/>
        <family val="1"/>
        <charset val="134"/>
      </rPr>
      <t>的感知豁免，否则陷入恐慌</t>
    </r>
    <r>
      <rPr>
        <sz val="10"/>
        <color theme="1"/>
        <rFont val="Times New Roman"/>
        <family val="1"/>
      </rPr>
      <t xml:space="preserve"> </t>
    </r>
    <r>
      <rPr>
        <sz val="10"/>
        <color theme="1"/>
        <rFont val="宋体"/>
        <family val="1"/>
        <charset val="134"/>
      </rPr>
      <t>状态，直至其下个回合结束。</t>
    </r>
    <r>
      <rPr>
        <sz val="10"/>
        <color theme="1"/>
        <rFont val="Times New Roman"/>
        <family val="1"/>
      </rPr>
      <t xml:space="preserve"> 
</t>
    </r>
    <r>
      <rPr>
        <sz val="10"/>
        <color theme="1"/>
        <rFont val="宋体"/>
        <family val="1"/>
        <charset val="134"/>
      </rPr>
      <t>此特性一经使用，直至完成短休或长休你都无法再次使用。当你使用秘法回流</t>
    </r>
    <r>
      <rPr>
        <sz val="10"/>
        <color theme="1"/>
        <rFont val="Times New Roman"/>
        <family val="1"/>
      </rPr>
      <t xml:space="preserve"> Magical Cunning </t>
    </r>
    <r>
      <rPr>
        <sz val="10"/>
        <color theme="1"/>
        <rFont val="宋体"/>
        <family val="1"/>
        <charset val="134"/>
      </rPr>
      <t>时，你也会回复此特性的使用次数。</t>
    </r>
    <r>
      <rPr>
        <sz val="10"/>
        <color theme="1"/>
        <rFont val="Times New Roman"/>
        <family val="1"/>
      </rPr>
      <t xml:space="preserve"> </t>
    </r>
    <phoneticPr fontId="68" type="noConversion"/>
  </si>
  <si>
    <t>复仇叱喝</t>
    <phoneticPr fontId="68" type="noConversion"/>
  </si>
  <si>
    <r>
      <rPr>
        <sz val="10"/>
        <color theme="1"/>
        <rFont val="宋体"/>
        <family val="1"/>
        <charset val="134"/>
      </rPr>
      <t>你学会了回击那些挑战你或你宗主权威的存在。当敌人以一次攻击检定命中你时，你可以使用反应强迫该敌人重骰本次</t>
    </r>
    <r>
      <rPr>
        <sz val="10"/>
        <color theme="1"/>
        <rFont val="Times New Roman"/>
        <family val="1"/>
      </rPr>
      <t>d20</t>
    </r>
    <r>
      <rPr>
        <sz val="10"/>
        <color theme="1"/>
        <rFont val="宋体"/>
        <family val="1"/>
        <charset val="134"/>
      </rPr>
      <t>，且该敌人必须使用新的结果。若此反应导致本次攻击检定未命中，触发该效果的生物受到等同于你魔契师等级的心灵伤害。</t>
    </r>
    <r>
      <rPr>
        <sz val="10"/>
        <color theme="1"/>
        <rFont val="Times New Roman"/>
        <family val="1"/>
      </rPr>
      <t xml:space="preserve"> 
</t>
    </r>
    <r>
      <rPr>
        <sz val="10"/>
        <color theme="1"/>
        <rFont val="宋体"/>
        <family val="1"/>
        <charset val="134"/>
      </rPr>
      <t>你可以使用此特性的次数等同于你的魅力调整值次（至少一次），在完成一次长休后，你重获所有的已消耗的次数。</t>
    </r>
    <r>
      <rPr>
        <sz val="10"/>
        <color theme="1"/>
        <rFont val="Times New Roman"/>
        <family val="1"/>
      </rPr>
      <t xml:space="preserve"> </t>
    </r>
    <phoneticPr fontId="68" type="noConversion"/>
  </si>
  <si>
    <t>绝对暴政</t>
    <phoneticPr fontId="68" type="noConversion"/>
  </si>
  <si>
    <r>
      <rPr>
        <sz val="10"/>
        <color theme="1"/>
        <rFont val="宋体"/>
        <family val="1"/>
        <charset val="134"/>
      </rPr>
      <t>你以绝对的信念行使你宗主的暴君强权。每当你施展法术命令术</t>
    </r>
    <r>
      <rPr>
        <sz val="10"/>
        <color theme="1"/>
        <rFont val="Times New Roman"/>
        <family val="1"/>
      </rPr>
      <t>Command</t>
    </r>
    <r>
      <rPr>
        <sz val="10"/>
        <color theme="1"/>
        <rFont val="宋体"/>
        <family val="1"/>
        <charset val="134"/>
      </rPr>
      <t>时，你能选择施法距离内一名额外生物作为目标。此外，被你恐慌的生物自动失败于你施展的任何命令术</t>
    </r>
    <r>
      <rPr>
        <sz val="10"/>
        <color theme="1"/>
        <rFont val="Times New Roman"/>
        <family val="1"/>
      </rPr>
      <t>Command</t>
    </r>
    <r>
      <rPr>
        <sz val="10"/>
        <color theme="1"/>
        <rFont val="宋体"/>
        <family val="1"/>
        <charset val="134"/>
      </rPr>
      <t>豁免。</t>
    </r>
    <phoneticPr fontId="68" type="noConversion"/>
  </si>
  <si>
    <t>巫王宗主</t>
    <phoneticPr fontId="68" type="noConversion"/>
  </si>
  <si>
    <t>秘术武者</t>
    <phoneticPr fontId="68" type="noConversion"/>
  </si>
  <si>
    <t>你学会了如何施展法术。施法规则见《玩家手册》。下文将详述如何将这些规则应用于秘术武者。</t>
    <phoneticPr fontId="68" type="noConversion"/>
  </si>
  <si>
    <t>你获得施法能力。参考施法规则中的一般施法流程，以及法师法术列表。</t>
    <phoneticPr fontId="68" type="noConversion"/>
  </si>
  <si>
    <r>
      <rPr>
        <sz val="10"/>
        <color theme="1"/>
        <rFont val="宋体"/>
        <family val="3"/>
        <charset val="134"/>
      </rPr>
      <t>你从术士法术列表中选择并习得两道戏法。推荐选择剑刃防护</t>
    </r>
    <r>
      <rPr>
        <sz val="10"/>
        <color theme="1"/>
        <rFont val="Times New Roman"/>
        <family val="3"/>
      </rPr>
      <t>Blade Ward</t>
    </r>
    <r>
      <rPr>
        <sz val="10"/>
        <color theme="1"/>
        <rFont val="宋体"/>
        <family val="3"/>
        <charset val="134"/>
      </rPr>
      <t>和鸣雷破</t>
    </r>
    <r>
      <rPr>
        <sz val="10"/>
        <color theme="1"/>
        <rFont val="Times New Roman"/>
        <family val="3"/>
      </rPr>
      <t xml:space="preserve">Thunderclap </t>
    </r>
    <r>
      <rPr>
        <sz val="10"/>
        <color theme="1"/>
        <rFont val="宋体"/>
        <family val="3"/>
        <charset val="134"/>
      </rPr>
      <t>。每当你获得一个武僧等级时，你都能将这些戏法替换为另一道你从术士法术列表中选择的戏法。</t>
    </r>
    <r>
      <rPr>
        <sz val="10"/>
        <color theme="1"/>
        <rFont val="Times New Roman"/>
        <family val="3"/>
      </rPr>
      <t xml:space="preserve">
</t>
    </r>
    <r>
      <rPr>
        <sz val="10"/>
        <color theme="1"/>
        <rFont val="宋体"/>
        <family val="3"/>
        <charset val="134"/>
      </rPr>
      <t>当你的武僧等级到达</t>
    </r>
    <r>
      <rPr>
        <sz val="10"/>
        <color theme="1"/>
        <rFont val="Times New Roman"/>
        <family val="3"/>
      </rPr>
      <t>10</t>
    </r>
    <r>
      <rPr>
        <sz val="10"/>
        <color theme="1"/>
        <rFont val="宋体"/>
        <family val="3"/>
        <charset val="134"/>
      </rPr>
      <t>级时，你能选择并习得另一道术士戏法。</t>
    </r>
    <phoneticPr fontId="68" type="noConversion"/>
  </si>
  <si>
    <t>秘术武者施法表显示了你可用于施展一环及以上法术的法术位数量。你在完成一次长休时恢复所有已消耗的法术位。</t>
    <phoneticPr fontId="68" type="noConversion"/>
  </si>
  <si>
    <r>
      <rPr>
        <sz val="10"/>
        <color theme="1"/>
        <rFont val="宋体"/>
        <family val="3"/>
        <charset val="134"/>
      </rPr>
      <t>你准备可供你以此特性施展的一环及更高环阶的法术列表。为此，选择三道来自术士法术列表的法术。推荐选择跳跃术</t>
    </r>
    <r>
      <rPr>
        <sz val="10"/>
        <color theme="1"/>
        <rFont val="Times New Roman"/>
        <family val="3"/>
      </rPr>
      <t xml:space="preserve">Jump </t>
    </r>
    <r>
      <rPr>
        <sz val="10"/>
        <color theme="1"/>
        <rFont val="宋体"/>
        <family val="3"/>
        <charset val="134"/>
      </rPr>
      <t>、魔法飞弹</t>
    </r>
    <r>
      <rPr>
        <sz val="10"/>
        <color theme="1"/>
        <rFont val="Times New Roman"/>
        <family val="3"/>
      </rPr>
      <t xml:space="preserve">Magic Missile </t>
    </r>
    <r>
      <rPr>
        <sz val="10"/>
        <color theme="1"/>
        <rFont val="宋体"/>
        <family val="3"/>
        <charset val="134"/>
      </rPr>
      <t>和护盾术</t>
    </r>
    <r>
      <rPr>
        <sz val="10"/>
        <color theme="1"/>
        <rFont val="Times New Roman"/>
        <family val="3"/>
      </rPr>
      <t xml:space="preserve">Shield </t>
    </r>
    <r>
      <rPr>
        <sz val="10"/>
        <color theme="1"/>
        <rFont val="宋体"/>
        <family val="3"/>
        <charset val="134"/>
      </rPr>
      <t>。</t>
    </r>
    <r>
      <rPr>
        <sz val="10"/>
        <color theme="1"/>
        <rFont val="Times New Roman"/>
        <family val="3"/>
      </rPr>
      <t xml:space="preserve">
</t>
    </r>
    <r>
      <rPr>
        <sz val="10"/>
        <color theme="1"/>
        <rFont val="宋体"/>
        <family val="3"/>
        <charset val="134"/>
      </rPr>
      <t>已准备法术数量会随你武僧等级的提升而增加，如秘术武者施法表中的准备法术一列所示。每当这一列的数字增加时，从术士法术列表中选择额外法术准备，直至法术列表中法术的数量与表格中的数字一致。你所选择法术的环阶必须是你所拥有法术位对应的环阶。</t>
    </r>
    <r>
      <rPr>
        <sz val="10"/>
        <color theme="1"/>
        <rFont val="Times New Roman"/>
        <family val="3"/>
      </rPr>
      <t xml:space="preserve">
</t>
    </r>
    <r>
      <rPr>
        <sz val="10"/>
        <color theme="1"/>
        <rFont val="宋体"/>
        <family val="3"/>
        <charset val="134"/>
      </rPr>
      <t>例如，如果你是一位</t>
    </r>
    <r>
      <rPr>
        <sz val="10"/>
        <color theme="1"/>
        <rFont val="Times New Roman"/>
        <family val="3"/>
      </rPr>
      <t>7</t>
    </r>
    <r>
      <rPr>
        <sz val="10"/>
        <color theme="1"/>
        <rFont val="宋体"/>
        <family val="3"/>
        <charset val="134"/>
      </rPr>
      <t>级武僧，则你的准备法术列表能包括五道一环或二环的术士法术，随意组合。</t>
    </r>
    <phoneticPr fontId="68" type="noConversion"/>
  </si>
  <si>
    <t>每当你获得一个武僧等级，就可以将你列表中的一道法术替换为另一道术士法术，你必须拥有替换后法术对应环阶的法术位才可以替换。</t>
    <phoneticPr fontId="68" type="noConversion"/>
  </si>
  <si>
    <t>你术士法术的施法属性是感知。</t>
    <phoneticPr fontId="68" type="noConversion"/>
  </si>
  <si>
    <t>你可以使用奥术法器作为你术士法术的施法法器。</t>
    <phoneticPr fontId="68" type="noConversion"/>
  </si>
  <si>
    <t>秘法专注</t>
    <phoneticPr fontId="68" type="noConversion"/>
  </si>
  <si>
    <r>
      <rPr>
        <sz val="10"/>
        <color theme="1"/>
        <rFont val="宋体"/>
        <family val="1"/>
        <charset val="134"/>
      </rPr>
      <t>你使自己的魔力与武道专注保持着完美平衡，使得你能够将法术位转换为功力或将功力转换为法术位。</t>
    </r>
    <r>
      <rPr>
        <sz val="10"/>
        <color theme="1"/>
        <rFont val="Times New Roman"/>
        <family val="1"/>
      </rPr>
      <t xml:space="preserve">
</t>
    </r>
    <r>
      <rPr>
        <sz val="10"/>
        <color theme="1"/>
        <rFont val="宋体"/>
        <family val="1"/>
        <charset val="134"/>
      </rPr>
      <t>法术位转换为功力</t>
    </r>
    <r>
      <rPr>
        <sz val="10"/>
        <color theme="1"/>
        <rFont val="Times New Roman"/>
        <family val="1"/>
      </rPr>
      <t>Converting Spell Slots to Focus Points</t>
    </r>
    <r>
      <rPr>
        <sz val="10"/>
        <color theme="1"/>
        <rFont val="宋体"/>
        <family val="1"/>
        <charset val="134"/>
      </rPr>
      <t>。</t>
    </r>
    <r>
      <rPr>
        <sz val="10"/>
        <color theme="1"/>
        <rFont val="Times New Roman"/>
        <family val="1"/>
      </rPr>
      <t xml:space="preserve"> </t>
    </r>
    <r>
      <rPr>
        <sz val="10"/>
        <color theme="1"/>
        <rFont val="宋体"/>
        <family val="1"/>
        <charset val="134"/>
      </rPr>
      <t>你可以消耗一个法术位，来恢复等于该法术位环阶数量点已消耗功力（无需动作）。</t>
    </r>
    <r>
      <rPr>
        <sz val="10"/>
        <color theme="1"/>
        <rFont val="Times New Roman"/>
        <family val="1"/>
      </rPr>
      <t xml:space="preserve">
</t>
    </r>
    <r>
      <rPr>
        <sz val="10"/>
        <color theme="1"/>
        <rFont val="宋体"/>
        <family val="1"/>
        <charset val="134"/>
      </rPr>
      <t>恢复法术位</t>
    </r>
    <r>
      <rPr>
        <sz val="10"/>
        <color theme="1"/>
        <rFont val="Times New Roman"/>
        <family val="1"/>
      </rPr>
      <t>Recovering Spell Slots</t>
    </r>
    <r>
      <rPr>
        <sz val="10"/>
        <color theme="1"/>
        <rFont val="宋体"/>
        <family val="1"/>
        <charset val="134"/>
      </rPr>
      <t>。</t>
    </r>
    <r>
      <rPr>
        <sz val="10"/>
        <color theme="1"/>
        <rFont val="Times New Roman"/>
        <family val="1"/>
      </rPr>
      <t xml:space="preserve"> </t>
    </r>
    <r>
      <rPr>
        <sz val="10"/>
        <color theme="1"/>
        <rFont val="宋体"/>
        <family val="1"/>
        <charset val="134"/>
      </rPr>
      <t>以一个附赠动作，你可以通过转换未消耗的功力来恢复一个已消耗的法术位。法术位恢复表列出了恢复特定环阶法术位的消耗，并列出了恢复该法术位所需的最低武僧等级。你最高只能恢复四环法术位。</t>
    </r>
    <r>
      <rPr>
        <sz val="10"/>
        <color theme="1"/>
        <rFont val="Times New Roman"/>
        <family val="1"/>
      </rPr>
      <t xml:space="preserve">
</t>
    </r>
    <r>
      <rPr>
        <sz val="10"/>
        <color theme="1"/>
        <rFont val="宋体"/>
        <family val="1"/>
        <charset val="134"/>
      </rPr>
      <t>恢复法术位</t>
    </r>
    <r>
      <rPr>
        <sz val="10"/>
        <color theme="1"/>
        <rFont val="Times New Roman"/>
        <family val="1"/>
      </rPr>
      <t xml:space="preserve">Recovering Spell Slots </t>
    </r>
    <r>
      <rPr>
        <sz val="10"/>
        <color theme="1"/>
        <rFont val="宋体"/>
        <family val="1"/>
        <charset val="134"/>
      </rPr>
      <t>法术位环阶</t>
    </r>
    <r>
      <rPr>
        <sz val="10"/>
        <color theme="1"/>
        <rFont val="Times New Roman"/>
        <family val="1"/>
      </rPr>
      <t xml:space="preserve"> </t>
    </r>
    <r>
      <rPr>
        <sz val="10"/>
        <color theme="1"/>
        <rFont val="宋体"/>
        <family val="1"/>
        <charset val="134"/>
      </rPr>
      <t>功力消耗</t>
    </r>
    <r>
      <rPr>
        <sz val="10"/>
        <color theme="1"/>
        <rFont val="Times New Roman"/>
        <family val="1"/>
      </rPr>
      <t xml:space="preserve"> </t>
    </r>
    <r>
      <rPr>
        <sz val="10"/>
        <color theme="1"/>
        <rFont val="宋体"/>
        <family val="1"/>
        <charset val="134"/>
      </rPr>
      <t>最低武僧等级</t>
    </r>
    <r>
      <rPr>
        <sz val="10"/>
        <color theme="1"/>
        <rFont val="Times New Roman"/>
        <family val="1"/>
      </rPr>
      <t xml:space="preserve"> 
1 2 6 
2 3 7 
3 5 13 
4 6 19</t>
    </r>
    <phoneticPr fontId="68" type="noConversion"/>
  </si>
  <si>
    <t>秘法战斗风格</t>
    <phoneticPr fontId="68" type="noConversion"/>
  </si>
  <si>
    <t>当你在自己回合执行攻击动作时，你可以将该动作攻击中的一次攻击替换为施展一道施法时间为动作的你的术士戏法。</t>
    <phoneticPr fontId="68" type="noConversion"/>
  </si>
  <si>
    <t>凝神专注</t>
    <phoneticPr fontId="68" type="noConversion"/>
  </si>
  <si>
    <t>每当你消耗功力使用疾风连击、坚强防御或疾步如风时，直到你的下个回合开始前，你在为维持专注的所做的任何豁免都具有优势。</t>
    <phoneticPr fontId="68" type="noConversion"/>
  </si>
  <si>
    <t>精通秘法战斗风格</t>
    <phoneticPr fontId="68" type="noConversion"/>
  </si>
  <si>
    <t>当你在自己回合执行攻击动作时，你可以该动作攻击中的两次攻击替换为施展一道施法时间为动作，环阶为一环或二环的你的术士法术。</t>
    <phoneticPr fontId="68" type="noConversion"/>
  </si>
  <si>
    <t>庇护之链</t>
    <phoneticPr fontId="68" type="noConversion"/>
  </si>
  <si>
    <r>
      <rPr>
        <sz val="10"/>
        <color theme="1"/>
        <rFont val="宋体"/>
        <family val="1"/>
        <charset val="134"/>
      </rPr>
      <t>你能以魔法动作消耗一次引导神力使用次数与一名位于你</t>
    </r>
    <r>
      <rPr>
        <sz val="10"/>
        <color theme="1"/>
        <rFont val="Times New Roman"/>
        <family val="1"/>
      </rPr>
      <t>5</t>
    </r>
    <r>
      <rPr>
        <sz val="10"/>
        <color theme="1"/>
        <rFont val="宋体"/>
        <family val="1"/>
        <charset val="134"/>
      </rPr>
      <t>尺内的自愿生物建立神圣链接。链接持续一小时或在你陷入昏迷状态时提前结束。链接持续期间，若链接生物位于你触及范围内，且被一次攻击检定命中，你能以反应将你的魅力调整值（至少</t>
    </r>
    <r>
      <rPr>
        <sz val="10"/>
        <color theme="1"/>
        <rFont val="Times New Roman"/>
        <family val="1"/>
      </rPr>
      <t>+1</t>
    </r>
    <r>
      <rPr>
        <sz val="10"/>
        <color theme="1"/>
        <rFont val="宋体"/>
        <family val="1"/>
        <charset val="134"/>
      </rPr>
      <t>）加入那名生物的</t>
    </r>
    <r>
      <rPr>
        <sz val="10"/>
        <color theme="1"/>
        <rFont val="Times New Roman"/>
        <family val="1"/>
      </rPr>
      <t>AC</t>
    </r>
    <r>
      <rPr>
        <sz val="10"/>
        <color theme="1"/>
        <rFont val="宋体"/>
        <family val="1"/>
        <charset val="134"/>
      </rPr>
      <t>中，这可能使那次攻击失手。</t>
    </r>
    <r>
      <rPr>
        <sz val="10"/>
        <color theme="1"/>
        <rFont val="Times New Roman"/>
        <family val="1"/>
      </rPr>
      <t xml:space="preserve">
</t>
    </r>
    <r>
      <rPr>
        <sz val="10"/>
        <color theme="1"/>
        <rFont val="宋体"/>
        <family val="1"/>
        <charset val="134"/>
      </rPr>
      <t>你能在任意时间点结束神圣链接（无需动作）。若你已具有神圣链接，当你建立新链接时，先前的链接结束。</t>
    </r>
    <phoneticPr fontId="68" type="noConversion"/>
  </si>
  <si>
    <t>护法之誓法术</t>
    <phoneticPr fontId="68" type="noConversion"/>
  </si>
  <si>
    <r>
      <rPr>
        <sz val="10"/>
        <color theme="1"/>
        <rFont val="宋体"/>
        <family val="1"/>
        <charset val="134"/>
      </rPr>
      <t>你誓言具有的魔法使你始终准备着特定的法术。当你到达护法之誓法术表中特定的圣武士等级时，你就始终准备着表中对应的法术。</t>
    </r>
    <r>
      <rPr>
        <sz val="10"/>
        <color theme="1"/>
        <rFont val="Times New Roman"/>
        <family val="1"/>
      </rPr>
      <t xml:space="preserve">
</t>
    </r>
    <r>
      <rPr>
        <sz val="10"/>
        <color theme="1"/>
        <rFont val="宋体"/>
        <family val="1"/>
        <charset val="134"/>
      </rPr>
      <t>护法之誓法术</t>
    </r>
    <r>
      <rPr>
        <sz val="10"/>
        <color theme="1"/>
        <rFont val="Times New Roman"/>
        <family val="1"/>
      </rPr>
      <t xml:space="preserve">Oath of the Spellguard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侦测魔法</t>
    </r>
    <r>
      <rPr>
        <sz val="10"/>
        <color theme="1"/>
        <rFont val="Times New Roman"/>
        <family val="1"/>
      </rPr>
      <t>Detect Magic</t>
    </r>
    <r>
      <rPr>
        <sz val="10"/>
        <color theme="1"/>
        <rFont val="宋体"/>
        <family val="1"/>
        <charset val="134"/>
      </rPr>
      <t>，护盾术</t>
    </r>
    <r>
      <rPr>
        <sz val="10"/>
        <color theme="1"/>
        <rFont val="Times New Roman"/>
        <family val="1"/>
      </rPr>
      <t xml:space="preserve">Shield  
5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9 </t>
    </r>
    <r>
      <rPr>
        <sz val="10"/>
        <color theme="1"/>
        <rFont val="宋体"/>
        <family val="1"/>
        <charset val="134"/>
      </rPr>
      <t>法术反制</t>
    </r>
    <r>
      <rPr>
        <sz val="10"/>
        <color theme="1"/>
        <rFont val="Times New Roman"/>
        <family val="1"/>
      </rPr>
      <t>Counterspell</t>
    </r>
    <r>
      <rPr>
        <sz val="10"/>
        <color theme="1"/>
        <rFont val="宋体"/>
        <family val="1"/>
        <charset val="134"/>
      </rPr>
      <t>，解除魔法</t>
    </r>
    <r>
      <rPr>
        <sz val="10"/>
        <color theme="1"/>
        <rFont val="Times New Roman"/>
        <family val="1"/>
      </rPr>
      <t xml:space="preserve">Dispel Magic  
13 </t>
    </r>
    <r>
      <rPr>
        <sz val="10"/>
        <color theme="1"/>
        <rFont val="宋体"/>
        <family val="1"/>
        <charset val="134"/>
      </rPr>
      <t>行动自如</t>
    </r>
    <r>
      <rPr>
        <sz val="10"/>
        <color theme="1"/>
        <rFont val="Times New Roman"/>
        <family val="1"/>
      </rPr>
      <t>Freedom of Movement</t>
    </r>
    <r>
      <rPr>
        <sz val="10"/>
        <color theme="1"/>
        <rFont val="宋体"/>
        <family val="1"/>
        <charset val="134"/>
      </rPr>
      <t>，欧提路克弹力法球</t>
    </r>
    <r>
      <rPr>
        <sz val="10"/>
        <color theme="1"/>
        <rFont val="Times New Roman"/>
        <family val="1"/>
      </rPr>
      <t xml:space="preserve">Otiluke's Resilient Sphere  
17 </t>
    </r>
    <r>
      <rPr>
        <sz val="10"/>
        <color theme="1"/>
        <rFont val="宋体"/>
        <family val="1"/>
        <charset val="134"/>
      </rPr>
      <t>原力法阵</t>
    </r>
    <r>
      <rPr>
        <sz val="10"/>
        <color theme="1"/>
        <rFont val="Times New Roman"/>
        <family val="1"/>
      </rPr>
      <t>Circle of Power</t>
    </r>
    <r>
      <rPr>
        <sz val="10"/>
        <color theme="1"/>
        <rFont val="宋体"/>
        <family val="1"/>
        <charset val="134"/>
      </rPr>
      <t>，圣居</t>
    </r>
    <r>
      <rPr>
        <sz val="10"/>
        <color theme="1"/>
        <rFont val="Times New Roman"/>
        <family val="1"/>
      </rPr>
      <t xml:space="preserve">Hallow  </t>
    </r>
    <phoneticPr fontId="68" type="noConversion"/>
  </si>
  <si>
    <t>护法打击</t>
    <phoneticPr fontId="68" type="noConversion"/>
  </si>
  <si>
    <t>当你看见位于你触及范围内的生物施展一道具有言语、姿势或材料成分的法术时，你能以反应对那名生物以武器或徒手打击发动一次近战攻击。</t>
    <phoneticPr fontId="68" type="noConversion"/>
  </si>
  <si>
    <t>专注灵光</t>
    <phoneticPr fontId="68" type="noConversion"/>
  </si>
  <si>
    <t>你的守护灵光能促进精神集中。你和你的盟友若身处你的守护灵光内，你们为维持专注进行的体质豁免检定具有优势。</t>
    <phoneticPr fontId="68" type="noConversion"/>
  </si>
  <si>
    <t>破法之刃</t>
    <phoneticPr fontId="68" type="noConversion"/>
  </si>
  <si>
    <r>
      <rPr>
        <sz val="10"/>
        <color theme="1"/>
        <rFont val="宋体"/>
        <family val="1"/>
        <charset val="134"/>
      </rPr>
      <t>在你以护法打击命中一名生物后，作为该反应的一部分，你可以立即施展法术反制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当你以环位施展法术反制</t>
    </r>
    <r>
      <rPr>
        <sz val="10"/>
        <color theme="1"/>
        <rFont val="Times New Roman"/>
        <family val="1"/>
      </rPr>
      <t>Counterspell</t>
    </r>
    <r>
      <rPr>
        <sz val="10"/>
        <color theme="1"/>
        <rFont val="宋体"/>
        <family val="1"/>
        <charset val="134"/>
      </rPr>
      <t>时，若该法术未能打断一道法术，你的环位不会被消耗。</t>
    </r>
    <phoneticPr fontId="68" type="noConversion"/>
  </si>
  <si>
    <t>永恒护法</t>
    <phoneticPr fontId="68" type="noConversion"/>
  </si>
  <si>
    <r>
      <rPr>
        <sz val="10"/>
        <color theme="1"/>
        <rFont val="宋体"/>
        <family val="1"/>
        <charset val="134"/>
      </rPr>
      <t>你能以附赠动作强化你的守护灵光，赋予其以下增益，持续</t>
    </r>
    <r>
      <rPr>
        <sz val="10"/>
        <color theme="1"/>
        <rFont val="Times New Roman"/>
        <family val="1"/>
      </rPr>
      <t>1</t>
    </r>
    <r>
      <rPr>
        <sz val="10"/>
        <color theme="1"/>
        <rFont val="宋体"/>
        <family val="1"/>
        <charset val="134"/>
      </rPr>
      <t>分钟或在你终止时提前结束（无需动作）。此特性一经使用，直至长休完成你都无法再次使用。你也可以消耗一个五环法术位（无需动作）重置此特性的使用权。</t>
    </r>
    <r>
      <rPr>
        <sz val="10"/>
        <color theme="1"/>
        <rFont val="Times New Roman"/>
        <family val="1"/>
      </rPr>
      <t xml:space="preserve">
</t>
    </r>
    <r>
      <rPr>
        <sz val="10"/>
        <color theme="1"/>
        <rFont val="宋体"/>
        <family val="1"/>
        <charset val="134"/>
      </rPr>
      <t>贴身护卫</t>
    </r>
    <r>
      <rPr>
        <sz val="10"/>
        <color theme="1"/>
        <rFont val="Times New Roman"/>
        <family val="1"/>
      </rPr>
      <t>Bodyguard</t>
    </r>
    <r>
      <rPr>
        <sz val="10"/>
        <color theme="1"/>
        <rFont val="宋体"/>
        <family val="1"/>
        <charset val="134"/>
      </rPr>
      <t>。若你庇护之链的目标身处该灵光内，该生物具有对所有伤害的抗性。</t>
    </r>
    <r>
      <rPr>
        <sz val="10"/>
        <color theme="1"/>
        <rFont val="Times New Roman"/>
        <family val="1"/>
      </rPr>
      <t xml:space="preserve">
</t>
    </r>
    <r>
      <rPr>
        <sz val="10"/>
        <color theme="1"/>
        <rFont val="宋体"/>
        <family val="1"/>
        <charset val="134"/>
      </rPr>
      <t>魔法防护</t>
    </r>
    <r>
      <rPr>
        <sz val="10"/>
        <color theme="1"/>
        <rFont val="Times New Roman"/>
        <family val="1"/>
      </rPr>
      <t>Protectiob from Magic</t>
    </r>
    <r>
      <rPr>
        <sz val="10"/>
        <color theme="1"/>
        <rFont val="宋体"/>
        <family val="1"/>
        <charset val="134"/>
      </rPr>
      <t>。</t>
    </r>
    <r>
      <rPr>
        <sz val="10"/>
        <color theme="1"/>
        <rFont val="Times New Roman"/>
        <family val="1"/>
      </rPr>
      <t xml:space="preserve"> </t>
    </r>
    <r>
      <rPr>
        <sz val="10"/>
        <color theme="1"/>
        <rFont val="宋体"/>
        <family val="1"/>
        <charset val="134"/>
      </rPr>
      <t>你和你位于该灵光内的盟友为对抗法术进行的豁免检定具有优势。</t>
    </r>
    <r>
      <rPr>
        <sz val="10"/>
        <color theme="1"/>
        <rFont val="Times New Roman"/>
        <family val="1"/>
      </rPr>
      <t xml:space="preserve">
</t>
    </r>
    <r>
      <rPr>
        <sz val="10"/>
        <color theme="1"/>
        <rFont val="宋体"/>
        <family val="1"/>
        <charset val="134"/>
      </rPr>
      <t>法术卫士</t>
    </r>
    <r>
      <rPr>
        <sz val="10"/>
        <color theme="1"/>
        <rFont val="Times New Roman"/>
        <family val="1"/>
      </rPr>
      <t>Spell Ward</t>
    </r>
    <r>
      <rPr>
        <sz val="10"/>
        <color theme="1"/>
        <rFont val="宋体"/>
        <family val="1"/>
        <charset val="134"/>
      </rPr>
      <t>。</t>
    </r>
    <r>
      <rPr>
        <sz val="10"/>
        <color theme="1"/>
        <rFont val="Times New Roman"/>
        <family val="1"/>
      </rPr>
      <t xml:space="preserve"> </t>
    </r>
    <r>
      <rPr>
        <sz val="10"/>
        <color theme="1"/>
        <rFont val="宋体"/>
        <family val="1"/>
        <charset val="134"/>
      </rPr>
      <t>对你和你位于该灵光内的盟友进行的法术攻击检定具有劣势。</t>
    </r>
    <phoneticPr fontId="68" type="noConversion"/>
  </si>
  <si>
    <t>炼金师法术</t>
    <phoneticPr fontId="68" type="noConversion"/>
  </si>
  <si>
    <t>炼金师行业工具</t>
    <phoneticPr fontId="68" type="noConversion"/>
  </si>
  <si>
    <t>装甲师法术</t>
    <phoneticPr fontId="68" type="noConversion"/>
  </si>
  <si>
    <t>装甲师行业工具</t>
    <phoneticPr fontId="68" type="noConversion"/>
  </si>
  <si>
    <t>魔炮师法术</t>
    <phoneticPr fontId="68" type="noConversion"/>
  </si>
  <si>
    <t>魔炮师行业工具</t>
    <phoneticPr fontId="68" type="noConversion"/>
  </si>
  <si>
    <t>战地匠师法术</t>
    <phoneticPr fontId="68" type="noConversion"/>
  </si>
  <si>
    <t>战地匠师行业工具</t>
    <phoneticPr fontId="68" type="noConversion"/>
  </si>
  <si>
    <t>制图师法术</t>
    <phoneticPr fontId="68" type="noConversion"/>
  </si>
  <si>
    <t>制图师行业工具</t>
    <phoneticPr fontId="68" type="noConversion"/>
  </si>
  <si>
    <t>护法之誓</t>
    <phoneticPr fontId="68" type="noConversion"/>
  </si>
  <si>
    <t>契灵伙伴</t>
    <phoneticPr fontId="68" type="noConversion"/>
  </si>
  <si>
    <r>
      <rPr>
        <sz val="10"/>
        <color theme="1"/>
        <rFont val="宋体"/>
        <family val="1"/>
        <charset val="134"/>
      </rPr>
      <t>契灵显化成型，既是为了援助你，也是为了从契约中汲取力量。它使用契灵伙伴</t>
    </r>
    <r>
      <rPr>
        <sz val="10"/>
        <color theme="1"/>
        <rFont val="Times New Roman"/>
        <family val="1"/>
      </rPr>
      <t xml:space="preserve">Vestige Companion </t>
    </r>
    <r>
      <rPr>
        <sz val="10"/>
        <color theme="1"/>
        <rFont val="宋体"/>
        <family val="1"/>
        <charset val="134"/>
      </rPr>
      <t>数据卡，其生物类型为天族、邪魔或亡灵（在你获得此特性时选择）。你可以决定契灵的外观，但无论其形态如何，契灵都会带有彰显其超自然起源的特征。例如，你可以设定你的契灵是一颗铭刻着符印的特大型浮游颅骨，一圈发光的符文，或者是一个不断变幻的抽象几何体。契灵对你和你的盟友态度友好，并服从你的命令。如果你死亡，它也会随之消失。</t>
    </r>
    <r>
      <rPr>
        <sz val="10"/>
        <color theme="1"/>
        <rFont val="Times New Roman"/>
        <family val="1"/>
      </rPr>
      <t xml:space="preserve">
</t>
    </r>
    <r>
      <rPr>
        <sz val="10"/>
        <color theme="1"/>
        <rFont val="宋体"/>
        <family val="1"/>
        <charset val="134"/>
      </rPr>
      <t>战斗中的契灵</t>
    </r>
    <r>
      <rPr>
        <sz val="10"/>
        <color theme="1"/>
        <rFont val="Times New Roman"/>
        <family val="1"/>
      </rPr>
      <t>The Vestige in Combat</t>
    </r>
    <r>
      <rPr>
        <sz val="10"/>
        <color theme="1"/>
        <rFont val="宋体"/>
        <family val="1"/>
        <charset val="134"/>
      </rPr>
      <t>。</t>
    </r>
    <r>
      <rPr>
        <sz val="10"/>
        <color theme="1"/>
        <rFont val="Times New Roman"/>
        <family val="1"/>
      </rPr>
      <t xml:space="preserve"> </t>
    </r>
    <r>
      <rPr>
        <sz val="10"/>
        <color theme="1"/>
        <rFont val="宋体"/>
        <family val="1"/>
        <charset val="134"/>
      </rPr>
      <t>在战斗中，契灵在你的回合内行动。它可以自主移动或使用其反应，但除非你用一个附赠动作指挥它执行其数据卡中的动作或其他动作，否则它只会执行回避动作。当你执行攻击动作时，你也可以放弃其中一次攻击，转而指挥契灵执行契灵打击动作。如果你陷入失能状态，契灵将自行行动，且不再受限于仅能执行回避动作。</t>
    </r>
    <r>
      <rPr>
        <sz val="10"/>
        <color theme="1"/>
        <rFont val="Times New Roman"/>
        <family val="1"/>
      </rPr>
      <t xml:space="preserve">
</t>
    </r>
    <r>
      <rPr>
        <sz val="10"/>
        <color theme="1"/>
        <rFont val="宋体"/>
        <family val="1"/>
        <charset val="134"/>
      </rPr>
      <t>契灵的消逝</t>
    </r>
    <r>
      <rPr>
        <sz val="10"/>
        <color theme="1"/>
        <rFont val="Times New Roman"/>
        <family val="1"/>
      </rPr>
      <t>Disappearance of the Vestige</t>
    </r>
    <r>
      <rPr>
        <sz val="10"/>
        <color theme="1"/>
        <rFont val="宋体"/>
        <family val="1"/>
        <charset val="134"/>
      </rPr>
      <t>。</t>
    </r>
    <r>
      <rPr>
        <sz val="10"/>
        <color theme="1"/>
        <rFont val="Times New Roman"/>
        <family val="1"/>
      </rPr>
      <t xml:space="preserve"> </t>
    </r>
    <r>
      <rPr>
        <sz val="10"/>
        <color theme="1"/>
        <rFont val="宋体"/>
        <family val="1"/>
        <charset val="134"/>
      </rPr>
      <t>当契灵的生命值降至</t>
    </r>
    <r>
      <rPr>
        <sz val="10"/>
        <color theme="1"/>
        <rFont val="Times New Roman"/>
        <family val="1"/>
      </rPr>
      <t>0</t>
    </r>
    <r>
      <rPr>
        <sz val="10"/>
        <color theme="1"/>
        <rFont val="宋体"/>
        <family val="1"/>
        <charset val="134"/>
      </rPr>
      <t>时，它会消失。你可以花费</t>
    </r>
    <r>
      <rPr>
        <sz val="10"/>
        <color theme="1"/>
        <rFont val="Times New Roman"/>
        <family val="1"/>
      </rPr>
      <t>1</t>
    </r>
    <r>
      <rPr>
        <sz val="10"/>
        <color theme="1"/>
        <rFont val="宋体"/>
        <family val="1"/>
        <charset val="134"/>
      </rPr>
      <t>分钟进行某种魔法仪式来再次显化契灵，它会以生命值全满的状态重新出现在你</t>
    </r>
    <r>
      <rPr>
        <sz val="10"/>
        <color theme="1"/>
        <rFont val="Times New Roman"/>
        <family val="1"/>
      </rPr>
      <t>5</t>
    </r>
    <r>
      <rPr>
        <sz val="10"/>
        <color theme="1"/>
        <rFont val="宋体"/>
        <family val="1"/>
        <charset val="134"/>
      </rPr>
      <t>尺范围内的一处未占据空间。作为一个魔法动作，你可以将契灵暂时遣散至异次元空间。当它被暂时遣散期间，作为一个魔法动作，你可以让契灵重新出现在你</t>
    </r>
    <r>
      <rPr>
        <sz val="10"/>
        <color theme="1"/>
        <rFont val="Times New Roman"/>
        <family val="1"/>
      </rPr>
      <t>30</t>
    </r>
    <r>
      <rPr>
        <sz val="10"/>
        <color theme="1"/>
        <rFont val="宋体"/>
        <family val="1"/>
        <charset val="134"/>
      </rPr>
      <t>尺范围内的一处未占据空间。</t>
    </r>
    <r>
      <rPr>
        <sz val="10"/>
        <color theme="1"/>
        <rFont val="Times New Roman"/>
        <family val="1"/>
      </rPr>
      <t xml:space="preserve">
</t>
    </r>
    <r>
      <rPr>
        <sz val="10"/>
        <color theme="1"/>
        <rFont val="宋体"/>
        <family val="1"/>
        <charset val="134"/>
      </rPr>
      <t>无论契灵是因生命值降至</t>
    </r>
    <r>
      <rPr>
        <sz val="10"/>
        <color theme="1"/>
        <rFont val="Times New Roman"/>
        <family val="1"/>
      </rPr>
      <t>0</t>
    </r>
    <r>
      <rPr>
        <sz val="10"/>
        <color theme="1"/>
        <rFont val="宋体"/>
        <family val="1"/>
        <charset val="134"/>
      </rPr>
      <t>，还是因消失进入异次元空间，它都会将其穿戴或携带的任何物品留在其原本占据的空间内。</t>
    </r>
    <r>
      <rPr>
        <sz val="10"/>
        <color theme="1"/>
        <rFont val="Times New Roman"/>
        <family val="1"/>
      </rPr>
      <t xml:space="preserve">
</t>
    </r>
    <r>
      <rPr>
        <sz val="10"/>
        <color theme="1"/>
        <rFont val="宋体"/>
        <family val="1"/>
        <charset val="134"/>
      </rPr>
      <t>每当你完成一次长休时，你能够以新的形态召唤契灵，它出现在位于你</t>
    </r>
    <r>
      <rPr>
        <sz val="10"/>
        <color theme="1"/>
        <rFont val="Times New Roman"/>
        <family val="1"/>
      </rPr>
      <t>5</t>
    </r>
    <r>
      <rPr>
        <sz val="10"/>
        <color theme="1"/>
        <rFont val="宋体"/>
        <family val="1"/>
        <charset val="134"/>
      </rPr>
      <t>尺内的一处未占据空间。你可以选择它的外观，并决定它是天族、邪魔还是亡灵。如果契灵已通过此特性显化，则其形态将转变为新的样子。</t>
    </r>
    <phoneticPr fontId="68" type="noConversion"/>
  </si>
  <si>
    <t>契灵法术</t>
    <phoneticPr fontId="68" type="noConversion"/>
  </si>
  <si>
    <r>
      <rPr>
        <sz val="10"/>
        <color theme="1"/>
        <rFont val="宋体"/>
        <family val="1"/>
        <charset val="134"/>
      </rPr>
      <t>你契灵伙伴的魔法确保你始终准备着特定的法术。从下列牧师领域中选择其一：生命、光明、诡术或战争。你所选领域的领域法术对你而言视为魔契师法术。当你到达的魔契师等级等于你所选领域的领域法术表中所列的牧师等级时，你就始终准备了这些列出的法术。例如，若你为此特性选择了战争领域，当你到达魔契师</t>
    </r>
    <r>
      <rPr>
        <sz val="10"/>
        <color theme="1"/>
        <rFont val="Times New Roman"/>
        <family val="1"/>
      </rPr>
      <t>3</t>
    </r>
    <r>
      <rPr>
        <sz val="10"/>
        <color theme="1"/>
        <rFont val="宋体"/>
        <family val="1"/>
        <charset val="134"/>
      </rPr>
      <t>级时，你便准备了法术光导箭</t>
    </r>
    <r>
      <rPr>
        <sz val="10"/>
        <color theme="1"/>
        <rFont val="Times New Roman"/>
        <family val="1"/>
      </rPr>
      <t>Guiding Bolt</t>
    </r>
    <r>
      <rPr>
        <sz val="10"/>
        <color theme="1"/>
        <rFont val="宋体"/>
        <family val="1"/>
        <charset val="134"/>
      </rPr>
      <t>，虔诚护盾</t>
    </r>
    <r>
      <rPr>
        <sz val="10"/>
        <color theme="1"/>
        <rFont val="Times New Roman"/>
        <family val="1"/>
      </rPr>
      <t>Shield of Faith</t>
    </r>
    <r>
      <rPr>
        <sz val="10"/>
        <color theme="1"/>
        <rFont val="宋体"/>
        <family val="1"/>
        <charset val="134"/>
      </rPr>
      <t>，魔化武器</t>
    </r>
    <r>
      <rPr>
        <sz val="10"/>
        <color theme="1"/>
        <rFont val="Times New Roman"/>
        <family val="1"/>
      </rPr>
      <t>Magic Weapon</t>
    </r>
    <r>
      <rPr>
        <sz val="10"/>
        <color theme="1"/>
        <rFont val="宋体"/>
        <family val="1"/>
        <charset val="134"/>
      </rPr>
      <t>，灵体武器</t>
    </r>
    <r>
      <rPr>
        <sz val="10"/>
        <color theme="1"/>
        <rFont val="Times New Roman"/>
        <family val="1"/>
      </rPr>
      <t xml:space="preserve">Spiritual Weapon </t>
    </r>
    <r>
      <rPr>
        <sz val="10"/>
        <color theme="1"/>
        <rFont val="宋体"/>
        <family val="1"/>
        <charset val="134"/>
      </rPr>
      <t>。</t>
    </r>
    <r>
      <rPr>
        <sz val="10"/>
        <color theme="1"/>
        <rFont val="Times New Roman"/>
        <family val="1"/>
      </rPr>
      <t xml:space="preserve">
</t>
    </r>
    <r>
      <rPr>
        <sz val="10"/>
        <color theme="1"/>
        <rFont val="宋体"/>
        <family val="1"/>
        <charset val="134"/>
      </rPr>
      <t>契灵伙伴</t>
    </r>
    <r>
      <rPr>
        <sz val="10"/>
        <color theme="1"/>
        <rFont val="Times New Roman"/>
        <family val="1"/>
      </rPr>
      <t xml:space="preserve"> Vestige Companion
</t>
    </r>
    <r>
      <rPr>
        <sz val="10"/>
        <color theme="1"/>
        <rFont val="宋体"/>
        <family val="1"/>
        <charset val="134"/>
      </rPr>
      <t>小型天族、邪魔或亡灵；中立</t>
    </r>
    <r>
      <rPr>
        <sz val="10"/>
        <color theme="1"/>
        <rFont val="Times New Roman"/>
        <family val="1"/>
      </rPr>
      <t xml:space="preserve">
AC 13+</t>
    </r>
    <r>
      <rPr>
        <sz val="10"/>
        <color theme="1"/>
        <rFont val="宋体"/>
        <family val="1"/>
        <charset val="134"/>
      </rPr>
      <t>你的魅力调整值</t>
    </r>
    <r>
      <rPr>
        <sz val="10"/>
        <color theme="1"/>
        <rFont val="Times New Roman"/>
        <family val="1"/>
      </rPr>
      <t xml:space="preserve"> 
HP 4+</t>
    </r>
    <r>
      <rPr>
        <sz val="10"/>
        <color theme="1"/>
        <rFont val="宋体"/>
        <family val="1"/>
        <charset val="134"/>
      </rPr>
      <t>你魔契师等级的四倍</t>
    </r>
    <r>
      <rPr>
        <sz val="10"/>
        <color theme="1"/>
        <rFont val="Times New Roman"/>
        <family val="1"/>
      </rPr>
      <t xml:space="preserve">
</t>
    </r>
    <r>
      <rPr>
        <sz val="10"/>
        <color theme="1"/>
        <rFont val="宋体"/>
        <family val="1"/>
        <charset val="134"/>
      </rPr>
      <t>（契灵具有等于你魔契师等级的生命骰</t>
    </r>
    <r>
      <rPr>
        <sz val="10"/>
        <color theme="1"/>
        <rFont val="Times New Roman"/>
        <family val="1"/>
      </rPr>
      <t>[D6]</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5</t>
    </r>
    <r>
      <rPr>
        <sz val="10"/>
        <color theme="1"/>
        <rFont val="宋体"/>
        <family val="1"/>
        <charset val="134"/>
      </rPr>
      <t>尺，飞行</t>
    </r>
    <r>
      <rPr>
        <sz val="10"/>
        <color theme="1"/>
        <rFont val="Times New Roman"/>
        <family val="1"/>
      </rPr>
      <t>30</t>
    </r>
    <r>
      <rPr>
        <sz val="10"/>
        <color theme="1"/>
        <rFont val="宋体"/>
        <family val="1"/>
        <charset val="134"/>
      </rPr>
      <t>尺（悬浮）</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1 -5 -5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10 +0 +0 
</t>
    </r>
    <r>
      <rPr>
        <sz val="10"/>
        <color theme="1"/>
        <rFont val="宋体"/>
        <family val="1"/>
        <charset val="134"/>
      </rPr>
      <t>智力</t>
    </r>
    <r>
      <rPr>
        <sz val="10"/>
        <color theme="1"/>
        <rFont val="Times New Roman"/>
        <family val="1"/>
      </rPr>
      <t xml:space="preserve"> 15 +2 +2  </t>
    </r>
    <r>
      <rPr>
        <sz val="10"/>
        <color theme="1"/>
        <rFont val="宋体"/>
        <family val="1"/>
        <charset val="134"/>
      </rPr>
      <t>感知</t>
    </r>
    <r>
      <rPr>
        <sz val="10"/>
        <color theme="1"/>
        <rFont val="Times New Roman"/>
        <family val="1"/>
      </rPr>
      <t xml:space="preserve"> 15 +2 +2  </t>
    </r>
    <r>
      <rPr>
        <sz val="10"/>
        <color theme="1"/>
        <rFont val="宋体"/>
        <family val="1"/>
        <charset val="134"/>
      </rPr>
      <t>魅力</t>
    </r>
    <r>
      <rPr>
        <sz val="10"/>
        <color theme="1"/>
        <rFont val="Times New Roman"/>
        <family val="1"/>
      </rPr>
      <t xml:space="preserve"> 16 +3 +3 
</t>
    </r>
    <r>
      <rPr>
        <sz val="10"/>
        <color theme="1"/>
        <rFont val="宋体"/>
        <family val="1"/>
        <charset val="134"/>
      </rPr>
      <t>抗性</t>
    </r>
    <r>
      <rPr>
        <sz val="10"/>
        <color theme="1"/>
        <rFont val="Times New Roman"/>
        <family val="1"/>
      </rPr>
      <t xml:space="preserve"> </t>
    </r>
    <r>
      <rPr>
        <sz val="10"/>
        <color theme="1"/>
        <rFont val="宋体"/>
        <family val="1"/>
        <charset val="134"/>
      </rPr>
      <t>火焰（仅邪魔），暗蚀（仅亡灵），光耀（仅天族）</t>
    </r>
    <r>
      <rPr>
        <sz val="10"/>
        <color theme="1"/>
        <rFont val="Times New Roman"/>
        <family val="1"/>
      </rPr>
      <t xml:space="preserve"> 
</t>
    </r>
    <r>
      <rPr>
        <sz val="10"/>
        <color theme="1"/>
        <rFont val="宋体"/>
        <family val="1"/>
        <charset val="134"/>
      </rPr>
      <t>免疫</t>
    </r>
    <r>
      <rPr>
        <sz val="10"/>
        <color theme="1"/>
        <rFont val="Times New Roman"/>
        <family val="1"/>
      </rPr>
      <t xml:space="preserve"> </t>
    </r>
    <r>
      <rPr>
        <sz val="10"/>
        <color theme="1"/>
        <rFont val="宋体"/>
        <family val="1"/>
        <charset val="134"/>
      </rPr>
      <t>魅惑，恐慌，倒地</t>
    </r>
    <r>
      <rPr>
        <sz val="10"/>
        <color theme="1"/>
        <rFont val="Times New Roman"/>
        <family val="1"/>
      </rPr>
      <t xml:space="preserve">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会讲你知晓的语言</t>
    </r>
    <r>
      <rPr>
        <sz val="10"/>
        <color theme="1"/>
        <rFont val="Times New Roman"/>
        <family val="1"/>
      </rPr>
      <t xml:space="preserve"> 
CR </t>
    </r>
    <r>
      <rPr>
        <sz val="10"/>
        <color theme="1"/>
        <rFont val="宋体"/>
        <family val="1"/>
        <charset val="134"/>
      </rPr>
      <t>无（</t>
    </r>
    <r>
      <rPr>
        <sz val="10"/>
        <color theme="1"/>
        <rFont val="Times New Roman"/>
        <family val="1"/>
      </rPr>
      <t>XP0</t>
    </r>
    <r>
      <rPr>
        <sz val="10"/>
        <color theme="1"/>
        <rFont val="宋体"/>
        <family val="1"/>
        <charset val="134"/>
      </rPr>
      <t>；</t>
    </r>
    <r>
      <rPr>
        <sz val="10"/>
        <color theme="1"/>
        <rFont val="Times New Roman"/>
        <family val="1"/>
      </rPr>
      <t>PB</t>
    </r>
    <r>
      <rPr>
        <sz val="10"/>
        <color theme="1"/>
        <rFont val="宋体"/>
        <family val="1"/>
        <charset val="134"/>
      </rPr>
      <t>等于你的</t>
    </r>
    <r>
      <rPr>
        <sz val="10"/>
        <color theme="1"/>
        <rFont val="Times New Roman"/>
        <family val="1"/>
      </rPr>
      <t>PB</t>
    </r>
    <r>
      <rPr>
        <sz val="10"/>
        <color theme="1"/>
        <rFont val="宋体"/>
        <family val="1"/>
        <charset val="134"/>
      </rPr>
      <t>）</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契约连结</t>
    </r>
    <r>
      <rPr>
        <sz val="10"/>
        <color theme="1"/>
        <rFont val="Times New Roman"/>
        <family val="1"/>
      </rPr>
      <t xml:space="preserve"> Pact Bond</t>
    </r>
    <r>
      <rPr>
        <sz val="10"/>
        <color theme="1"/>
        <rFont val="宋体"/>
        <family val="1"/>
        <charset val="134"/>
      </rPr>
      <t>。将你的熟练加值加到契灵进行的任何属性检定或豁免检定中。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契灵打击</t>
    </r>
    <r>
      <rPr>
        <sz val="10"/>
        <color theme="1"/>
        <rFont val="Times New Roman"/>
        <family val="1"/>
      </rPr>
      <t xml:space="preserve"> Vestige's strike</t>
    </r>
    <r>
      <rPr>
        <sz val="10"/>
        <color theme="1"/>
        <rFont val="宋体"/>
        <family val="1"/>
        <charset val="134"/>
      </rPr>
      <t>。近战或远程攻击检定：加值等于你的法术攻击调整值，触及</t>
    </r>
    <r>
      <rPr>
        <sz val="10"/>
        <color theme="1"/>
        <rFont val="Times New Roman"/>
        <family val="1"/>
      </rPr>
      <t>5</t>
    </r>
    <r>
      <rPr>
        <sz val="10"/>
        <color theme="1"/>
        <rFont val="宋体"/>
        <family val="1"/>
        <charset val="134"/>
      </rPr>
      <t>尺或射程</t>
    </r>
    <r>
      <rPr>
        <sz val="10"/>
        <color theme="1"/>
        <rFont val="Times New Roman"/>
        <family val="1"/>
      </rPr>
      <t>60</t>
    </r>
    <r>
      <rPr>
        <sz val="10"/>
        <color theme="1"/>
        <rFont val="宋体"/>
        <family val="1"/>
        <charset val="134"/>
      </rPr>
      <t>尺。命中：</t>
    </r>
    <r>
      <rPr>
        <sz val="10"/>
        <color theme="1"/>
        <rFont val="Times New Roman"/>
        <family val="1"/>
      </rPr>
      <t>1d6+3+</t>
    </r>
    <r>
      <rPr>
        <sz val="10"/>
        <color theme="1"/>
        <rFont val="宋体"/>
        <family val="1"/>
        <charset val="134"/>
      </rPr>
      <t>你的魅力调整值的的火焰（邪魔）、暗蚀（亡灵）或光耀（天族）伤害。</t>
    </r>
    <r>
      <rPr>
        <sz val="10"/>
        <color theme="1"/>
        <rFont val="Times New Roman"/>
        <family val="1"/>
      </rPr>
      <t xml:space="preserve">
</t>
    </r>
    <r>
      <rPr>
        <sz val="10"/>
        <color theme="1"/>
        <rFont val="宋体"/>
        <family val="1"/>
        <charset val="134"/>
      </rPr>
      <t>附赠动作</t>
    </r>
    <r>
      <rPr>
        <sz val="10"/>
        <color theme="1"/>
        <rFont val="Times New Roman"/>
        <family val="1"/>
      </rPr>
      <t xml:space="preserve">Bonus Actions
</t>
    </r>
    <r>
      <rPr>
        <sz val="10"/>
        <color theme="1"/>
        <rFont val="宋体"/>
        <family val="1"/>
        <charset val="134"/>
      </rPr>
      <t>神圣之力</t>
    </r>
    <r>
      <rPr>
        <sz val="10"/>
        <color theme="1"/>
        <rFont val="Times New Roman"/>
        <family val="1"/>
      </rPr>
      <t xml:space="preserve"> Divine Power</t>
    </r>
    <r>
      <rPr>
        <sz val="10"/>
        <color theme="1"/>
        <rFont val="宋体"/>
        <family val="1"/>
        <charset val="134"/>
      </rPr>
      <t>（</t>
    </r>
    <r>
      <rPr>
        <sz val="10"/>
        <color theme="1"/>
        <rFont val="Times New Roman"/>
        <family val="1"/>
      </rPr>
      <t>1/</t>
    </r>
    <r>
      <rPr>
        <sz val="10"/>
        <color theme="1"/>
        <rFont val="宋体"/>
        <family val="1"/>
        <charset val="134"/>
      </rPr>
      <t>日）。契灵根据其形态，显化其神力残余，产生下列效应之一：</t>
    </r>
    <r>
      <rPr>
        <sz val="10"/>
        <color theme="1"/>
        <rFont val="Times New Roman"/>
        <family val="1"/>
      </rPr>
      <t xml:space="preserve"> 
</t>
    </r>
    <r>
      <rPr>
        <sz val="10"/>
        <color theme="1"/>
        <rFont val="宋体"/>
        <family val="1"/>
        <charset val="134"/>
      </rPr>
      <t>诅咒祈唤</t>
    </r>
    <r>
      <rPr>
        <sz val="10"/>
        <color theme="1"/>
        <rFont val="Times New Roman"/>
        <family val="1"/>
      </rPr>
      <t xml:space="preserve"> Cursed Invocation</t>
    </r>
    <r>
      <rPr>
        <sz val="10"/>
        <color theme="1"/>
        <rFont val="宋体"/>
        <family val="1"/>
        <charset val="134"/>
      </rPr>
      <t>（仅亡灵）。契灵对位于其</t>
    </r>
    <r>
      <rPr>
        <sz val="10"/>
        <color theme="1"/>
        <rFont val="Times New Roman"/>
        <family val="1"/>
      </rPr>
      <t>30</t>
    </r>
    <r>
      <rPr>
        <sz val="10"/>
        <color theme="1"/>
        <rFont val="宋体"/>
        <family val="1"/>
        <charset val="134"/>
      </rPr>
      <t>尺范围内一个你可见的生物施加诅咒，持续</t>
    </r>
    <r>
      <rPr>
        <sz val="10"/>
        <color theme="1"/>
        <rFont val="Times New Roman"/>
        <family val="1"/>
      </rPr>
      <t>1</t>
    </r>
    <r>
      <rPr>
        <sz val="10"/>
        <color theme="1"/>
        <rFont val="宋体"/>
        <family val="1"/>
        <charset val="134"/>
      </rPr>
      <t>分钟。被诅咒期间，该目标对你和该契灵进行的攻击检定具有劣势。</t>
    </r>
    <r>
      <rPr>
        <sz val="10"/>
        <color theme="1"/>
        <rFont val="Times New Roman"/>
        <family val="1"/>
      </rPr>
      <t xml:space="preserve"> 
</t>
    </r>
    <r>
      <rPr>
        <sz val="10"/>
        <color theme="1"/>
        <rFont val="宋体"/>
        <family val="1"/>
        <charset val="134"/>
      </rPr>
      <t>邪魔易位</t>
    </r>
    <r>
      <rPr>
        <sz val="10"/>
        <color theme="1"/>
        <rFont val="Times New Roman"/>
        <family val="1"/>
      </rPr>
      <t xml:space="preserve"> Fiendish Swap</t>
    </r>
    <r>
      <rPr>
        <sz val="10"/>
        <color theme="1"/>
        <rFont val="宋体"/>
        <family val="1"/>
        <charset val="134"/>
      </rPr>
      <t>（仅邪魔）。如果你和契灵彼此相距</t>
    </r>
    <r>
      <rPr>
        <sz val="10"/>
        <color theme="1"/>
        <rFont val="Times New Roman"/>
        <family val="1"/>
      </rPr>
      <t>60</t>
    </r>
    <r>
      <rPr>
        <sz val="10"/>
        <color theme="1"/>
        <rFont val="宋体"/>
        <family val="1"/>
        <charset val="134"/>
      </rPr>
      <t>尺范围内，你们同时传送，交换位置。</t>
    </r>
    <r>
      <rPr>
        <sz val="10"/>
        <color theme="1"/>
        <rFont val="Times New Roman"/>
        <family val="1"/>
      </rPr>
      <t xml:space="preserve"> 
</t>
    </r>
    <r>
      <rPr>
        <sz val="10"/>
        <color theme="1"/>
        <rFont val="宋体"/>
        <family val="1"/>
        <charset val="134"/>
      </rPr>
      <t>治愈之触</t>
    </r>
    <r>
      <rPr>
        <sz val="10"/>
        <color theme="1"/>
        <rFont val="Times New Roman"/>
        <family val="1"/>
      </rPr>
      <t xml:space="preserve"> Healing Touch</t>
    </r>
    <r>
      <rPr>
        <sz val="10"/>
        <color theme="1"/>
        <rFont val="宋体"/>
        <family val="1"/>
        <charset val="134"/>
      </rPr>
      <t>（仅天族）。契灵触碰另一名生物。目标恢复</t>
    </r>
    <r>
      <rPr>
        <sz val="10"/>
        <color theme="1"/>
        <rFont val="Times New Roman"/>
        <family val="1"/>
      </rPr>
      <t>2d8+</t>
    </r>
    <r>
      <rPr>
        <sz val="10"/>
        <color theme="1"/>
        <rFont val="宋体"/>
        <family val="1"/>
        <charset val="134"/>
      </rPr>
      <t>你魅力调整值的生命值，并终止其身上的下列一种状态：目盲、耳聋或中毒。</t>
    </r>
    <r>
      <rPr>
        <sz val="10"/>
        <color theme="1"/>
        <rFont val="Times New Roman"/>
        <family val="1"/>
      </rPr>
      <t xml:space="preserve"> </t>
    </r>
    <phoneticPr fontId="68" type="noConversion"/>
  </si>
  <si>
    <t>契灵回能</t>
    <phoneticPr fontId="68" type="noConversion"/>
  </si>
  <si>
    <t>现在的契灵伙伴每当你完成一次短休或长休，或者当你使用你的秘法回流特性时，都能恢复其神圣之力的使用次数。</t>
    <phoneticPr fontId="68" type="noConversion"/>
  </si>
  <si>
    <t>神威灵光</t>
    <phoneticPr fontId="68" type="noConversion"/>
  </si>
  <si>
    <r>
      <rPr>
        <sz val="10"/>
        <color theme="1"/>
        <rFont val="宋体"/>
        <family val="1"/>
        <charset val="134"/>
      </rPr>
      <t>你的契灵伙伴的魔法力量与日俱增。作为一个魔法动作，你可以让契灵产生一个源自其的</t>
    </r>
    <r>
      <rPr>
        <sz val="10"/>
        <color theme="1"/>
        <rFont val="Times New Roman"/>
        <family val="1"/>
      </rPr>
      <t>30</t>
    </r>
    <r>
      <rPr>
        <sz val="10"/>
        <color theme="1"/>
        <rFont val="宋体"/>
        <family val="1"/>
        <charset val="134"/>
      </rPr>
      <t>尺光环区域。该光环持续的小时数等于你的魅力调整值，或者持续至契灵消失或被暂时遣散。你、契灵以及处于灵光内的盟友，获得火焰、暗蚀和光耀伤害抗性，并获得魅惑和恐慌状态免疫。一旦你显化了此灵光，则直至你完成一次长休前，都无法再次使用。</t>
    </r>
    <r>
      <rPr>
        <sz val="10"/>
        <color theme="1"/>
        <rFont val="Times New Roman"/>
        <family val="1"/>
      </rPr>
      <t xml:space="preserve">
</t>
    </r>
    <r>
      <rPr>
        <sz val="10"/>
        <color theme="1"/>
        <rFont val="宋体"/>
        <family val="1"/>
        <charset val="134"/>
      </rPr>
      <t>此外，当你身处灵光内且生命值降至</t>
    </r>
    <r>
      <rPr>
        <sz val="10"/>
        <color theme="1"/>
        <rFont val="Times New Roman"/>
        <family val="1"/>
      </rPr>
      <t>0</t>
    </r>
    <r>
      <rPr>
        <sz val="10"/>
        <color theme="1"/>
        <rFont val="宋体"/>
        <family val="1"/>
        <charset val="134"/>
      </rPr>
      <t>时，作为替代，你的生命值变为等于你的魔契师等级</t>
    </r>
    <r>
      <rPr>
        <sz val="10"/>
        <color theme="1"/>
        <rFont val="Times New Roman"/>
        <family val="1"/>
      </rPr>
      <t>+</t>
    </r>
    <r>
      <rPr>
        <sz val="10"/>
        <color theme="1"/>
        <rFont val="宋体"/>
        <family val="1"/>
        <charset val="134"/>
      </rPr>
      <t>你的魅力调整值。随后，契灵会被遣散至异次元空间，直至你完成一次长休前，都无法再次回归。</t>
    </r>
    <phoneticPr fontId="68" type="noConversion"/>
  </si>
  <si>
    <t>拟态生命</t>
    <phoneticPr fontId="68" type="noConversion"/>
  </si>
  <si>
    <r>
      <rPr>
        <sz val="10"/>
        <color theme="1"/>
        <rFont val="宋体"/>
        <family val="1"/>
        <charset val="134"/>
      </rPr>
      <t>你契灵伙伴的力量持续增长，并在你的协助下，可以短暂地呈现出更强大的形态。根据契灵的类型，当契灵位于你</t>
    </r>
    <r>
      <rPr>
        <sz val="10"/>
        <color theme="1"/>
        <rFont val="Times New Roman"/>
        <family val="1"/>
      </rPr>
      <t>90</t>
    </r>
    <r>
      <rPr>
        <sz val="10"/>
        <color theme="1"/>
        <rFont val="宋体"/>
        <family val="1"/>
        <charset val="134"/>
      </rPr>
      <t>尺范围内时，你可以无需法术位和材料成分地施展下列法术之一：天界召唤术</t>
    </r>
    <r>
      <rPr>
        <sz val="10"/>
        <color theme="1"/>
        <rFont val="Times New Roman"/>
        <family val="1"/>
      </rPr>
      <t>Summon Celestial</t>
    </r>
    <r>
      <rPr>
        <sz val="10"/>
        <color theme="1"/>
        <rFont val="宋体"/>
        <family val="1"/>
        <charset val="134"/>
      </rPr>
      <t>（天族契灵）、邪魔召唤术</t>
    </r>
    <r>
      <rPr>
        <sz val="10"/>
        <color theme="1"/>
        <rFont val="Times New Roman"/>
        <family val="1"/>
      </rPr>
      <t>Summon Fiend</t>
    </r>
    <r>
      <rPr>
        <sz val="10"/>
        <color theme="1"/>
        <rFont val="宋体"/>
        <family val="1"/>
        <charset val="134"/>
      </rPr>
      <t>（邪魔契灵）或亡灵召唤术</t>
    </r>
    <r>
      <rPr>
        <sz val="10"/>
        <color theme="1"/>
        <rFont val="Times New Roman"/>
        <family val="1"/>
      </rPr>
      <t xml:space="preserve">Summon Undead </t>
    </r>
    <r>
      <rPr>
        <sz val="10"/>
        <color theme="1"/>
        <rFont val="宋体"/>
        <family val="1"/>
        <charset val="134"/>
      </rPr>
      <t>（亡灵契灵）。当你使用此特性施展该法术时，契灵将变身为该召唤生物。它的游戏数据被替换为该召唤生物的数据卡，法术环阶等于你魔契师等级的一半（向下取整；最高九环），且法术持续时间为</t>
    </r>
    <r>
      <rPr>
        <sz val="10"/>
        <color theme="1"/>
        <rFont val="Times New Roman"/>
        <family val="1"/>
      </rPr>
      <t>1</t>
    </r>
    <r>
      <rPr>
        <sz val="10"/>
        <color theme="1"/>
        <rFont val="宋体"/>
        <family val="1"/>
        <charset val="134"/>
      </rPr>
      <t>分钟。当法术结束时，契灵恢复其之前的形态。</t>
    </r>
    <r>
      <rPr>
        <sz val="10"/>
        <color theme="1"/>
        <rFont val="Times New Roman"/>
        <family val="1"/>
      </rPr>
      <t xml:space="preserve">
</t>
    </r>
    <r>
      <rPr>
        <sz val="10"/>
        <color theme="1"/>
        <rFont val="宋体"/>
        <family val="1"/>
        <charset val="134"/>
      </rPr>
      <t>一旦你以这种方式施展了该法术，则直至你完成一次长休前，都无法再次使用。</t>
    </r>
    <phoneticPr fontId="68" type="noConversion"/>
  </si>
  <si>
    <t>契灵宗主</t>
    <phoneticPr fontId="68" type="noConversion"/>
  </si>
  <si>
    <t>注能偷袭</t>
  </si>
  <si>
    <r>
      <t>在距你</t>
    </r>
    <r>
      <rPr>
        <sz val="10"/>
        <color theme="1"/>
        <rFont val="Times New Roman"/>
        <family val="1"/>
      </rPr>
      <t>30</t>
    </r>
    <r>
      <rPr>
        <sz val="10"/>
        <color theme="1"/>
        <rFont val="宋体"/>
        <family val="3"/>
        <charset val="134"/>
      </rPr>
      <t>尺内且你可见的一名生物施展了一道一环及以上的法术时，你能以反应从该法术中汲取魔法能量。当你这么做的时候，直至你的下个回合结束，你下一次以偷袭特性命中时会造成额外的力场伤害。为了决定此额外伤害，投掷数量等于上述法术环位的</t>
    </r>
    <r>
      <rPr>
        <sz val="10"/>
        <color theme="1"/>
        <rFont val="Times New Roman"/>
        <family val="1"/>
      </rPr>
      <t>d6</t>
    </r>
    <r>
      <rPr>
        <sz val="10"/>
        <color theme="1"/>
        <rFont val="宋体"/>
        <family val="3"/>
        <charset val="134"/>
      </rPr>
      <t>骰，让骰值相加。_x000D_
你可以执行此反应的次数等同于你的智力调整值次（至少</t>
    </r>
    <r>
      <rPr>
        <sz val="10"/>
        <color theme="1"/>
        <rFont val="Times New Roman"/>
        <family val="1"/>
      </rPr>
      <t>1</t>
    </r>
    <r>
      <rPr>
        <sz val="10"/>
        <color theme="1"/>
        <rFont val="宋体"/>
        <family val="3"/>
        <charset val="134"/>
      </rPr>
      <t>次），且你在完成长休时重获所有已消耗的使用次数。</t>
    </r>
  </si>
  <si>
    <t>吸取魔法</t>
  </si>
  <si>
    <t>你可以从持续法术中吸取能量。以一个魔法动作，你可以触碰一名自愿生物并终止其身上一个生效中的一环或二环法术效应；此生物立即回复一个已消耗的不超过二环的法术位（由目标选择）。_x000D_
一旦你使用了此特性，你在完成一次短休或长休前都无法再这么做。</t>
  </si>
  <si>
    <t>魔法破坏</t>
  </si>
  <si>
    <r>
      <t>你获得以下诡诈打击选项：_x000D_
法术要害</t>
    </r>
    <r>
      <rPr>
        <sz val="10"/>
        <color theme="1"/>
        <rFont val="Times New Roman"/>
        <family val="1"/>
      </rPr>
      <t>Spell Susceptibility</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直到你的下回合开始前，目标对法术进行的下一次豁免检定具有劣势。_x000D_
扰断法术</t>
    </r>
    <r>
      <rPr>
        <sz val="10"/>
        <color theme="1"/>
        <rFont val="Times New Roman"/>
        <family val="1"/>
      </rPr>
      <t>Disrupt Spell</t>
    </r>
    <r>
      <rPr>
        <sz val="10"/>
        <color theme="1"/>
        <rFont val="宋体"/>
        <family val="3"/>
        <charset val="134"/>
      </rPr>
      <t>（花费：</t>
    </r>
    <r>
      <rPr>
        <sz val="10"/>
        <color theme="1"/>
        <rFont val="Times New Roman"/>
        <family val="1"/>
      </rPr>
      <t>3d6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的魔法敏锐度被干扰。当目标在此期间施展法术时，他必须成功进行一次智力豁免检定，否则法术消失，不产生任何效应，且用来施展法术的动作、附赠动作或反应均被浪费。若该法术是通过法术位施展的，则此法术位不被消耗。_x000D_
窃取抗性</t>
    </r>
    <r>
      <rPr>
        <sz val="10"/>
        <color theme="1"/>
        <rFont val="Times New Roman"/>
        <family val="1"/>
      </rPr>
      <t>Steal Resistance</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选择一种伤害类型。若目标拥有此种伤害的抗性，直到你的下回合开始前，目标将会失去此抗性，且你获得同种伤害类型的抗性。</t>
    </r>
  </si>
  <si>
    <t>神秘面纱</t>
  </si>
  <si>
    <r>
      <t>当你结束长休时，你可以施展法术回避侦测</t>
    </r>
    <r>
      <rPr>
        <sz val="10"/>
        <color theme="1"/>
        <rFont val="Times New Roman"/>
        <family val="1"/>
      </rPr>
      <t>Nondetection</t>
    </r>
    <r>
      <rPr>
        <sz val="10"/>
        <color theme="1"/>
        <rFont val="宋体"/>
        <family val="3"/>
        <charset val="134"/>
      </rPr>
      <t>，使用智力作为你的施法属性。当你这么做的时候，你仅能选择自身作为法术目标，且此法术持续时间提升至</t>
    </r>
    <r>
      <rPr>
        <sz val="10"/>
        <color theme="1"/>
        <rFont val="Times New Roman"/>
        <family val="1"/>
      </rPr>
      <t>24</t>
    </r>
    <r>
      <rPr>
        <sz val="10"/>
        <color theme="1"/>
        <rFont val="宋体"/>
        <family val="3"/>
        <charset val="134"/>
      </rPr>
      <t>小时。</t>
    </r>
  </si>
  <si>
    <t>进阶吸取魔法</t>
  </si>
  <si>
    <t>你现在可以以一个附赠动作施展吸取魔法特性。另外，当你使用吸取魔法特性时，你可以终止目标身上一个生效中的一环、二环或三环法术效应，且目标恢复一个已消耗的不超过三环的法术位（由目标选择）。</t>
  </si>
  <si>
    <t>魔能崩摧</t>
  </si>
  <si>
    <r>
      <t>当你使用注能偷袭特性时，你可以迫使目标进行一次体质豁免检定（</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你的敏捷调整值</t>
    </r>
    <r>
      <rPr>
        <sz val="10"/>
        <color theme="1"/>
        <rFont val="Times New Roman"/>
        <family val="1"/>
      </rPr>
      <t>+</t>
    </r>
    <r>
      <rPr>
        <sz val="10"/>
        <color theme="1"/>
        <rFont val="宋体"/>
        <family val="3"/>
        <charset val="134"/>
      </rPr>
      <t>熟练加值）。若豁免失败，法术消失且不产生任何效应，而且目标还会陷入震慑状态，直到其下回合开始。</t>
    </r>
  </si>
  <si>
    <t>窃法者</t>
    <phoneticPr fontId="68" type="noConversion"/>
  </si>
  <si>
    <t>裂空使</t>
    <phoneticPr fontId="68" type="noConversion"/>
  </si>
  <si>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</si>
  <si>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phoneticPr fontId="68" type="noConversion"/>
  </si>
  <si>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</si>
  <si>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</si>
  <si>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</si>
  <si>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</si>
  <si>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</si>
  <si>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phoneticPr fontId="68" type="noConversion"/>
  </si>
  <si>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</si>
  <si>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</si>
  <si>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</si>
  <si>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</si>
  <si>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</si>
  <si>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</si>
  <si>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t>洞悉与游说</t>
    <phoneticPr fontId="68" type="noConversion"/>
  </si>
  <si>
    <t>1/3施法</t>
    <phoneticPr fontId="68" type="noConversion"/>
  </si>
  <si>
    <r>
      <t>5E2024</t>
    </r>
    <r>
      <rPr>
        <b/>
        <sz val="12"/>
        <color theme="0"/>
        <rFont val="宋体"/>
        <family val="3"/>
        <charset val="134"/>
      </rPr>
      <t>更新记录</t>
    </r>
    <phoneticPr fontId="68" type="noConversion"/>
  </si>
  <si>
    <t>你利用原初魔法，为附近的植物注入活力，在施法距离内产生以下效应：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phoneticPr fontId="68" type="noConversion"/>
  </si>
  <si>
    <t>双刃弯刀</t>
    <phoneticPr fontId="68" type="noConversion"/>
  </si>
  <si>
    <t>双手，特殊
如果你在你的回合的攻击动作中使用了双刃弯刀发动攻击，你可以紧接着使用一个附赠动作来再发动一次近战攻击。此攻击命中时造成1d4挥砍伤害，而非2d4。</t>
    <phoneticPr fontId="68" type="noConversion"/>
  </si>
  <si>
    <t xml:space="preserve">先决：等级4+，外层位面后裔（善良外层位面）专长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68" type="noConversion"/>
  </si>
  <si>
    <t>先决：等级4+，外层位面后裔（外域）专长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68" type="noConversion"/>
  </si>
  <si>
    <t>先决：等级4+，外层位面后裔专长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68" type="noConversion"/>
  </si>
  <si>
    <t>—起源专长—</t>
    <phoneticPr fontId="68" type="noConversion"/>
  </si>
  <si>
    <t>—通用专长—</t>
    <phoneticPr fontId="68" type="noConversion"/>
  </si>
  <si>
    <t>—传奇恩惠—</t>
    <phoneticPr fontId="68" type="noConversion"/>
  </si>
  <si>
    <r>
      <rPr>
        <sz val="10"/>
        <color theme="1"/>
        <rFont val="宋体"/>
        <family val="3"/>
        <charset val="134"/>
      </rPr>
      <t>你可以以一个附赠动作向一个</t>
    </r>
    <r>
      <rPr>
        <sz val="10"/>
        <color theme="1"/>
        <rFont val="Times New Roman"/>
        <family val="1"/>
      </rPr>
      <t>120</t>
    </r>
    <r>
      <rPr>
        <sz val="10"/>
        <color theme="1"/>
        <rFont val="宋体"/>
        <family val="3"/>
        <charset val="134"/>
      </rPr>
      <t>尺内能听见你的盟友下达战斗指令。从下列的指令中选择一条：
继续战斗！</t>
    </r>
    <r>
      <rPr>
        <sz val="10"/>
        <color theme="1"/>
        <rFont val="Times New Roman"/>
        <family val="1"/>
      </rPr>
      <t xml:space="preserve">Fight On!
</t>
    </r>
    <r>
      <rPr>
        <sz val="10"/>
        <color theme="1"/>
        <rFont val="宋体"/>
        <family val="3"/>
        <charset val="134"/>
      </rPr>
      <t>目标恢复等同于</t>
    </r>
    <r>
      <rPr>
        <sz val="10"/>
        <color theme="1"/>
        <rFont val="Times New Roman"/>
        <family val="1"/>
      </rPr>
      <t>1d10</t>
    </r>
    <r>
      <rPr>
        <sz val="10"/>
        <color theme="1"/>
        <rFont val="宋体"/>
        <family val="3"/>
        <charset val="134"/>
      </rPr>
      <t>＋你的战士职业等级的生命值。这个生物必须完成一次短休或长休才能再次从该指令中受益。
为了荣耀！</t>
    </r>
    <r>
      <rPr>
        <sz val="10"/>
        <color theme="1"/>
        <rFont val="Times New Roman"/>
        <family val="1"/>
      </rPr>
      <t xml:space="preserve">For Glory! 
</t>
    </r>
    <r>
      <rPr>
        <sz val="10"/>
        <color theme="1"/>
        <rFont val="宋体"/>
        <family val="3"/>
        <charset val="134"/>
      </rPr>
      <t>目标可以立即使用他们的反应来进行一次远程或近战武器攻击。
快动起来！</t>
    </r>
    <r>
      <rPr>
        <sz val="10"/>
        <color theme="1"/>
        <rFont val="Times New Roman"/>
        <family val="1"/>
      </rPr>
      <t xml:space="preserve">Move It!
</t>
    </r>
    <r>
      <rPr>
        <sz val="10"/>
        <color theme="1"/>
        <rFont val="宋体"/>
        <family val="3"/>
        <charset val="134"/>
      </rPr>
      <t>目标可以立即使用他们的反应移动等同于其速度的距离，此次移动不会引发借机攻击。
绝不动摇！</t>
    </r>
    <r>
      <rPr>
        <sz val="10"/>
        <color theme="1"/>
        <rFont val="Times New Roman"/>
        <family val="1"/>
      </rPr>
      <t xml:space="preserve">Never Falter! 
</t>
    </r>
    <r>
      <rPr>
        <sz val="10"/>
        <color theme="1"/>
        <rFont val="宋体"/>
        <family val="3"/>
        <charset val="134"/>
      </rPr>
      <t>目标终止一个其身上的魅惑或恐慌状态。这个生物必须完成一次短休或长休才能再次从该指令中受益。</t>
    </r>
    <phoneticPr fontId="68" type="noConversion"/>
  </si>
  <si>
    <t>承载</t>
  </si>
  <si>
    <t>体型</t>
    <phoneticPr fontId="68" type="noConversion"/>
  </si>
  <si>
    <t>小型</t>
    <phoneticPr fontId="68" type="noConversion"/>
  </si>
  <si>
    <t>超巨型</t>
    <phoneticPr fontId="68" type="noConversion"/>
  </si>
  <si>
    <t>弹药</t>
    <phoneticPr fontId="68" type="noConversion"/>
  </si>
  <si>
    <t>龙卷尘暴</t>
    <phoneticPr fontId="68" type="noConversion"/>
  </si>
  <si>
    <t>潮覆武器</t>
    <phoneticPr fontId="68" type="noConversion"/>
  </si>
  <si>
    <t>额外法术</t>
    <phoneticPr fontId="68" type="noConversion"/>
  </si>
  <si>
    <r>
      <rPr>
        <b/>
        <sz val="9"/>
        <color theme="1" tint="0.499984740745262"/>
        <rFont val="宋体"/>
        <family val="3"/>
        <charset val="134"/>
      </rPr>
      <t>环阶</t>
    </r>
  </si>
  <si>
    <r>
      <rPr>
        <b/>
        <sz val="9"/>
        <color theme="1" tint="0.499984740745262"/>
        <rFont val="宋体"/>
        <family val="3"/>
        <charset val="134"/>
      </rPr>
      <t>名称</t>
    </r>
  </si>
  <si>
    <r>
      <rPr>
        <b/>
        <sz val="9"/>
        <color theme="1" tint="0.499984740745262"/>
        <rFont val="宋体"/>
        <family val="3"/>
        <charset val="134"/>
      </rPr>
      <t>施法距离</t>
    </r>
  </si>
  <si>
    <r>
      <rPr>
        <b/>
        <sz val="9"/>
        <color theme="1" tint="0.499984740745262"/>
        <rFont val="宋体"/>
        <family val="3"/>
        <charset val="134"/>
      </rPr>
      <t>学派</t>
    </r>
  </si>
  <si>
    <r>
      <rPr>
        <b/>
        <sz val="9"/>
        <color theme="1" tint="0.499984740745262"/>
        <rFont val="宋体"/>
        <family val="3"/>
        <charset val="134"/>
      </rPr>
      <t>施法时间</t>
    </r>
  </si>
  <si>
    <r>
      <rPr>
        <b/>
        <sz val="9"/>
        <color theme="0" tint="-0.499984740745262"/>
        <rFont val="宋体"/>
        <family val="3"/>
        <charset val="134"/>
      </rPr>
      <t>材料</t>
    </r>
  </si>
  <si>
    <r>
      <rPr>
        <b/>
        <sz val="9"/>
        <color theme="1" tint="0.499984740745262"/>
        <rFont val="宋体"/>
        <family val="3"/>
        <charset val="134"/>
      </rPr>
      <t>持续时间</t>
    </r>
  </si>
  <si>
    <r>
      <rPr>
        <b/>
        <sz val="9"/>
        <color theme="0" tint="-0.34998626667073579"/>
        <rFont val="宋体"/>
        <family val="3"/>
        <charset val="134"/>
      </rPr>
      <t>效果描述</t>
    </r>
  </si>
  <si>
    <r>
      <rPr>
        <b/>
        <sz val="9"/>
        <color theme="1" tint="0.499984740745262"/>
        <rFont val="宋体"/>
        <family val="3"/>
        <charset val="134"/>
      </rPr>
      <t>专注</t>
    </r>
  </si>
  <si>
    <r>
      <rPr>
        <b/>
        <sz val="9"/>
        <color theme="1" tint="0.499984740745262"/>
        <rFont val="宋体"/>
        <family val="3"/>
        <charset val="134"/>
      </rPr>
      <t>仪式</t>
    </r>
  </si>
  <si>
    <t>精通1</t>
    <phoneticPr fontId="68" type="noConversion"/>
  </si>
  <si>
    <t>精通2</t>
  </si>
  <si>
    <t>精通3</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</si>
  <si>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phoneticPr fontId="68" type="noConversion"/>
  </si>
  <si>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phoneticPr fontId="68" type="noConversion"/>
  </si>
  <si>
    <t>当你发动由轻型词条所提供的额外的攻击时，你可以将本次攻击视作攻击动作的一部分，而非使用附赠动作。而你每一回合仍然只能进行一次由轻型词条所提供的额外的攻击。</t>
    <phoneticPr fontId="68" type="noConversion"/>
  </si>
  <si>
    <t>当你用这把武器命中一个生物时，直到你的下一回合开始前，该生物的下一次攻击检定将具有劣势。</t>
    <phoneticPr fontId="68" type="noConversion"/>
  </si>
  <si>
    <t>当你用这把武器命中一个生物时，如果该生物的体型不超过大型，则你可以将该生物自你处直线推离至多10尺。</t>
    <phoneticPr fontId="68" type="noConversion"/>
  </si>
  <si>
    <t>当你用这把武器命中了一个生物并造成伤害时，你可以将对方的速度减少10尺，直至你的下一回合开始。如果该生物被拥有缓速词条的武器多次命中，其速度削减量也不会因此超过10尺。</t>
    <phoneticPr fontId="68" type="noConversion"/>
  </si>
  <si>
    <t>当你用这把武器命中了一个生物时，你可以迫使该生物进行一次体质豁免（DC等于8+本次攻击所使用的调整值+你的熟练加值）。豁免检定失败时，该生物陷入倒地状态。</t>
    <phoneticPr fontId="68" type="noConversion"/>
  </si>
  <si>
    <t>当你用这把武器命中一个生物并对其造成伤害时，直到你的下一回合结束前，你对该生物的下一次攻击检定将具有优势。</t>
    <phoneticPr fontId="68" type="noConversion"/>
  </si>
  <si>
    <t>当你使用此武器发动一次攻击时，你可以选择改为发动两次攻击。无论如何，这些攻击始终具有劣势。你无法替换这些攻击。如果此武器具有弹药词条，则这些攻击将消耗两倍于正常数量的弹药。</t>
    <phoneticPr fontId="68" type="noConversion"/>
  </si>
  <si>
    <t>当你执行攻击动作时，你可以令此武器射弹爆裂以替换其中一次攻击。此次爆裂发生于半径5尺的球状区域，以你在武器常规射程内选择的一点为中心。球状区域内的每名生物进行一次敏捷豁免检定（DC为8加你的力量或敏捷调整值加你的熟练加值）。豁免失败则该生物受到该武器的伤害，除非调整值为负数，否则该伤害不会加入你的属性调整值。豁免成功则该生物受到的伤害减半。每回合你只能制造一次爆裂。</t>
    <phoneticPr fontId="68" type="noConversion"/>
  </si>
  <si>
    <t>位于敌人5尺内不会令你使用此武器进行的远程攻击检定具有劣势。</t>
    <phoneticPr fontId="68" type="noConversion"/>
  </si>
  <si>
    <t>使用此武器攻击最大射程的目标不会令你的攻击检定具有劣势。当你使用此武器攻击一名常规射程外最大射程内的生物并命中时，你可以重掷任意伤害骰，但必须使用新的结果。</t>
    <phoneticPr fontId="68" type="noConversion"/>
  </si>
  <si>
    <t>种类</t>
  </si>
  <si>
    <t>份量</t>
    <phoneticPr fontId="68" type="noConversion"/>
  </si>
  <si>
    <t>容器</t>
    <phoneticPr fontId="68" type="noConversion"/>
  </si>
  <si>
    <t>20/1磅</t>
    <phoneticPr fontId="68" type="noConversion"/>
  </si>
  <si>
    <t>20/1.5磅</t>
    <phoneticPr fontId="68" type="noConversion"/>
  </si>
  <si>
    <t>10/2磅</t>
    <phoneticPr fontId="68" type="noConversion"/>
  </si>
  <si>
    <t>50/1磅</t>
    <phoneticPr fontId="68" type="noConversion"/>
  </si>
  <si>
    <t>计重</t>
    <phoneticPr fontId="68" type="noConversion"/>
  </si>
  <si>
    <t>——负重——</t>
    <phoneticPr fontId="68" type="noConversion"/>
  </si>
  <si>
    <t>攻击属性</t>
    <phoneticPr fontId="68" type="noConversion"/>
  </si>
  <si>
    <t>武器类型</t>
    <phoneticPr fontId="68" type="noConversion"/>
  </si>
  <si>
    <t>护甲类型</t>
    <phoneticPr fontId="68" type="noConversion"/>
  </si>
  <si>
    <t>稀有度</t>
    <phoneticPr fontId="68" type="noConversion"/>
  </si>
  <si>
    <t>普通</t>
    <phoneticPr fontId="68" type="noConversion"/>
  </si>
  <si>
    <t>非普通</t>
    <phoneticPr fontId="68" type="noConversion"/>
  </si>
  <si>
    <t>珍稀</t>
    <phoneticPr fontId="68" type="noConversion"/>
  </si>
  <si>
    <t>极珍稀</t>
    <phoneticPr fontId="68" type="noConversion"/>
  </si>
  <si>
    <t>传说</t>
    <phoneticPr fontId="68" type="noConversion"/>
  </si>
  <si>
    <t>神器</t>
    <phoneticPr fontId="68" type="noConversion"/>
  </si>
  <si>
    <t>全局检定修正</t>
    <phoneticPr fontId="68" type="noConversion"/>
  </si>
  <si>
    <t>蝙蝠</t>
    <phoneticPr fontId="68" type="noConversion"/>
  </si>
  <si>
    <t>微型</t>
    <phoneticPr fontId="68" type="noConversion"/>
  </si>
  <si>
    <t>野兽</t>
    <phoneticPr fontId="68" type="noConversion"/>
  </si>
  <si>
    <t>无阵营</t>
    <phoneticPr fontId="68" type="noConversion"/>
  </si>
  <si>
    <t>+2</t>
    <phoneticPr fontId="68" type="noConversion"/>
  </si>
  <si>
    <t>5尺，飞行30尺</t>
    <phoneticPr fontId="68" type="noConversion"/>
  </si>
  <si>
    <t>生物类型</t>
    <phoneticPr fontId="68" type="noConversion"/>
  </si>
  <si>
    <t>阵营</t>
    <phoneticPr fontId="68" type="noConversion"/>
  </si>
  <si>
    <t>AC</t>
    <phoneticPr fontId="68" type="noConversion"/>
  </si>
  <si>
    <t>HP</t>
    <phoneticPr fontId="68" type="noConversion"/>
  </si>
  <si>
    <t>HD</t>
    <phoneticPr fontId="68" type="noConversion"/>
  </si>
  <si>
    <t>先攻</t>
    <phoneticPr fontId="68" type="noConversion"/>
  </si>
  <si>
    <t>速度</t>
    <phoneticPr fontId="68" type="noConversion"/>
  </si>
  <si>
    <t>体质</t>
    <phoneticPr fontId="68" type="noConversion"/>
  </si>
  <si>
    <t>动作项</t>
    <phoneticPr fontId="68" type="noConversion"/>
  </si>
  <si>
    <t>啃咬Bite。近战攻击检定：+4，触及5尺。命中：1穿刺伤害。</t>
    <phoneticPr fontId="68" type="noConversion"/>
  </si>
  <si>
    <t>猫</t>
    <phoneticPr fontId="68" type="noConversion"/>
  </si>
  <si>
    <t>40尺，攀爬40尺</t>
    <phoneticPr fontId="68" type="noConversion"/>
  </si>
  <si>
    <t>爪挠Scratch。近战攻击检定：+4，触及5尺。命中：1挥砍伤害。</t>
    <phoneticPr fontId="68" type="noConversion"/>
  </si>
  <si>
    <t>特质</t>
    <phoneticPr fontId="68" type="noConversion"/>
  </si>
  <si>
    <t>猫跃Jumper。猫使用其敏捷来决定跳跃的距离，而非其力量。</t>
    <phoneticPr fontId="68" type="noConversion"/>
  </si>
  <si>
    <t>蛙</t>
    <phoneticPr fontId="68" type="noConversion"/>
  </si>
  <si>
    <t>+1</t>
    <phoneticPr fontId="68" type="noConversion"/>
  </si>
  <si>
    <t>+4</t>
    <phoneticPr fontId="68" type="noConversion"/>
  </si>
  <si>
    <t>+0</t>
    <phoneticPr fontId="68" type="noConversion"/>
  </si>
  <si>
    <t>12</t>
    <phoneticPr fontId="68" type="noConversion"/>
  </si>
  <si>
    <t>20尺，游泳20尺</t>
  </si>
  <si>
    <t xml:space="preserve">水陆两栖Amphibious。蛙可以在空气和水中呼吸。
立定起跳Standing Leap。不论是否助跑，蛙都能跳远至多10尺或跳高至高5尺。 </t>
    <phoneticPr fontId="68" type="noConversion"/>
  </si>
  <si>
    <t xml:space="preserve">啃咬Bite。近战攻击检定：+3，触及5尺。命中：1穿刺伤害。 </t>
    <phoneticPr fontId="68" type="noConversion"/>
  </si>
  <si>
    <t>隼</t>
    <phoneticPr fontId="68" type="noConversion"/>
  </si>
  <si>
    <t>10尺，飞行60尺</t>
  </si>
  <si>
    <t>+3</t>
    <phoneticPr fontId="68" type="noConversion"/>
  </si>
  <si>
    <t>禽爪Talons。近战攻击检定：+5，触及5尺。命中：1挥砍伤害。</t>
    <phoneticPr fontId="68" type="noConversion"/>
  </si>
  <si>
    <t>蜥蜴</t>
    <phoneticPr fontId="68" type="noConversion"/>
  </si>
  <si>
    <t>章鱼</t>
    <phoneticPr fontId="68" type="noConversion"/>
  </si>
  <si>
    <t>猫头鹰</t>
    <phoneticPr fontId="68" type="noConversion"/>
  </si>
  <si>
    <t>鼠</t>
    <phoneticPr fontId="68" type="noConversion"/>
  </si>
  <si>
    <t>渡鸦</t>
    <phoneticPr fontId="68" type="noConversion"/>
  </si>
  <si>
    <t>蜘蛛</t>
    <phoneticPr fontId="68" type="noConversion"/>
  </si>
  <si>
    <t>鼬</t>
    <phoneticPr fontId="68" type="noConversion"/>
  </si>
  <si>
    <t>小魔鬼</t>
    <phoneticPr fontId="68" type="noConversion"/>
  </si>
  <si>
    <t>伪龙</t>
    <phoneticPr fontId="68" type="noConversion"/>
  </si>
  <si>
    <t>小恶魔</t>
    <phoneticPr fontId="68" type="noConversion"/>
  </si>
  <si>
    <t>史拉蟾蝌蚪</t>
    <phoneticPr fontId="68" type="noConversion"/>
  </si>
  <si>
    <t>小仙灵</t>
    <phoneticPr fontId="68" type="noConversion"/>
  </si>
  <si>
    <t>毒蛇</t>
    <phoneticPr fontId="68" type="noConversion"/>
  </si>
  <si>
    <t>20尺，攀爬20尺</t>
  </si>
  <si>
    <t>蛛行Spider Climb。蜥蜴可以在难以攀爬的表面上攀爬，包括沿着天花板移动，且无需为此进行属性检定。</t>
    <phoneticPr fontId="68" type="noConversion"/>
  </si>
  <si>
    <t>啃咬Bite。近战攻击检定：+2，触及5尺。命中：1穿刺伤害。</t>
    <phoneticPr fontId="68" type="noConversion"/>
  </si>
  <si>
    <t>5尺，游泳30尺</t>
  </si>
  <si>
    <t>D4</t>
  </si>
  <si>
    <t>11</t>
    <phoneticPr fontId="68" type="noConversion"/>
  </si>
  <si>
    <t>柔韧躯体Compression。章鱼可以移动穿过最窄1寸宽的空间而无需消耗额外的移动力。
水下呼吸Water Breathing。章鱼只能在水下呼吸。</t>
    <phoneticPr fontId="68" type="noConversion"/>
  </si>
  <si>
    <t>5尺，飞行60尺</t>
  </si>
  <si>
    <t>飞掠Flyby。猫头鹰飞行离开敌人的触及范围时不会引发借机攻击。</t>
    <phoneticPr fontId="68" type="noConversion"/>
  </si>
  <si>
    <t xml:space="preserve">禽爪Talons。近战攻击检定：+3，触及5尺。命中：1挥砍伤害。 </t>
    <phoneticPr fontId="68" type="noConversion"/>
  </si>
  <si>
    <t>10</t>
    <phoneticPr fontId="68" type="noConversion"/>
  </si>
  <si>
    <t>4</t>
    <phoneticPr fontId="68" type="noConversion"/>
  </si>
  <si>
    <t>机敏Agile。鼠移动离开敌人的触及范围时不会引发借机攻击。</t>
    <phoneticPr fontId="68" type="noConversion"/>
  </si>
  <si>
    <t xml:space="preserve">啃咬Bite。近战攻击检定：+2，触及5尺。命中：1穿刺伤害。 </t>
    <phoneticPr fontId="68" type="noConversion"/>
  </si>
  <si>
    <t>10尺，飞行50尺</t>
  </si>
  <si>
    <t>拟声Mimicry。渡鸦可以模仿曾听过的简单声音，如低语声或鸟鸣声。听到该声音的生物可以成功通过一次DC10的感知（洞悉）检定来发现其是模仿。</t>
    <phoneticPr fontId="68" type="noConversion"/>
  </si>
  <si>
    <t xml:space="preserve">喙啄Beak。近战攻击检定：+4，触及5尺。命中：1穿刺伤害。 </t>
    <phoneticPr fontId="68" type="noConversion"/>
  </si>
  <si>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phoneticPr fontId="68" type="noConversion"/>
  </si>
  <si>
    <t xml:space="preserve">啃咬Bite。近战攻击检定：+4，触及5尺。命中：1穿刺伤害外加2（1d4）毒素伤害。 </t>
    <phoneticPr fontId="68" type="noConversion"/>
  </si>
  <si>
    <t>30尺，攀爬30尺</t>
  </si>
  <si>
    <t xml:space="preserve">啃咬Bite。近战攻击检定：+5，触及5尺。命中：1穿刺伤害。 </t>
    <phoneticPr fontId="68" type="noConversion"/>
  </si>
  <si>
    <t>守序邪恶</t>
  </si>
  <si>
    <t>20尺，飞行40尺</t>
  </si>
  <si>
    <t xml:space="preserve">魔法抗性Magic Resistance。小魔鬼对抗法术和其他魔法效应时进行的豁免检定具有优势。 </t>
    <phoneticPr fontId="68" type="noConversion"/>
  </si>
  <si>
    <t xml:space="preserve">钉刺Sting。近战攻击检定：+5，触及5尺。命中：6（1d6+3）穿刺伤害外加7（2d6）毒素伤害。
隐形术Invisibility。小魔鬼对自身施展隐形术Invisibility，无需法术成分并使用魅力作为施法属性。
变形Shape-Shift。小魔鬼变形为老鼠（速度20尺）、渡鸦（速度20尺，飞行速度60尺）、蜘蛛（速度20尺，攀爬速度20尺），或变回其真实形态。除速度外，其各形态下游戏数据均相同。小魔鬼着装或携带的任何装备都不会随之变化。 </t>
    <phoneticPr fontId="68" type="noConversion"/>
  </si>
  <si>
    <t>龙类</t>
  </si>
  <si>
    <t>中立善良</t>
  </si>
  <si>
    <t>15尺，飞行60尺</t>
  </si>
  <si>
    <t>魔法抗性Magic Resistance。伪龙对抗法术和其他魔法效应时进行的豁免检定具有优势。</t>
    <phoneticPr fontId="68" type="noConversion"/>
  </si>
  <si>
    <t xml:space="preserve">多重攻击Multiattack。伪龙发动两次啃咬攻击。
啃咬Bite。近战攻击检定：+4，触及5尺。命中：4（1d4+2）穿刺伤害。
蛰刺Sting。体质豁免检定：DC12，单一5尺内伪龙可见的生物。失败：5（2d4）毒素伤害，且目标陷入中毒状态，持续1小时。失败差值5或更多：目标在中毒期间还会陷入昏迷状态，昏迷在其受到伤害或被目标5尺内的一名生物用一个动作摇醒时提前结束。 </t>
    <phoneticPr fontId="68" type="noConversion"/>
  </si>
  <si>
    <t>混乱邪恶</t>
  </si>
  <si>
    <t xml:space="preserve">魔法抗性Magic Resistance。小恶魔对抗法术和其他魔法效应时进行的豁免检定具有优势。 </t>
    <phoneticPr fontId="68" type="noConversion"/>
  </si>
  <si>
    <t xml:space="preserve">撕裂Rend。近战攻击检定：+5，触及5尺。命中：5（1d4+3）挥砍伤害，且目标陷入中毒状态直至小恶魔的下个回合开始。
隐形Invisibility。小恶魔对自身施展隐形术Invisbility，无需法术成分，并使用魅力作为施法属性。
惊吓Scare（1/日）。感知豁免：DC10，单一20尺内的生物。失败：目标陷入恐慌状态。目标在其回合结束时重复豁免，成功则终止其身上的该效应。1分钟后，其豁免自动成功。
变形Shape-Shift。小恶魔变形为蝙蝠（速度10尺，飞行40尺）、蜈蚣（40尺，攀爬40尺）、蟾蜍（40尺，游泳40尺）的形态，或变回其真实形态。除速度外，其各形态下游戏数据均相同。小恶魔着装或携带的任何装备都不会随之变化。 </t>
    <phoneticPr fontId="68" type="noConversion"/>
  </si>
  <si>
    <t>D8</t>
    <phoneticPr fontId="68" type="noConversion"/>
  </si>
  <si>
    <t>30尺，掘穴10尺</t>
  </si>
  <si>
    <t>混乱中立</t>
  </si>
  <si>
    <t>概览</t>
    <phoneticPr fontId="68" type="noConversion"/>
  </si>
  <si>
    <t xml:space="preserve">感官 盲视60尺；被动察觉11 
语言 无 
CR 0（XP10；PB+2） </t>
    <phoneticPr fontId="68" type="noConversion"/>
  </si>
  <si>
    <t xml:space="preserve">技能 察觉+3，隐匿+4 
感官 黑暗视觉60尺；被动察觉13 
语言 无 
CR 0（XP10；PB+2） </t>
    <phoneticPr fontId="68" type="noConversion"/>
  </si>
  <si>
    <t xml:space="preserve">技能 察觉+1，隐匿+3 
感官 黑暗视觉30尺；被动察觉11 
语言 无 
CR 0（XP10；PB+2） </t>
    <phoneticPr fontId="68" type="noConversion"/>
  </si>
  <si>
    <t xml:space="preserve">技能 察觉+6 
感官 被动察觉16 
语言 无 
CR 0（XP10；PB+2） </t>
    <phoneticPr fontId="68" type="noConversion"/>
  </si>
  <si>
    <t xml:space="preserve">感官 黑暗视觉30尺；被动察觉9 
语言 无 
CR 0（XP10；PB+2） </t>
    <phoneticPr fontId="68" type="noConversion"/>
  </si>
  <si>
    <t xml:space="preserve">技能 察觉+2，隐匿+6 
感官 黑暗视觉30尺；被动察觉12 
语言 无 
CR 0（XP10；PB+2） </t>
    <phoneticPr fontId="68" type="noConversion"/>
  </si>
  <si>
    <t xml:space="preserve">技能 察觉+5，隐匿+5 
感官 黑暗视觉120尺；被动察觉15 
语言 无 
CR 0（XP10；PB+2） </t>
    <phoneticPr fontId="68" type="noConversion"/>
  </si>
  <si>
    <t xml:space="preserve">技能 察觉+2 
感官 黑暗视觉30尺；被动察觉12 
语言 无 
CR 0（XP10；PB+2） </t>
    <phoneticPr fontId="68" type="noConversion"/>
  </si>
  <si>
    <t xml:space="preserve">技能 察觉+3 
感官 被动察觉13 
语言 无 
CR 0（XP10；PB+2） </t>
    <phoneticPr fontId="68" type="noConversion"/>
  </si>
  <si>
    <t xml:space="preserve">技能 隐匿+4 
感官 黑暗视觉30尺；被动察觉10 
语言 无 
CR 0（XP10；PB+2） </t>
    <phoneticPr fontId="68" type="noConversion"/>
  </si>
  <si>
    <t xml:space="preserve">技能 特技+5，察觉+3，隐匿+5 
感官 黑暗视觉60尺；被动察觉13 
语言 无 
CR 0（XP10；PB+2） </t>
    <phoneticPr fontId="68" type="noConversion"/>
  </si>
  <si>
    <t xml:space="preserve">技能 欺瞒+4，洞悉+3，隐匿+5 
抗性 寒冷 
免疫 火焰，毒素；中毒 
感官 黑暗视觉120尺（不受魔法黑暗阻碍）；被动察觉11 
语言 通用语，炼狱语 
CR 1（XP200；PB+2） </t>
    <phoneticPr fontId="68" type="noConversion"/>
  </si>
  <si>
    <t xml:space="preserve">技能 察觉+5，隐匿+4 
感官 盲视10尺，黑暗视觉60尺；被动察觉15 
语言 理解通用语和龙语，但不会说 
CR 1/4（XP50；PB+2） </t>
    <phoneticPr fontId="68" type="noConversion"/>
  </si>
  <si>
    <t xml:space="preserve">技能 隐匿+5 
抗性 寒冷，火焰，闪电 
免疫 毒素；中毒 
感官 黑暗视觉120尺；被动察觉10 
语言 深渊语，通用语 
CR 1（XP200 ；PB+2） </t>
    <phoneticPr fontId="68" type="noConversion"/>
  </si>
  <si>
    <t xml:space="preserve">易伤 钝击 
免疫 毒素；力竭，中毒 
装备 短弓，短剑 
感官 黑暗视觉60尺；被动察觉9 
语言 理解通用语以及一门其他语言，但不会说 
CR 1/4（XP50；PB+2） </t>
    <phoneticPr fontId="68" type="noConversion"/>
  </si>
  <si>
    <t xml:space="preserve">短剑Shortsword。近战攻击检定：+5，触及5尺。命中：6（1d6+3）穿刺伤害。
短弓Shortbow。远程攻击检定：+5，射程80/320尺。命中：6（1d6+3）穿刺伤害。 </t>
    <phoneticPr fontId="68" type="noConversion"/>
  </si>
  <si>
    <t xml:space="preserve">技能 隐匿+4 
抗性 强酸，寒冷，火焰，闪电，雷鸣 
感官 黑暗视觉60尺；被动察觉7 
语言 理解史拉蟾语，但不会说 
CR 1/8（XP25；PB+2） </t>
    <phoneticPr fontId="68" type="noConversion"/>
  </si>
  <si>
    <t>魔法抗性Magic Resistance。史拉蟾对抗法术和其他魔法效应时进行的豁免检定具有优势。</t>
    <phoneticPr fontId="68" type="noConversion"/>
  </si>
  <si>
    <t xml:space="preserve">啃咬Bite。近战攻击检定：+4，触及5尺。命中：5（1d6+2）穿刺伤害。 </t>
    <phoneticPr fontId="68" type="noConversion"/>
  </si>
  <si>
    <t>守序中立</t>
    <phoneticPr fontId="68" type="noConversion"/>
  </si>
  <si>
    <t>天族</t>
  </si>
  <si>
    <t xml:space="preserve">技能 奥秘+4，宗教+4，隐匿+5 
抗性 暗蚀，心灵，光耀 
感官 黑暗视觉60尺；被动察觉11 
语言 天界语，通用语 
CR 1（XP200；PB+2） </t>
    <phoneticPr fontId="68" type="noConversion"/>
  </si>
  <si>
    <t>魔法抗性Magic Resistance。 斯芬克斯对抗法术和其他魔法效应时进行的豁免检定具有优势。</t>
    <phoneticPr fontId="68" type="noConversion"/>
  </si>
  <si>
    <t>10尺，飞行40尺</t>
    <phoneticPr fontId="68" type="noConversion"/>
  </si>
  <si>
    <t xml:space="preserve">技能 察觉+3、隐匿+8 
感官 被动察觉13 
语言 通用语，精灵语，木族语 
CR 1/4（XP50；PB+2） </t>
    <phoneticPr fontId="68" type="noConversion"/>
  </si>
  <si>
    <t xml:space="preserve">针剑Needle Sword。近战攻击检定：+6，触及5尺。 命中：6（1d4+4）点穿刺伤害。
惑控之弓Enchanting Bow。远程攻击检定：+6，射程40/160尺。 命中：1穿刺伤害，且目标陷入魅惑状态，直至小仙灵的下个回合开始。
真心视界Heart Sight。魅力豁免检定：DC10，单一5尺内小仙灵可见的生物（此豁免天族、邪魔、亡灵自动失败）。 失败：小仙灵获悉目标的情绪与阵营。 
隐形Invisibility。小仙灵对自身施展隐形术Invisibility，无需法术成分并使用魅力作为施法属性。 </t>
    <phoneticPr fontId="68" type="noConversion"/>
  </si>
  <si>
    <t>30尺，游泳30尺</t>
  </si>
  <si>
    <t xml:space="preserve">感官 盲视10尺；被动察觉10 
语言 无 
CR 1/8（XP25；PB+2） </t>
    <phoneticPr fontId="68" type="noConversion"/>
  </si>
  <si>
    <t xml:space="preserve">啃咬Bite。近战攻击检定：+4，触及5尺。命中：4（1d4+2）穿刺伤害外加3（1d6）毒素伤害。 </t>
    <phoneticPr fontId="68" type="noConversion"/>
  </si>
  <si>
    <t>寻获魔宠速查</t>
    <phoneticPr fontId="68" type="noConversion"/>
  </si>
  <si>
    <t>魔宠类型</t>
    <phoneticPr fontId="68" type="noConversion"/>
  </si>
  <si>
    <t>种类</t>
    <phoneticPr fontId="68" type="noConversion"/>
  </si>
  <si>
    <t>名字</t>
    <phoneticPr fontId="68" type="noConversion"/>
  </si>
  <si>
    <t>调整</t>
    <phoneticPr fontId="68" type="noConversion"/>
  </si>
  <si>
    <t>豁免</t>
    <phoneticPr fontId="68" type="noConversion"/>
  </si>
  <si>
    <t>骷髅</t>
    <phoneticPr fontId="68" type="noConversion"/>
  </si>
  <si>
    <t>求索斯芬克斯</t>
  </si>
  <si>
    <t xml:space="preserve">触须Tentacles。近战攻击检定：+4，触及5尺。命中：1钝击伤害。
反应
墨水云Ink Cloud（1/日）。触发：一名处于水下的生物在章鱼5尺内结束其回合。 响应：章鱼释放出墨水覆盖以自己为中心的5尺立方区域，且章鱼移动至多等于其游泳速度的距离。该立方区域在1分钟内变为重度遮蔽，当有强劲水流或类似效应将墨水击散时，该效应提前结束。 </t>
    <phoneticPr fontId="68" type="noConversion"/>
  </si>
  <si>
    <t>撕裂Rend。近战攻击检定：+5，触及5尺。命中：5（1d4+3）挥砍伤害外加7（2d6）光耀伤害。
反应
灵光乍现Burst of Ingenuity（2/日）。触发：斯芬克斯或其30尺内另一生物进行一次属性检定或豁免检定。响应： 斯芬克斯令其结果+2。</t>
    <phoneticPr fontId="68" type="noConversion"/>
  </si>
  <si>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在你后续的回合中，你能够以一个魔法动作将立方区域传送至多30尺。
升环施法。 使用的法术位每比二环高一环，此法术的伤害就增加2d4。</t>
    <phoneticPr fontId="68" type="noConversion"/>
  </si>
  <si>
    <t>雷鸣</t>
    <phoneticPr fontId="68" type="noConversion"/>
  </si>
  <si>
    <t>群体疗伤术</t>
    <phoneticPr fontId="68" type="noConversion"/>
  </si>
  <si>
    <t>光亮术</t>
    <phoneticPr fontId="68" type="noConversion"/>
  </si>
  <si>
    <t>你触碰一个体型不超过大型，且未被他人携带/着装的物件。在法术终止前，物件将发出20尺半径的明亮光照，以及其外20尺范围的微光光照。光的颜色由你决定。
该物件被不透明的东西完全遮盖时，其光照也将被遮挡。此法术将在你再次施展它时提前终止。</t>
    <phoneticPr fontId="68" type="noConversion"/>
  </si>
  <si>
    <t>加值</t>
    <phoneticPr fontId="68" type="noConversion"/>
  </si>
  <si>
    <t>附加伤害骰</t>
    <phoneticPr fontId="68" type="noConversion"/>
  </si>
  <si>
    <t>汲血之触</t>
    <phoneticPr fontId="68" type="noConversion"/>
  </si>
  <si>
    <t>选中法术，按下F9即可查看法术详述</t>
    <phoneticPr fontId="68" type="noConversion"/>
  </si>
  <si>
    <t>绿：专注 蓝：仪式</t>
    <phoneticPr fontId="68" type="noConversion"/>
  </si>
  <si>
    <t>总计</t>
    <phoneticPr fontId="68" type="noConversion"/>
  </si>
  <si>
    <t>计算</t>
    <phoneticPr fontId="68" type="noConversion"/>
  </si>
  <si>
    <t>生命骰</t>
    <phoneticPr fontId="68" type="noConversion"/>
  </si>
  <si>
    <r>
      <rPr>
        <b/>
        <sz val="12"/>
        <color theme="0"/>
        <rFont val="宋体"/>
        <family val="3"/>
        <charset val="134"/>
      </rPr>
      <t>短休生命骰回复计算工具（按</t>
    </r>
    <r>
      <rPr>
        <b/>
        <sz val="12"/>
        <color theme="0"/>
        <rFont val="Times New Roman"/>
        <family val="3"/>
      </rPr>
      <t>F9</t>
    </r>
    <r>
      <rPr>
        <b/>
        <sz val="12"/>
        <color theme="0"/>
        <rFont val="宋体"/>
        <family val="3"/>
        <charset val="134"/>
      </rPr>
      <t>重新</t>
    </r>
    <r>
      <rPr>
        <b/>
        <sz val="12"/>
        <color theme="0"/>
        <rFont val="Times New Roman"/>
        <family val="3"/>
      </rPr>
      <t>roll</t>
    </r>
    <r>
      <rPr>
        <b/>
        <sz val="12"/>
        <color theme="0"/>
        <rFont val="宋体"/>
        <family val="3"/>
        <charset val="134"/>
      </rPr>
      <t>值）</t>
    </r>
    <phoneticPr fontId="68" type="noConversion"/>
  </si>
  <si>
    <t>双管霰弹枪</t>
  </si>
  <si>
    <t>狩猎步枪</t>
  </si>
  <si>
    <t>袖珍手枪</t>
  </si>
  <si>
    <t>左轮枪</t>
  </si>
  <si>
    <t>信号枪</t>
  </si>
  <si>
    <t>手枪</t>
  </si>
  <si>
    <t>加农炮</t>
  </si>
  <si>
    <t>加特林机枪</t>
  </si>
  <si>
    <t>马格南</t>
  </si>
  <si>
    <t>突击步枪</t>
  </si>
  <si>
    <t>泵动式霰弹枪</t>
  </si>
  <si>
    <t>狙击步枪</t>
  </si>
  <si>
    <t>冲锋枪</t>
  </si>
  <si>
    <t>检索</t>
    <phoneticPr fontId="68" type="noConversion"/>
  </si>
  <si>
    <t>D6</t>
    <phoneticPr fontId="68" type="noConversion"/>
  </si>
  <si>
    <t>D10</t>
    <phoneticPr fontId="68" type="noConversion"/>
  </si>
  <si>
    <t>临时生命</t>
    <phoneticPr fontId="68" type="noConversion"/>
  </si>
  <si>
    <t>黑视</t>
    <phoneticPr fontId="68" type="noConversion"/>
  </si>
  <si>
    <t>回复</t>
    <phoneticPr fontId="68" type="noConversion"/>
  </si>
  <si>
    <t>被察</t>
    <phoneticPr fontId="68" type="noConversion"/>
  </si>
  <si>
    <t>DC</t>
    <phoneticPr fontId="68" type="noConversion"/>
  </si>
  <si>
    <t>隐匿劣势</t>
    <phoneticPr fontId="68" type="noConversion"/>
  </si>
  <si>
    <r>
      <t>1.0.0</t>
    </r>
    <r>
      <rPr>
        <sz val="11"/>
        <color theme="1"/>
        <rFont val="宋体"/>
        <family val="1"/>
        <charset val="134"/>
      </rPr>
      <t>先导版：</t>
    </r>
    <r>
      <rPr>
        <sz val="11"/>
        <color theme="1"/>
        <rFont val="Times New Roman"/>
        <family val="1"/>
      </rPr>
      <t xml:space="preserve">
</t>
    </r>
    <r>
      <rPr>
        <sz val="11"/>
        <color theme="1"/>
        <rFont val="宋体"/>
        <family val="1"/>
        <charset val="134"/>
      </rPr>
      <t>艾伯伦：奇械锻炉，惊奇一发：节日包，拳斗士收录，</t>
    </r>
    <r>
      <rPr>
        <sz val="11"/>
        <color theme="1"/>
        <rFont val="Times New Roman"/>
        <family val="1"/>
      </rPr>
      <t>FR</t>
    </r>
    <r>
      <rPr>
        <sz val="11"/>
        <color theme="1"/>
        <rFont val="宋体"/>
        <family val="1"/>
        <charset val="134"/>
      </rPr>
      <t>预录入内容校对完成</t>
    </r>
    <r>
      <rPr>
        <sz val="11"/>
        <color theme="1"/>
        <rFont val="Times New Roman"/>
        <family val="1"/>
      </rPr>
      <t xml:space="preserve">
</t>
    </r>
    <r>
      <rPr>
        <sz val="11"/>
        <color theme="1"/>
        <rFont val="宋体"/>
        <family val="1"/>
        <charset val="134"/>
      </rPr>
      <t>邪狱使</t>
    </r>
    <r>
      <rPr>
        <sz val="11"/>
        <color theme="1"/>
        <rFont val="Times New Roman"/>
        <family val="1"/>
      </rPr>
      <t>BUG</t>
    </r>
    <r>
      <rPr>
        <sz val="11"/>
        <color theme="1"/>
        <rFont val="宋体"/>
        <family val="1"/>
        <charset val="134"/>
      </rPr>
      <t>修复</t>
    </r>
    <r>
      <rPr>
        <sz val="11"/>
        <color theme="1"/>
        <rFont val="Times New Roman"/>
        <family val="1"/>
      </rPr>
      <t xml:space="preserve">
</t>
    </r>
    <r>
      <rPr>
        <sz val="11"/>
        <color theme="1"/>
        <rFont val="宋体"/>
        <family val="1"/>
        <charset val="134"/>
      </rPr>
      <t>补录部分</t>
    </r>
    <r>
      <rPr>
        <sz val="11"/>
        <color theme="1"/>
        <rFont val="Times New Roman"/>
        <family val="1"/>
      </rPr>
      <t>UA</t>
    </r>
    <r>
      <rPr>
        <sz val="11"/>
        <color theme="1"/>
        <rFont val="宋体"/>
        <family val="1"/>
        <charset val="134"/>
      </rPr>
      <t>内容，并修复可能出现的</t>
    </r>
    <r>
      <rPr>
        <sz val="11"/>
        <color theme="1"/>
        <rFont val="Times New Roman"/>
        <family val="1"/>
      </rPr>
      <t>bug</t>
    </r>
    <r>
      <rPr>
        <sz val="11"/>
        <color theme="1"/>
        <rFont val="宋体"/>
        <family val="1"/>
        <charset val="134"/>
      </rPr>
      <t>后将正式进入</t>
    </r>
    <r>
      <rPr>
        <sz val="11"/>
        <color theme="1"/>
        <rFont val="Times New Roman"/>
        <family val="1"/>
      </rPr>
      <t>1.0.0</t>
    </r>
    <r>
      <rPr>
        <sz val="11"/>
        <color theme="1"/>
        <rFont val="宋体"/>
        <family val="1"/>
        <charset val="134"/>
      </rPr>
      <t xml:space="preserve">版本
</t>
    </r>
    <r>
      <rPr>
        <sz val="11"/>
        <color theme="1"/>
        <rFont val="Times New Roman"/>
        <family val="1"/>
      </rPr>
      <t xml:space="preserve">
1.0.0</t>
    </r>
    <r>
      <rPr>
        <sz val="11"/>
        <color theme="1"/>
        <rFont val="宋体"/>
        <family val="1"/>
        <charset val="134"/>
      </rPr>
      <t>正式版：</t>
    </r>
    <r>
      <rPr>
        <sz val="11"/>
        <color theme="1"/>
        <rFont val="Times New Roman"/>
        <family val="1"/>
      </rPr>
      <t xml:space="preserve">
</t>
    </r>
    <r>
      <rPr>
        <sz val="11"/>
        <color theme="1"/>
        <rFont val="宋体"/>
        <family val="1"/>
        <charset val="134"/>
      </rPr>
      <t>修复录入数据时未正确检索的</t>
    </r>
    <r>
      <rPr>
        <sz val="11"/>
        <color theme="1"/>
        <rFont val="Times New Roman"/>
        <family val="1"/>
      </rPr>
      <t>BUG</t>
    </r>
    <r>
      <rPr>
        <sz val="11"/>
        <color theme="1"/>
        <rFont val="宋体"/>
        <family val="1"/>
        <charset val="134"/>
      </rPr>
      <t>；施法者准备法术数量速查更改为具体职业显示，以适配各种</t>
    </r>
    <r>
      <rPr>
        <sz val="11"/>
        <color theme="1"/>
        <rFont val="Times New Roman"/>
        <family val="1"/>
      </rPr>
      <t>1/3</t>
    </r>
    <r>
      <rPr>
        <sz val="11"/>
        <color theme="1"/>
        <rFont val="宋体"/>
        <family val="1"/>
        <charset val="134"/>
      </rPr>
      <t>施法者；灵能</t>
    </r>
    <r>
      <rPr>
        <sz val="11"/>
        <color theme="1"/>
        <rFont val="Times New Roman"/>
        <family val="1"/>
      </rPr>
      <t>UA</t>
    </r>
    <r>
      <rPr>
        <sz val="11"/>
        <color theme="1"/>
        <rFont val="宋体"/>
        <family val="1"/>
        <charset val="134"/>
      </rPr>
      <t>更新至</t>
    </r>
    <r>
      <rPr>
        <sz val="11"/>
        <color theme="1"/>
        <rFont val="Times New Roman"/>
        <family val="1"/>
      </rPr>
      <t>2</t>
    </r>
    <r>
      <rPr>
        <sz val="11"/>
        <color theme="1"/>
        <rFont val="宋体"/>
        <family val="1"/>
        <charset val="134"/>
      </rPr>
      <t>期，删除法术与裂空使子职；收录浩劫子职与神秘子职</t>
    </r>
    <r>
      <rPr>
        <sz val="11"/>
        <color theme="1"/>
        <rFont val="Times New Roman"/>
        <family val="1"/>
      </rPr>
      <t xml:space="preserve">UA
</t>
    </r>
    <r>
      <rPr>
        <sz val="11"/>
        <color theme="1"/>
        <rFont val="宋体"/>
        <family val="1"/>
        <charset val="134"/>
      </rPr>
      <t>（由于个人喜恶，阿斯代伦书暂且不准备收录）</t>
    </r>
    <r>
      <rPr>
        <sz val="11"/>
        <color theme="1"/>
        <rFont val="Times New Roman"/>
        <family val="1"/>
      </rPr>
      <t xml:space="preserve">
1.0.1</t>
    </r>
    <r>
      <rPr>
        <sz val="11"/>
        <color theme="1"/>
        <rFont val="宋体"/>
        <family val="1"/>
        <charset val="134"/>
      </rPr>
      <t>：补上了灵能的裂空使子职</t>
    </r>
    <r>
      <rPr>
        <sz val="11"/>
        <color theme="1"/>
        <rFont val="Times New Roman"/>
        <family val="1"/>
      </rPr>
      <t xml:space="preserve">
1.0.2</t>
    </r>
    <r>
      <rPr>
        <sz val="11"/>
        <color theme="1"/>
        <rFont val="宋体"/>
        <family val="1"/>
        <charset val="134"/>
      </rPr>
      <t>：修补自选武器攻击属性后所有武器栏都会出现调整值的</t>
    </r>
    <r>
      <rPr>
        <sz val="11"/>
        <color theme="1"/>
        <rFont val="Times New Roman"/>
        <family val="1"/>
      </rPr>
      <t>BUG</t>
    </r>
    <r>
      <rPr>
        <sz val="11"/>
        <color theme="1"/>
        <rFont val="宋体"/>
        <family val="1"/>
        <charset val="134"/>
      </rPr>
      <t>，同时现在选择属性只会影响上方三行的武器</t>
    </r>
    <r>
      <rPr>
        <sz val="11"/>
        <color theme="1"/>
        <rFont val="Times New Roman"/>
        <family val="1"/>
      </rPr>
      <t xml:space="preserve">
1.0.3</t>
    </r>
    <r>
      <rPr>
        <sz val="11"/>
        <color theme="1"/>
        <rFont val="宋体"/>
        <family val="1"/>
        <charset val="134"/>
      </rPr>
      <t>：修正</t>
    </r>
    <r>
      <rPr>
        <sz val="11"/>
        <color theme="1"/>
        <rFont val="Times New Roman"/>
        <family val="1"/>
      </rPr>
      <t>1/3</t>
    </r>
    <r>
      <rPr>
        <sz val="11"/>
        <color theme="1"/>
        <rFont val="宋体"/>
        <family val="1"/>
        <charset val="134"/>
      </rPr>
      <t xml:space="preserve">施法者兼职等级计算的错误，优化公式，修改此页面布局
</t>
    </r>
    <r>
      <rPr>
        <sz val="11"/>
        <color theme="1"/>
        <rFont val="Times New Roman"/>
        <family val="1"/>
      </rPr>
      <t>1.0.4</t>
    </r>
    <r>
      <rPr>
        <sz val="11"/>
        <color theme="1"/>
        <rFont val="宋体"/>
        <family val="1"/>
        <charset val="134"/>
      </rPr>
      <t>：补上军用近战武器</t>
    </r>
    <r>
      <rPr>
        <sz val="11"/>
        <color theme="1"/>
        <rFont val="Times New Roman"/>
        <family val="1"/>
      </rPr>
      <t>-</t>
    </r>
    <r>
      <rPr>
        <sz val="11"/>
        <color theme="1"/>
        <rFont val="宋体"/>
        <family val="1"/>
        <charset val="134"/>
      </rPr>
      <t>双刃弯刀的数据，专长选取按照起源</t>
    </r>
    <r>
      <rPr>
        <sz val="11"/>
        <color theme="1"/>
        <rFont val="Times New Roman"/>
        <family val="1"/>
      </rPr>
      <t>-</t>
    </r>
    <r>
      <rPr>
        <sz val="11"/>
        <color theme="1"/>
        <rFont val="宋体"/>
        <family val="1"/>
        <charset val="134"/>
      </rPr>
      <t>通用</t>
    </r>
    <r>
      <rPr>
        <sz val="11"/>
        <color theme="1"/>
        <rFont val="Times New Roman"/>
        <family val="1"/>
      </rPr>
      <t>-</t>
    </r>
    <r>
      <rPr>
        <sz val="11"/>
        <color theme="1"/>
        <rFont val="宋体"/>
        <family val="1"/>
        <charset val="134"/>
      </rPr>
      <t>传奇恩惠区分</t>
    </r>
    <r>
      <rPr>
        <sz val="11"/>
        <color theme="1"/>
        <rFont val="Times New Roman"/>
        <family val="1"/>
      </rPr>
      <t xml:space="preserve">
1.0.5</t>
    </r>
    <r>
      <rPr>
        <sz val="11"/>
        <color theme="1"/>
        <rFont val="宋体"/>
        <family val="1"/>
        <charset val="134"/>
      </rPr>
      <t xml:space="preserve">：删除计算载重的负重变体，载重增加关于体型的自动化（暂未做歌利亚等种族的适配）
</t>
    </r>
    <r>
      <rPr>
        <sz val="11"/>
        <color theme="1"/>
        <rFont val="Times New Roman"/>
        <family val="1"/>
      </rPr>
      <t xml:space="preserve">
1.0.6</t>
    </r>
    <r>
      <rPr>
        <sz val="11"/>
        <color theme="1"/>
        <rFont val="宋体"/>
        <family val="1"/>
        <charset val="134"/>
      </rPr>
      <t>：
增加</t>
    </r>
    <r>
      <rPr>
        <sz val="11"/>
        <color theme="1"/>
        <rFont val="Times New Roman"/>
        <family val="1"/>
      </rPr>
      <t>Buy</t>
    </r>
    <r>
      <rPr>
        <sz val="11"/>
        <color theme="1"/>
        <rFont val="宋体"/>
        <family val="1"/>
        <charset val="134"/>
      </rPr>
      <t>点自定义内容，法术大全增加学派自动变色功能，弹药计重方式更新；
主要界面布局修正：
扩展资源选取移动至自定义页；
武器增加精通自定义与效果查询，武器增加额外伤害格用以记录神武、魂衣等</t>
    </r>
    <r>
      <rPr>
        <sz val="11"/>
        <color theme="1"/>
        <rFont val="Times New Roman"/>
        <family val="1"/>
      </rPr>
      <t>buff
1.0.7</t>
    </r>
    <r>
      <rPr>
        <sz val="11"/>
        <color theme="1"/>
        <rFont val="宋体"/>
        <family val="1"/>
        <charset val="134"/>
      </rPr>
      <t xml:space="preserve">：新增寻获魔宠速查
</t>
    </r>
    <r>
      <rPr>
        <sz val="11"/>
        <color theme="1"/>
        <rFont val="Times New Roman"/>
        <family val="1"/>
      </rPr>
      <t>1.0.8</t>
    </r>
    <r>
      <rPr>
        <sz val="11"/>
        <color theme="1"/>
        <rFont val="宋体"/>
        <family val="1"/>
        <charset val="134"/>
      </rPr>
      <t xml:space="preserve">：新增武器伤害类型变色，增加了几个彩蛋
</t>
    </r>
    <r>
      <rPr>
        <sz val="11"/>
        <color theme="1"/>
        <rFont val="Times New Roman"/>
        <family val="1"/>
      </rPr>
      <t>1.0.9</t>
    </r>
    <r>
      <rPr>
        <sz val="11"/>
        <color theme="1"/>
        <rFont val="宋体"/>
        <family val="1"/>
        <charset val="134"/>
      </rPr>
      <t>：新增短休生命骰回复掷骰组件（位于自定义界面），尖塔书枪械薯条删除（铳士</t>
    </r>
    <r>
      <rPr>
        <sz val="11"/>
        <color theme="1"/>
        <rFont val="Times New Roman"/>
        <family val="1"/>
      </rPr>
      <t>11</t>
    </r>
    <r>
      <rPr>
        <sz val="11"/>
        <color theme="1"/>
        <rFont val="宋体"/>
        <family val="1"/>
        <charset val="134"/>
      </rPr>
      <t>级自动添回）</t>
    </r>
    <phoneticPr fontId="68" type="noConversion"/>
  </si>
  <si>
    <t>蛇鳞甲</t>
  </si>
  <si>
    <t>这套魔法护甲由闪闪发光的蛇鳞制成，当穿上它时，你可以使用全部的敏捷调整值（没有最高+2的限制）来决定你的护甲等级。除此之外，着装者进行敏捷（隐匿）检定时不再具有劣势。</t>
  </si>
  <si>
    <t>起始资金</t>
    <phoneticPr fontId="68" type="noConversion"/>
  </si>
  <si>
    <t>符之魔契</t>
    <phoneticPr fontId="68" type="noConversion"/>
  </si>
  <si>
    <r>
      <rPr>
        <sz val="10"/>
        <color theme="1"/>
        <rFont val="宋体"/>
        <family val="3"/>
        <charset val="134"/>
      </rPr>
      <t>你的宗主赐予你一个护身符，一个当需要的时候可以帮助佩戴者的护身符。当佩戴者在一次属性检定中失败，他们可以在骰掷结果上增加一个</t>
    </r>
    <r>
      <rPr>
        <sz val="10"/>
        <color theme="1"/>
        <rFont val="Times New Roman"/>
        <family val="3"/>
      </rPr>
      <t>d4</t>
    </r>
    <r>
      <rPr>
        <sz val="10"/>
        <color theme="1"/>
        <rFont val="微软雅黑"/>
        <family val="3"/>
        <charset val="134"/>
      </rPr>
      <t>骰，这可能将结果变为成功。这一能力可使用的次数等于你的熟练加值，且所有已消耗的次数将会在你完成一次长休之后全部恢复。</t>
    </r>
    <r>
      <rPr>
        <sz val="10"/>
        <color theme="1"/>
        <rFont val="Times New Roman"/>
        <family val="3"/>
      </rPr>
      <t xml:space="preserve">
</t>
    </r>
    <r>
      <rPr>
        <sz val="10"/>
        <color theme="1"/>
        <rFont val="微软雅黑"/>
        <family val="3"/>
        <charset val="134"/>
      </rPr>
      <t>如果你弄丢了护身符，你可以进行一个</t>
    </r>
    <r>
      <rPr>
        <sz val="10"/>
        <color theme="1"/>
        <rFont val="Times New Roman"/>
        <family val="3"/>
      </rPr>
      <t>1</t>
    </r>
    <r>
      <rPr>
        <sz val="10"/>
        <color theme="1"/>
        <rFont val="微软雅黑"/>
        <family val="3"/>
        <charset val="134"/>
      </rPr>
      <t>小时的仪式从你的宗主那里得到一个替代品。这一仪式可以在一个短休或一个长休过程中完成，且它将会破坏之前的护身符。护身符将会在你死亡时消散为灰尘。</t>
    </r>
    <phoneticPr fontId="68" type="noConversion"/>
  </si>
  <si>
    <t>收入项目</t>
    <phoneticPr fontId="68" type="noConversion"/>
  </si>
  <si>
    <t>支出项目</t>
    <phoneticPr fontId="68" type="noConversion"/>
  </si>
  <si>
    <t>王冠之誓</t>
    <phoneticPr fontId="68" type="noConversion"/>
  </si>
  <si>
    <t>王冠之誓法术</t>
    <phoneticPr fontId="68" type="noConversion"/>
  </si>
  <si>
    <r>
      <rPr>
        <sz val="10"/>
        <color theme="1"/>
        <rFont val="宋体"/>
        <family val="1"/>
        <charset val="134"/>
      </rPr>
      <t>圣武士等级</t>
    </r>
    <r>
      <rPr>
        <sz val="10"/>
        <color theme="1"/>
        <rFont val="Times New Roman"/>
        <family val="1"/>
        <charset val="134"/>
      </rPr>
      <t xml:space="preserve"> </t>
    </r>
    <r>
      <rPr>
        <sz val="10"/>
        <color theme="1"/>
        <rFont val="宋体"/>
        <family val="1"/>
        <charset val="134"/>
      </rPr>
      <t>法术</t>
    </r>
    <r>
      <rPr>
        <sz val="10"/>
        <color theme="1"/>
        <rFont val="Times New Roman"/>
        <family val="1"/>
        <charset val="134"/>
      </rPr>
      <t xml:space="preserve"> 
3rd </t>
    </r>
    <r>
      <rPr>
        <sz val="10"/>
        <color theme="1"/>
        <rFont val="宋体"/>
        <family val="1"/>
        <charset val="134"/>
      </rPr>
      <t>命令术</t>
    </r>
    <r>
      <rPr>
        <sz val="10"/>
        <color theme="1"/>
        <rFont val="Times New Roman"/>
        <family val="1"/>
        <charset val="134"/>
      </rPr>
      <t>command</t>
    </r>
    <r>
      <rPr>
        <sz val="10"/>
        <color theme="1"/>
        <rFont val="宋体"/>
        <family val="1"/>
        <charset val="134"/>
      </rPr>
      <t>，强制决斗</t>
    </r>
    <r>
      <rPr>
        <sz val="10"/>
        <color theme="1"/>
        <rFont val="Times New Roman"/>
        <family val="1"/>
        <charset val="134"/>
      </rPr>
      <t xml:space="preserve">compelled duel  
5th </t>
    </r>
    <r>
      <rPr>
        <sz val="10"/>
        <color theme="1"/>
        <rFont val="宋体"/>
        <family val="1"/>
        <charset val="134"/>
      </rPr>
      <t>守护之链</t>
    </r>
    <r>
      <rPr>
        <sz val="10"/>
        <color theme="1"/>
        <rFont val="Times New Roman"/>
        <family val="1"/>
        <charset val="134"/>
      </rPr>
      <t>warding bond</t>
    </r>
    <r>
      <rPr>
        <sz val="10"/>
        <color theme="1"/>
        <rFont val="宋体"/>
        <family val="1"/>
        <charset val="134"/>
      </rPr>
      <t>，诚实之域</t>
    </r>
    <r>
      <rPr>
        <sz val="10"/>
        <color theme="1"/>
        <rFont val="Times New Roman"/>
        <family val="1"/>
        <charset val="134"/>
      </rPr>
      <t xml:space="preserve">zone of truth  
9th </t>
    </r>
    <r>
      <rPr>
        <sz val="10"/>
        <color theme="1"/>
        <rFont val="宋体"/>
        <family val="1"/>
        <charset val="134"/>
      </rPr>
      <t>活力灵光</t>
    </r>
    <r>
      <rPr>
        <sz val="10"/>
        <color theme="1"/>
        <rFont val="Times New Roman"/>
        <family val="1"/>
        <charset val="134"/>
      </rPr>
      <t>aura of vitality</t>
    </r>
    <r>
      <rPr>
        <sz val="10"/>
        <color theme="1"/>
        <rFont val="宋体"/>
        <family val="1"/>
        <charset val="134"/>
      </rPr>
      <t>，灵体卫士</t>
    </r>
    <r>
      <rPr>
        <sz val="10"/>
        <color theme="1"/>
        <rFont val="Times New Roman"/>
        <family val="1"/>
        <charset val="134"/>
      </rPr>
      <t xml:space="preserve">spirit guardians 
13th </t>
    </r>
    <r>
      <rPr>
        <sz val="10"/>
        <color theme="1"/>
        <rFont val="宋体"/>
        <family val="1"/>
        <charset val="134"/>
      </rPr>
      <t>放逐术</t>
    </r>
    <r>
      <rPr>
        <sz val="10"/>
        <color theme="1"/>
        <rFont val="Times New Roman"/>
        <family val="1"/>
        <charset val="134"/>
      </rPr>
      <t>banishment</t>
    </r>
    <r>
      <rPr>
        <sz val="10"/>
        <color theme="1"/>
        <rFont val="宋体"/>
        <family val="1"/>
        <charset val="134"/>
      </rPr>
      <t>，信仰守卫</t>
    </r>
    <r>
      <rPr>
        <sz val="10"/>
        <color theme="1"/>
        <rFont val="Times New Roman"/>
        <family val="1"/>
        <charset val="134"/>
      </rPr>
      <t xml:space="preserve">guardian of faith 
17th </t>
    </r>
    <r>
      <rPr>
        <sz val="10"/>
        <color theme="1"/>
        <rFont val="宋体"/>
        <family val="1"/>
        <charset val="134"/>
      </rPr>
      <t>威力法阵</t>
    </r>
    <r>
      <rPr>
        <sz val="10"/>
        <color theme="1"/>
        <rFont val="Times New Roman"/>
        <family val="1"/>
        <charset val="134"/>
      </rPr>
      <t>circle of power</t>
    </r>
    <r>
      <rPr>
        <sz val="10"/>
        <color theme="1"/>
        <rFont val="宋体"/>
        <family val="1"/>
        <charset val="134"/>
      </rPr>
      <t>，指使术</t>
    </r>
    <r>
      <rPr>
        <sz val="10"/>
        <color theme="1"/>
        <rFont val="Times New Roman"/>
        <family val="1"/>
        <charset val="134"/>
      </rPr>
      <t xml:space="preserve">geas </t>
    </r>
    <phoneticPr fontId="68" type="noConversion"/>
  </si>
  <si>
    <t>誓言引导神力</t>
    <phoneticPr fontId="68" type="noConversion"/>
  </si>
  <si>
    <r>
      <rPr>
        <sz val="10"/>
        <color theme="1"/>
        <rFont val="宋体"/>
        <family val="1"/>
        <charset val="134"/>
      </rPr>
      <t>捍卫挑战</t>
    </r>
    <r>
      <rPr>
        <sz val="10"/>
        <color theme="1"/>
        <rFont val="Times New Roman"/>
        <family val="1"/>
        <charset val="134"/>
      </rPr>
      <t>Champion Challenge.</t>
    </r>
    <r>
      <rPr>
        <sz val="10"/>
        <color theme="1"/>
        <rFont val="宋体"/>
        <family val="1"/>
        <charset val="134"/>
      </rPr>
      <t>以一个附赠动作，你发出挑战逼迫其他生物与你战斗。你可以选择</t>
    </r>
    <r>
      <rPr>
        <sz val="10"/>
        <color theme="1"/>
        <rFont val="Times New Roman"/>
        <family val="1"/>
        <charset val="134"/>
      </rPr>
      <t>30</t>
    </r>
    <r>
      <rPr>
        <sz val="10"/>
        <color theme="1"/>
        <rFont val="宋体"/>
        <family val="1"/>
        <charset val="134"/>
      </rPr>
      <t>尺内任意数量你可以看见的生物，他们每一个都必须要通过一次感知豁免。如果豁免失败，那个生物将不能自愿的从你周围</t>
    </r>
    <r>
      <rPr>
        <sz val="10"/>
        <color theme="1"/>
        <rFont val="Times New Roman"/>
        <family val="1"/>
        <charset val="134"/>
      </rPr>
      <t>30</t>
    </r>
    <r>
      <rPr>
        <sz val="10"/>
        <color theme="1"/>
        <rFont val="宋体"/>
        <family val="1"/>
        <charset val="134"/>
      </rPr>
      <t>尺范围离开。此效果会在你陷入失能或死亡，或生物与你之间的距离超过</t>
    </r>
    <r>
      <rPr>
        <sz val="10"/>
        <color theme="1"/>
        <rFont val="Times New Roman"/>
        <family val="1"/>
        <charset val="134"/>
      </rPr>
      <t>30</t>
    </r>
    <r>
      <rPr>
        <sz val="10"/>
        <color theme="1"/>
        <rFont val="宋体"/>
        <family val="1"/>
        <charset val="134"/>
      </rPr>
      <t>尺结束。</t>
    </r>
    <r>
      <rPr>
        <sz val="10"/>
        <color theme="1"/>
        <rFont val="Times New Roman"/>
        <family val="1"/>
        <charset val="134"/>
      </rPr>
      <t xml:space="preserve">
</t>
    </r>
    <r>
      <rPr>
        <sz val="10"/>
        <color theme="1"/>
        <rFont val="宋体"/>
        <family val="1"/>
        <charset val="134"/>
      </rPr>
      <t>扭转局势</t>
    </r>
    <r>
      <rPr>
        <sz val="10"/>
        <color theme="1"/>
        <rFont val="Times New Roman"/>
        <family val="1"/>
        <charset val="134"/>
      </rPr>
      <t>Turn the Tide.</t>
    </r>
    <r>
      <rPr>
        <sz val="10"/>
        <color theme="1"/>
        <rFont val="宋体"/>
        <family val="1"/>
        <charset val="134"/>
      </rPr>
      <t>以一个附赠动作，你可以引导神力支撑受伤的生物继续战斗。每个你周围</t>
    </r>
    <r>
      <rPr>
        <sz val="10"/>
        <color theme="1"/>
        <rFont val="Times New Roman"/>
        <family val="1"/>
        <charset val="134"/>
      </rPr>
      <t>30</t>
    </r>
    <r>
      <rPr>
        <sz val="10"/>
        <color theme="1"/>
        <rFont val="宋体"/>
        <family val="1"/>
        <charset val="134"/>
      </rPr>
      <t>尺内的、由你选择的、可以听见你说话的、且生命值在一半以下的生物将立即恢复</t>
    </r>
    <r>
      <rPr>
        <sz val="10"/>
        <color theme="1"/>
        <rFont val="Times New Roman"/>
        <family val="1"/>
        <charset val="134"/>
      </rPr>
      <t xml:space="preserve">1d6 + </t>
    </r>
    <r>
      <rPr>
        <sz val="10"/>
        <color theme="1"/>
        <rFont val="宋体"/>
        <family val="1"/>
        <charset val="134"/>
      </rPr>
      <t>你的魅力调整值（最少</t>
    </r>
    <r>
      <rPr>
        <sz val="10"/>
        <color theme="1"/>
        <rFont val="Times New Roman"/>
        <family val="1"/>
        <charset val="134"/>
      </rPr>
      <t>1</t>
    </r>
    <r>
      <rPr>
        <sz val="10"/>
        <color theme="1"/>
        <rFont val="宋体"/>
        <family val="1"/>
        <charset val="134"/>
      </rPr>
      <t>点）的生命值。</t>
    </r>
    <phoneticPr fontId="68" type="noConversion"/>
  </si>
  <si>
    <t>神圣誓忠</t>
    <phoneticPr fontId="68" type="noConversion"/>
  </si>
  <si>
    <r>
      <rPr>
        <sz val="10"/>
        <color theme="1"/>
        <rFont val="宋体"/>
        <family val="1"/>
        <charset val="134"/>
      </rPr>
      <t>如果一个在你周围</t>
    </r>
    <r>
      <rPr>
        <sz val="10"/>
        <color theme="1"/>
        <rFont val="Times New Roman"/>
        <family val="1"/>
        <charset val="134"/>
      </rPr>
      <t>5</t>
    </r>
    <r>
      <rPr>
        <sz val="10"/>
        <color theme="1"/>
        <rFont val="宋体"/>
        <family val="1"/>
        <charset val="134"/>
      </rPr>
      <t>尺内的生物受到伤害，你可以使用你的反应魔法性地用你自己的躯体代替目标生物。目标不再受伤，但作为代替，你将承受这一次伤害，你不能用任何方式减少或者阻止这个伤害。</t>
    </r>
    <phoneticPr fontId="68" type="noConversion"/>
  </si>
  <si>
    <t>顽强精神</t>
    <phoneticPr fontId="68" type="noConversion"/>
  </si>
  <si>
    <r>
      <rPr>
        <sz val="10"/>
        <color theme="1"/>
        <rFont val="宋体"/>
        <family val="1"/>
        <charset val="134"/>
      </rPr>
      <t>你在避免陷入</t>
    </r>
    <r>
      <rPr>
        <sz val="10"/>
        <color theme="1"/>
        <rFont val="Times New Roman"/>
        <family val="1"/>
        <charset val="134"/>
      </rPr>
      <t xml:space="preserve"> </t>
    </r>
    <r>
      <rPr>
        <sz val="10"/>
        <color theme="1"/>
        <rFont val="宋体"/>
        <family val="1"/>
        <charset val="134"/>
      </rPr>
      <t>麻痹</t>
    </r>
    <r>
      <rPr>
        <sz val="10"/>
        <color theme="1"/>
        <rFont val="Times New Roman"/>
        <family val="1"/>
        <charset val="134"/>
      </rPr>
      <t>paralyzed</t>
    </r>
    <r>
      <rPr>
        <sz val="10"/>
        <color theme="1"/>
        <rFont val="宋体"/>
        <family val="1"/>
        <charset val="134"/>
      </rPr>
      <t>状态</t>
    </r>
    <r>
      <rPr>
        <sz val="10"/>
        <color theme="1"/>
        <rFont val="Times New Roman"/>
        <family val="1"/>
        <charset val="134"/>
      </rPr>
      <t xml:space="preserve"> </t>
    </r>
    <r>
      <rPr>
        <sz val="10"/>
        <color theme="1"/>
        <rFont val="宋体"/>
        <family val="1"/>
        <charset val="134"/>
      </rPr>
      <t>或</t>
    </r>
    <r>
      <rPr>
        <sz val="10"/>
        <color theme="1"/>
        <rFont val="Times New Roman"/>
        <family val="1"/>
        <charset val="134"/>
      </rPr>
      <t xml:space="preserve"> </t>
    </r>
    <r>
      <rPr>
        <sz val="10"/>
        <color theme="1"/>
        <rFont val="宋体"/>
        <family val="1"/>
        <charset val="134"/>
      </rPr>
      <t>震慑</t>
    </r>
    <r>
      <rPr>
        <sz val="10"/>
        <color theme="1"/>
        <rFont val="Times New Roman"/>
        <family val="1"/>
        <charset val="134"/>
      </rPr>
      <t xml:space="preserve">stunned </t>
    </r>
    <r>
      <rPr>
        <sz val="10"/>
        <color theme="1"/>
        <rFont val="宋体"/>
        <family val="1"/>
        <charset val="134"/>
      </rPr>
      <t>状态所作的豁免检定中得到优势。</t>
    </r>
    <phoneticPr fontId="68" type="noConversion"/>
  </si>
  <si>
    <t>崇高卫士</t>
    <phoneticPr fontId="68" type="noConversion"/>
  </si>
  <si>
    <r>
      <rPr>
        <sz val="10"/>
        <color theme="1"/>
        <rFont val="宋体"/>
        <family val="1"/>
        <charset val="134"/>
      </rPr>
      <t>对于那些献身于你所遵从的事业的人而言，你已经成为了一个鼓舞人心的完美典范。你可以用一个动作在接下来</t>
    </r>
    <r>
      <rPr>
        <sz val="10"/>
        <color theme="1"/>
        <rFont val="Times New Roman"/>
        <family val="1"/>
        <charset val="134"/>
      </rPr>
      <t>1</t>
    </r>
    <r>
      <rPr>
        <sz val="10"/>
        <color theme="1"/>
        <rFont val="宋体"/>
        <family val="1"/>
        <charset val="134"/>
      </rPr>
      <t>个小时里得到如下好处：</t>
    </r>
    <r>
      <rPr>
        <sz val="10"/>
        <color theme="1"/>
        <rFont val="Times New Roman"/>
        <family val="1"/>
        <charset val="134"/>
      </rPr>
      <t xml:space="preserve">
· </t>
    </r>
    <r>
      <rPr>
        <sz val="10"/>
        <color theme="1"/>
        <rFont val="宋体"/>
        <family val="1"/>
        <charset val="134"/>
      </rPr>
      <t>你获得非魔法武器造成的钝击、穿刺和挥砍伤害的抗性。</t>
    </r>
    <r>
      <rPr>
        <sz val="10"/>
        <color theme="1"/>
        <rFont val="Times New Roman"/>
        <family val="1"/>
        <charset val="134"/>
      </rPr>
      <t xml:space="preserve">
· </t>
    </r>
    <r>
      <rPr>
        <sz val="10"/>
        <color theme="1"/>
        <rFont val="宋体"/>
        <family val="1"/>
        <charset val="134"/>
      </rPr>
      <t>你周围</t>
    </r>
    <r>
      <rPr>
        <sz val="10"/>
        <color theme="1"/>
        <rFont val="Times New Roman"/>
        <family val="1"/>
        <charset val="134"/>
      </rPr>
      <t>30</t>
    </r>
    <r>
      <rPr>
        <sz val="10"/>
        <color theme="1"/>
        <rFont val="宋体"/>
        <family val="1"/>
        <charset val="134"/>
      </rPr>
      <t>尺范围内的盟友在进行死亡豁免时具有优势。</t>
    </r>
    <r>
      <rPr>
        <sz val="10"/>
        <color theme="1"/>
        <rFont val="Times New Roman"/>
        <family val="1"/>
        <charset val="134"/>
      </rPr>
      <t xml:space="preserve">
· </t>
    </r>
    <r>
      <rPr>
        <sz val="10"/>
        <color theme="1"/>
        <rFont val="宋体"/>
        <family val="1"/>
        <charset val="134"/>
      </rPr>
      <t>你与你周围</t>
    </r>
    <r>
      <rPr>
        <sz val="10"/>
        <color theme="1"/>
        <rFont val="Times New Roman"/>
        <family val="1"/>
        <charset val="134"/>
      </rPr>
      <t>30</t>
    </r>
    <r>
      <rPr>
        <sz val="10"/>
        <color theme="1"/>
        <rFont val="宋体"/>
        <family val="1"/>
        <charset val="134"/>
      </rPr>
      <t>尺范围内的盟友在感知豁免上具有优势。</t>
    </r>
    <r>
      <rPr>
        <sz val="10"/>
        <color theme="1"/>
        <rFont val="Times New Roman"/>
        <family val="1"/>
        <charset val="134"/>
      </rPr>
      <t xml:space="preserve">
</t>
    </r>
    <r>
      <rPr>
        <sz val="10"/>
        <color theme="1"/>
        <rFont val="宋体"/>
        <family val="1"/>
        <charset val="134"/>
      </rPr>
      <t>这个效果将在你陷入失能状态或死亡时提前结束。一旦你使用了这个能力，在你完成一次长休之前你不能再次使用。</t>
    </r>
    <phoneticPr fontId="68" type="noConversion"/>
  </si>
  <si>
    <t>DND 5.5E 人物卡&lt;悲灵ver.&gt;（2024）</t>
    <phoneticPr fontId="68" type="noConversion"/>
  </si>
  <si>
    <t>右键下格，点击“复制”，然后切换到CCF，右键场面选择Paste (粘贴)。</t>
  </si>
  <si>
    <t>导入CCF</t>
  </si>
  <si>
    <t>右键下格，点击“复制”，并在右侧的TXT栏“粘贴”就可以导出文本，然后再选中文本，复制到最上方显示框，然后再剪切进QQ可以避免黏贴的是图片的问题。
也可以直接复制下格，复制进一个TXT文本。</t>
    <phoneticPr fontId="68" type="noConversion"/>
  </si>
  <si>
    <r>
      <t>1.0.10</t>
    </r>
    <r>
      <rPr>
        <sz val="11"/>
        <color theme="1"/>
        <rFont val="宋体"/>
        <family val="1"/>
        <charset val="134"/>
      </rPr>
      <t>：主要界面布局小调，特殊能力新增描述与回复时点显示，移除主要界面的计重显示</t>
    </r>
    <r>
      <rPr>
        <sz val="11"/>
        <color theme="1"/>
        <rFont val="Times New Roman"/>
        <family val="1"/>
      </rPr>
      <t xml:space="preserve">
1.0.11</t>
    </r>
    <r>
      <rPr>
        <sz val="11"/>
        <color theme="1"/>
        <rFont val="宋体"/>
        <family val="1"/>
        <charset val="134"/>
      </rPr>
      <t>：自定义界面中，第三方及</t>
    </r>
    <r>
      <rPr>
        <sz val="11"/>
        <color theme="1"/>
        <rFont val="Times New Roman"/>
        <family val="1"/>
      </rPr>
      <t>ua</t>
    </r>
    <r>
      <rPr>
        <sz val="11"/>
        <color theme="1"/>
        <rFont val="宋体"/>
        <family val="1"/>
        <charset val="134"/>
      </rPr>
      <t>资源默认为未开放状态</t>
    </r>
    <r>
      <rPr>
        <sz val="11"/>
        <color theme="1"/>
        <rFont val="Times New Roman"/>
        <family val="1"/>
      </rPr>
      <t xml:space="preserve">
1.0.12</t>
    </r>
    <r>
      <rPr>
        <sz val="11"/>
        <color theme="1"/>
        <rFont val="宋体"/>
        <family val="1"/>
        <charset val="134"/>
      </rPr>
      <t>：</t>
    </r>
    <r>
      <rPr>
        <sz val="11"/>
        <color theme="1"/>
        <rFont val="Times New Roman"/>
        <family val="1"/>
      </rPr>
      <t>BUG</t>
    </r>
    <r>
      <rPr>
        <sz val="11"/>
        <color theme="1"/>
        <rFont val="宋体"/>
        <family val="1"/>
        <charset val="134"/>
      </rPr>
      <t>修复，特殊能力布局修改，新增奇物蛇鳞甲的护甲选项</t>
    </r>
    <r>
      <rPr>
        <sz val="11"/>
        <color theme="1"/>
        <rFont val="Times New Roman"/>
        <family val="1"/>
      </rPr>
      <t xml:space="preserve">
1.0.12_4</t>
    </r>
    <r>
      <rPr>
        <sz val="11"/>
        <color theme="1"/>
        <rFont val="宋体"/>
        <family val="1"/>
        <charset val="134"/>
      </rPr>
      <t>：补上王冠之誓子职与魔契师符契祈唤</t>
    </r>
    <r>
      <rPr>
        <sz val="11"/>
        <color theme="1"/>
        <rFont val="Times New Roman"/>
        <family val="1"/>
      </rPr>
      <t xml:space="preserve">
1.0.12_5</t>
    </r>
    <r>
      <rPr>
        <sz val="11"/>
        <color theme="1"/>
        <rFont val="宋体"/>
        <family val="1"/>
        <charset val="134"/>
      </rPr>
      <t>：导入页面增加</t>
    </r>
    <r>
      <rPr>
        <sz val="11"/>
        <color theme="1"/>
        <rFont val="Times New Roman"/>
        <family val="1"/>
      </rPr>
      <t xml:space="preserve">ccf </t>
    </r>
    <r>
      <rPr>
        <sz val="11"/>
        <color theme="1"/>
        <rFont val="宋体"/>
        <family val="1"/>
        <charset val="134"/>
      </rPr>
      <t>的自动导入</t>
    </r>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</si>
</sst>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尺&quot;"/>
    <numFmt numFmtId="177" formatCode="0&quot;LB&quot;"/>
    <numFmt numFmtId="178" formatCode="General&quot;gp&quot;"/>
    <numFmt numFmtId="179" formatCode="General&quot;LB&quot;"/>
  </numFmts>
  <fonts count="136" x14ac:knownFonts="1">
    <font>
      <sz val="11"/>
      <color theme="1"/>
      <name val="宋体"/>
      <charset val="134"/>
      <scheme val="minor"/>
    </font>
    <font>
      <sz val="11"/>
      <color theme="1"/>
      <name val="微软雅黑"/>
      <family val="2"/>
      <charset val="134"/>
    </font>
    <font>
      <sz val="10"/>
      <color theme="0"/>
      <name val="微软雅黑"/>
      <family val="2"/>
      <charset val="134"/>
    </font>
    <font>
      <sz val="10"/>
      <color theme="1"/>
      <name val="微软雅黑"/>
      <family val="2"/>
      <charset val="134"/>
    </font>
    <font>
      <b/>
      <sz val="10"/>
      <color theme="1"/>
      <name val="微软雅黑"/>
      <family val="2"/>
      <charset val="134"/>
    </font>
    <font>
      <sz val="11"/>
      <color theme="1"/>
      <name val="Times New Roman"/>
      <family val="1"/>
    </font>
    <font>
      <b/>
      <sz val="11"/>
      <color theme="0"/>
      <name val="宋体"/>
      <family val="3"/>
      <charset val="134"/>
    </font>
    <font>
      <sz val="11"/>
      <color theme="1"/>
      <name val="宋体"/>
      <family val="3"/>
      <charset val="134"/>
    </font>
    <font>
      <b/>
      <sz val="14"/>
      <color theme="1"/>
      <name val="宋体"/>
      <family val="3"/>
      <charset val="134"/>
    </font>
    <font>
      <b/>
      <sz val="14"/>
      <color theme="1"/>
      <name val="Times New Roman"/>
      <family val="1"/>
    </font>
    <font>
      <sz val="11"/>
      <color theme="1"/>
      <name val="宋体"/>
      <family val="3"/>
      <charset val="134"/>
      <scheme val="minor"/>
    </font>
    <font>
      <b/>
      <sz val="11"/>
      <color theme="0"/>
      <name val="宋体"/>
      <family val="3"/>
      <charset val="134"/>
      <scheme val="minor"/>
    </font>
    <font>
      <sz val="12"/>
      <color theme="1"/>
      <name val="宋体"/>
      <family val="3"/>
      <charset val="134"/>
      <scheme val="minor"/>
    </font>
    <font>
      <sz val="36"/>
      <color theme="1"/>
      <name val="宋体"/>
      <family val="3"/>
      <charset val="134"/>
      <scheme val="minor"/>
    </font>
    <font>
      <sz val="10"/>
      <color rgb="FFF7F7EB"/>
      <name val="微软雅黑"/>
      <family val="2"/>
      <charset val="134"/>
    </font>
    <font>
      <sz val="8"/>
      <color theme="0" tint="-0.499984740745262"/>
      <name val="微软雅黑"/>
      <family val="2"/>
      <charset val="134"/>
    </font>
    <font>
      <sz val="11"/>
      <color theme="1"/>
      <name val="仿宋"/>
      <family val="3"/>
      <charset val="134"/>
    </font>
    <font>
      <sz val="24"/>
      <color theme="1"/>
      <name val="微软雅黑"/>
      <family val="2"/>
      <charset val="134"/>
    </font>
    <font>
      <b/>
      <sz val="11"/>
      <color theme="1"/>
      <name val="微软雅黑"/>
      <family val="2"/>
      <charset val="134"/>
    </font>
    <font>
      <sz val="12"/>
      <color theme="1"/>
      <name val="微软雅黑"/>
      <family val="2"/>
      <charset val="134"/>
    </font>
    <font>
      <sz val="10"/>
      <color theme="0" tint="-0.499984740745262"/>
      <name val="微软雅黑"/>
      <family val="2"/>
      <charset val="134"/>
    </font>
    <font>
      <b/>
      <sz val="10"/>
      <color theme="0"/>
      <name val="微软雅黑"/>
      <family val="2"/>
      <charset val="134"/>
    </font>
    <font>
      <sz val="8"/>
      <color theme="1"/>
      <name val="微软雅黑"/>
      <family val="2"/>
      <charset val="134"/>
    </font>
    <font>
      <b/>
      <sz val="9"/>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rgb="FFB87333"/>
      <name val="微软雅黑"/>
      <family val="2"/>
      <charset val="134"/>
    </font>
    <font>
      <sz val="10"/>
      <color theme="1"/>
      <name val="宋体"/>
      <family val="3"/>
      <charset val="134"/>
      <scheme val="minor"/>
    </font>
    <font>
      <b/>
      <sz val="10"/>
      <color theme="7" tint="-0.249977111117893"/>
      <name val="微软雅黑"/>
      <family val="2"/>
      <charset val="134"/>
    </font>
    <font>
      <b/>
      <sz val="10"/>
      <color theme="4" tint="-0.249977111117893"/>
      <name val="微软雅黑"/>
      <family val="2"/>
      <charset val="134"/>
    </font>
    <font>
      <sz val="10"/>
      <color theme="0" tint="-0.34998626667073579"/>
      <name val="微软雅黑"/>
      <family val="2"/>
      <charset val="134"/>
    </font>
    <font>
      <sz val="9"/>
      <color theme="1"/>
      <name val="微软雅黑"/>
      <family val="2"/>
      <charset val="134"/>
    </font>
    <font>
      <sz val="12"/>
      <color theme="0" tint="-0.499984740745262"/>
      <name val="微软雅黑"/>
      <family val="2"/>
      <charset val="134"/>
    </font>
    <font>
      <sz val="10"/>
      <name val="微软雅黑"/>
      <family val="2"/>
      <charset val="134"/>
    </font>
    <font>
      <sz val="11"/>
      <color theme="0" tint="-0.499984740745262"/>
      <name val="微软雅黑"/>
      <family val="2"/>
      <charset val="134"/>
    </font>
    <font>
      <sz val="9"/>
      <color theme="0"/>
      <name val="微软雅黑"/>
      <family val="2"/>
      <charset val="134"/>
    </font>
    <font>
      <sz val="11"/>
      <name val="宋体"/>
      <family val="3"/>
      <charset val="134"/>
    </font>
    <font>
      <b/>
      <sz val="11"/>
      <name val="宋体"/>
      <family val="3"/>
      <charset val="134"/>
    </font>
    <font>
      <sz val="11"/>
      <name val="宋体"/>
      <family val="3"/>
      <charset val="134"/>
      <scheme val="minor"/>
    </font>
    <font>
      <b/>
      <i/>
      <u/>
      <sz val="11"/>
      <color rgb="FFFF0000"/>
      <name val="宋体"/>
      <family val="3"/>
      <charset val="134"/>
    </font>
    <font>
      <b/>
      <sz val="11"/>
      <color theme="1"/>
      <name val="宋体"/>
      <family val="3"/>
      <charset val="134"/>
      <scheme val="minor"/>
    </font>
    <font>
      <b/>
      <sz val="9"/>
      <color theme="1"/>
      <name val="微软雅黑"/>
      <family val="2"/>
      <charset val="134"/>
    </font>
    <font>
      <sz val="11"/>
      <color rgb="FF000000"/>
      <name val="Times New Roman"/>
      <family val="1"/>
    </font>
    <font>
      <sz val="11"/>
      <color theme="1"/>
      <name val="宋体"/>
      <family val="3"/>
      <charset val="134"/>
    </font>
    <font>
      <sz val="9"/>
      <color theme="1"/>
      <name val="宋体"/>
      <family val="3"/>
      <charset val="134"/>
    </font>
    <font>
      <sz val="10"/>
      <color theme="1"/>
      <name val="宋体"/>
      <family val="3"/>
      <charset val="134"/>
    </font>
    <font>
      <sz val="10"/>
      <color rgb="FF000000"/>
      <name val="宋体"/>
      <family val="3"/>
      <charset val="134"/>
    </font>
    <font>
      <b/>
      <sz val="11"/>
      <color theme="1"/>
      <name val="宋体"/>
      <family val="3"/>
      <charset val="134"/>
    </font>
    <font>
      <b/>
      <sz val="11"/>
      <color theme="7" tint="-0.249977111117893"/>
      <name val="微软雅黑"/>
      <family val="2"/>
      <charset val="134"/>
    </font>
    <font>
      <sz val="5"/>
      <color rgb="FFF7F7EB"/>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1"/>
      <color theme="4"/>
      <name val="微软雅黑"/>
      <family val="2"/>
      <charset val="134"/>
    </font>
    <font>
      <b/>
      <sz val="16"/>
      <color theme="9"/>
      <name val="微软雅黑"/>
      <family val="2"/>
      <charset val="134"/>
    </font>
    <font>
      <b/>
      <sz val="14"/>
      <color theme="9"/>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name val="微软雅黑"/>
      <family val="2"/>
      <charset val="134"/>
    </font>
    <font>
      <b/>
      <sz val="9"/>
      <color theme="4"/>
      <name val="微软雅黑"/>
      <family val="2"/>
      <charset val="134"/>
    </font>
    <font>
      <b/>
      <sz val="18"/>
      <color theme="0"/>
      <name val="微软雅黑"/>
      <family val="2"/>
      <charset val="134"/>
    </font>
    <font>
      <sz val="11"/>
      <color theme="1"/>
      <name val="Arial"/>
      <family val="2"/>
    </font>
    <font>
      <b/>
      <sz val="11"/>
      <color theme="1"/>
      <name val="仿宋"/>
      <family val="3"/>
      <charset val="134"/>
    </font>
    <font>
      <b/>
      <sz val="11"/>
      <color theme="1"/>
      <name val="Arial"/>
      <family val="2"/>
    </font>
    <font>
      <sz val="9"/>
      <name val="宋体"/>
      <family val="3"/>
      <charset val="134"/>
    </font>
    <font>
      <sz val="9"/>
      <name val="微软雅黑"/>
      <family val="2"/>
      <charset val="134"/>
    </font>
    <font>
      <sz val="9"/>
      <name val="宋体"/>
      <family val="3"/>
      <charset val="134"/>
      <scheme val="minor"/>
    </font>
    <font>
      <sz val="11"/>
      <color theme="1"/>
      <name val="宋体"/>
      <family val="1"/>
      <charset val="134"/>
    </font>
    <font>
      <b/>
      <sz val="11"/>
      <color theme="1"/>
      <name val="Times New Roman"/>
      <family val="1"/>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sz val="11"/>
      <color theme="1"/>
      <name val="Courier New"/>
      <family val="3"/>
    </font>
    <font>
      <u/>
      <sz val="10"/>
      <color theme="1"/>
      <name val="微软雅黑"/>
      <family val="2"/>
      <charset val="134"/>
    </font>
    <font>
      <sz val="11"/>
      <color theme="5" tint="-0.249977111117893"/>
      <name val="微软雅黑"/>
      <family val="2"/>
      <charset val="134"/>
    </font>
    <font>
      <sz val="10"/>
      <color indexed="81"/>
      <name val="宋体"/>
      <family val="3"/>
      <charset val="134"/>
    </font>
    <font>
      <sz val="10"/>
      <color indexed="81"/>
      <name val="Times New Roman"/>
      <family val="1"/>
    </font>
    <font>
      <sz val="10"/>
      <color theme="1"/>
      <name val="Times New Roman"/>
      <family val="1"/>
    </font>
    <font>
      <b/>
      <sz val="10"/>
      <color indexed="81"/>
      <name val="宋体"/>
      <family val="3"/>
      <charset val="134"/>
    </font>
    <font>
      <b/>
      <sz val="12"/>
      <color theme="0"/>
      <name val="宋体"/>
      <family val="3"/>
      <charset val="134"/>
    </font>
    <font>
      <b/>
      <sz val="12"/>
      <color theme="0"/>
      <name val="Times New Roman"/>
      <family val="1"/>
    </font>
    <font>
      <sz val="11"/>
      <name val="Times New Roman"/>
      <family val="1"/>
    </font>
    <font>
      <sz val="10"/>
      <name val="Times New Roman"/>
      <family val="1"/>
    </font>
    <font>
      <sz val="10"/>
      <name val="宋体"/>
      <family val="3"/>
      <charset val="134"/>
    </font>
    <font>
      <sz val="11"/>
      <color rgb="FF00B050"/>
      <name val="Times New Roman"/>
      <family val="1"/>
    </font>
    <font>
      <sz val="11"/>
      <color rgb="FF00B050"/>
      <name val="宋体"/>
      <family val="3"/>
      <charset val="134"/>
    </font>
    <font>
      <sz val="10"/>
      <color theme="8" tint="-0.499984740745262"/>
      <name val="Times New Roman"/>
      <family val="1"/>
    </font>
    <font>
      <sz val="10"/>
      <color theme="8" tint="-0.499984740745262"/>
      <name val="宋体"/>
      <family val="3"/>
      <charset val="134"/>
    </font>
    <font>
      <sz val="10"/>
      <color theme="1"/>
      <name val="宋体"/>
      <family val="1"/>
      <charset val="134"/>
    </font>
    <font>
      <sz val="8"/>
      <color theme="1" tint="0.499984740745262"/>
      <name val="Times New Roman"/>
      <family val="1"/>
    </font>
    <font>
      <sz val="10"/>
      <color theme="1"/>
      <name val="Times New Roman"/>
      <family val="1"/>
      <charset val="134"/>
    </font>
    <font>
      <b/>
      <sz val="11"/>
      <color theme="0"/>
      <name val="Times New Roman"/>
      <family val="1"/>
    </font>
    <font>
      <sz val="10"/>
      <color theme="1"/>
      <name val="Times New Roman"/>
      <family val="3"/>
      <charset val="134"/>
    </font>
    <font>
      <sz val="10"/>
      <color theme="1"/>
      <name val="微软雅黑"/>
      <family val="1"/>
      <charset val="134"/>
    </font>
    <font>
      <sz val="11"/>
      <color theme="1"/>
      <name val="Times New Roman"/>
      <family val="3"/>
      <charset val="134"/>
    </font>
    <font>
      <sz val="11"/>
      <color theme="1"/>
      <name val="宋体"/>
      <family val="3"/>
      <charset val="134"/>
      <scheme val="major"/>
    </font>
    <font>
      <sz val="8.5"/>
      <color theme="1"/>
      <name val="微软雅黑"/>
      <family val="2"/>
      <charset val="134"/>
    </font>
    <font>
      <b/>
      <sz val="10"/>
      <color theme="4"/>
      <name val="微软雅黑"/>
      <family val="2"/>
      <charset val="134"/>
    </font>
    <font>
      <sz val="11"/>
      <name val="宋体"/>
      <family val="1"/>
      <charset val="134"/>
    </font>
    <font>
      <sz val="11"/>
      <color theme="1"/>
      <name val="微软雅黑"/>
      <family val="1"/>
      <charset val="134"/>
    </font>
    <font>
      <sz val="11"/>
      <color theme="1"/>
      <name val="Times New Roman"/>
      <family val="1"/>
      <charset val="134"/>
    </font>
    <font>
      <b/>
      <sz val="10"/>
      <color theme="0" tint="-0.499984740745262"/>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sz val="10"/>
      <color theme="0"/>
      <name val="Times New Roman"/>
      <family val="1"/>
    </font>
    <font>
      <sz val="10"/>
      <color theme="0"/>
      <name val="宋体"/>
      <family val="3"/>
      <charset val="134"/>
    </font>
    <font>
      <sz val="11"/>
      <color theme="0"/>
      <name val="宋体"/>
      <family val="3"/>
      <charset val="134"/>
    </font>
    <font>
      <b/>
      <sz val="12"/>
      <color theme="0" tint="-0.499984740745262"/>
      <name val="微软雅黑"/>
      <family val="2"/>
      <charset val="134"/>
    </font>
    <font>
      <b/>
      <sz val="11"/>
      <color theme="0" tint="-0.499984740745262"/>
      <name val="微软雅黑"/>
      <family val="2"/>
      <charset val="134"/>
    </font>
    <font>
      <b/>
      <sz val="11"/>
      <color theme="0" tint="-0.34998626667073579"/>
      <name val="微软雅黑"/>
      <family val="2"/>
      <charset val="134"/>
    </font>
    <font>
      <sz val="10"/>
      <color theme="1"/>
      <name val="Times New Roman"/>
      <family val="3"/>
    </font>
    <font>
      <sz val="10"/>
      <color theme="1"/>
      <name val="微软雅黑"/>
      <family val="3"/>
      <charset val="134"/>
    </font>
    <font>
      <sz val="12"/>
      <color theme="1"/>
      <name val="Times New Roman"/>
      <family val="1"/>
    </font>
    <font>
      <b/>
      <sz val="12"/>
      <color theme="0"/>
      <name val="宋体"/>
      <family val="1"/>
      <charset val="134"/>
    </font>
    <font>
      <b/>
      <sz val="10"/>
      <color theme="0"/>
      <name val="Segoe UI Symbol"/>
      <family val="2"/>
    </font>
    <font>
      <b/>
      <sz val="9"/>
      <color theme="0" tint="-0.499984740745262"/>
      <name val="微软雅黑"/>
      <family val="2"/>
      <charset val="134"/>
    </font>
    <font>
      <b/>
      <sz val="9"/>
      <color theme="1" tint="0.499984740745262"/>
      <name val="Times New Roman"/>
      <family val="1"/>
    </font>
    <font>
      <b/>
      <sz val="9"/>
      <color theme="1" tint="0.499984740745262"/>
      <name val="宋体"/>
      <family val="3"/>
      <charset val="134"/>
    </font>
    <font>
      <b/>
      <sz val="9"/>
      <color theme="0" tint="-0.499984740745262"/>
      <name val="Times New Roman"/>
      <family val="1"/>
    </font>
    <font>
      <b/>
      <sz val="9"/>
      <color theme="0" tint="-0.499984740745262"/>
      <name val="宋体"/>
      <family val="3"/>
      <charset val="134"/>
    </font>
    <font>
      <b/>
      <sz val="9"/>
      <color theme="0" tint="-0.34998626667073579"/>
      <name val="Times New Roman"/>
      <family val="1"/>
    </font>
    <font>
      <b/>
      <sz val="9"/>
      <color theme="0" tint="-0.34998626667073579"/>
      <name val="宋体"/>
      <family val="3"/>
      <charset val="134"/>
    </font>
    <font>
      <sz val="12"/>
      <color theme="1"/>
      <name val="宋体"/>
      <family val="1"/>
      <charset val="134"/>
    </font>
    <font>
      <b/>
      <sz val="9"/>
      <color theme="7" tint="-0.249977111117893"/>
      <name val="微软雅黑"/>
      <family val="2"/>
      <charset val="134"/>
    </font>
    <font>
      <b/>
      <sz val="9"/>
      <color theme="4" tint="-0.249977111117893"/>
      <name val="微软雅黑"/>
      <family val="2"/>
      <charset val="134"/>
    </font>
    <font>
      <sz val="8"/>
      <name val="微软雅黑"/>
      <family val="2"/>
      <charset val="134"/>
    </font>
    <font>
      <b/>
      <sz val="24"/>
      <color theme="1"/>
      <name val="微软雅黑"/>
      <family val="2"/>
      <charset val="134"/>
    </font>
    <font>
      <b/>
      <sz val="16"/>
      <color rgb="FF70AD47"/>
      <name val="微软雅黑"/>
      <family val="2"/>
      <charset val="134"/>
    </font>
    <font>
      <b/>
      <sz val="12"/>
      <color rgb="FF70AD47"/>
      <name val="微软雅黑"/>
      <family val="2"/>
      <charset val="134"/>
    </font>
    <font>
      <b/>
      <sz val="12"/>
      <color theme="0"/>
      <name val="Times New Roman"/>
      <family val="3"/>
    </font>
    <font>
      <b/>
      <sz val="12"/>
      <color theme="0"/>
      <name val="Times New Roman"/>
      <family val="3"/>
      <charset val="134"/>
    </font>
  </fonts>
  <fills count="54">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rgb="FFF7F7EB"/>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CE6F1"/>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7" tint="0.79995117038483843"/>
        <bgColor indexed="64"/>
      </patternFill>
    </fill>
    <fill>
      <patternFill patternType="solid">
        <fgColor theme="2"/>
        <bgColor indexed="64"/>
      </patternFill>
    </fill>
    <fill>
      <patternFill patternType="solid">
        <fgColor theme="4" tint="0.79995117038483843"/>
        <bgColor indexed="64"/>
      </patternFill>
    </fill>
    <fill>
      <patternFill patternType="solid">
        <fgColor theme="7" tint="0.39994506668294322"/>
        <bgColor indexed="64"/>
      </patternFill>
    </fill>
    <fill>
      <patternFill patternType="solid">
        <fgColor rgb="FFEEEEEE"/>
        <bgColor indexed="64"/>
      </patternFill>
    </fill>
    <fill>
      <patternFill patternType="solid">
        <fgColor theme="8" tint="0.79995117038483843"/>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249977111117893"/>
        <bgColor indexed="64"/>
      </patternFill>
    </fill>
    <fill>
      <patternFill patternType="solid">
        <fgColor theme="8" tint="0.3999450666829432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EAEAEA"/>
        <bgColor indexed="64"/>
      </patternFill>
    </fill>
    <fill>
      <patternFill patternType="solid">
        <fgColor rgb="FFE3A99D"/>
        <bgColor indexed="64"/>
      </patternFill>
    </fill>
    <fill>
      <patternFill patternType="solid">
        <fgColor rgb="FFFFD071"/>
        <bgColor indexed="64"/>
      </patternFill>
    </fill>
    <fill>
      <patternFill patternType="solid">
        <fgColor rgb="FFDDE4E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2CC"/>
        <bgColor indexed="64"/>
      </patternFill>
    </fill>
    <fill>
      <patternFill patternType="solid">
        <fgColor rgb="FFFFD966"/>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4B177B"/>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bgColor indexed="64"/>
      </patternFill>
    </fill>
  </fills>
  <borders count="99">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auto="1"/>
      </left>
      <right/>
      <top/>
      <bottom/>
      <diagonal/>
    </border>
    <border>
      <left/>
      <right style="thin">
        <color auto="1"/>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right/>
      <top/>
      <bottom/>
      <diagonal style="thin">
        <color auto="1"/>
      </diagonal>
    </border>
    <border>
      <left/>
      <right/>
      <top style="thin">
        <color auto="1"/>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auto="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dashed">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dashed">
        <color theme="0" tint="-0.499984740745262"/>
      </left>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alignment vertical="center"/>
    </xf>
    <xf numFmtId="0" fontId="37" fillId="0" borderId="0">
      <alignment vertical="center"/>
    </xf>
    <xf numFmtId="0" fontId="10" fillId="0" borderId="0">
      <alignment vertical="center"/>
    </xf>
  </cellStyleXfs>
  <cellXfs count="1147">
    <xf numFmtId="0" fontId="0" fillId="0" borderId="0" xfId="0">
      <alignment vertical="center"/>
    </xf>
    <xf numFmtId="0" fontId="5" fillId="0" borderId="0" xfId="0" applyFont="1">
      <alignment vertical="center"/>
    </xf>
    <xf numFmtId="0" fontId="10" fillId="6" borderId="0" xfId="0" applyFont="1" applyFill="1">
      <alignment vertical="center"/>
    </xf>
    <xf numFmtId="0" fontId="10" fillId="6" borderId="0" xfId="0" applyFont="1" applyFill="1" applyProtection="1">
      <alignment vertical="center"/>
      <protection locked="0"/>
    </xf>
    <xf numFmtId="0" fontId="3" fillId="6" borderId="0" xfId="0" applyFont="1" applyFill="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wrapText="1"/>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applyAlignment="1">
      <alignment horizontal="center" vertical="center" wrapText="1"/>
    </xf>
    <xf numFmtId="1" fontId="1" fillId="6" borderId="0" xfId="0" applyNumberFormat="1" applyFont="1" applyFill="1" applyAlignment="1">
      <alignment horizontal="center" vertical="center" wrapText="1"/>
    </xf>
    <xf numFmtId="1" fontId="1" fillId="6" borderId="0" xfId="0" applyNumberFormat="1" applyFont="1" applyFill="1" applyAlignment="1">
      <alignment horizontal="center" vertical="center"/>
    </xf>
    <xf numFmtId="0" fontId="1" fillId="6" borderId="0" xfId="2" applyFont="1" applyFill="1" applyAlignment="1">
      <alignment horizontal="center" vertical="center" wrapText="1"/>
    </xf>
    <xf numFmtId="0" fontId="10" fillId="6" borderId="0" xfId="2" applyFill="1">
      <alignment vertical="center"/>
    </xf>
    <xf numFmtId="0" fontId="3" fillId="6" borderId="0" xfId="2" applyFont="1" applyFill="1" applyAlignment="1">
      <alignment horizontal="center" vertical="center" wrapText="1"/>
    </xf>
    <xf numFmtId="0" fontId="15" fillId="6" borderId="0" xfId="0" applyFont="1" applyFill="1" applyAlignment="1">
      <alignment horizontal="left"/>
    </xf>
    <xf numFmtId="0" fontId="3" fillId="6" borderId="0" xfId="0" applyFont="1" applyFill="1">
      <alignment vertical="center"/>
    </xf>
    <xf numFmtId="0" fontId="3" fillId="9" borderId="5" xfId="0" applyFont="1" applyFill="1" applyBorder="1" applyAlignment="1" applyProtection="1">
      <alignment horizontal="center" vertical="center" wrapText="1"/>
      <protection locked="0"/>
    </xf>
    <xf numFmtId="0" fontId="3" fillId="0" borderId="7" xfId="0" applyFont="1" applyBorder="1" applyAlignment="1">
      <alignment horizontal="center" vertical="center"/>
    </xf>
    <xf numFmtId="0" fontId="15" fillId="6" borderId="0" xfId="0" applyFont="1" applyFill="1" applyAlignment="1">
      <alignment horizontal="center" wrapText="1"/>
    </xf>
    <xf numFmtId="0" fontId="20" fillId="6" borderId="0" xfId="0" applyFont="1" applyFill="1" applyAlignment="1">
      <alignment horizontal="center" vertical="center"/>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vertical="center" wrapText="1"/>
    </xf>
    <xf numFmtId="0" fontId="35" fillId="6" borderId="0" xfId="0" applyFont="1" applyFill="1" applyAlignment="1">
      <alignment horizontal="center" vertical="center" wrapText="1"/>
    </xf>
    <xf numFmtId="0" fontId="15" fillId="6" borderId="0" xfId="0" applyFont="1" applyFill="1" applyAlignment="1">
      <alignment horizontal="left" wrapText="1"/>
    </xf>
    <xf numFmtId="0" fontId="10" fillId="0" borderId="0" xfId="0" applyFont="1" applyAlignment="1">
      <alignment horizontal="center" vertical="top" wrapText="1"/>
    </xf>
    <xf numFmtId="0" fontId="10" fillId="0" borderId="1" xfId="0" applyFont="1" applyBorder="1" applyAlignment="1">
      <alignment horizontal="center" vertical="top" wrapText="1"/>
    </xf>
    <xf numFmtId="0" fontId="10" fillId="0" borderId="10" xfId="0" applyFont="1" applyBorder="1" applyAlignment="1">
      <alignment horizontal="center" vertical="top" wrapText="1"/>
    </xf>
    <xf numFmtId="0" fontId="10" fillId="0" borderId="14" xfId="0" applyFont="1" applyBorder="1" applyAlignment="1">
      <alignment horizontal="center" vertical="top" wrapText="1"/>
    </xf>
    <xf numFmtId="0" fontId="0" fillId="0" borderId="0" xfId="0" applyAlignment="1">
      <alignment horizontal="center" vertical="top" wrapText="1"/>
    </xf>
    <xf numFmtId="0" fontId="37" fillId="0" borderId="0" xfId="1" applyAlignment="1">
      <alignment horizontal="center" vertical="top" wrapText="1"/>
    </xf>
    <xf numFmtId="0" fontId="0" fillId="0" borderId="0" xfId="0" applyAlignment="1">
      <alignment horizontal="center" vertical="top"/>
    </xf>
    <xf numFmtId="0" fontId="0" fillId="0" borderId="26" xfId="0" applyBorder="1" applyAlignment="1">
      <alignment horizontal="center" vertical="top" wrapText="1"/>
    </xf>
    <xf numFmtId="0" fontId="37" fillId="0" borderId="26" xfId="1" applyBorder="1" applyAlignment="1">
      <alignment horizontal="center" vertical="top" wrapText="1"/>
    </xf>
    <xf numFmtId="0" fontId="37" fillId="0" borderId="0" xfId="1" applyAlignment="1">
      <alignment horizontal="center" vertical="top"/>
    </xf>
    <xf numFmtId="0" fontId="38" fillId="0" borderId="0" xfId="1" applyFont="1" applyAlignment="1">
      <alignment horizontal="center" vertical="top" wrapText="1"/>
    </xf>
    <xf numFmtId="0" fontId="37" fillId="0" borderId="27" xfId="1" applyBorder="1" applyAlignment="1">
      <alignment horizontal="center" vertical="top" wrapText="1"/>
    </xf>
    <xf numFmtId="0" fontId="37" fillId="0" borderId="29" xfId="1" applyBorder="1" applyAlignment="1">
      <alignment horizontal="center" vertical="top" wrapText="1"/>
    </xf>
    <xf numFmtId="0" fontId="0" fillId="0" borderId="30" xfId="0" applyBorder="1" applyAlignment="1">
      <alignment horizontal="center" vertical="top" wrapText="1"/>
    </xf>
    <xf numFmtId="0" fontId="39" fillId="0" borderId="0" xfId="0" applyFont="1" applyAlignment="1">
      <alignment horizontal="center" vertical="top"/>
    </xf>
    <xf numFmtId="0" fontId="39" fillId="0" borderId="30" xfId="0" applyFont="1" applyBorder="1" applyAlignment="1">
      <alignment horizontal="center" vertical="top" wrapText="1"/>
    </xf>
    <xf numFmtId="0" fontId="39" fillId="0" borderId="0" xfId="0" applyFont="1" applyAlignment="1">
      <alignment horizontal="center" vertical="top" wrapText="1"/>
    </xf>
    <xf numFmtId="0" fontId="0" fillId="0" borderId="31" xfId="0" applyBorder="1" applyAlignment="1">
      <alignment horizontal="center" vertical="top" wrapText="1"/>
    </xf>
    <xf numFmtId="0" fontId="0" fillId="0" borderId="34" xfId="0" applyBorder="1" applyAlignment="1">
      <alignment horizontal="center" vertical="top" wrapText="1"/>
    </xf>
    <xf numFmtId="0" fontId="40" fillId="0" borderId="27" xfId="1" applyFont="1"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35" xfId="0" applyBorder="1" applyAlignment="1">
      <alignment horizontal="center" vertical="top" wrapText="1"/>
    </xf>
    <xf numFmtId="0" fontId="37" fillId="0" borderId="31" xfId="1" applyBorder="1" applyAlignment="1">
      <alignment horizontal="center" vertical="top" wrapText="1"/>
    </xf>
    <xf numFmtId="0" fontId="37" fillId="0" borderId="30" xfId="1" applyBorder="1" applyAlignment="1">
      <alignment horizontal="center" vertical="top" wrapText="1"/>
    </xf>
    <xf numFmtId="0" fontId="37" fillId="0" borderId="35" xfId="1" applyBorder="1" applyAlignment="1">
      <alignment horizontal="center" vertical="top" wrapText="1"/>
    </xf>
    <xf numFmtId="58" fontId="37" fillId="0" borderId="0" xfId="1" applyNumberFormat="1" applyAlignment="1">
      <alignment horizontal="center" vertical="top" wrapText="1"/>
    </xf>
    <xf numFmtId="0" fontId="3" fillId="0" borderId="0" xfId="0" applyFont="1" applyAlignment="1">
      <alignment horizontal="center" vertical="top" wrapText="1"/>
    </xf>
    <xf numFmtId="0" fontId="3" fillId="0" borderId="5" xfId="0" applyFont="1" applyBorder="1" applyAlignment="1">
      <alignment horizontal="center" vertical="top" wrapText="1"/>
    </xf>
    <xf numFmtId="0" fontId="32" fillId="0" borderId="5" xfId="0" applyFont="1" applyBorder="1" applyAlignment="1">
      <alignment vertical="top"/>
    </xf>
    <xf numFmtId="0" fontId="32" fillId="0" borderId="0" xfId="0" applyFont="1" applyAlignment="1">
      <alignment vertical="top"/>
    </xf>
    <xf numFmtId="0" fontId="32" fillId="0" borderId="5" xfId="0" applyFont="1" applyBorder="1" applyAlignment="1">
      <alignment horizontal="center" vertical="top"/>
    </xf>
    <xf numFmtId="0" fontId="32" fillId="0" borderId="5" xfId="0" applyFont="1" applyBorder="1" applyAlignment="1">
      <alignment horizontal="right" vertical="top"/>
    </xf>
    <xf numFmtId="0" fontId="10" fillId="10" borderId="0" xfId="0" applyFont="1" applyFill="1" applyAlignment="1">
      <alignment horizontal="center" vertical="top" wrapText="1"/>
    </xf>
    <xf numFmtId="0" fontId="10" fillId="18" borderId="0" xfId="0" applyFont="1" applyFill="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top"/>
    </xf>
    <xf numFmtId="0" fontId="5" fillId="0" borderId="31" xfId="0" applyFont="1" applyBorder="1" applyAlignment="1">
      <alignment horizontal="center" vertical="top" wrapText="1"/>
    </xf>
    <xf numFmtId="0" fontId="43" fillId="22" borderId="31" xfId="0" applyFont="1" applyFill="1" applyBorder="1" applyAlignment="1">
      <alignment horizontal="center" vertical="top"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45" fillId="0" borderId="0" xfId="0" applyFont="1" applyAlignment="1">
      <alignment horizontal="center" vertical="top"/>
    </xf>
    <xf numFmtId="0" fontId="44" fillId="0" borderId="0" xfId="0" applyFont="1" applyAlignment="1">
      <alignment horizontal="center" vertical="top"/>
    </xf>
    <xf numFmtId="0" fontId="44" fillId="0" borderId="14" xfId="0" applyFont="1" applyBorder="1" applyAlignment="1">
      <alignment horizontal="center" vertical="top"/>
    </xf>
    <xf numFmtId="0" fontId="44" fillId="0" borderId="31" xfId="0" applyFont="1" applyBorder="1" applyAlignment="1">
      <alignment horizontal="center" vertical="top"/>
    </xf>
    <xf numFmtId="0" fontId="44" fillId="0" borderId="39" xfId="0" applyFont="1" applyBorder="1" applyAlignment="1">
      <alignment horizontal="center" vertical="top"/>
    </xf>
    <xf numFmtId="0" fontId="44" fillId="21" borderId="5" xfId="0" applyFont="1" applyFill="1" applyBorder="1" applyAlignment="1">
      <alignment horizontal="center" vertical="top"/>
    </xf>
    <xf numFmtId="0" fontId="44" fillId="19" borderId="5" xfId="0" applyFont="1" applyFill="1" applyBorder="1" applyAlignment="1">
      <alignment horizontal="center" vertical="top"/>
    </xf>
    <xf numFmtId="0" fontId="44" fillId="10" borderId="5" xfId="0" applyFont="1" applyFill="1" applyBorder="1" applyAlignment="1">
      <alignment horizontal="center" vertical="top"/>
    </xf>
    <xf numFmtId="0" fontId="44" fillId="0" borderId="5" xfId="0" applyFont="1" applyBorder="1" applyAlignment="1">
      <alignment horizontal="center" vertical="top"/>
    </xf>
    <xf numFmtId="0" fontId="44" fillId="0" borderId="1" xfId="0" applyFont="1" applyBorder="1" applyAlignment="1">
      <alignment horizontal="center" vertical="top" wrapText="1"/>
    </xf>
    <xf numFmtId="0" fontId="44" fillId="0" borderId="10" xfId="0" applyFont="1" applyBorder="1" applyAlignment="1">
      <alignment horizontal="center" vertical="top"/>
    </xf>
    <xf numFmtId="0" fontId="44" fillId="0" borderId="1" xfId="0" applyFont="1" applyBorder="1" applyAlignment="1">
      <alignment horizontal="center" vertical="top"/>
    </xf>
    <xf numFmtId="0" fontId="44" fillId="0" borderId="0" xfId="0" applyFont="1" applyAlignment="1">
      <alignment horizontal="center" vertical="top"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top" wrapText="1"/>
    </xf>
    <xf numFmtId="0" fontId="44" fillId="18" borderId="0" xfId="0" applyFont="1" applyFill="1" applyAlignment="1">
      <alignment horizontal="center" vertical="top" wrapText="1"/>
    </xf>
    <xf numFmtId="0" fontId="44" fillId="0" borderId="40" xfId="0" applyFont="1" applyBorder="1" applyAlignment="1">
      <alignment horizontal="center" vertical="top" wrapText="1"/>
    </xf>
    <xf numFmtId="0" fontId="44" fillId="0" borderId="39" xfId="0" applyFont="1" applyBorder="1" applyAlignment="1">
      <alignment horizontal="center" vertical="top" wrapText="1"/>
    </xf>
    <xf numFmtId="0" fontId="44" fillId="10" borderId="0" xfId="0" applyFont="1" applyFill="1" applyAlignment="1">
      <alignment horizontal="center" vertical="top" wrapText="1"/>
    </xf>
    <xf numFmtId="0" fontId="44" fillId="0" borderId="41" xfId="0" applyFont="1" applyBorder="1" applyAlignment="1">
      <alignment horizontal="center" vertical="top" wrapText="1"/>
    </xf>
    <xf numFmtId="0" fontId="44" fillId="9" borderId="13" xfId="0" applyFont="1" applyFill="1" applyBorder="1" applyAlignment="1">
      <alignment horizontal="center" vertical="top"/>
    </xf>
    <xf numFmtId="0" fontId="44" fillId="9" borderId="14" xfId="0" applyFont="1" applyFill="1" applyBorder="1" applyAlignment="1">
      <alignment horizontal="center" vertical="top"/>
    </xf>
    <xf numFmtId="0" fontId="44" fillId="0" borderId="13" xfId="0" applyFont="1" applyBorder="1" applyAlignment="1">
      <alignment horizontal="center" vertical="top"/>
    </xf>
    <xf numFmtId="49" fontId="44" fillId="0" borderId="13" xfId="0" applyNumberFormat="1" applyFont="1" applyBorder="1" applyAlignment="1">
      <alignment horizontal="center" vertical="top"/>
    </xf>
    <xf numFmtId="0" fontId="44" fillId="16" borderId="13" xfId="0" applyFont="1" applyFill="1" applyBorder="1" applyAlignment="1">
      <alignment horizontal="center" vertical="top"/>
    </xf>
    <xf numFmtId="0" fontId="44" fillId="16" borderId="14" xfId="0" applyFont="1" applyFill="1" applyBorder="1" applyAlignment="1">
      <alignment horizontal="center" vertical="top"/>
    </xf>
    <xf numFmtId="0" fontId="44" fillId="14" borderId="13" xfId="0" applyFont="1" applyFill="1" applyBorder="1" applyAlignment="1">
      <alignment horizontal="center" vertical="top"/>
    </xf>
    <xf numFmtId="0" fontId="44" fillId="14" borderId="14" xfId="0" applyFont="1" applyFill="1" applyBorder="1" applyAlignment="1">
      <alignment horizontal="center" vertical="top"/>
    </xf>
    <xf numFmtId="0" fontId="44" fillId="0" borderId="4" xfId="0" applyFont="1" applyBorder="1" applyAlignment="1">
      <alignment horizontal="center" vertical="top"/>
    </xf>
    <xf numFmtId="0" fontId="0" fillId="6" borderId="0" xfId="0" applyFill="1">
      <alignment vertical="center"/>
    </xf>
    <xf numFmtId="0" fontId="3" fillId="6" borderId="0" xfId="0" applyFont="1" applyFill="1" applyAlignment="1">
      <alignment vertical="center" wrapText="1"/>
    </xf>
    <xf numFmtId="0" fontId="20" fillId="6" borderId="0" xfId="0" applyFont="1" applyFill="1" applyAlignment="1">
      <alignment horizontal="center" vertical="center" wrapText="1"/>
    </xf>
    <xf numFmtId="0" fontId="50" fillId="6" borderId="0" xfId="0" applyFont="1" applyFill="1" applyAlignment="1">
      <alignment horizontal="center" vertical="center" wrapText="1"/>
    </xf>
    <xf numFmtId="0" fontId="53" fillId="6" borderId="0" xfId="0" applyFont="1" applyFill="1" applyAlignment="1">
      <alignment horizontal="center" vertical="center" wrapText="1"/>
    </xf>
    <xf numFmtId="0" fontId="57" fillId="6" borderId="0" xfId="0" applyFont="1" applyFill="1" applyAlignment="1">
      <alignment horizontal="center" vertical="center" wrapText="1"/>
    </xf>
    <xf numFmtId="0" fontId="7" fillId="18" borderId="0" xfId="0" applyFont="1" applyFill="1" applyAlignment="1">
      <alignment horizontal="center" vertical="top" wrapText="1"/>
    </xf>
    <xf numFmtId="0" fontId="34" fillId="0" borderId="0" xfId="0" applyFont="1" applyAlignment="1">
      <alignment horizontal="center" vertical="top" wrapText="1"/>
    </xf>
    <xf numFmtId="0" fontId="41" fillId="0" borderId="0" xfId="0" applyFont="1" applyAlignment="1">
      <alignment horizontal="center" vertical="top"/>
    </xf>
    <xf numFmtId="0" fontId="1" fillId="27" borderId="2" xfId="0" applyFont="1" applyFill="1" applyBorder="1" applyAlignment="1">
      <alignment horizontal="center" vertical="center" wrapText="1"/>
    </xf>
    <xf numFmtId="0" fontId="1" fillId="27" borderId="3" xfId="0" applyFont="1" applyFill="1" applyBorder="1" applyAlignment="1">
      <alignment horizontal="center" vertical="center" wrapText="1"/>
    </xf>
    <xf numFmtId="0" fontId="1" fillId="27" borderId="8" xfId="0" applyFont="1" applyFill="1" applyBorder="1" applyAlignment="1">
      <alignment horizontal="center" vertical="center" wrapText="1"/>
    </xf>
    <xf numFmtId="0" fontId="1" fillId="27" borderId="14" xfId="0" applyFont="1" applyFill="1" applyBorder="1" applyAlignment="1">
      <alignment horizontal="center" vertical="center" wrapText="1"/>
    </xf>
    <xf numFmtId="0" fontId="1" fillId="27" borderId="10" xfId="0" applyFont="1" applyFill="1" applyBorder="1" applyAlignment="1">
      <alignment horizontal="center" vertical="center" wrapText="1"/>
    </xf>
    <xf numFmtId="0" fontId="1" fillId="27" borderId="4" xfId="0" applyFont="1" applyFill="1" applyBorder="1" applyAlignment="1">
      <alignment horizontal="center" vertical="center" wrapText="1"/>
    </xf>
    <xf numFmtId="0" fontId="1" fillId="27" borderId="1" xfId="0" applyFont="1" applyFill="1" applyBorder="1" applyAlignment="1">
      <alignment horizontal="center" vertical="center" wrapText="1"/>
    </xf>
    <xf numFmtId="1" fontId="1" fillId="27" borderId="1" xfId="0" applyNumberFormat="1" applyFont="1" applyFill="1" applyBorder="1" applyAlignment="1">
      <alignment horizontal="center" vertical="center" wrapText="1"/>
    </xf>
    <xf numFmtId="0" fontId="1" fillId="27" borderId="23"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1" fillId="27" borderId="0" xfId="0" applyFont="1" applyFill="1" applyAlignment="1">
      <alignment horizontal="center" vertical="center" wrapText="1"/>
    </xf>
    <xf numFmtId="0" fontId="1" fillId="27" borderId="18" xfId="0" applyFont="1" applyFill="1" applyBorder="1" applyAlignment="1">
      <alignment horizontal="center" vertical="center" wrapText="1"/>
    </xf>
    <xf numFmtId="0" fontId="75" fillId="36" borderId="0" xfId="1" applyFont="1" applyFill="1" applyAlignment="1">
      <alignment horizontal="center" vertical="center"/>
    </xf>
    <xf numFmtId="0" fontId="75" fillId="0" borderId="0" xfId="1" applyFont="1" applyAlignment="1">
      <alignment horizontal="center" vertical="center"/>
    </xf>
    <xf numFmtId="0" fontId="37" fillId="0" borderId="0" xfId="1" applyAlignment="1">
      <alignment horizontal="center" vertical="center"/>
    </xf>
    <xf numFmtId="0" fontId="75" fillId="35" borderId="5" xfId="1" applyFont="1" applyFill="1" applyBorder="1" applyAlignment="1">
      <alignment horizontal="center" vertical="center"/>
    </xf>
    <xf numFmtId="0" fontId="75" fillId="36" borderId="5" xfId="1" applyFont="1" applyFill="1" applyBorder="1" applyAlignment="1">
      <alignment horizontal="center" vertical="center"/>
    </xf>
    <xf numFmtId="0" fontId="75" fillId="37" borderId="5" xfId="1" applyFont="1" applyFill="1" applyBorder="1" applyAlignment="1">
      <alignment horizontal="center" vertical="center"/>
    </xf>
    <xf numFmtId="0" fontId="75" fillId="25" borderId="5" xfId="1" applyFont="1" applyFill="1" applyBorder="1" applyAlignment="1">
      <alignment horizontal="center" vertical="center"/>
    </xf>
    <xf numFmtId="0" fontId="75" fillId="32" borderId="5" xfId="1" applyFont="1" applyFill="1" applyBorder="1" applyAlignment="1">
      <alignment horizontal="center" vertical="center"/>
    </xf>
    <xf numFmtId="0" fontId="75" fillId="23" borderId="5" xfId="1" applyFont="1" applyFill="1" applyBorder="1" applyAlignment="1">
      <alignment horizontal="center" vertical="center"/>
    </xf>
    <xf numFmtId="0" fontId="75" fillId="38" borderId="5" xfId="1" applyFont="1" applyFill="1" applyBorder="1" applyAlignment="1">
      <alignment horizontal="center" vertical="center"/>
    </xf>
    <xf numFmtId="0" fontId="7" fillId="0" borderId="0" xfId="0" applyFont="1" applyAlignment="1">
      <alignment horizontal="center" vertical="top"/>
    </xf>
    <xf numFmtId="0" fontId="2" fillId="23" borderId="17" xfId="0" applyFont="1" applyFill="1" applyBorder="1" applyAlignment="1">
      <alignment vertical="center" wrapText="1"/>
    </xf>
    <xf numFmtId="0" fontId="22" fillId="2" borderId="17" xfId="0" applyFont="1" applyFill="1" applyBorder="1" applyAlignment="1" applyProtection="1">
      <alignment horizontal="center" vertical="center"/>
      <protection locked="0"/>
    </xf>
    <xf numFmtId="0" fontId="22" fillId="10" borderId="17" xfId="0" applyFont="1" applyFill="1" applyBorder="1" applyAlignment="1" applyProtection="1">
      <alignment horizontal="center" vertical="center"/>
      <protection locked="0"/>
    </xf>
    <xf numFmtId="0" fontId="22" fillId="2" borderId="45" xfId="0" applyFont="1" applyFill="1" applyBorder="1" applyAlignment="1" applyProtection="1">
      <alignment horizontal="center" vertical="center" wrapText="1"/>
      <protection locked="0"/>
    </xf>
    <xf numFmtId="0" fontId="22" fillId="10" borderId="45" xfId="0" applyFont="1" applyFill="1" applyBorder="1" applyAlignment="1" applyProtection="1">
      <alignment horizontal="center" vertical="center" wrapText="1"/>
      <protection locked="0"/>
    </xf>
    <xf numFmtId="0" fontId="31" fillId="2" borderId="24"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67" fillId="2" borderId="17" xfId="0" applyFont="1" applyFill="1" applyBorder="1" applyAlignment="1" applyProtection="1">
      <alignment horizontal="center" vertical="center" wrapText="1"/>
      <protection locked="0"/>
    </xf>
    <xf numFmtId="0" fontId="67" fillId="10" borderId="17" xfId="0" applyFont="1" applyFill="1" applyBorder="1" applyAlignment="1" applyProtection="1">
      <alignment horizontal="center" vertical="center" wrapText="1"/>
      <protection locked="0"/>
    </xf>
    <xf numFmtId="0" fontId="77" fillId="6" borderId="0" xfId="0" applyFont="1" applyFill="1" applyAlignment="1">
      <alignment horizontal="center" vertical="center"/>
    </xf>
    <xf numFmtId="0" fontId="81" fillId="0" borderId="0" xfId="0" applyFont="1" applyAlignment="1">
      <alignment horizontal="center" vertical="center" wrapText="1"/>
    </xf>
    <xf numFmtId="0" fontId="10" fillId="20" borderId="0" xfId="0" applyFont="1" applyFill="1" applyAlignment="1">
      <alignment horizontal="center" vertical="top" wrapText="1"/>
    </xf>
    <xf numFmtId="0" fontId="81" fillId="21" borderId="0" xfId="0" applyFont="1" applyFill="1" applyAlignment="1">
      <alignment horizontal="center" vertical="top" wrapText="1"/>
    </xf>
    <xf numFmtId="0" fontId="37" fillId="0" borderId="27" xfId="1" applyBorder="1" applyAlignment="1">
      <alignment horizontal="center" vertical="center"/>
    </xf>
    <xf numFmtId="0" fontId="38" fillId="0" borderId="0" xfId="1" applyFont="1" applyAlignment="1">
      <alignment horizontal="center" vertical="center"/>
    </xf>
    <xf numFmtId="0" fontId="41" fillId="0" borderId="0" xfId="0" applyFont="1" applyAlignment="1">
      <alignment horizontal="center" vertical="top" wrapText="1"/>
    </xf>
    <xf numFmtId="0" fontId="41" fillId="0" borderId="0" xfId="0" applyFont="1" applyAlignment="1">
      <alignment horizontal="center" vertical="center"/>
    </xf>
    <xf numFmtId="0" fontId="10" fillId="0" borderId="33" xfId="0" applyFont="1" applyBorder="1" applyAlignment="1">
      <alignment horizontal="center" vertical="top" wrapText="1"/>
    </xf>
    <xf numFmtId="0" fontId="81" fillId="0" borderId="0" xfId="0" applyFont="1" applyAlignment="1">
      <alignment horizontal="center" vertical="top" wrapText="1"/>
    </xf>
    <xf numFmtId="0" fontId="81" fillId="0" borderId="13" xfId="0" applyFont="1" applyBorder="1" applyAlignment="1">
      <alignment horizontal="center" vertical="top" wrapText="1"/>
    </xf>
    <xf numFmtId="0" fontId="81" fillId="0" borderId="8" xfId="0" applyFont="1" applyBorder="1" applyAlignment="1">
      <alignment horizontal="center" vertical="top" wrapText="1"/>
    </xf>
    <xf numFmtId="49" fontId="81" fillId="0" borderId="0" xfId="0" applyNumberFormat="1" applyFont="1" applyAlignment="1">
      <alignment horizontal="center" vertical="top" wrapText="1"/>
    </xf>
    <xf numFmtId="0" fontId="81" fillId="0" borderId="14" xfId="0" applyFont="1" applyBorder="1" applyAlignment="1">
      <alignment horizontal="center" vertical="top" wrapText="1"/>
    </xf>
    <xf numFmtId="0" fontId="81" fillId="0" borderId="31" xfId="0" applyFont="1" applyBorder="1" applyAlignment="1">
      <alignment horizontal="center" vertical="top" wrapText="1"/>
    </xf>
    <xf numFmtId="0" fontId="81" fillId="0" borderId="5" xfId="0" applyFont="1" applyBorder="1" applyAlignment="1">
      <alignment horizontal="center" vertical="top" wrapText="1"/>
    </xf>
    <xf numFmtId="0" fontId="5" fillId="0" borderId="27" xfId="0" applyFont="1" applyBorder="1" applyAlignment="1">
      <alignment horizontal="center" vertical="center" wrapText="1"/>
    </xf>
    <xf numFmtId="0" fontId="5" fillId="0" borderId="31" xfId="0" applyFont="1" applyBorder="1" applyAlignment="1">
      <alignment horizontal="center" vertical="center" wrapText="1"/>
    </xf>
    <xf numFmtId="0" fontId="81" fillId="0" borderId="11" xfId="0" applyFont="1" applyBorder="1" applyAlignment="1">
      <alignment horizontal="center" vertical="top" wrapText="1"/>
    </xf>
    <xf numFmtId="0" fontId="88" fillId="0" borderId="0" xfId="0" applyFont="1" applyAlignment="1">
      <alignment horizontal="center" vertical="top" wrapText="1"/>
    </xf>
    <xf numFmtId="0" fontId="81" fillId="0" borderId="4" xfId="0" applyFont="1" applyBorder="1" applyAlignment="1">
      <alignment horizontal="center" vertical="top" wrapText="1"/>
    </xf>
    <xf numFmtId="0" fontId="81" fillId="0" borderId="3" xfId="0" applyFont="1" applyBorder="1" applyAlignment="1">
      <alignment horizontal="center" vertical="top" wrapText="1"/>
    </xf>
    <xf numFmtId="0" fontId="81" fillId="0" borderId="2" xfId="0" applyFont="1" applyBorder="1" applyAlignment="1">
      <alignment horizontal="center" vertical="top" wrapText="1"/>
    </xf>
    <xf numFmtId="0" fontId="81" fillId="0" borderId="10" xfId="0" applyFont="1" applyBorder="1" applyAlignment="1">
      <alignment horizontal="center" vertical="top" wrapText="1"/>
    </xf>
    <xf numFmtId="0" fontId="81" fillId="0" borderId="26" xfId="0" applyFont="1" applyBorder="1" applyAlignment="1">
      <alignment horizontal="center" vertical="top" wrapText="1"/>
    </xf>
    <xf numFmtId="0" fontId="81" fillId="0" borderId="28" xfId="0" applyFont="1" applyBorder="1" applyAlignment="1">
      <alignment horizontal="center" vertical="top" wrapText="1"/>
    </xf>
    <xf numFmtId="0" fontId="81" fillId="19" borderId="0" xfId="0" applyFont="1" applyFill="1" applyAlignment="1">
      <alignment horizontal="center" vertical="top" wrapText="1"/>
    </xf>
    <xf numFmtId="0" fontId="81" fillId="0" borderId="27" xfId="0" applyFont="1" applyBorder="1" applyAlignment="1">
      <alignment horizontal="center" vertical="top" wrapText="1"/>
    </xf>
    <xf numFmtId="0" fontId="81" fillId="27" borderId="0" xfId="0" applyFont="1" applyFill="1" applyAlignment="1">
      <alignment horizontal="center" vertical="top" wrapText="1"/>
    </xf>
    <xf numFmtId="0" fontId="81" fillId="26" borderId="0" xfId="0" applyFont="1" applyFill="1" applyAlignment="1">
      <alignment horizontal="center" vertical="top" wrapText="1"/>
    </xf>
    <xf numFmtId="0" fontId="81" fillId="20" borderId="0" xfId="0" applyFont="1" applyFill="1" applyAlignment="1">
      <alignment horizontal="center" vertical="top" wrapText="1"/>
    </xf>
    <xf numFmtId="0" fontId="5" fillId="0" borderId="29" xfId="0" applyFont="1" applyBorder="1" applyAlignment="1">
      <alignment horizontal="center" vertical="center" wrapText="1"/>
    </xf>
    <xf numFmtId="0" fontId="5" fillId="0" borderId="35" xfId="0" applyFont="1" applyBorder="1" applyAlignment="1">
      <alignment horizontal="center" vertical="center" wrapText="1"/>
    </xf>
    <xf numFmtId="0" fontId="81" fillId="0" borderId="29" xfId="0" applyFont="1" applyBorder="1" applyAlignment="1">
      <alignment horizontal="center" vertical="top" wrapText="1"/>
    </xf>
    <xf numFmtId="0" fontId="81" fillId="0" borderId="30" xfId="0" applyFont="1" applyBorder="1" applyAlignment="1">
      <alignment horizontal="center" vertical="top" wrapText="1"/>
    </xf>
    <xf numFmtId="0" fontId="81" fillId="0" borderId="35" xfId="0" applyFont="1" applyBorder="1" applyAlignment="1">
      <alignment horizontal="center" vertical="top" wrapText="1"/>
    </xf>
    <xf numFmtId="0" fontId="86" fillId="0" borderId="0" xfId="0" applyFont="1" applyAlignment="1">
      <alignment horizontal="center" vertical="top" wrapText="1"/>
    </xf>
    <xf numFmtId="0" fontId="3" fillId="0" borderId="39" xfId="0" applyFont="1" applyBorder="1" applyAlignment="1">
      <alignment horizontal="center" vertical="top"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92" fillId="0" borderId="0" xfId="0" applyFont="1" applyAlignment="1">
      <alignment horizontal="center" vertical="top" wrapText="1"/>
    </xf>
    <xf numFmtId="0" fontId="46" fillId="0" borderId="0" xfId="0" applyFont="1" applyAlignment="1">
      <alignment horizontal="center" vertical="top" wrapText="1"/>
    </xf>
    <xf numFmtId="0" fontId="81" fillId="34" borderId="0" xfId="0" applyFont="1" applyFill="1" applyAlignment="1">
      <alignment horizontal="center" vertical="top" wrapText="1"/>
    </xf>
    <xf numFmtId="0" fontId="81" fillId="19" borderId="31" xfId="0" applyFont="1" applyFill="1" applyBorder="1" applyAlignment="1">
      <alignment horizontal="center" vertical="top" wrapText="1"/>
    </xf>
    <xf numFmtId="0" fontId="81" fillId="20" borderId="31" xfId="0" applyFont="1" applyFill="1" applyBorder="1" applyAlignment="1">
      <alignment horizontal="center" vertical="top" wrapText="1"/>
    </xf>
    <xf numFmtId="0" fontId="81" fillId="19" borderId="32" xfId="0" applyFont="1" applyFill="1" applyBorder="1" applyAlignment="1">
      <alignment horizontal="center" vertical="top" wrapText="1"/>
    </xf>
    <xf numFmtId="0" fontId="81" fillId="21" borderId="31" xfId="0" applyFont="1" applyFill="1" applyBorder="1" applyAlignment="1">
      <alignment horizontal="center" vertical="top" wrapText="1"/>
    </xf>
    <xf numFmtId="0" fontId="81" fillId="27" borderId="31" xfId="0" applyFont="1" applyFill="1" applyBorder="1" applyAlignment="1">
      <alignment horizontal="center" vertical="top" wrapText="1"/>
    </xf>
    <xf numFmtId="0" fontId="81" fillId="26" borderId="31" xfId="0" applyFont="1" applyFill="1" applyBorder="1" applyAlignment="1">
      <alignment horizontal="center" vertical="top" wrapText="1"/>
    </xf>
    <xf numFmtId="0" fontId="81" fillId="34" borderId="31" xfId="0" applyFont="1" applyFill="1" applyBorder="1" applyAlignment="1">
      <alignment horizontal="center" vertical="top" wrapText="1"/>
    </xf>
    <xf numFmtId="0" fontId="43" fillId="22" borderId="0" xfId="0" applyFont="1" applyFill="1" applyAlignment="1">
      <alignment horizontal="center" vertical="top" wrapText="1"/>
    </xf>
    <xf numFmtId="0" fontId="90" fillId="0" borderId="0" xfId="0" applyFont="1" applyAlignment="1">
      <alignment horizontal="center" vertical="top" wrapText="1"/>
    </xf>
    <xf numFmtId="0" fontId="90" fillId="0" borderId="14" xfId="0" applyFont="1" applyBorder="1" applyAlignment="1">
      <alignment horizontal="center" vertical="top" wrapText="1"/>
    </xf>
    <xf numFmtId="0" fontId="85" fillId="0" borderId="2" xfId="0" applyFont="1" applyBorder="1" applyAlignment="1">
      <alignment horizontal="center" vertical="top" wrapText="1"/>
    </xf>
    <xf numFmtId="0" fontId="85" fillId="0" borderId="8" xfId="0" applyFont="1" applyBorder="1" applyAlignment="1">
      <alignment horizontal="center" vertical="top" wrapText="1"/>
    </xf>
    <xf numFmtId="0" fontId="85" fillId="0" borderId="13" xfId="0" applyFont="1" applyBorder="1" applyAlignment="1">
      <alignment horizontal="center" vertical="top" wrapText="1"/>
    </xf>
    <xf numFmtId="0" fontId="85" fillId="0" borderId="14" xfId="0" applyFont="1" applyBorder="1" applyAlignment="1">
      <alignment horizontal="center" vertical="top" wrapText="1"/>
    </xf>
    <xf numFmtId="0" fontId="85" fillId="0" borderId="4" xfId="0" applyFont="1" applyBorder="1" applyAlignment="1">
      <alignment horizontal="center" vertical="top" wrapText="1"/>
    </xf>
    <xf numFmtId="0" fontId="85" fillId="0" borderId="10" xfId="0" applyFont="1" applyBorder="1" applyAlignment="1">
      <alignment horizontal="center" vertical="top" wrapText="1"/>
    </xf>
    <xf numFmtId="0" fontId="46" fillId="0" borderId="2" xfId="0" applyFont="1" applyBorder="1" applyAlignment="1">
      <alignment horizontal="center" vertical="top" wrapText="1"/>
    </xf>
    <xf numFmtId="0" fontId="28" fillId="0" borderId="0" xfId="0" applyFont="1" applyAlignment="1">
      <alignment horizontal="center" vertical="top" wrapText="1"/>
    </xf>
    <xf numFmtId="0" fontId="28" fillId="0" borderId="31" xfId="0" applyFont="1" applyBorder="1" applyAlignment="1">
      <alignment horizontal="center" vertical="top" wrapText="1"/>
    </xf>
    <xf numFmtId="0" fontId="28" fillId="20" borderId="0" xfId="0" applyFont="1" applyFill="1" applyAlignment="1">
      <alignment horizontal="center" vertical="top" wrapText="1"/>
    </xf>
    <xf numFmtId="0" fontId="28" fillId="20" borderId="31" xfId="0" applyFont="1" applyFill="1" applyBorder="1" applyAlignment="1">
      <alignment horizontal="center" vertical="top" wrapText="1"/>
    </xf>
    <xf numFmtId="0" fontId="81" fillId="19" borderId="26" xfId="0" applyFont="1" applyFill="1" applyBorder="1" applyAlignment="1">
      <alignment horizontal="center" vertical="top" wrapText="1"/>
    </xf>
    <xf numFmtId="0" fontId="28" fillId="0" borderId="27" xfId="0" applyFont="1" applyBorder="1" applyAlignment="1">
      <alignment horizontal="center" vertical="top" wrapText="1"/>
    </xf>
    <xf numFmtId="0" fontId="43" fillId="22" borderId="27" xfId="0" applyFont="1" applyFill="1" applyBorder="1" applyAlignment="1">
      <alignment horizontal="center" vertical="top" wrapText="1"/>
    </xf>
    <xf numFmtId="0" fontId="5" fillId="0" borderId="27" xfId="0" applyFont="1" applyBorder="1" applyAlignment="1">
      <alignment horizontal="center" vertical="top" wrapText="1"/>
    </xf>
    <xf numFmtId="0" fontId="5" fillId="0" borderId="8" xfId="0" applyFont="1" applyBorder="1" applyAlignment="1">
      <alignment horizontal="center" vertical="top" wrapText="1"/>
    </xf>
    <xf numFmtId="0" fontId="5" fillId="0" borderId="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top" wrapText="1"/>
    </xf>
    <xf numFmtId="0" fontId="5" fillId="0" borderId="4" xfId="0" applyFont="1" applyBorder="1" applyAlignment="1">
      <alignment horizontal="center" vertical="center" wrapText="1"/>
    </xf>
    <xf numFmtId="0" fontId="5" fillId="0" borderId="10" xfId="0" applyFont="1" applyBorder="1" applyAlignment="1">
      <alignment horizontal="center" vertical="top" wrapText="1"/>
    </xf>
    <xf numFmtId="0" fontId="81" fillId="6" borderId="0" xfId="0" applyFont="1" applyFill="1" applyAlignment="1">
      <alignment horizontal="center" vertical="center"/>
    </xf>
    <xf numFmtId="0" fontId="93" fillId="6" borderId="0" xfId="0" applyFont="1" applyFill="1" applyAlignment="1">
      <alignment horizontal="center" vertical="center"/>
    </xf>
    <xf numFmtId="0" fontId="81" fillId="6" borderId="0" xfId="0" applyFont="1" applyFill="1" applyAlignment="1">
      <alignment horizontal="center" vertical="center" wrapText="1"/>
    </xf>
    <xf numFmtId="0" fontId="81" fillId="2" borderId="16"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center"/>
      <protection locked="0"/>
    </xf>
    <xf numFmtId="0" fontId="81" fillId="2" borderId="17" xfId="0" applyFont="1" applyFill="1" applyBorder="1" applyAlignment="1" applyProtection="1">
      <alignment horizontal="left" vertical="top" wrapText="1"/>
      <protection locked="0"/>
    </xf>
    <xf numFmtId="0" fontId="86" fillId="6" borderId="0" xfId="0" applyFont="1" applyFill="1" applyAlignment="1">
      <alignment horizontal="center" vertical="center"/>
    </xf>
    <xf numFmtId="0" fontId="81" fillId="10" borderId="16"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top" wrapText="1"/>
      <protection locked="0"/>
    </xf>
    <xf numFmtId="0" fontId="81" fillId="10" borderId="17" xfId="0" applyFont="1" applyFill="1" applyBorder="1" applyAlignment="1" applyProtection="1">
      <alignment horizontal="center" vertical="center"/>
      <protection locked="0"/>
    </xf>
    <xf numFmtId="0" fontId="81" fillId="10" borderId="17" xfId="0" applyFont="1" applyFill="1" applyBorder="1" applyAlignment="1" applyProtection="1">
      <alignment horizontal="left" vertical="top" wrapText="1"/>
      <protection locked="0"/>
    </xf>
    <xf numFmtId="0" fontId="3" fillId="0" borderId="3" xfId="0" applyFont="1" applyBorder="1" applyAlignment="1">
      <alignment horizontal="center" vertical="top" wrapText="1"/>
    </xf>
    <xf numFmtId="0" fontId="3" fillId="0" borderId="1" xfId="0" applyFont="1" applyBorder="1" applyAlignment="1">
      <alignment horizontal="center"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0" fillId="0" borderId="8" xfId="0" applyFont="1" applyBorder="1" applyAlignment="1">
      <alignment horizontal="center" vertical="top" wrapText="1"/>
    </xf>
    <xf numFmtId="0" fontId="10" fillId="0" borderId="4" xfId="0" applyFont="1" applyBorder="1" applyAlignment="1">
      <alignment horizontal="center" vertical="top" wrapText="1"/>
    </xf>
    <xf numFmtId="0" fontId="46" fillId="0" borderId="31" xfId="0" applyFont="1" applyBorder="1" applyAlignment="1">
      <alignment horizontal="center" vertical="top" wrapText="1"/>
    </xf>
    <xf numFmtId="0" fontId="96" fillId="0" borderId="31" xfId="0" applyFont="1" applyBorder="1" applyAlignment="1">
      <alignment horizontal="center" vertical="top" wrapText="1"/>
    </xf>
    <xf numFmtId="0" fontId="92" fillId="20" borderId="0" xfId="0" applyFont="1" applyFill="1" applyAlignment="1">
      <alignment horizontal="center" vertical="top" wrapText="1"/>
    </xf>
    <xf numFmtId="0" fontId="46" fillId="20" borderId="31" xfId="0" applyFont="1" applyFill="1" applyBorder="1" applyAlignment="1">
      <alignment horizontal="center" vertical="top" wrapText="1"/>
    </xf>
    <xf numFmtId="0" fontId="46" fillId="20" borderId="0" xfId="0" applyFont="1" applyFill="1" applyAlignment="1">
      <alignment horizontal="center" vertical="top" wrapText="1"/>
    </xf>
    <xf numFmtId="0" fontId="96" fillId="20" borderId="31" xfId="0" applyFont="1" applyFill="1" applyBorder="1" applyAlignment="1">
      <alignment horizontal="center" vertical="top" wrapText="1"/>
    </xf>
    <xf numFmtId="0" fontId="97" fillId="0" borderId="0" xfId="0" applyFont="1" applyAlignment="1">
      <alignment horizontal="center" vertical="top" wrapText="1"/>
    </xf>
    <xf numFmtId="0" fontId="94" fillId="0" borderId="31" xfId="0" applyFont="1" applyBorder="1" applyAlignment="1">
      <alignment horizontal="center" vertical="top" wrapText="1"/>
    </xf>
    <xf numFmtId="0" fontId="99" fillId="0" borderId="1" xfId="0" applyFont="1" applyBorder="1" applyAlignment="1">
      <alignment horizontal="center" vertical="center" wrapText="1"/>
    </xf>
    <xf numFmtId="0" fontId="99" fillId="0" borderId="1" xfId="0" applyFont="1" applyBorder="1" applyAlignment="1">
      <alignment horizontal="center" vertical="top" wrapText="1"/>
    </xf>
    <xf numFmtId="0" fontId="99" fillId="0" borderId="0" xfId="0" applyFont="1" applyAlignment="1">
      <alignment horizontal="center" vertical="center" wrapText="1"/>
    </xf>
    <xf numFmtId="0" fontId="99" fillId="0" borderId="0" xfId="0" applyFont="1" applyAlignment="1">
      <alignment horizontal="center" vertical="top" wrapText="1"/>
    </xf>
    <xf numFmtId="0" fontId="46" fillId="0" borderId="10" xfId="0" applyFont="1" applyBorder="1" applyAlignment="1">
      <alignment horizontal="center" vertical="top" wrapText="1"/>
    </xf>
    <xf numFmtId="0" fontId="46" fillId="0" borderId="14" xfId="0" applyFont="1" applyBorder="1" applyAlignment="1">
      <alignment horizontal="center" vertical="top" wrapText="1"/>
    </xf>
    <xf numFmtId="0" fontId="46" fillId="0" borderId="8" xfId="0" applyFont="1" applyBorder="1" applyAlignment="1">
      <alignment horizontal="center" vertical="top" wrapText="1"/>
    </xf>
    <xf numFmtId="0" fontId="46" fillId="10" borderId="0" xfId="0" applyFont="1" applyFill="1" applyAlignment="1">
      <alignment horizontal="center" vertical="top" wrapText="1"/>
    </xf>
    <xf numFmtId="0" fontId="7" fillId="10" borderId="0" xfId="0" applyFont="1" applyFill="1" applyAlignment="1">
      <alignment horizontal="center" vertical="top" wrapText="1"/>
    </xf>
    <xf numFmtId="0" fontId="10" fillId="0" borderId="27" xfId="0" applyFont="1" applyBorder="1" applyAlignment="1">
      <alignment horizontal="center" vertical="top" wrapText="1"/>
    </xf>
    <xf numFmtId="0" fontId="99" fillId="0" borderId="39" xfId="0" applyFont="1" applyBorder="1" applyAlignment="1">
      <alignment horizontal="center" vertical="center" wrapText="1"/>
    </xf>
    <xf numFmtId="0" fontId="99" fillId="21" borderId="3" xfId="0" applyFont="1" applyFill="1" applyBorder="1" applyAlignment="1">
      <alignment horizontal="center" vertical="center" wrapText="1"/>
    </xf>
    <xf numFmtId="0" fontId="99" fillId="21" borderId="3" xfId="0" applyFont="1" applyFill="1" applyBorder="1" applyAlignment="1">
      <alignment horizontal="center" vertical="top" wrapText="1"/>
    </xf>
    <xf numFmtId="0" fontId="99" fillId="21" borderId="0" xfId="0" applyFont="1" applyFill="1" applyAlignment="1">
      <alignment horizontal="center" vertical="center" wrapText="1"/>
    </xf>
    <xf numFmtId="0" fontId="99" fillId="21" borderId="0" xfId="0" applyFont="1" applyFill="1" applyAlignment="1">
      <alignment horizontal="center" vertical="top" wrapText="1"/>
    </xf>
    <xf numFmtId="0" fontId="99" fillId="0" borderId="2" xfId="0" applyFont="1" applyBorder="1" applyAlignment="1">
      <alignment horizontal="center" vertical="center" wrapText="1"/>
    </xf>
    <xf numFmtId="0" fontId="99" fillId="0" borderId="8" xfId="0" applyFont="1" applyBorder="1" applyAlignment="1">
      <alignment horizontal="center" vertical="top" wrapText="1"/>
    </xf>
    <xf numFmtId="0" fontId="99" fillId="0" borderId="4" xfId="0" applyFont="1" applyBorder="1" applyAlignment="1">
      <alignment horizontal="center" vertical="center" wrapText="1"/>
    </xf>
    <xf numFmtId="0" fontId="99" fillId="0" borderId="10" xfId="0" applyFont="1" applyBorder="1" applyAlignment="1">
      <alignment horizontal="center" vertical="top" wrapText="1"/>
    </xf>
    <xf numFmtId="0" fontId="69" fillId="0" borderId="13" xfId="0" applyFont="1" applyBorder="1" applyAlignment="1">
      <alignment horizontal="center" vertical="top" wrapText="1"/>
    </xf>
    <xf numFmtId="0" fontId="46" fillId="0" borderId="26" xfId="0" applyFont="1" applyBorder="1" applyAlignment="1">
      <alignment horizontal="center" vertical="top" wrapText="1"/>
    </xf>
    <xf numFmtId="0" fontId="46" fillId="19" borderId="0" xfId="0" applyFont="1" applyFill="1" applyAlignment="1">
      <alignment horizontal="center" vertical="top" wrapText="1"/>
    </xf>
    <xf numFmtId="0" fontId="46" fillId="19" borderId="32" xfId="0" applyFont="1" applyFill="1" applyBorder="1" applyAlignment="1">
      <alignment horizontal="center" vertical="top" wrapText="1"/>
    </xf>
    <xf numFmtId="0" fontId="46" fillId="19" borderId="31" xfId="0" applyFont="1" applyFill="1" applyBorder="1" applyAlignment="1">
      <alignment horizontal="center" vertical="top" wrapText="1"/>
    </xf>
    <xf numFmtId="0" fontId="46" fillId="34" borderId="0" xfId="0" applyFont="1" applyFill="1" applyAlignment="1">
      <alignment horizontal="center" vertical="top" wrapText="1"/>
    </xf>
    <xf numFmtId="0" fontId="46" fillId="34" borderId="31" xfId="0" applyFont="1" applyFill="1" applyBorder="1" applyAlignment="1">
      <alignment horizontal="center" vertical="top" wrapText="1"/>
    </xf>
    <xf numFmtId="0" fontId="94" fillId="34" borderId="31" xfId="0" applyFont="1" applyFill="1" applyBorder="1" applyAlignment="1">
      <alignment horizontal="center" vertical="top" wrapText="1"/>
    </xf>
    <xf numFmtId="0" fontId="92" fillId="0" borderId="31" xfId="0" applyFont="1" applyBorder="1" applyAlignment="1">
      <alignment horizontal="center" vertical="top" wrapText="1"/>
    </xf>
    <xf numFmtId="0" fontId="92" fillId="20" borderId="31" xfId="0" applyFont="1" applyFill="1" applyBorder="1" applyAlignment="1">
      <alignment horizontal="center" vertical="top" wrapText="1"/>
    </xf>
    <xf numFmtId="0" fontId="94" fillId="20" borderId="31" xfId="0" applyFont="1" applyFill="1" applyBorder="1" applyAlignment="1">
      <alignment horizontal="center" vertical="top" wrapText="1"/>
    </xf>
    <xf numFmtId="0" fontId="92" fillId="0" borderId="13" xfId="0" applyFont="1" applyBorder="1" applyAlignment="1">
      <alignment horizontal="center" vertical="top" wrapText="1"/>
    </xf>
    <xf numFmtId="0" fontId="92" fillId="34" borderId="0" xfId="0" applyFont="1" applyFill="1" applyAlignment="1">
      <alignment horizontal="center" vertical="top" wrapText="1"/>
    </xf>
    <xf numFmtId="0" fontId="92" fillId="34" borderId="31" xfId="0" applyFont="1" applyFill="1" applyBorder="1" applyAlignment="1">
      <alignment horizontal="center" vertical="top" wrapText="1"/>
    </xf>
    <xf numFmtId="0" fontId="32" fillId="2" borderId="24" xfId="0" applyFont="1" applyFill="1" applyBorder="1" applyAlignment="1">
      <alignment horizontal="center" vertical="center" wrapText="1"/>
    </xf>
    <xf numFmtId="0" fontId="32" fillId="10" borderId="24" xfId="0" applyFont="1" applyFill="1" applyBorder="1" applyAlignment="1">
      <alignment horizontal="center" vertical="center" wrapText="1"/>
    </xf>
    <xf numFmtId="0" fontId="94" fillId="19" borderId="32" xfId="0" applyFont="1" applyFill="1" applyBorder="1" applyAlignment="1">
      <alignment horizontal="center" vertical="top" wrapText="1"/>
    </xf>
    <xf numFmtId="0" fontId="92" fillId="19" borderId="31" xfId="0" applyFont="1" applyFill="1" applyBorder="1" applyAlignment="1">
      <alignment horizontal="center" vertical="top" wrapText="1"/>
    </xf>
    <xf numFmtId="0" fontId="94" fillId="19" borderId="31" xfId="0" applyFont="1" applyFill="1" applyBorder="1" applyAlignment="1">
      <alignment horizontal="center" vertical="top" wrapText="1"/>
    </xf>
    <xf numFmtId="0" fontId="102" fillId="0" borderId="13" xfId="0" applyFont="1" applyBorder="1" applyAlignment="1">
      <alignment horizontal="center" vertical="top" wrapText="1"/>
    </xf>
    <xf numFmtId="0" fontId="5" fillId="0" borderId="0" xfId="0" applyFont="1" applyAlignment="1">
      <alignment horizontal="center" vertical="center"/>
    </xf>
    <xf numFmtId="0" fontId="69" fillId="0" borderId="0" xfId="0" applyFont="1" applyAlignment="1">
      <alignment horizontal="center" vertical="center" wrapText="1"/>
    </xf>
    <xf numFmtId="0" fontId="7" fillId="0" borderId="0" xfId="0" applyFont="1" applyAlignment="1">
      <alignment horizontal="center" vertical="center" wrapText="1"/>
    </xf>
    <xf numFmtId="0" fontId="104" fillId="0" borderId="0" xfId="0" applyFont="1" applyAlignment="1">
      <alignment horizontal="center" vertical="top" wrapText="1"/>
    </xf>
    <xf numFmtId="0" fontId="106" fillId="6" borderId="0" xfId="0" applyFont="1" applyFill="1" applyAlignment="1">
      <alignment horizontal="center" wrapText="1"/>
    </xf>
    <xf numFmtId="0" fontId="106" fillId="6" borderId="0" xfId="0" applyFont="1" applyFill="1" applyAlignment="1">
      <alignment horizontal="left"/>
    </xf>
    <xf numFmtId="0" fontId="107" fillId="6" borderId="0" xfId="0" applyFont="1" applyFill="1" applyAlignment="1">
      <alignment wrapText="1"/>
    </xf>
    <xf numFmtId="0" fontId="108" fillId="6" borderId="0" xfId="0" applyFont="1" applyFill="1" applyAlignment="1">
      <alignment horizontal="center" vertical="center" wrapText="1"/>
    </xf>
    <xf numFmtId="0" fontId="4" fillId="6" borderId="0" xfId="0" applyFont="1" applyFill="1" applyAlignment="1">
      <alignment horizontal="center" vertical="center" wrapText="1"/>
    </xf>
    <xf numFmtId="0" fontId="106" fillId="6" borderId="15" xfId="0" applyFont="1" applyFill="1" applyBorder="1" applyAlignment="1">
      <alignment horizontal="center" wrapText="1"/>
    </xf>
    <xf numFmtId="0" fontId="106" fillId="6" borderId="0" xfId="0" applyFont="1" applyFill="1" applyAlignment="1">
      <alignment wrapText="1"/>
    </xf>
    <xf numFmtId="0" fontId="106" fillId="6" borderId="0" xfId="0" applyFont="1" applyFill="1" applyAlignment="1">
      <alignment horizontal="right"/>
    </xf>
    <xf numFmtId="0" fontId="108" fillId="6" borderId="0" xfId="0" applyFont="1" applyFill="1" applyAlignment="1">
      <alignment horizontal="center" wrapText="1"/>
    </xf>
    <xf numFmtId="0" fontId="4" fillId="6" borderId="0" xfId="0" applyFont="1" applyFill="1" applyAlignment="1">
      <alignment horizontal="center" wrapText="1"/>
    </xf>
    <xf numFmtId="0" fontId="41" fillId="6" borderId="0" xfId="0" applyFont="1" applyFill="1">
      <alignment vertical="center"/>
    </xf>
    <xf numFmtId="0" fontId="105" fillId="6" borderId="0" xfId="0" applyFont="1" applyFill="1" applyAlignment="1">
      <alignment horizontal="center" vertical="center" wrapText="1"/>
    </xf>
    <xf numFmtId="0" fontId="5" fillId="0" borderId="1" xfId="0" applyFont="1" applyBorder="1" applyAlignment="1">
      <alignment horizontal="center" vertical="top" wrapText="1"/>
    </xf>
    <xf numFmtId="0" fontId="69" fillId="0" borderId="0" xfId="0" applyFont="1" applyAlignment="1">
      <alignment horizontal="center" vertical="top" wrapText="1"/>
    </xf>
    <xf numFmtId="0" fontId="69" fillId="0" borderId="0" xfId="0" applyFont="1" applyAlignment="1">
      <alignment horizontal="center" vertical="center"/>
    </xf>
    <xf numFmtId="0" fontId="69" fillId="10" borderId="0" xfId="0" applyFont="1" applyFill="1" applyAlignment="1">
      <alignment horizontal="center" vertical="center"/>
    </xf>
    <xf numFmtId="0" fontId="69" fillId="10" borderId="0" xfId="0" applyFont="1" applyFill="1" applyAlignment="1">
      <alignment horizontal="center" vertical="top" wrapText="1"/>
    </xf>
    <xf numFmtId="0" fontId="5" fillId="10" borderId="0" xfId="0" applyFont="1" applyFill="1" applyAlignment="1">
      <alignment horizontal="center" vertical="center" wrapText="1"/>
    </xf>
    <xf numFmtId="0" fontId="7" fillId="10" borderId="0" xfId="0" applyFont="1" applyFill="1" applyAlignment="1">
      <alignment horizontal="center" vertical="center" wrapText="1"/>
    </xf>
    <xf numFmtId="0" fontId="104" fillId="10" borderId="0" xfId="0" applyFont="1" applyFill="1" applyAlignment="1">
      <alignment horizontal="center" vertical="top" wrapText="1"/>
    </xf>
    <xf numFmtId="0" fontId="10" fillId="0" borderId="28" xfId="0" applyFont="1" applyBorder="1" applyAlignment="1">
      <alignment horizontal="center" vertical="top" wrapText="1"/>
    </xf>
    <xf numFmtId="0" fontId="97" fillId="0" borderId="31" xfId="0" applyFont="1" applyBorder="1" applyAlignment="1">
      <alignment horizontal="center" vertical="top" wrapText="1"/>
    </xf>
    <xf numFmtId="0" fontId="97" fillId="20" borderId="0" xfId="0" applyFont="1" applyFill="1" applyAlignment="1">
      <alignment horizontal="center" vertical="top" wrapText="1"/>
    </xf>
    <xf numFmtId="0" fontId="92" fillId="39" borderId="0" xfId="0" applyFont="1" applyFill="1" applyAlignment="1">
      <alignment horizontal="center" vertical="top" wrapText="1"/>
    </xf>
    <xf numFmtId="0" fontId="94" fillId="39" borderId="31" xfId="0" applyFont="1" applyFill="1" applyBorder="1" applyAlignment="1">
      <alignment horizontal="center" vertical="top" wrapText="1"/>
    </xf>
    <xf numFmtId="0" fontId="111" fillId="49" borderId="0" xfId="1" applyFont="1" applyFill="1" applyAlignment="1">
      <alignment horizontal="center" vertical="top" wrapText="1"/>
    </xf>
    <xf numFmtId="0" fontId="81" fillId="27" borderId="0" xfId="0" applyFont="1" applyFill="1" applyAlignment="1">
      <alignment horizontal="center" vertical="center" wrapText="1"/>
    </xf>
    <xf numFmtId="0" fontId="81" fillId="26" borderId="0" xfId="0" applyFont="1" applyFill="1" applyAlignment="1">
      <alignment horizontal="center" vertical="center" wrapText="1"/>
    </xf>
    <xf numFmtId="0" fontId="81" fillId="40" borderId="0" xfId="0" applyFont="1" applyFill="1" applyAlignment="1">
      <alignment horizontal="center" vertical="center" wrapText="1"/>
    </xf>
    <xf numFmtId="0" fontId="81" fillId="33" borderId="0" xfId="0" applyFont="1" applyFill="1" applyAlignment="1">
      <alignment horizontal="center" vertical="center" wrapText="1"/>
    </xf>
    <xf numFmtId="0" fontId="81" fillId="41" borderId="0" xfId="0" applyFont="1" applyFill="1" applyAlignment="1">
      <alignment horizontal="center" vertical="center" wrapText="1"/>
    </xf>
    <xf numFmtId="0" fontId="81" fillId="25" borderId="0" xfId="0" applyFont="1" applyFill="1" applyAlignment="1">
      <alignment horizontal="center" vertical="center" wrapText="1"/>
    </xf>
    <xf numFmtId="0" fontId="81" fillId="43" borderId="0" xfId="0" applyFont="1" applyFill="1" applyAlignment="1">
      <alignment horizontal="center" vertical="center" wrapText="1"/>
    </xf>
    <xf numFmtId="0" fontId="81" fillId="45" borderId="0" xfId="0" applyFont="1" applyFill="1" applyAlignment="1">
      <alignment horizontal="center" vertical="center" wrapText="1"/>
    </xf>
    <xf numFmtId="0" fontId="81" fillId="47" borderId="0" xfId="0" applyFont="1" applyFill="1" applyAlignment="1">
      <alignment horizontal="center" vertical="top" wrapText="1"/>
    </xf>
    <xf numFmtId="0" fontId="81" fillId="39" borderId="0" xfId="0" applyFont="1" applyFill="1" applyAlignment="1">
      <alignment horizontal="center" vertical="top" wrapText="1"/>
    </xf>
    <xf numFmtId="0" fontId="81" fillId="42" borderId="0" xfId="0" applyFont="1" applyFill="1" applyAlignment="1">
      <alignment horizontal="center" vertical="center" wrapText="1"/>
    </xf>
    <xf numFmtId="0" fontId="109" fillId="49" borderId="0" xfId="0" applyFont="1" applyFill="1" applyAlignment="1">
      <alignment horizontal="center" vertical="top" wrapText="1"/>
    </xf>
    <xf numFmtId="0" fontId="109" fillId="32" borderId="0" xfId="0" applyFont="1" applyFill="1" applyAlignment="1">
      <alignment horizontal="center" vertical="center" wrapText="1"/>
    </xf>
    <xf numFmtId="0" fontId="109" fillId="48" borderId="0" xfId="0" applyFont="1" applyFill="1" applyAlignment="1">
      <alignment horizontal="center" vertical="top" wrapText="1"/>
    </xf>
    <xf numFmtId="0" fontId="109" fillId="44" borderId="0" xfId="0" applyFont="1" applyFill="1" applyAlignment="1">
      <alignment horizontal="center" vertical="center" wrapText="1"/>
    </xf>
    <xf numFmtId="0" fontId="81" fillId="34" borderId="52" xfId="0" applyFont="1" applyFill="1" applyBorder="1" applyAlignment="1">
      <alignment horizontal="center" vertical="center" wrapText="1"/>
    </xf>
    <xf numFmtId="0" fontId="81" fillId="0" borderId="52" xfId="0" applyFont="1" applyBorder="1" applyAlignment="1">
      <alignment horizontal="center" vertical="top" wrapText="1"/>
    </xf>
    <xf numFmtId="0" fontId="46" fillId="27" borderId="0" xfId="0" applyFont="1" applyFill="1" applyAlignment="1">
      <alignment horizontal="center" vertical="top" wrapText="1"/>
    </xf>
    <xf numFmtId="0" fontId="46" fillId="26" borderId="0" xfId="0" applyFont="1" applyFill="1" applyAlignment="1">
      <alignment horizontal="center" vertical="top" wrapText="1"/>
    </xf>
    <xf numFmtId="0" fontId="46" fillId="40" borderId="0" xfId="0" applyFont="1" applyFill="1" applyAlignment="1">
      <alignment horizontal="center" vertical="top" wrapText="1"/>
    </xf>
    <xf numFmtId="0" fontId="46" fillId="43" borderId="0" xfId="0" applyFont="1" applyFill="1" applyAlignment="1">
      <alignment horizontal="center" vertical="top" wrapText="1"/>
    </xf>
    <xf numFmtId="0" fontId="46" fillId="45" borderId="0" xfId="0" applyFont="1" applyFill="1" applyAlignment="1">
      <alignment horizontal="center" vertical="top" wrapText="1"/>
    </xf>
    <xf numFmtId="0" fontId="37" fillId="47" borderId="0" xfId="1" applyFill="1" applyAlignment="1">
      <alignment horizontal="center" vertical="top" wrapText="1"/>
    </xf>
    <xf numFmtId="0" fontId="46" fillId="42" borderId="0" xfId="0" applyFont="1" applyFill="1" applyAlignment="1">
      <alignment horizontal="center" vertical="top" wrapText="1"/>
    </xf>
    <xf numFmtId="0" fontId="110" fillId="32" borderId="0" xfId="0" applyFont="1" applyFill="1" applyAlignment="1">
      <alignment horizontal="center" vertical="top" wrapText="1"/>
    </xf>
    <xf numFmtId="0" fontId="110" fillId="44" borderId="0" xfId="0" applyFont="1" applyFill="1" applyAlignment="1">
      <alignment horizontal="center" vertical="top" wrapText="1"/>
    </xf>
    <xf numFmtId="0" fontId="46" fillId="34" borderId="52" xfId="0" applyFont="1" applyFill="1" applyBorder="1" applyAlignment="1">
      <alignment horizontal="center" vertical="top" wrapText="1"/>
    </xf>
    <xf numFmtId="0" fontId="46" fillId="41" borderId="0" xfId="0" applyFont="1" applyFill="1" applyAlignment="1">
      <alignment horizontal="center" vertical="top" wrapText="1"/>
    </xf>
    <xf numFmtId="0" fontId="46" fillId="39" borderId="0" xfId="0" applyFont="1" applyFill="1" applyAlignment="1">
      <alignment horizontal="center" vertical="top" wrapText="1"/>
    </xf>
    <xf numFmtId="0" fontId="87" fillId="0" borderId="0" xfId="0" applyFont="1" applyAlignment="1">
      <alignment horizontal="center" vertical="top" wrapText="1"/>
    </xf>
    <xf numFmtId="0" fontId="7" fillId="39" borderId="0" xfId="0" applyFont="1" applyFill="1" applyAlignment="1">
      <alignment horizontal="center" vertical="center" wrapText="1"/>
    </xf>
    <xf numFmtId="0" fontId="46" fillId="25" borderId="0" xfId="0" applyFont="1" applyFill="1" applyAlignment="1">
      <alignment horizontal="center" vertical="top" wrapText="1"/>
    </xf>
    <xf numFmtId="0" fontId="46" fillId="33" borderId="0" xfId="0" applyFont="1" applyFill="1" applyAlignment="1">
      <alignment horizontal="center" vertical="top" wrapText="1"/>
    </xf>
    <xf numFmtId="0" fontId="81" fillId="0" borderId="15" xfId="0" applyFont="1" applyBorder="1" applyAlignment="1">
      <alignment horizontal="center" vertical="center" wrapText="1"/>
    </xf>
    <xf numFmtId="0" fontId="46" fillId="0" borderId="15" xfId="0" applyFont="1" applyBorder="1" applyAlignment="1">
      <alignment horizontal="center" vertical="top" wrapText="1"/>
    </xf>
    <xf numFmtId="0" fontId="81" fillId="0" borderId="15" xfId="0" applyFont="1" applyBorder="1" applyAlignment="1">
      <alignment horizontal="center" vertical="top" wrapText="1"/>
    </xf>
    <xf numFmtId="0" fontId="81" fillId="0" borderId="57" xfId="0" applyFont="1" applyBorder="1" applyAlignment="1">
      <alignment horizontal="center" vertical="top" wrapText="1"/>
    </xf>
    <xf numFmtId="0" fontId="16" fillId="0" borderId="72" xfId="0" applyFont="1" applyBorder="1" applyAlignment="1">
      <alignment horizontal="center" vertical="center"/>
    </xf>
    <xf numFmtId="0" fontId="16" fillId="0" borderId="72" xfId="0" applyFont="1" applyBorder="1" applyAlignment="1">
      <alignment horizontal="center" vertical="top" wrapText="1"/>
    </xf>
    <xf numFmtId="0" fontId="16" fillId="0" borderId="72" xfId="0" applyFont="1" applyBorder="1" applyAlignment="1">
      <alignment horizontal="left" vertical="center"/>
    </xf>
    <xf numFmtId="0" fontId="16" fillId="0" borderId="72" xfId="0" applyFont="1" applyBorder="1" applyAlignment="1">
      <alignment horizontal="left" vertical="top" wrapText="1"/>
    </xf>
    <xf numFmtId="0" fontId="16" fillId="0" borderId="72" xfId="0" applyFont="1" applyBorder="1">
      <alignment vertical="center"/>
    </xf>
    <xf numFmtId="0" fontId="16" fillId="0" borderId="72" xfId="0" applyFont="1" applyBorder="1" applyAlignment="1">
      <alignment wrapText="1"/>
    </xf>
    <xf numFmtId="0" fontId="16" fillId="0" borderId="72" xfId="0" applyFont="1" applyBorder="1" applyAlignment="1">
      <alignment vertical="top" wrapText="1"/>
    </xf>
    <xf numFmtId="0" fontId="112" fillId="6" borderId="0" xfId="0" applyFont="1" applyFill="1" applyAlignment="1">
      <alignment vertical="center" wrapText="1"/>
    </xf>
    <xf numFmtId="0" fontId="16" fillId="0" borderId="73" xfId="0" applyFont="1" applyBorder="1">
      <alignment vertical="center"/>
    </xf>
    <xf numFmtId="0" fontId="16" fillId="0" borderId="74" xfId="0" applyFont="1" applyBorder="1" applyAlignment="1">
      <alignment horizontal="center" vertical="center"/>
    </xf>
    <xf numFmtId="0" fontId="16" fillId="0" borderId="74" xfId="0" applyFont="1" applyBorder="1" applyAlignment="1">
      <alignment horizontal="center" vertical="top" wrapText="1"/>
    </xf>
    <xf numFmtId="0" fontId="16" fillId="0" borderId="74" xfId="0" applyFont="1" applyBorder="1" applyAlignment="1">
      <alignment horizontal="left" vertical="top" wrapText="1"/>
    </xf>
    <xf numFmtId="0" fontId="16" fillId="0" borderId="74" xfId="0" applyFont="1" applyBorder="1" applyAlignment="1">
      <alignment horizontal="left" vertical="center"/>
    </xf>
    <xf numFmtId="0" fontId="16" fillId="0" borderId="75" xfId="0" applyFont="1" applyBorder="1" applyAlignment="1">
      <alignment horizontal="center" vertical="center"/>
    </xf>
    <xf numFmtId="0" fontId="16" fillId="0" borderId="75" xfId="0" applyFont="1" applyBorder="1" applyAlignment="1">
      <alignment horizontal="center" vertical="top" wrapText="1"/>
    </xf>
    <xf numFmtId="0" fontId="16" fillId="0" borderId="75" xfId="0" applyFont="1" applyBorder="1" applyAlignment="1">
      <alignment vertical="top" wrapText="1"/>
    </xf>
    <xf numFmtId="0" fontId="16" fillId="0" borderId="75" xfId="0" applyFont="1" applyBorder="1">
      <alignment vertical="center"/>
    </xf>
    <xf numFmtId="0" fontId="16" fillId="0" borderId="75" xfId="0" applyFont="1" applyBorder="1" applyAlignment="1">
      <alignment horizontal="left" vertical="top" wrapText="1"/>
    </xf>
    <xf numFmtId="0" fontId="16" fillId="0" borderId="75" xfId="0" applyFont="1" applyBorder="1" applyAlignment="1">
      <alignment horizontal="left" vertical="center"/>
    </xf>
    <xf numFmtId="0" fontId="16" fillId="0" borderId="76" xfId="0" applyFont="1" applyBorder="1" applyAlignment="1">
      <alignment horizontal="center" vertical="center"/>
    </xf>
    <xf numFmtId="0" fontId="16" fillId="0" borderId="77" xfId="0" applyFont="1" applyBorder="1" applyAlignment="1">
      <alignment horizontal="center" vertical="center"/>
    </xf>
    <xf numFmtId="0" fontId="16" fillId="0" borderId="77" xfId="0" applyFont="1" applyBorder="1" applyAlignment="1">
      <alignment horizontal="center" vertical="top" wrapText="1"/>
    </xf>
    <xf numFmtId="0" fontId="16" fillId="0" borderId="77" xfId="0" applyFont="1" applyBorder="1" applyAlignment="1">
      <alignment vertical="top" wrapText="1"/>
    </xf>
    <xf numFmtId="0" fontId="16" fillId="0" borderId="77" xfId="0" applyFont="1" applyBorder="1">
      <alignment vertical="center"/>
    </xf>
    <xf numFmtId="0" fontId="16" fillId="0" borderId="77" xfId="0" applyFont="1" applyBorder="1" applyAlignment="1">
      <alignment horizontal="left" vertical="top" wrapText="1"/>
    </xf>
    <xf numFmtId="0" fontId="16" fillId="0" borderId="78" xfId="0" applyFont="1" applyBorder="1" applyAlignment="1">
      <alignment horizontal="left" vertical="center"/>
    </xf>
    <xf numFmtId="0" fontId="16" fillId="0" borderId="79" xfId="0" applyFont="1" applyBorder="1" applyAlignment="1">
      <alignment horizontal="center" vertical="center"/>
    </xf>
    <xf numFmtId="0" fontId="16" fillId="0" borderId="80" xfId="0" applyFont="1" applyBorder="1" applyAlignment="1">
      <alignment horizontal="left" vertical="center"/>
    </xf>
    <xf numFmtId="0" fontId="16" fillId="0" borderId="81" xfId="0" applyFont="1" applyBorder="1" applyAlignment="1">
      <alignment horizontal="center" vertical="center"/>
    </xf>
    <xf numFmtId="0" fontId="16" fillId="0" borderId="82" xfId="0" applyFont="1" applyBorder="1" applyAlignment="1">
      <alignment horizontal="center" vertical="center"/>
    </xf>
    <xf numFmtId="0" fontId="16" fillId="0" borderId="82" xfId="0" applyFont="1" applyBorder="1" applyAlignment="1">
      <alignment horizontal="center" vertical="top" wrapText="1"/>
    </xf>
    <xf numFmtId="0" fontId="16" fillId="0" borderId="82" xfId="0" applyFont="1" applyBorder="1" applyAlignment="1">
      <alignment vertical="top" wrapText="1"/>
    </xf>
    <xf numFmtId="0" fontId="16" fillId="0" borderId="82" xfId="0" applyFont="1" applyBorder="1">
      <alignment vertical="center"/>
    </xf>
    <xf numFmtId="0" fontId="16" fillId="0" borderId="82" xfId="0" applyFont="1" applyBorder="1" applyAlignment="1">
      <alignment horizontal="left" vertical="top" wrapText="1"/>
    </xf>
    <xf numFmtId="0" fontId="16" fillId="0" borderId="83" xfId="0" applyFont="1" applyBorder="1" applyAlignment="1">
      <alignment horizontal="left" vertical="center"/>
    </xf>
    <xf numFmtId="0" fontId="113" fillId="6" borderId="0" xfId="0" applyFont="1" applyFill="1" applyAlignment="1">
      <alignment horizontal="center" vertical="center"/>
    </xf>
    <xf numFmtId="0" fontId="114" fillId="6" borderId="0" xfId="0" quotePrefix="1" applyFont="1" applyFill="1" applyAlignment="1">
      <alignment horizontal="center" vertical="center"/>
    </xf>
    <xf numFmtId="0" fontId="96" fillId="21" borderId="31" xfId="0" applyFont="1" applyFill="1" applyBorder="1" applyAlignment="1">
      <alignment horizontal="center" vertical="top" wrapText="1"/>
    </xf>
    <xf numFmtId="0" fontId="99" fillId="50" borderId="0" xfId="0" applyFont="1" applyFill="1" applyAlignment="1">
      <alignment horizontal="center" vertical="center" wrapText="1"/>
    </xf>
    <xf numFmtId="0" fontId="19" fillId="15" borderId="17" xfId="0" applyFont="1" applyFill="1" applyBorder="1" applyAlignment="1">
      <alignment horizontal="center" vertical="center" wrapText="1"/>
    </xf>
    <xf numFmtId="0" fontId="117" fillId="2" borderId="17" xfId="0" applyFont="1" applyFill="1" applyBorder="1" applyAlignment="1" applyProtection="1">
      <alignment horizontal="center" vertical="center"/>
      <protection locked="0"/>
    </xf>
    <xf numFmtId="0" fontId="117" fillId="10" borderId="17" xfId="0" applyFont="1" applyFill="1" applyBorder="1" applyAlignment="1" applyProtection="1">
      <alignment horizontal="center" vertical="center"/>
      <protection locked="0"/>
    </xf>
    <xf numFmtId="0" fontId="10" fillId="20" borderId="0" xfId="0" quotePrefix="1" applyFont="1" applyFill="1" applyAlignment="1">
      <alignment horizontal="center" vertical="top" wrapText="1"/>
    </xf>
    <xf numFmtId="0" fontId="32" fillId="0" borderId="0" xfId="0" applyFont="1" applyAlignment="1">
      <alignment horizontal="center" vertical="top"/>
    </xf>
    <xf numFmtId="0" fontId="92" fillId="0" borderId="26" xfId="0" applyFont="1" applyBorder="1" applyAlignment="1">
      <alignment horizontal="center" vertical="top" wrapText="1"/>
    </xf>
    <xf numFmtId="0" fontId="92" fillId="19" borderId="32" xfId="0" applyFont="1" applyFill="1" applyBorder="1" applyAlignment="1">
      <alignment horizontal="center" vertical="top" wrapText="1"/>
    </xf>
    <xf numFmtId="0" fontId="44" fillId="0" borderId="3" xfId="0" applyFont="1" applyBorder="1" applyAlignment="1">
      <alignment horizontal="center" vertical="top"/>
    </xf>
    <xf numFmtId="0" fontId="46" fillId="0" borderId="14" xfId="0" applyFont="1" applyBorder="1" applyAlignment="1">
      <alignment horizontal="center" vertical="center" wrapText="1"/>
    </xf>
    <xf numFmtId="0" fontId="44" fillId="0" borderId="2" xfId="0" applyFont="1" applyBorder="1" applyAlignment="1">
      <alignment horizontal="center" vertical="top"/>
    </xf>
    <xf numFmtId="0" fontId="44" fillId="0" borderId="8" xfId="0" applyFont="1" applyBorder="1" applyAlignment="1">
      <alignment horizontal="center" vertical="top"/>
    </xf>
    <xf numFmtId="0" fontId="7" fillId="0" borderId="6" xfId="0" applyFont="1" applyBorder="1" applyAlignment="1">
      <alignment horizontal="center" vertical="top"/>
    </xf>
    <xf numFmtId="0" fontId="44" fillId="0" borderId="11" xfId="0" applyFont="1" applyBorder="1" applyAlignment="1">
      <alignment horizontal="center" vertical="top"/>
    </xf>
    <xf numFmtId="0" fontId="7" fillId="0" borderId="4" xfId="0" applyFont="1" applyBorder="1" applyAlignment="1">
      <alignment horizontal="center" vertical="top"/>
    </xf>
    <xf numFmtId="0" fontId="81" fillId="2" borderId="0" xfId="0" applyFont="1" applyFill="1" applyAlignment="1">
      <alignment horizontal="center" vertical="top" wrapText="1"/>
    </xf>
    <xf numFmtId="0" fontId="96" fillId="2" borderId="31" xfId="0" applyFont="1" applyFill="1" applyBorder="1" applyAlignment="1">
      <alignment horizontal="center" vertical="top" wrapText="1"/>
    </xf>
    <xf numFmtId="0" fontId="46" fillId="2" borderId="0" xfId="0" applyFont="1" applyFill="1" applyAlignment="1">
      <alignment horizontal="center" vertical="top" wrapText="1"/>
    </xf>
    <xf numFmtId="0" fontId="81" fillId="51" borderId="0" xfId="0" applyFont="1" applyFill="1" applyAlignment="1">
      <alignment horizontal="center" vertical="center" wrapText="1"/>
    </xf>
    <xf numFmtId="0" fontId="46" fillId="51" borderId="0" xfId="0" applyFont="1" applyFill="1" applyAlignment="1">
      <alignment horizontal="center" vertical="top" wrapText="1"/>
    </xf>
    <xf numFmtId="0" fontId="81" fillId="51" borderId="0" xfId="0" applyFont="1" applyFill="1" applyAlignment="1">
      <alignment horizontal="center" vertical="top" wrapText="1"/>
    </xf>
    <xf numFmtId="0" fontId="94" fillId="0" borderId="0" xfId="0" applyFont="1" applyAlignment="1">
      <alignment horizontal="center" vertical="top" wrapText="1"/>
    </xf>
    <xf numFmtId="0" fontId="46" fillId="10" borderId="14" xfId="0" applyFont="1" applyFill="1" applyBorder="1" applyAlignment="1">
      <alignment horizontal="center" vertical="center" wrapText="1"/>
    </xf>
    <xf numFmtId="0" fontId="46" fillId="10" borderId="0" xfId="0" applyFont="1" applyFill="1" applyAlignment="1">
      <alignment horizontal="center" vertical="center" wrapText="1"/>
    </xf>
    <xf numFmtId="0" fontId="47" fillId="10" borderId="0" xfId="0" applyFont="1" applyFill="1" applyAlignment="1">
      <alignment horizontal="center" vertical="center" wrapText="1"/>
    </xf>
    <xf numFmtId="0" fontId="44" fillId="10" borderId="0" xfId="0" applyFont="1" applyFill="1" applyAlignment="1">
      <alignment horizontal="center" vertical="top"/>
    </xf>
    <xf numFmtId="0" fontId="32" fillId="0" borderId="5" xfId="0" applyFont="1" applyBorder="1" applyAlignment="1">
      <alignment horizontal="center" vertical="top" wrapText="1"/>
    </xf>
    <xf numFmtId="0" fontId="32" fillId="0" borderId="3" xfId="0" applyFont="1" applyBorder="1" applyAlignment="1">
      <alignment vertical="top"/>
    </xf>
    <xf numFmtId="0" fontId="22" fillId="2" borderId="85" xfId="0" applyFont="1" applyFill="1" applyBorder="1" applyAlignment="1" applyProtection="1">
      <alignment horizontal="center" vertical="center" wrapText="1"/>
      <protection locked="0"/>
    </xf>
    <xf numFmtId="0" fontId="22" fillId="10" borderId="87" xfId="0" applyFont="1" applyFill="1" applyBorder="1" applyAlignment="1" applyProtection="1">
      <alignment horizontal="center" vertical="center" wrapText="1"/>
      <protection locked="0"/>
    </xf>
    <xf numFmtId="0" fontId="7" fillId="0" borderId="39" xfId="0" applyFont="1" applyBorder="1" applyAlignment="1">
      <alignment horizontal="center" vertical="top" wrapText="1"/>
    </xf>
    <xf numFmtId="0" fontId="99" fillId="10" borderId="13" xfId="0" applyFont="1" applyFill="1" applyBorder="1" applyAlignment="1">
      <alignment horizontal="center" vertical="center" wrapText="1"/>
    </xf>
    <xf numFmtId="0" fontId="99" fillId="10" borderId="0" xfId="0" applyFont="1" applyFill="1" applyAlignment="1">
      <alignment horizontal="center" vertical="top" wrapText="1"/>
    </xf>
    <xf numFmtId="0" fontId="99" fillId="2" borderId="0" xfId="0" applyFont="1" applyFill="1" applyAlignment="1">
      <alignment horizontal="center" vertical="top" wrapText="1"/>
    </xf>
    <xf numFmtId="0" fontId="99" fillId="2" borderId="13"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0" xfId="0" applyFont="1" applyFill="1" applyAlignment="1">
      <alignment horizontal="center" vertical="top" wrapText="1"/>
    </xf>
    <xf numFmtId="0" fontId="99" fillId="50" borderId="0" xfId="0" applyFont="1" applyFill="1" applyAlignment="1">
      <alignment horizontal="center" vertical="top" wrapText="1"/>
    </xf>
    <xf numFmtId="0" fontId="7" fillId="39" borderId="13" xfId="0" applyFont="1" applyFill="1" applyBorder="1" applyAlignment="1">
      <alignment horizontal="center" vertical="center" wrapText="1"/>
    </xf>
    <xf numFmtId="0" fontId="7" fillId="39" borderId="0" xfId="0" applyFont="1" applyFill="1" applyAlignment="1">
      <alignment horizontal="center" vertical="top" wrapText="1"/>
    </xf>
    <xf numFmtId="0" fontId="99" fillId="50" borderId="13"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22" fillId="2" borderId="63" xfId="0" applyFont="1" applyFill="1" applyBorder="1" applyAlignment="1">
      <alignment horizontal="center" vertical="center" wrapText="1"/>
    </xf>
    <xf numFmtId="0" fontId="41" fillId="0" borderId="0" xfId="0" applyFont="1" applyAlignment="1">
      <alignment vertical="center" wrapText="1"/>
    </xf>
    <xf numFmtId="0" fontId="10" fillId="18" borderId="0" xfId="0" applyFont="1" applyFill="1" applyAlignment="1">
      <alignment vertical="center" wrapText="1"/>
    </xf>
    <xf numFmtId="0" fontId="10" fillId="0" borderId="0" xfId="0" applyFont="1" applyAlignment="1">
      <alignment vertical="center" wrapText="1"/>
    </xf>
    <xf numFmtId="0" fontId="21" fillId="9" borderId="17" xfId="0" applyFont="1" applyFill="1" applyBorder="1" applyAlignment="1" applyProtection="1">
      <alignment horizontal="center" vertical="center"/>
      <protection locked="0"/>
    </xf>
    <xf numFmtId="0" fontId="119" fillId="9" borderId="17" xfId="0" applyFont="1" applyFill="1" applyBorder="1" applyAlignment="1" applyProtection="1">
      <alignment horizontal="center" vertical="center"/>
      <protection locked="0"/>
    </xf>
    <xf numFmtId="0" fontId="21" fillId="9" borderId="17" xfId="0" applyFont="1" applyFill="1" applyBorder="1" applyAlignment="1" applyProtection="1">
      <alignment horizontal="center" vertical="center" wrapText="1"/>
      <protection locked="0"/>
    </xf>
    <xf numFmtId="0" fontId="21" fillId="9" borderId="43" xfId="0" applyFont="1" applyFill="1" applyBorder="1" applyAlignment="1" applyProtection="1">
      <alignment horizontal="center" vertical="center" wrapText="1"/>
      <protection locked="0"/>
    </xf>
    <xf numFmtId="0" fontId="21" fillId="9" borderId="84" xfId="0" applyFont="1" applyFill="1" applyBorder="1" applyAlignment="1" applyProtection="1">
      <alignment horizontal="center" vertical="center" wrapText="1"/>
      <protection locked="0"/>
    </xf>
    <xf numFmtId="0" fontId="105" fillId="6" borderId="0" xfId="0" applyFont="1" applyFill="1" applyAlignment="1">
      <alignment horizontal="center" wrapText="1"/>
    </xf>
    <xf numFmtId="0" fontId="106" fillId="6" borderId="15" xfId="0" applyFont="1" applyFill="1" applyBorder="1" applyAlignment="1" applyProtection="1">
      <alignment horizontal="center" wrapText="1"/>
      <protection locked="0"/>
    </xf>
    <xf numFmtId="0" fontId="106" fillId="6" borderId="24" xfId="0" applyFont="1" applyFill="1" applyBorder="1" applyAlignment="1" applyProtection="1">
      <alignment horizontal="center" wrapText="1"/>
      <protection locked="0"/>
    </xf>
    <xf numFmtId="0" fontId="121" fillId="6" borderId="15" xfId="0" applyFont="1" applyFill="1" applyBorder="1" applyAlignment="1">
      <alignment horizontal="center" vertical="center"/>
    </xf>
    <xf numFmtId="0" fontId="121" fillId="6" borderId="0" xfId="0" applyFont="1" applyFill="1" applyAlignment="1">
      <alignment horizontal="center" vertical="center"/>
    </xf>
    <xf numFmtId="0" fontId="123" fillId="6" borderId="0" xfId="0" applyFont="1" applyFill="1" applyAlignment="1">
      <alignment horizontal="center" vertical="center" wrapText="1"/>
    </xf>
    <xf numFmtId="0" fontId="125" fillId="6" borderId="0" xfId="0" applyFont="1" applyFill="1" applyAlignment="1">
      <alignment horizontal="center" vertical="center" wrapText="1"/>
    </xf>
    <xf numFmtId="0" fontId="16" fillId="0" borderId="72" xfId="0" applyFont="1" applyBorder="1" applyAlignment="1">
      <alignment horizontal="center" vertical="top"/>
    </xf>
    <xf numFmtId="0" fontId="16" fillId="0" borderId="72" xfId="0" applyFont="1" applyBorder="1" applyAlignment="1">
      <alignment horizontal="left" vertical="top"/>
    </xf>
    <xf numFmtId="0" fontId="16" fillId="0" borderId="72" xfId="0" applyFont="1" applyBorder="1" applyAlignment="1">
      <alignment horizontal="left" vertical="center" wrapText="1"/>
    </xf>
    <xf numFmtId="0" fontId="16" fillId="0" borderId="72" xfId="0" applyFont="1" applyBorder="1" applyAlignment="1"/>
    <xf numFmtId="0" fontId="16" fillId="0" borderId="72" xfId="0" applyFont="1" applyBorder="1" applyAlignment="1">
      <alignment horizontal="center" vertical="center" wrapText="1"/>
    </xf>
    <xf numFmtId="0" fontId="16" fillId="0" borderId="72" xfId="0" applyFont="1" applyBorder="1" applyAlignment="1">
      <alignment horizontal="center"/>
    </xf>
    <xf numFmtId="0" fontId="127" fillId="10" borderId="17" xfId="0" applyFont="1" applyFill="1" applyBorder="1" applyAlignment="1" applyProtection="1">
      <alignment horizontal="center" vertical="center"/>
      <protection locked="0"/>
    </xf>
    <xf numFmtId="0" fontId="92" fillId="2" borderId="17" xfId="0" applyFont="1" applyFill="1" applyBorder="1" applyAlignment="1" applyProtection="1">
      <alignment horizontal="center" vertical="center"/>
      <protection locked="0"/>
    </xf>
    <xf numFmtId="0" fontId="7" fillId="0" borderId="1" xfId="0" applyFont="1" applyBorder="1" applyAlignment="1">
      <alignment horizontal="center" vertical="top" wrapText="1"/>
    </xf>
    <xf numFmtId="0" fontId="32" fillId="0" borderId="40" xfId="0" applyFont="1" applyBorder="1" applyAlignment="1">
      <alignment horizontal="center" vertical="top"/>
    </xf>
    <xf numFmtId="0" fontId="32" fillId="0" borderId="39" xfId="0" applyFont="1" applyBorder="1" applyAlignment="1">
      <alignment horizontal="center" vertical="top"/>
    </xf>
    <xf numFmtId="0" fontId="32" fillId="0" borderId="41" xfId="0" applyFont="1" applyBorder="1" applyAlignment="1">
      <alignment horizontal="center" vertical="top"/>
    </xf>
    <xf numFmtId="0" fontId="41" fillId="0" borderId="0" xfId="0" applyFont="1">
      <alignment vertical="center"/>
    </xf>
    <xf numFmtId="0" fontId="41" fillId="0" borderId="0" xfId="0" applyFont="1" applyAlignment="1">
      <alignment horizontal="center" vertical="center" wrapText="1"/>
    </xf>
    <xf numFmtId="0" fontId="10" fillId="18"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lignment vertical="center"/>
    </xf>
    <xf numFmtId="0" fontId="10" fillId="0" borderId="0" xfId="0" applyFont="1" applyAlignment="1" applyProtection="1">
      <alignment horizontal="center" vertical="center" wrapText="1"/>
      <protection locked="0"/>
    </xf>
    <xf numFmtId="0" fontId="41" fillId="0" borderId="0" xfId="0" applyFont="1" applyAlignment="1" applyProtection="1">
      <alignment horizontal="center" vertical="center" wrapText="1"/>
      <protection locked="0"/>
    </xf>
    <xf numFmtId="49" fontId="10" fillId="0" borderId="0" xfId="0" applyNumberFormat="1" applyFont="1" applyAlignment="1" applyProtection="1">
      <alignment horizontal="center" vertical="center" wrapText="1"/>
      <protection locked="0"/>
    </xf>
    <xf numFmtId="0" fontId="10" fillId="0" borderId="0" xfId="0" applyFont="1" applyAlignment="1" applyProtection="1">
      <alignment horizontal="center" vertical="top" wrapText="1"/>
      <protection locked="0"/>
    </xf>
    <xf numFmtId="0" fontId="10" fillId="0" borderId="0" xfId="0" applyFont="1" applyAlignment="1" applyProtection="1">
      <alignment horizontal="center" vertical="center"/>
      <protection locked="0"/>
    </xf>
    <xf numFmtId="49" fontId="10" fillId="0" borderId="0" xfId="0" quotePrefix="1" applyNumberFormat="1" applyFont="1" applyAlignment="1" applyProtection="1">
      <alignment horizontal="center" vertical="center" wrapText="1"/>
      <protection locked="0"/>
    </xf>
    <xf numFmtId="49" fontId="10" fillId="10" borderId="0" xfId="0" applyNumberFormat="1" applyFont="1" applyFill="1" applyAlignment="1" applyProtection="1">
      <alignment horizontal="center" vertical="center" wrapText="1"/>
      <protection locked="0"/>
    </xf>
    <xf numFmtId="0" fontId="32" fillId="2" borderId="24" xfId="0" applyFont="1" applyFill="1" applyBorder="1" applyAlignment="1" applyProtection="1">
      <alignment horizontal="center" vertical="center" wrapText="1"/>
      <protection locked="0"/>
    </xf>
    <xf numFmtId="0" fontId="130" fillId="2" borderId="63" xfId="0" applyFont="1" applyFill="1" applyBorder="1" applyAlignment="1">
      <alignment horizontal="center" vertical="center" wrapText="1"/>
    </xf>
    <xf numFmtId="0" fontId="105" fillId="2" borderId="21" xfId="0" applyFont="1" applyFill="1" applyBorder="1" applyAlignment="1" applyProtection="1">
      <alignment horizontal="center" vertical="center"/>
      <protection locked="0"/>
    </xf>
    <xf numFmtId="1" fontId="105" fillId="2" borderId="20" xfId="0" applyNumberFormat="1" applyFont="1" applyFill="1" applyBorder="1" applyAlignment="1">
      <alignment horizontal="center" vertical="center" wrapText="1"/>
    </xf>
    <xf numFmtId="1" fontId="105" fillId="2" borderId="9" xfId="0" applyNumberFormat="1" applyFont="1" applyFill="1" applyBorder="1" applyAlignment="1">
      <alignment horizontal="center" vertical="center" wrapText="1"/>
    </xf>
    <xf numFmtId="49" fontId="105" fillId="11" borderId="9" xfId="0" applyNumberFormat="1" applyFont="1" applyFill="1" applyBorder="1" applyAlignment="1">
      <alignment horizontal="center" vertical="center" wrapText="1"/>
    </xf>
    <xf numFmtId="1" fontId="21" fillId="2" borderId="21" xfId="0" applyNumberFormat="1" applyFont="1" applyFill="1" applyBorder="1" applyAlignment="1">
      <alignment horizontal="center" vertical="center" wrapText="1"/>
    </xf>
    <xf numFmtId="1" fontId="21" fillId="2" borderId="20" xfId="0" applyNumberFormat="1" applyFont="1" applyFill="1" applyBorder="1" applyAlignment="1">
      <alignment horizontal="center" vertical="center" wrapText="1"/>
    </xf>
    <xf numFmtId="1" fontId="21" fillId="2" borderId="22" xfId="0" applyNumberFormat="1" applyFont="1" applyFill="1" applyBorder="1" applyAlignment="1">
      <alignment horizontal="center" vertical="center" wrapText="1"/>
    </xf>
    <xf numFmtId="49" fontId="105" fillId="11" borderId="20" xfId="0" applyNumberFormat="1" applyFont="1" applyFill="1" applyBorder="1" applyAlignment="1">
      <alignment horizontal="center" vertical="center" wrapText="1"/>
    </xf>
    <xf numFmtId="0" fontId="105" fillId="11" borderId="9" xfId="0" applyFont="1" applyFill="1" applyBorder="1" applyAlignment="1">
      <alignment horizontal="center" vertical="center" wrapText="1"/>
    </xf>
    <xf numFmtId="0" fontId="105" fillId="11" borderId="12" xfId="0" applyFont="1" applyFill="1" applyBorder="1" applyAlignment="1">
      <alignment horizontal="center" vertical="center" wrapText="1"/>
    </xf>
    <xf numFmtId="0" fontId="3" fillId="2" borderId="17" xfId="0" applyFont="1" applyFill="1" applyBorder="1" applyAlignment="1" applyProtection="1">
      <alignment horizontal="center" vertical="center" wrapText="1"/>
      <protection locked="0"/>
    </xf>
    <xf numFmtId="0" fontId="106" fillId="6" borderId="0" xfId="0" applyFont="1" applyFill="1" applyAlignment="1">
      <alignment horizontal="center"/>
    </xf>
    <xf numFmtId="0" fontId="4" fillId="2" borderId="17" xfId="0" applyFont="1" applyFill="1" applyBorder="1" applyAlignment="1">
      <alignment horizontal="center" vertical="center" wrapText="1"/>
    </xf>
    <xf numFmtId="0" fontId="85" fillId="0" borderId="0" xfId="0" applyFont="1" applyAlignment="1">
      <alignment horizontal="center" vertical="top" wrapText="1"/>
    </xf>
    <xf numFmtId="0" fontId="133" fillId="2" borderId="0" xfId="0" applyFont="1" applyFill="1" applyAlignment="1">
      <alignment horizontal="center" vertical="center" wrapText="1"/>
    </xf>
    <xf numFmtId="0" fontId="83" fillId="27" borderId="0" xfId="0" applyFont="1" applyFill="1" applyAlignment="1">
      <alignment horizontal="center" vertical="center"/>
    </xf>
    <xf numFmtId="0" fontId="32" fillId="0" borderId="0" xfId="0" applyFont="1" applyAlignment="1">
      <alignment horizontal="center" vertical="center"/>
    </xf>
    <xf numFmtId="0" fontId="105" fillId="6" borderId="58" xfId="0" applyFont="1" applyFill="1" applyBorder="1" applyAlignment="1">
      <alignment horizontal="center" vertical="center" wrapText="1"/>
    </xf>
    <xf numFmtId="0" fontId="46" fillId="21" borderId="0" xfId="0" applyFont="1" applyFill="1" applyAlignment="1">
      <alignment horizontal="center" vertical="top" wrapText="1"/>
    </xf>
    <xf numFmtId="0" fontId="0" fillId="2" borderId="54" xfId="0" applyFill="1" applyBorder="1">
      <alignment vertical="center"/>
    </xf>
    <xf numFmtId="0" fontId="0" fillId="2" borderId="50" xfId="0" applyFill="1" applyBorder="1">
      <alignment vertical="center"/>
    </xf>
    <xf numFmtId="0" fontId="0" fillId="2" borderId="55" xfId="0" applyFill="1" applyBorder="1">
      <alignment vertical="center"/>
    </xf>
    <xf numFmtId="0" fontId="0" fillId="2" borderId="56" xfId="0" applyFill="1" applyBorder="1">
      <alignment vertical="center"/>
    </xf>
    <xf numFmtId="0" fontId="0" fillId="2" borderId="0" xfId="0" applyFill="1">
      <alignment vertical="center"/>
    </xf>
    <xf numFmtId="0" fontId="0" fillId="2" borderId="52" xfId="0" applyFill="1" applyBorder="1">
      <alignment vertical="center"/>
    </xf>
    <xf numFmtId="0" fontId="0" fillId="2" borderId="51" xfId="0" applyFill="1" applyBorder="1">
      <alignment vertical="center"/>
    </xf>
    <xf numFmtId="0" fontId="0" fillId="2" borderId="15" xfId="0" applyFill="1" applyBorder="1">
      <alignment vertical="center"/>
    </xf>
    <xf numFmtId="0" fontId="0" fillId="2" borderId="57" xfId="0" applyFill="1" applyBorder="1">
      <alignment vertical="center"/>
    </xf>
    <xf numFmtId="0" fontId="128" fillId="50" borderId="16" xfId="0" applyFont="1" applyFill="1" applyBorder="1" applyAlignment="1" applyProtection="1">
      <alignment horizontal="center" vertical="center" wrapText="1"/>
      <protection locked="0"/>
    </xf>
    <xf numFmtId="0" fontId="128" fillId="50" borderId="25" xfId="0" applyFont="1" applyFill="1" applyBorder="1" applyAlignment="1" applyProtection="1">
      <alignment horizontal="center" vertical="center" wrapText="1"/>
      <protection locked="0"/>
    </xf>
    <xf numFmtId="0" fontId="106" fillId="6" borderId="0" xfId="0" applyFont="1" applyFill="1" applyAlignment="1">
      <alignment horizontal="center"/>
    </xf>
    <xf numFmtId="0" fontId="32" fillId="2" borderId="54" xfId="0" applyFont="1" applyFill="1" applyBorder="1" applyAlignment="1" applyProtection="1">
      <alignment horizontal="left" vertical="center" wrapText="1"/>
      <protection locked="0"/>
    </xf>
    <xf numFmtId="0" fontId="32" fillId="2" borderId="50" xfId="0" applyFont="1" applyFill="1" applyBorder="1" applyAlignment="1" applyProtection="1">
      <alignment horizontal="left" vertical="center" wrapText="1"/>
      <protection locked="0"/>
    </xf>
    <xf numFmtId="0" fontId="32" fillId="2" borderId="55" xfId="0" applyFont="1" applyFill="1" applyBorder="1" applyAlignment="1" applyProtection="1">
      <alignment horizontal="left" vertical="center" wrapText="1"/>
      <protection locked="0"/>
    </xf>
    <xf numFmtId="0" fontId="32" fillId="2" borderId="56"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52" xfId="0" applyFont="1" applyFill="1" applyBorder="1" applyAlignment="1" applyProtection="1">
      <alignment horizontal="left" vertical="center" wrapText="1"/>
      <protection locked="0"/>
    </xf>
    <xf numFmtId="0" fontId="32" fillId="2" borderId="51" xfId="0" applyFont="1" applyFill="1" applyBorder="1" applyAlignment="1" applyProtection="1">
      <alignment horizontal="left" vertical="center" wrapText="1"/>
      <protection locked="0"/>
    </xf>
    <xf numFmtId="0" fontId="32" fillId="2" borderId="15"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42" fillId="2" borderId="17" xfId="0" applyFont="1" applyFill="1" applyBorder="1" applyAlignment="1" applyProtection="1">
      <alignment horizontal="center" vertical="center" wrapText="1"/>
      <protection locked="0"/>
    </xf>
    <xf numFmtId="0" fontId="128" fillId="50" borderId="17" xfId="0" applyFont="1" applyFill="1" applyBorder="1" applyAlignment="1" applyProtection="1">
      <alignment horizontal="center" vertical="center" wrapText="1"/>
      <protection locked="0"/>
    </xf>
    <xf numFmtId="0" fontId="129" fillId="26" borderId="17"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center" vertical="center"/>
      <protection locked="0"/>
    </xf>
    <xf numFmtId="0" fontId="32" fillId="2" borderId="24" xfId="0" applyFont="1" applyFill="1" applyBorder="1" applyAlignment="1" applyProtection="1">
      <alignment horizontal="center" vertical="center"/>
      <protection locked="0"/>
    </xf>
    <xf numFmtId="0" fontId="32" fillId="2" borderId="25" xfId="0" applyFont="1" applyFill="1" applyBorder="1" applyAlignment="1" applyProtection="1">
      <alignment horizontal="center" vertical="center"/>
      <protection locked="0"/>
    </xf>
    <xf numFmtId="0" fontId="42" fillId="10"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21" fillId="23" borderId="0" xfId="0" applyFont="1" applyFill="1" applyAlignment="1">
      <alignment horizontal="center" vertical="center"/>
    </xf>
    <xf numFmtId="0" fontId="32" fillId="2" borderId="60" xfId="0" applyFont="1" applyFill="1" applyBorder="1" applyAlignment="1" applyProtection="1">
      <alignment horizontal="center" vertical="center"/>
      <protection locked="0"/>
    </xf>
    <xf numFmtId="0" fontId="32" fillId="2" borderId="61" xfId="0" applyFont="1" applyFill="1" applyBorder="1" applyAlignment="1" applyProtection="1">
      <alignment horizontal="center" vertical="center"/>
      <protection locked="0"/>
    </xf>
    <xf numFmtId="0" fontId="32" fillId="2" borderId="62" xfId="0"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wrapText="1"/>
      <protection locked="0"/>
    </xf>
    <xf numFmtId="0" fontId="32" fillId="2" borderId="24" xfId="0" applyFont="1" applyFill="1" applyBorder="1" applyAlignment="1" applyProtection="1">
      <alignment horizontal="center" vertical="center" wrapText="1"/>
      <protection locked="0"/>
    </xf>
    <xf numFmtId="0" fontId="32" fillId="2" borderId="25" xfId="0" applyFont="1" applyFill="1" applyBorder="1" applyAlignment="1" applyProtection="1">
      <alignment horizontal="center" vertical="center" wrapText="1"/>
      <protection locked="0"/>
    </xf>
    <xf numFmtId="0" fontId="32" fillId="2" borderId="93" xfId="0" applyFont="1" applyFill="1" applyBorder="1" applyAlignment="1" applyProtection="1">
      <alignment horizontal="center" vertical="center"/>
      <protection locked="0"/>
    </xf>
    <xf numFmtId="0" fontId="42" fillId="2" borderId="25" xfId="0" applyFont="1" applyFill="1" applyBorder="1" applyAlignment="1" applyProtection="1">
      <alignment horizontal="left" vertical="center" wrapText="1"/>
      <protection locked="0"/>
    </xf>
    <xf numFmtId="0" fontId="42" fillId="2" borderId="17" xfId="0" applyFont="1" applyFill="1" applyBorder="1" applyAlignment="1" applyProtection="1">
      <alignment horizontal="left" vertical="center" wrapText="1"/>
      <protection locked="0"/>
    </xf>
    <xf numFmtId="0" fontId="101" fillId="2" borderId="17" xfId="0" applyFont="1" applyFill="1" applyBorder="1" applyAlignment="1" applyProtection="1">
      <alignment horizontal="right" vertical="center" wrapText="1"/>
      <protection locked="0"/>
    </xf>
    <xf numFmtId="0" fontId="101" fillId="2" borderId="16" xfId="0" applyFont="1" applyFill="1" applyBorder="1" applyAlignment="1" applyProtection="1">
      <alignment horizontal="right" vertical="center" wrapText="1"/>
      <protection locked="0"/>
    </xf>
    <xf numFmtId="0" fontId="4" fillId="2" borderId="25"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21" fillId="12" borderId="17" xfId="0" applyFont="1" applyFill="1" applyBorder="1" applyAlignment="1">
      <alignment horizontal="center" vertical="center" wrapText="1"/>
    </xf>
    <xf numFmtId="0" fontId="29" fillId="14" borderId="17" xfId="0" applyFont="1" applyFill="1" applyBorder="1" applyAlignment="1">
      <alignment horizontal="center" vertical="center" wrapText="1"/>
    </xf>
    <xf numFmtId="0" fontId="32" fillId="2" borderId="16" xfId="0" applyFont="1" applyFill="1" applyBorder="1" applyAlignment="1" applyProtection="1">
      <alignment horizontal="left" vertical="top"/>
      <protection locked="0"/>
    </xf>
    <xf numFmtId="0" fontId="32" fillId="2" borderId="24" xfId="0" applyFont="1" applyFill="1" applyBorder="1" applyAlignment="1" applyProtection="1">
      <alignment horizontal="left" vertical="top"/>
      <protection locked="0"/>
    </xf>
    <xf numFmtId="0" fontId="32" fillId="2" borderId="25" xfId="0" applyFont="1" applyFill="1" applyBorder="1" applyAlignment="1" applyProtection="1">
      <alignment horizontal="left" vertical="top"/>
      <protection locked="0"/>
    </xf>
    <xf numFmtId="0" fontId="106" fillId="6" borderId="0" xfId="0" applyFont="1" applyFill="1" applyAlignment="1">
      <alignment horizontal="center" wrapText="1"/>
    </xf>
    <xf numFmtId="179" fontId="60" fillId="2" borderId="17" xfId="0" applyNumberFormat="1" applyFont="1" applyFill="1" applyBorder="1" applyAlignment="1">
      <alignment horizontal="center" vertical="center"/>
    </xf>
    <xf numFmtId="0" fontId="21" fillId="23" borderId="0" xfId="0" applyFont="1" applyFill="1" applyAlignment="1">
      <alignment horizontal="center" vertical="center" wrapText="1"/>
    </xf>
    <xf numFmtId="179" fontId="30" fillId="2" borderId="17" xfId="0" applyNumberFormat="1" applyFont="1" applyFill="1" applyBorder="1" applyAlignment="1">
      <alignment horizontal="center" vertical="center" wrapText="1"/>
    </xf>
    <xf numFmtId="0" fontId="25" fillId="9" borderId="17" xfId="0" applyFont="1" applyFill="1" applyBorder="1" applyAlignment="1">
      <alignment horizontal="center" vertical="center" wrapText="1"/>
    </xf>
    <xf numFmtId="0" fontId="21" fillId="30" borderId="17" xfId="0" applyFont="1" applyFill="1" applyBorder="1" applyAlignment="1" applyProtection="1">
      <alignment horizontal="center" vertical="center" wrapText="1"/>
      <protection locked="0"/>
    </xf>
    <xf numFmtId="0" fontId="26" fillId="9" borderId="17" xfId="0" applyFont="1" applyFill="1" applyBorder="1" applyAlignment="1">
      <alignment horizontal="center" vertical="center" wrapText="1"/>
    </xf>
    <xf numFmtId="0" fontId="4" fillId="29" borderId="17" xfId="0" applyFont="1" applyFill="1" applyBorder="1" applyAlignment="1" applyProtection="1">
      <alignment horizontal="center" vertical="center" wrapText="1"/>
      <protection locked="0"/>
    </xf>
    <xf numFmtId="0" fontId="27" fillId="9" borderId="17" xfId="0" applyFont="1" applyFill="1" applyBorder="1" applyAlignment="1">
      <alignment horizontal="center" vertical="center" wrapText="1"/>
    </xf>
    <xf numFmtId="0" fontId="22" fillId="2" borderId="25" xfId="0" applyFont="1" applyFill="1" applyBorder="1" applyAlignment="1" applyProtection="1">
      <alignment horizontal="center" vertical="center"/>
      <protection locked="0"/>
    </xf>
    <xf numFmtId="0" fontId="22" fillId="2" borderId="17" xfId="0" applyFont="1" applyFill="1" applyBorder="1" applyAlignment="1" applyProtection="1">
      <alignment horizontal="center" vertical="center"/>
      <protection locked="0"/>
    </xf>
    <xf numFmtId="0" fontId="21" fillId="12" borderId="46" xfId="0" applyFont="1" applyFill="1" applyBorder="1" applyAlignment="1">
      <alignment horizontal="center" vertical="center" wrapText="1"/>
    </xf>
    <xf numFmtId="0" fontId="21" fillId="12" borderId="25" xfId="0" applyFont="1" applyFill="1" applyBorder="1" applyAlignment="1">
      <alignment horizontal="center" vertical="center" wrapText="1"/>
    </xf>
    <xf numFmtId="0" fontId="21" fillId="12" borderId="47" xfId="0" applyFont="1" applyFill="1" applyBorder="1" applyAlignment="1">
      <alignment horizontal="center" vertical="center" wrapText="1"/>
    </xf>
    <xf numFmtId="0" fontId="106" fillId="6" borderId="15" xfId="0" applyFont="1" applyFill="1" applyBorder="1" applyAlignment="1">
      <alignment horizontal="center" wrapText="1"/>
    </xf>
    <xf numFmtId="0" fontId="32" fillId="2" borderId="17" xfId="0" applyFont="1" applyFill="1" applyBorder="1" applyAlignment="1" applyProtection="1">
      <alignment horizontal="center" vertical="center" wrapText="1"/>
      <protection locked="0"/>
    </xf>
    <xf numFmtId="0" fontId="4" fillId="2" borderId="24" xfId="0" applyFont="1" applyFill="1" applyBorder="1" applyAlignment="1" applyProtection="1">
      <alignment horizontal="left" vertical="center" wrapText="1"/>
      <protection locked="0"/>
    </xf>
    <xf numFmtId="0" fontId="3" fillId="15" borderId="25" xfId="0" applyFont="1" applyFill="1" applyBorder="1" applyAlignment="1">
      <alignment horizontal="center" vertical="center"/>
    </xf>
    <xf numFmtId="0" fontId="3" fillId="15" borderId="17" xfId="0" applyFont="1" applyFill="1" applyBorder="1" applyAlignment="1">
      <alignment horizontal="center" vertical="center"/>
    </xf>
    <xf numFmtId="0" fontId="61" fillId="2" borderId="16" xfId="0" applyFont="1" applyFill="1" applyBorder="1" applyAlignment="1" applyProtection="1">
      <alignment horizontal="center" vertical="center" wrapText="1"/>
      <protection locked="0"/>
    </xf>
    <xf numFmtId="0" fontId="61" fillId="2" borderId="24" xfId="0" applyFont="1" applyFill="1" applyBorder="1" applyAlignment="1" applyProtection="1">
      <alignment horizontal="center" vertical="center" wrapText="1"/>
      <protection locked="0"/>
    </xf>
    <xf numFmtId="0" fontId="61" fillId="2" borderId="25"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32" fillId="10" borderId="16" xfId="0" applyFont="1" applyFill="1" applyBorder="1" applyAlignment="1" applyProtection="1">
      <alignment horizontal="center" vertical="center"/>
      <protection locked="0"/>
    </xf>
    <xf numFmtId="0" fontId="32" fillId="10" borderId="24" xfId="0" applyFont="1" applyFill="1" applyBorder="1" applyAlignment="1" applyProtection="1">
      <alignment horizontal="center" vertical="center"/>
      <protection locked="0"/>
    </xf>
    <xf numFmtId="0" fontId="32" fillId="10" borderId="25" xfId="0" applyFont="1" applyFill="1" applyBorder="1" applyAlignment="1" applyProtection="1">
      <alignment horizontal="center" vertical="center"/>
      <protection locked="0"/>
    </xf>
    <xf numFmtId="0" fontId="106" fillId="6" borderId="0" xfId="0" applyFont="1" applyFill="1" applyAlignment="1">
      <alignment horizontal="left" wrapText="1"/>
    </xf>
    <xf numFmtId="0" fontId="61" fillId="10" borderId="16" xfId="0" applyFont="1" applyFill="1" applyBorder="1" applyAlignment="1" applyProtection="1">
      <alignment horizontal="center" vertical="center" wrapText="1"/>
      <protection locked="0"/>
    </xf>
    <xf numFmtId="0" fontId="61" fillId="10" borderId="24" xfId="0" applyFont="1" applyFill="1" applyBorder="1" applyAlignment="1" applyProtection="1">
      <alignment horizontal="center" vertical="center" wrapText="1"/>
      <protection locked="0"/>
    </xf>
    <xf numFmtId="0" fontId="61" fillId="10" borderId="25" xfId="0" applyFont="1" applyFill="1" applyBorder="1" applyAlignment="1" applyProtection="1">
      <alignment horizontal="center" vertical="center" wrapText="1"/>
      <protection locked="0"/>
    </xf>
    <xf numFmtId="0" fontId="100" fillId="2" borderId="17" xfId="0" applyFont="1" applyFill="1" applyBorder="1" applyAlignment="1" applyProtection="1">
      <alignment horizontal="center" vertical="center"/>
      <protection locked="0"/>
    </xf>
    <xf numFmtId="0" fontId="100" fillId="2" borderId="16" xfId="0" applyFont="1" applyFill="1" applyBorder="1" applyAlignment="1" applyProtection="1">
      <alignment horizontal="center" vertical="center"/>
      <protection locked="0"/>
    </xf>
    <xf numFmtId="0" fontId="32" fillId="2" borderId="63" xfId="0" applyFont="1" applyFill="1" applyBorder="1" applyAlignment="1" applyProtection="1">
      <alignment horizontal="center" vertical="center" wrapText="1"/>
      <protection locked="0"/>
    </xf>
    <xf numFmtId="0" fontId="32" fillId="2" borderId="97" xfId="0" applyFont="1" applyFill="1" applyBorder="1" applyAlignment="1" applyProtection="1">
      <alignment horizontal="left" vertical="top" wrapText="1"/>
      <protection locked="0"/>
    </xf>
    <xf numFmtId="0" fontId="32" fillId="10" borderId="97" xfId="0" applyFont="1" applyFill="1" applyBorder="1" applyAlignment="1" applyProtection="1">
      <alignment horizontal="left" vertical="top" wrapText="1"/>
      <protection locked="0"/>
    </xf>
    <xf numFmtId="0" fontId="32" fillId="10" borderId="24" xfId="0" applyFont="1" applyFill="1" applyBorder="1" applyAlignment="1" applyProtection="1">
      <alignment horizontal="left" vertical="top" wrapText="1"/>
      <protection locked="0"/>
    </xf>
    <xf numFmtId="0" fontId="32" fillId="10" borderId="25"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center" wrapText="1" indent="1"/>
      <protection locked="0"/>
    </xf>
    <xf numFmtId="0" fontId="100" fillId="10" borderId="17" xfId="0" applyFont="1" applyFill="1" applyBorder="1" applyAlignment="1" applyProtection="1">
      <alignment horizontal="center" vertical="center"/>
      <protection locked="0"/>
    </xf>
    <xf numFmtId="0" fontId="100" fillId="10" borderId="16" xfId="0" applyFont="1" applyFill="1" applyBorder="1" applyAlignment="1" applyProtection="1">
      <alignment horizontal="center" vertical="center"/>
      <protection locked="0"/>
    </xf>
    <xf numFmtId="0" fontId="32" fillId="10" borderId="17" xfId="0" applyFont="1" applyFill="1" applyBorder="1" applyAlignment="1" applyProtection="1">
      <alignment horizontal="center" vertical="center" wrapText="1"/>
      <protection locked="0"/>
    </xf>
    <xf numFmtId="0" fontId="32" fillId="10" borderId="16" xfId="0" applyFont="1" applyFill="1" applyBorder="1" applyAlignment="1" applyProtection="1">
      <alignment horizontal="center" vertical="center" wrapText="1"/>
      <protection locked="0"/>
    </xf>
    <xf numFmtId="0" fontId="32" fillId="10" borderId="24" xfId="0" applyFont="1" applyFill="1" applyBorder="1" applyAlignment="1" applyProtection="1">
      <alignment horizontal="left" vertical="center" wrapText="1"/>
      <protection locked="0"/>
    </xf>
    <xf numFmtId="0" fontId="32" fillId="10" borderId="25" xfId="0" applyFont="1" applyFill="1" applyBorder="1" applyAlignment="1" applyProtection="1">
      <alignment horizontal="left" vertical="center" wrapText="1"/>
      <protection locked="0"/>
    </xf>
    <xf numFmtId="0" fontId="32" fillId="10" borderId="24" xfId="0" applyFont="1" applyFill="1" applyBorder="1" applyAlignment="1" applyProtection="1">
      <alignment horizontal="center" vertical="center" wrapText="1"/>
      <protection locked="0"/>
    </xf>
    <xf numFmtId="0" fontId="32" fillId="10" borderId="25" xfId="0" applyFont="1" applyFill="1" applyBorder="1" applyAlignment="1" applyProtection="1">
      <alignment horizontal="center" vertical="center" wrapText="1"/>
      <protection locked="0"/>
    </xf>
    <xf numFmtId="0" fontId="106" fillId="6" borderId="15" xfId="0" applyFont="1" applyFill="1" applyBorder="1" applyAlignment="1">
      <alignment horizontal="left" wrapText="1"/>
    </xf>
    <xf numFmtId="0" fontId="32" fillId="10" borderId="63" xfId="0" applyFont="1" applyFill="1" applyBorder="1" applyAlignment="1" applyProtection="1">
      <alignment horizontal="center" vertical="center" wrapText="1"/>
      <protection locked="0"/>
    </xf>
    <xf numFmtId="177" fontId="100" fillId="2" borderId="17" xfId="0" applyNumberFormat="1" applyFont="1" applyFill="1" applyBorder="1" applyAlignment="1" applyProtection="1">
      <alignment horizontal="center" vertical="center"/>
      <protection locked="0"/>
    </xf>
    <xf numFmtId="0" fontId="106" fillId="6" borderId="15" xfId="0" applyFont="1" applyFill="1" applyBorder="1" applyAlignment="1">
      <alignment horizontal="center" vertical="center" wrapText="1"/>
    </xf>
    <xf numFmtId="0" fontId="101" fillId="10" borderId="17" xfId="0" applyFont="1" applyFill="1" applyBorder="1" applyAlignment="1" applyProtection="1">
      <alignment horizontal="right" vertical="center" wrapText="1"/>
      <protection locked="0"/>
    </xf>
    <xf numFmtId="0" fontId="101" fillId="10" borderId="16" xfId="0" applyFont="1" applyFill="1" applyBorder="1" applyAlignment="1" applyProtection="1">
      <alignment horizontal="right" vertical="center" wrapText="1"/>
      <protection locked="0"/>
    </xf>
    <xf numFmtId="0" fontId="3" fillId="10" borderId="16" xfId="0" applyFont="1" applyFill="1" applyBorder="1" applyAlignment="1" applyProtection="1">
      <alignment horizontal="center" vertical="top" wrapText="1"/>
      <protection locked="0"/>
    </xf>
    <xf numFmtId="0" fontId="3" fillId="10" borderId="24" xfId="0" applyFont="1" applyFill="1" applyBorder="1" applyAlignment="1" applyProtection="1">
      <alignment horizontal="center" vertical="top" wrapText="1"/>
      <protection locked="0"/>
    </xf>
    <xf numFmtId="0" fontId="4" fillId="10" borderId="25" xfId="0" applyFont="1" applyFill="1" applyBorder="1" applyAlignment="1" applyProtection="1">
      <alignment horizontal="left" vertical="center" wrapText="1"/>
      <protection locked="0"/>
    </xf>
    <xf numFmtId="0" fontId="4" fillId="10" borderId="16" xfId="0" applyFont="1" applyFill="1" applyBorder="1" applyAlignment="1" applyProtection="1">
      <alignment horizontal="left" vertical="center" wrapText="1"/>
      <protection locked="0"/>
    </xf>
    <xf numFmtId="0" fontId="71" fillId="12" borderId="49" xfId="0" applyFont="1" applyFill="1" applyBorder="1" applyAlignment="1">
      <alignment horizontal="center" vertical="center" wrapText="1"/>
    </xf>
    <xf numFmtId="0" fontId="3" fillId="2" borderId="16" xfId="0" applyFont="1" applyFill="1" applyBorder="1" applyAlignment="1" applyProtection="1">
      <alignment horizontal="center" vertical="top" wrapText="1"/>
      <protection locked="0"/>
    </xf>
    <xf numFmtId="0" fontId="3" fillId="2" borderId="24" xfId="0" applyFont="1" applyFill="1" applyBorder="1" applyAlignment="1" applyProtection="1">
      <alignment horizontal="center" vertical="top" wrapText="1"/>
      <protection locked="0"/>
    </xf>
    <xf numFmtId="0" fontId="32" fillId="2" borderId="16" xfId="0" applyFont="1" applyFill="1" applyBorder="1" applyAlignment="1" applyProtection="1">
      <alignment horizontal="center" vertical="top" wrapText="1"/>
      <protection locked="0"/>
    </xf>
    <xf numFmtId="0" fontId="32" fillId="2" borderId="24" xfId="0" applyFont="1" applyFill="1" applyBorder="1" applyAlignment="1" applyProtection="1">
      <alignment horizontal="center" vertical="top" wrapText="1"/>
      <protection locked="0"/>
    </xf>
    <xf numFmtId="0" fontId="32" fillId="2" borderId="25" xfId="0" applyFont="1" applyFill="1" applyBorder="1" applyAlignment="1" applyProtection="1">
      <alignment horizontal="center" vertical="top" wrapText="1"/>
      <protection locked="0"/>
    </xf>
    <xf numFmtId="0" fontId="32" fillId="10" borderId="16" xfId="0" applyFont="1" applyFill="1" applyBorder="1" applyAlignment="1" applyProtection="1">
      <alignment horizontal="center" vertical="top" wrapText="1"/>
      <protection locked="0"/>
    </xf>
    <xf numFmtId="0" fontId="32" fillId="10" borderId="24" xfId="0" applyFont="1" applyFill="1" applyBorder="1" applyAlignment="1" applyProtection="1">
      <alignment horizontal="center" vertical="top" wrapText="1"/>
      <protection locked="0"/>
    </xf>
    <xf numFmtId="0" fontId="32" fillId="10" borderId="25" xfId="0" applyFont="1" applyFill="1" applyBorder="1" applyAlignment="1" applyProtection="1">
      <alignment horizontal="center" vertical="top" wrapText="1"/>
      <protection locked="0"/>
    </xf>
    <xf numFmtId="0" fontId="32" fillId="10" borderId="16" xfId="0" applyFont="1" applyFill="1" applyBorder="1" applyAlignment="1" applyProtection="1">
      <alignment horizontal="right" vertical="center" wrapText="1"/>
      <protection locked="0"/>
    </xf>
    <xf numFmtId="0" fontId="32" fillId="10" borderId="24" xfId="0" applyFont="1" applyFill="1" applyBorder="1" applyAlignment="1" applyProtection="1">
      <alignment horizontal="right" vertical="center" wrapText="1"/>
      <protection locked="0"/>
    </xf>
    <xf numFmtId="0" fontId="21" fillId="12" borderId="64" xfId="0" applyFont="1" applyFill="1" applyBorder="1" applyAlignment="1" applyProtection="1">
      <alignment horizontal="center" vertical="center"/>
      <protection locked="0"/>
    </xf>
    <xf numFmtId="0" fontId="21" fillId="12" borderId="65" xfId="0" applyFont="1" applyFill="1" applyBorder="1" applyAlignment="1" applyProtection="1">
      <alignment horizontal="center" vertical="center"/>
      <protection locked="0"/>
    </xf>
    <xf numFmtId="0" fontId="21" fillId="12" borderId="66" xfId="0" applyFont="1" applyFill="1" applyBorder="1" applyAlignment="1" applyProtection="1">
      <alignment horizontal="center" vertical="center"/>
      <protection locked="0"/>
    </xf>
    <xf numFmtId="0" fontId="21" fillId="12" borderId="67" xfId="0" applyFont="1" applyFill="1" applyBorder="1" applyAlignment="1" applyProtection="1">
      <alignment horizontal="center" vertical="center"/>
      <protection locked="0"/>
    </xf>
    <xf numFmtId="0" fontId="21" fillId="12" borderId="68" xfId="0" applyFont="1" applyFill="1" applyBorder="1" applyAlignment="1" applyProtection="1">
      <alignment horizontal="center" vertical="center"/>
      <protection locked="0"/>
    </xf>
    <xf numFmtId="0" fontId="21" fillId="12" borderId="69" xfId="0" applyFont="1" applyFill="1" applyBorder="1" applyAlignment="1" applyProtection="1">
      <alignment horizontal="center" vertical="center"/>
      <protection locked="0"/>
    </xf>
    <xf numFmtId="0" fontId="4" fillId="2" borderId="16" xfId="0" applyFont="1" applyFill="1" applyBorder="1" applyAlignment="1" applyProtection="1">
      <alignment horizontal="left" vertical="center" wrapText="1"/>
      <protection locked="0"/>
    </xf>
    <xf numFmtId="0" fontId="21" fillId="12" borderId="94" xfId="0" applyFont="1" applyFill="1" applyBorder="1" applyAlignment="1" applyProtection="1">
      <alignment horizontal="center" vertical="center"/>
      <protection locked="0"/>
    </xf>
    <xf numFmtId="0" fontId="21" fillId="12" borderId="95" xfId="0" applyFont="1" applyFill="1" applyBorder="1" applyAlignment="1" applyProtection="1">
      <alignment horizontal="center" vertical="center"/>
      <protection locked="0"/>
    </xf>
    <xf numFmtId="0" fontId="21" fillId="12" borderId="96" xfId="0" applyFont="1" applyFill="1" applyBorder="1" applyAlignment="1" applyProtection="1">
      <alignment horizontal="center" vertical="center"/>
      <protection locked="0"/>
    </xf>
    <xf numFmtId="0" fontId="51" fillId="14" borderId="17" xfId="0" applyFont="1" applyFill="1" applyBorder="1" applyAlignment="1">
      <alignment horizontal="center" vertical="center" wrapText="1"/>
    </xf>
    <xf numFmtId="0" fontId="3" fillId="0" borderId="17" xfId="0" applyFont="1" applyBorder="1" applyAlignment="1" applyProtection="1">
      <alignment horizontal="center" vertical="center" wrapText="1"/>
      <protection locked="0"/>
    </xf>
    <xf numFmtId="0" fontId="19" fillId="15" borderId="17" xfId="0" applyFont="1" applyFill="1" applyBorder="1" applyAlignment="1">
      <alignment horizontal="center" vertical="center" wrapText="1"/>
    </xf>
    <xf numFmtId="0" fontId="49" fillId="14" borderId="17" xfId="0" applyFont="1" applyFill="1" applyBorder="1" applyAlignment="1">
      <alignment horizontal="center" vertical="center" wrapText="1"/>
    </xf>
    <xf numFmtId="0" fontId="34" fillId="2"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protection locked="0"/>
    </xf>
    <xf numFmtId="0" fontId="32" fillId="2" borderId="17" xfId="0" applyFont="1" applyFill="1" applyBorder="1" applyAlignment="1" applyProtection="1">
      <alignment horizontal="left" vertical="top"/>
      <protection locked="0"/>
    </xf>
    <xf numFmtId="0" fontId="71" fillId="12" borderId="42" xfId="0" applyFont="1" applyFill="1" applyBorder="1" applyAlignment="1">
      <alignment horizontal="center" vertical="center" wrapText="1"/>
    </xf>
    <xf numFmtId="0" fontId="4" fillId="26" borderId="17" xfId="0" applyFont="1" applyFill="1" applyBorder="1" applyAlignment="1" applyProtection="1">
      <alignment horizontal="center" vertical="center" wrapText="1"/>
      <protection locked="0"/>
    </xf>
    <xf numFmtId="0" fontId="52" fillId="12" borderId="48" xfId="0" applyFont="1" applyFill="1" applyBorder="1" applyAlignment="1">
      <alignment horizontal="center" vertical="center" wrapText="1"/>
    </xf>
    <xf numFmtId="0" fontId="132" fillId="2" borderId="17" xfId="0" applyFont="1" applyFill="1" applyBorder="1" applyAlignment="1" applyProtection="1">
      <alignment horizontal="right" vertical="center" wrapText="1"/>
      <protection locked="0"/>
    </xf>
    <xf numFmtId="0" fontId="132" fillId="2" borderId="16" xfId="0" applyFont="1" applyFill="1" applyBorder="1" applyAlignment="1" applyProtection="1">
      <alignment horizontal="right" vertical="center" wrapText="1"/>
      <protection locked="0"/>
    </xf>
    <xf numFmtId="0" fontId="61" fillId="2" borderId="97" xfId="0" applyFont="1" applyFill="1" applyBorder="1" applyAlignment="1" applyProtection="1">
      <alignment horizontal="center" vertical="center" wrapText="1"/>
      <protection locked="0"/>
    </xf>
    <xf numFmtId="0" fontId="61" fillId="10" borderId="97" xfId="0" applyFont="1" applyFill="1" applyBorder="1" applyAlignment="1" applyProtection="1">
      <alignment horizontal="center" vertical="center" wrapText="1"/>
      <protection locked="0"/>
    </xf>
    <xf numFmtId="0" fontId="59" fillId="16" borderId="17" xfId="0" applyFont="1" applyFill="1" applyBorder="1" applyAlignment="1">
      <alignment horizontal="center" vertical="center" wrapText="1"/>
    </xf>
    <xf numFmtId="0" fontId="23" fillId="25" borderId="0" xfId="0" applyFont="1" applyFill="1" applyAlignment="1" applyProtection="1">
      <alignment horizontal="center" vertical="center"/>
      <protection locked="0"/>
    </xf>
    <xf numFmtId="0" fontId="21" fillId="12" borderId="48" xfId="0" applyFont="1" applyFill="1" applyBorder="1" applyAlignment="1">
      <alignment horizontal="center" vertical="center" wrapText="1"/>
    </xf>
    <xf numFmtId="0" fontId="52" fillId="12" borderId="49" xfId="0" applyFont="1" applyFill="1" applyBorder="1" applyAlignment="1">
      <alignment horizontal="center" vertical="center" wrapText="1"/>
    </xf>
    <xf numFmtId="0" fontId="0" fillId="0" borderId="49" xfId="0" applyBorder="1">
      <alignment vertical="center"/>
    </xf>
    <xf numFmtId="0" fontId="21" fillId="24" borderId="0" xfId="0" applyFont="1" applyFill="1" applyAlignment="1">
      <alignment horizontal="center" vertical="center" wrapText="1"/>
    </xf>
    <xf numFmtId="0" fontId="56" fillId="2" borderId="17" xfId="0" applyFont="1" applyFill="1" applyBorder="1" applyAlignment="1" applyProtection="1">
      <alignment horizontal="right" vertical="center" wrapText="1"/>
      <protection locked="0"/>
    </xf>
    <xf numFmtId="0" fontId="0" fillId="0" borderId="16" xfId="0" applyBorder="1" applyAlignment="1" applyProtection="1">
      <alignment horizontal="right" vertical="center" wrapText="1"/>
      <protection locked="0"/>
    </xf>
    <xf numFmtId="0" fontId="55" fillId="2" borderId="25" xfId="0" applyFont="1" applyFill="1" applyBorder="1" applyAlignment="1">
      <alignment horizontal="left" vertical="center" wrapText="1"/>
    </xf>
    <xf numFmtId="0" fontId="55" fillId="2" borderId="17" xfId="0" applyFont="1" applyFill="1" applyBorder="1" applyAlignment="1">
      <alignment horizontal="left" vertical="center" wrapText="1"/>
    </xf>
    <xf numFmtId="0" fontId="3" fillId="2" borderId="17" xfId="0" applyFont="1" applyFill="1" applyBorder="1" applyAlignment="1" applyProtection="1">
      <alignment horizontal="center" vertical="center" wrapText="1"/>
      <protection locked="0"/>
    </xf>
    <xf numFmtId="0" fontId="34" fillId="2" borderId="16" xfId="0" applyFont="1" applyFill="1" applyBorder="1" applyAlignment="1" applyProtection="1">
      <alignment horizontal="center" vertical="center" wrapText="1"/>
      <protection locked="0"/>
    </xf>
    <xf numFmtId="0" fontId="34" fillId="2" borderId="25" xfId="0" applyFont="1" applyFill="1" applyBorder="1" applyAlignment="1" applyProtection="1">
      <alignment horizontal="center" vertical="center" wrapText="1"/>
      <protection locked="0"/>
    </xf>
    <xf numFmtId="0" fontId="106" fillId="6" borderId="0" xfId="0" applyFont="1" applyFill="1" applyAlignment="1">
      <alignment horizontal="right" wrapText="1"/>
    </xf>
    <xf numFmtId="0" fontId="3" fillId="2" borderId="17" xfId="0" applyFont="1" applyFill="1" applyBorder="1" applyAlignment="1" applyProtection="1">
      <alignment horizontal="center" vertical="center"/>
      <protection locked="0"/>
    </xf>
    <xf numFmtId="0" fontId="58" fillId="14" borderId="17" xfId="0" applyFont="1" applyFill="1" applyBorder="1" applyAlignment="1">
      <alignment horizontal="center" vertical="center" wrapText="1"/>
    </xf>
    <xf numFmtId="0" fontId="21" fillId="12" borderId="42" xfId="0" applyFont="1" applyFill="1" applyBorder="1" applyAlignment="1">
      <alignment horizontal="center" vertical="center" wrapText="1"/>
    </xf>
    <xf numFmtId="0" fontId="3" fillId="2" borderId="54" xfId="0" applyFont="1" applyFill="1" applyBorder="1" applyAlignment="1" applyProtection="1">
      <alignment horizontal="center" vertical="center" wrapText="1"/>
      <protection locked="0"/>
    </xf>
    <xf numFmtId="0" fontId="3" fillId="2" borderId="50" xfId="0" applyFont="1" applyFill="1" applyBorder="1" applyAlignment="1" applyProtection="1">
      <alignment horizontal="center" vertical="center" wrapText="1"/>
      <protection locked="0"/>
    </xf>
    <xf numFmtId="0" fontId="3" fillId="2" borderId="55" xfId="0" applyFont="1" applyFill="1" applyBorder="1" applyAlignment="1" applyProtection="1">
      <alignment horizontal="center" vertical="center" wrapText="1"/>
      <protection locked="0"/>
    </xf>
    <xf numFmtId="0" fontId="3" fillId="2" borderId="56" xfId="0" applyFont="1" applyFill="1" applyBorder="1" applyAlignment="1" applyProtection="1">
      <alignment horizontal="center" vertical="center" wrapText="1"/>
      <protection locked="0"/>
    </xf>
    <xf numFmtId="0" fontId="3" fillId="2" borderId="0" xfId="0" applyFont="1" applyFill="1" applyAlignment="1" applyProtection="1">
      <alignment horizontal="center" vertical="center" wrapText="1"/>
      <protection locked="0"/>
    </xf>
    <xf numFmtId="0" fontId="3" fillId="2" borderId="52" xfId="0" applyFont="1" applyFill="1" applyBorder="1" applyAlignment="1" applyProtection="1">
      <alignment horizontal="center" vertical="center" wrapText="1"/>
      <protection locked="0"/>
    </xf>
    <xf numFmtId="0" fontId="3" fillId="2" borderId="51" xfId="0" applyFont="1" applyFill="1" applyBorder="1" applyAlignment="1" applyProtection="1">
      <alignment horizontal="center" vertical="center" wrapText="1"/>
      <protection locked="0"/>
    </xf>
    <xf numFmtId="0" fontId="3" fillId="2" borderId="15" xfId="0" applyFont="1" applyFill="1" applyBorder="1" applyAlignment="1" applyProtection="1">
      <alignment horizontal="center" vertical="center" wrapText="1"/>
      <protection locked="0"/>
    </xf>
    <xf numFmtId="0" fontId="3" fillId="2" borderId="57" xfId="0" applyFont="1" applyFill="1" applyBorder="1" applyAlignment="1" applyProtection="1">
      <alignment horizontal="center" vertical="center" wrapText="1"/>
      <protection locked="0"/>
    </xf>
    <xf numFmtId="49" fontId="3" fillId="2" borderId="17" xfId="0" applyNumberFormat="1" applyFont="1" applyFill="1" applyBorder="1" applyAlignment="1" applyProtection="1">
      <alignment horizontal="center" vertical="center"/>
      <protection locked="0"/>
    </xf>
    <xf numFmtId="0" fontId="21" fillId="12" borderId="49" xfId="0" applyFont="1" applyFill="1" applyBorder="1" applyAlignment="1">
      <alignment horizontal="center" vertical="center"/>
    </xf>
    <xf numFmtId="0" fontId="23" fillId="24" borderId="0" xfId="0" applyFont="1" applyFill="1" applyAlignment="1">
      <alignment horizontal="center" vertical="center" wrapText="1"/>
    </xf>
    <xf numFmtId="0" fontId="23" fillId="25" borderId="0" xfId="0" applyFont="1" applyFill="1" applyAlignment="1" applyProtection="1">
      <alignment horizontal="center" vertical="center" wrapText="1"/>
      <protection locked="0"/>
    </xf>
    <xf numFmtId="0" fontId="21" fillId="23" borderId="17" xfId="0" applyFont="1" applyFill="1" applyBorder="1" applyAlignment="1">
      <alignment horizontal="center" vertical="center" wrapText="1"/>
    </xf>
    <xf numFmtId="0" fontId="3" fillId="2" borderId="17" xfId="0" applyFont="1" applyFill="1" applyBorder="1" applyAlignment="1">
      <alignment horizontal="center" vertical="center"/>
    </xf>
    <xf numFmtId="0" fontId="106" fillId="6" borderId="0" xfId="0" applyFont="1" applyFill="1" applyAlignment="1">
      <alignment horizontal="center" vertical="center" wrapText="1"/>
    </xf>
    <xf numFmtId="0" fontId="34" fillId="2" borderId="17" xfId="0" applyFont="1" applyFill="1" applyBorder="1" applyAlignment="1" applyProtection="1">
      <alignment horizontal="center" vertical="center"/>
      <protection locked="0"/>
    </xf>
    <xf numFmtId="0" fontId="3" fillId="10" borderId="17" xfId="0" applyFont="1" applyFill="1" applyBorder="1" applyAlignment="1" applyProtection="1">
      <alignment horizontal="center" vertical="center"/>
      <protection locked="0"/>
    </xf>
    <xf numFmtId="0" fontId="32" fillId="2" borderId="54" xfId="0" applyFont="1" applyFill="1" applyBorder="1" applyAlignment="1" applyProtection="1">
      <alignment horizontal="right" vertical="center" wrapText="1"/>
      <protection locked="0"/>
    </xf>
    <xf numFmtId="0" fontId="32" fillId="2" borderId="50" xfId="0" applyFont="1" applyFill="1" applyBorder="1" applyAlignment="1" applyProtection="1">
      <alignment horizontal="right" vertical="center" wrapText="1"/>
      <protection locked="0"/>
    </xf>
    <xf numFmtId="0" fontId="56" fillId="2" borderId="25" xfId="0" applyFont="1" applyFill="1" applyBorder="1" applyAlignment="1">
      <alignment horizontal="left" vertical="center" wrapText="1"/>
    </xf>
    <xf numFmtId="0" fontId="0" fillId="0" borderId="17" xfId="0" applyBorder="1" applyAlignment="1">
      <alignment vertical="center" wrapText="1"/>
    </xf>
    <xf numFmtId="0" fontId="3" fillId="10" borderId="17" xfId="0" applyFont="1" applyFill="1" applyBorder="1" applyAlignment="1" applyProtection="1">
      <alignment horizontal="center" vertical="center" wrapText="1"/>
      <protection locked="0"/>
    </xf>
    <xf numFmtId="0" fontId="56" fillId="2" borderId="16" xfId="0" applyFont="1" applyFill="1" applyBorder="1" applyAlignment="1" applyProtection="1">
      <alignment horizontal="center" vertical="center" wrapText="1"/>
      <protection locked="0"/>
    </xf>
    <xf numFmtId="0" fontId="56" fillId="2" borderId="24" xfId="0" applyFont="1" applyFill="1" applyBorder="1" applyAlignment="1" applyProtection="1">
      <alignment horizontal="center" vertical="center" wrapText="1"/>
      <protection locked="0"/>
    </xf>
    <xf numFmtId="0" fontId="56" fillId="2" borderId="25" xfId="0" applyFont="1" applyFill="1" applyBorder="1" applyAlignment="1" applyProtection="1">
      <alignment horizontal="center" vertical="center" wrapText="1"/>
      <protection locked="0"/>
    </xf>
    <xf numFmtId="0" fontId="101" fillId="2" borderId="24" xfId="0" applyFont="1" applyFill="1" applyBorder="1" applyAlignment="1" applyProtection="1">
      <alignment horizontal="right" vertical="center" wrapText="1"/>
      <protection locked="0"/>
    </xf>
    <xf numFmtId="0" fontId="32" fillId="2" borderId="43" xfId="0" applyFont="1" applyFill="1" applyBorder="1" applyAlignment="1" applyProtection="1">
      <alignment horizontal="center" vertical="center" wrapText="1"/>
      <protection locked="0"/>
    </xf>
    <xf numFmtId="0" fontId="22" fillId="2" borderId="17" xfId="0" applyFont="1" applyFill="1" applyBorder="1" applyAlignment="1">
      <alignment horizontal="center" vertical="center"/>
    </xf>
    <xf numFmtId="0" fontId="23" fillId="32" borderId="0" xfId="0" applyFont="1" applyFill="1" applyAlignment="1" applyProtection="1">
      <alignment horizontal="center" vertical="center"/>
      <protection locked="0"/>
    </xf>
    <xf numFmtId="0" fontId="21" fillId="12" borderId="49" xfId="0" applyFont="1" applyFill="1" applyBorder="1" applyAlignment="1">
      <alignment horizontal="center" vertical="center" wrapText="1"/>
    </xf>
    <xf numFmtId="0" fontId="34" fillId="10" borderId="17" xfId="0" applyFont="1" applyFill="1" applyBorder="1" applyAlignment="1" applyProtection="1">
      <alignment horizontal="center" vertical="center"/>
      <protection locked="0"/>
    </xf>
    <xf numFmtId="0" fontId="32" fillId="10" borderId="16" xfId="0" applyFont="1" applyFill="1" applyBorder="1" applyAlignment="1" applyProtection="1">
      <alignment horizontal="left" vertical="top" wrapText="1"/>
      <protection locked="0"/>
    </xf>
    <xf numFmtId="0" fontId="32" fillId="2" borderId="54" xfId="0" applyFont="1" applyFill="1" applyBorder="1" applyAlignment="1" applyProtection="1">
      <alignment horizontal="center" vertical="center" wrapText="1"/>
      <protection locked="0"/>
    </xf>
    <xf numFmtId="0" fontId="32" fillId="2" borderId="90" xfId="0" applyFont="1" applyFill="1" applyBorder="1" applyAlignment="1" applyProtection="1">
      <alignment horizontal="center" vertical="center" wrapText="1"/>
      <protection locked="0"/>
    </xf>
    <xf numFmtId="0" fontId="32" fillId="2" borderId="92"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right" vertical="center" wrapText="1"/>
      <protection locked="0"/>
    </xf>
    <xf numFmtId="0" fontId="32" fillId="2" borderId="24" xfId="0" applyFont="1" applyFill="1" applyBorder="1" applyAlignment="1" applyProtection="1">
      <alignment horizontal="right" vertical="center" wrapText="1"/>
      <protection locked="0"/>
    </xf>
    <xf numFmtId="0" fontId="100" fillId="2" borderId="43" xfId="0" applyFont="1" applyFill="1" applyBorder="1" applyAlignment="1" applyProtection="1">
      <alignment horizontal="center" vertical="center"/>
      <protection locked="0"/>
    </xf>
    <xf numFmtId="0" fontId="32" fillId="10" borderId="86" xfId="0" applyFont="1" applyFill="1" applyBorder="1" applyAlignment="1" applyProtection="1">
      <alignment horizontal="right" vertical="center" wrapText="1"/>
      <protection locked="0"/>
    </xf>
    <xf numFmtId="0" fontId="32" fillId="10" borderId="88" xfId="0" applyFont="1" applyFill="1" applyBorder="1" applyAlignment="1" applyProtection="1">
      <alignment horizontal="right" vertical="center" wrapText="1"/>
      <protection locked="0"/>
    </xf>
    <xf numFmtId="0" fontId="32" fillId="10" borderId="84" xfId="0" applyFont="1" applyFill="1" applyBorder="1" applyAlignment="1" applyProtection="1">
      <alignment horizontal="left" vertical="top"/>
      <protection locked="0"/>
    </xf>
    <xf numFmtId="0" fontId="106" fillId="6" borderId="24" xfId="0" applyFont="1" applyFill="1" applyBorder="1" applyAlignment="1">
      <alignment horizontal="center" wrapText="1"/>
    </xf>
    <xf numFmtId="0" fontId="100" fillId="10" borderId="84" xfId="0" applyFont="1" applyFill="1" applyBorder="1" applyAlignment="1" applyProtection="1">
      <alignment horizontal="center" vertical="center"/>
      <protection locked="0"/>
    </xf>
    <xf numFmtId="0" fontId="32" fillId="10" borderId="84" xfId="0" applyFont="1" applyFill="1" applyBorder="1" applyAlignment="1" applyProtection="1">
      <alignment horizontal="center" vertical="center" wrapText="1"/>
      <protection locked="0"/>
    </xf>
    <xf numFmtId="0" fontId="32" fillId="10" borderId="86" xfId="0" applyFont="1" applyFill="1" applyBorder="1" applyAlignment="1" applyProtection="1">
      <alignment horizontal="center" vertical="center" wrapText="1"/>
      <protection locked="0"/>
    </xf>
    <xf numFmtId="0" fontId="32" fillId="10" borderId="86" xfId="0" applyFont="1" applyFill="1" applyBorder="1" applyAlignment="1" applyProtection="1">
      <alignment horizontal="center" vertical="top" wrapText="1"/>
      <protection locked="0"/>
    </xf>
    <xf numFmtId="0" fontId="32" fillId="10" borderId="88" xfId="0" applyFont="1" applyFill="1" applyBorder="1" applyAlignment="1" applyProtection="1">
      <alignment horizontal="center" vertical="top" wrapText="1"/>
      <protection locked="0"/>
    </xf>
    <xf numFmtId="0" fontId="32" fillId="10" borderId="89" xfId="0" applyFont="1" applyFill="1" applyBorder="1" applyAlignment="1" applyProtection="1">
      <alignment horizontal="center" vertical="top" wrapText="1"/>
      <protection locked="0"/>
    </xf>
    <xf numFmtId="0" fontId="3" fillId="10" borderId="84" xfId="0" applyFont="1" applyFill="1" applyBorder="1" applyAlignment="1" applyProtection="1">
      <alignment horizontal="center" vertical="center" wrapText="1"/>
      <protection locked="0"/>
    </xf>
    <xf numFmtId="0" fontId="106" fillId="6" borderId="0" xfId="0" applyFont="1" applyFill="1" applyAlignment="1">
      <alignment horizontal="right"/>
    </xf>
    <xf numFmtId="0" fontId="61" fillId="2" borderId="17" xfId="0" applyFont="1" applyFill="1" applyBorder="1" applyAlignment="1" applyProtection="1">
      <alignment horizontal="center" vertical="center" wrapText="1"/>
      <protection locked="0"/>
    </xf>
    <xf numFmtId="0" fontId="23" fillId="25" borderId="0" xfId="0" applyFont="1" applyFill="1" applyAlignment="1">
      <alignment horizontal="center" vertical="center" wrapText="1"/>
    </xf>
    <xf numFmtId="0" fontId="21" fillId="32" borderId="0" xfId="0" applyFont="1" applyFill="1" applyAlignment="1">
      <alignment horizontal="center" vertical="center"/>
    </xf>
    <xf numFmtId="0" fontId="4" fillId="31" borderId="17" xfId="0" applyFont="1" applyFill="1" applyBorder="1" applyAlignment="1" applyProtection="1">
      <alignment horizontal="center" vertical="center" wrapText="1"/>
      <protection locked="0"/>
    </xf>
    <xf numFmtId="0" fontId="24" fillId="9" borderId="17" xfId="0" applyFont="1" applyFill="1" applyBorder="1" applyAlignment="1">
      <alignment horizontal="center" vertical="center" wrapText="1"/>
    </xf>
    <xf numFmtId="0" fontId="32" fillId="10" borderId="16" xfId="0" applyFont="1" applyFill="1" applyBorder="1" applyAlignment="1" applyProtection="1">
      <alignment horizontal="left" vertical="top"/>
      <protection locked="0"/>
    </xf>
    <xf numFmtId="0" fontId="32" fillId="10" borderId="24" xfId="0" applyFont="1" applyFill="1" applyBorder="1" applyAlignment="1" applyProtection="1">
      <alignment horizontal="left" vertical="top"/>
      <protection locked="0"/>
    </xf>
    <xf numFmtId="0" fontId="32" fillId="10" borderId="25" xfId="0" applyFont="1" applyFill="1" applyBorder="1" applyAlignment="1" applyProtection="1">
      <alignment horizontal="left" vertical="top"/>
      <protection locked="0"/>
    </xf>
    <xf numFmtId="0" fontId="20" fillId="6" borderId="0" xfId="0" applyFont="1" applyFill="1" applyAlignment="1">
      <alignment horizontal="center" vertical="center" wrapText="1"/>
    </xf>
    <xf numFmtId="0" fontId="4" fillId="10" borderId="17"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center" vertical="center" wrapText="1"/>
      <protection locked="0"/>
    </xf>
    <xf numFmtId="0" fontId="105" fillId="6" borderId="0" xfId="0" applyFont="1" applyFill="1" applyAlignment="1">
      <alignment horizontal="center" vertical="center" wrapText="1"/>
    </xf>
    <xf numFmtId="179" fontId="32" fillId="10" borderId="17" xfId="0" applyNumberFormat="1" applyFont="1" applyFill="1" applyBorder="1" applyAlignment="1">
      <alignment horizontal="center" vertical="center" wrapText="1"/>
    </xf>
    <xf numFmtId="0" fontId="4" fillId="16" borderId="17" xfId="0" applyFont="1" applyFill="1" applyBorder="1" applyAlignment="1">
      <alignment horizontal="center" vertical="center" wrapText="1"/>
    </xf>
    <xf numFmtId="0" fontId="29" fillId="50" borderId="17" xfId="0" applyFont="1" applyFill="1" applyBorder="1" applyAlignment="1">
      <alignment horizontal="center" vertical="center"/>
    </xf>
    <xf numFmtId="0" fontId="21" fillId="12" borderId="16" xfId="0" applyFont="1" applyFill="1" applyBorder="1" applyAlignment="1">
      <alignment horizontal="center" vertical="center" wrapText="1"/>
    </xf>
    <xf numFmtId="0" fontId="34" fillId="2" borderId="17" xfId="0" applyFont="1" applyFill="1" applyBorder="1" applyAlignment="1">
      <alignment horizontal="center" vertical="center" wrapText="1"/>
    </xf>
    <xf numFmtId="0" fontId="21" fillId="23" borderId="17"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2" borderId="16" xfId="0" applyFont="1" applyFill="1" applyBorder="1" applyAlignment="1" applyProtection="1">
      <alignment horizontal="center" vertical="center" wrapText="1"/>
      <protection locked="0"/>
    </xf>
    <xf numFmtId="0" fontId="54" fillId="2" borderId="25" xfId="0" applyFont="1" applyFill="1" applyBorder="1" applyAlignment="1" applyProtection="1">
      <alignment horizontal="left" vertical="center"/>
      <protection locked="0"/>
    </xf>
    <xf numFmtId="0" fontId="54" fillId="2" borderId="17" xfId="0" applyFont="1" applyFill="1" applyBorder="1" applyAlignment="1" applyProtection="1">
      <alignment horizontal="left" vertical="center"/>
      <protection locked="0"/>
    </xf>
    <xf numFmtId="49" fontId="54" fillId="2" borderId="17" xfId="0" applyNumberFormat="1" applyFont="1" applyFill="1" applyBorder="1" applyAlignment="1" applyProtection="1">
      <alignment horizontal="right" vertical="center"/>
      <protection locked="0"/>
    </xf>
    <xf numFmtId="49" fontId="54" fillId="2" borderId="16" xfId="0" applyNumberFormat="1" applyFont="1" applyFill="1" applyBorder="1" applyAlignment="1" applyProtection="1">
      <alignment horizontal="right" vertical="center"/>
      <protection locked="0"/>
    </xf>
    <xf numFmtId="0" fontId="4" fillId="2" borderId="25" xfId="0" applyFont="1" applyFill="1" applyBorder="1" applyAlignment="1" applyProtection="1">
      <alignment horizontal="center" vertical="center" wrapText="1"/>
      <protection locked="0"/>
    </xf>
    <xf numFmtId="0" fontId="22" fillId="2" borderId="17" xfId="0" applyFont="1" applyFill="1" applyBorder="1" applyAlignment="1">
      <alignment horizontal="center" vertical="center" wrapText="1"/>
    </xf>
    <xf numFmtId="0" fontId="32" fillId="2" borderId="17" xfId="0" applyFont="1" applyFill="1" applyBorder="1" applyAlignment="1">
      <alignment horizontal="left" vertical="top" wrapText="1"/>
    </xf>
    <xf numFmtId="0" fontId="22" fillId="6" borderId="0" xfId="0" applyFont="1" applyFill="1" applyAlignment="1">
      <alignment horizontal="center"/>
    </xf>
    <xf numFmtId="0" fontId="21" fillId="23" borderId="0" xfId="0" applyFont="1" applyFill="1" applyAlignment="1" applyProtection="1">
      <alignment horizontal="center" vertical="center" wrapText="1"/>
      <protection locked="0"/>
    </xf>
    <xf numFmtId="0" fontId="21" fillId="23" borderId="16" xfId="0" applyFont="1" applyFill="1" applyBorder="1" applyAlignment="1" applyProtection="1">
      <alignment horizontal="center" vertical="center" wrapText="1"/>
      <protection locked="0"/>
    </xf>
    <xf numFmtId="0" fontId="21" fillId="23" borderId="24" xfId="0" applyFont="1" applyFill="1" applyBorder="1" applyAlignment="1" applyProtection="1">
      <alignment horizontal="center" vertical="center" wrapText="1"/>
      <protection locked="0"/>
    </xf>
    <xf numFmtId="0" fontId="21" fillId="23" borderId="25" xfId="0" applyFont="1" applyFill="1" applyBorder="1" applyAlignment="1" applyProtection="1">
      <alignment horizontal="center" vertical="center" wrapText="1"/>
      <protection locked="0"/>
    </xf>
    <xf numFmtId="0" fontId="3" fillId="2" borderId="17" xfId="0" applyFont="1" applyFill="1" applyBorder="1" applyAlignment="1" applyProtection="1">
      <alignment vertical="center" wrapText="1"/>
      <protection locked="0"/>
    </xf>
    <xf numFmtId="0" fontId="3" fillId="2" borderId="25" xfId="0" applyFont="1" applyFill="1" applyBorder="1" applyAlignment="1" applyProtection="1">
      <alignment horizontal="center" vertical="top" wrapText="1"/>
      <protection locked="0"/>
    </xf>
    <xf numFmtId="0" fontId="34" fillId="2" borderId="24" xfId="0" applyFont="1" applyFill="1" applyBorder="1" applyAlignment="1" applyProtection="1">
      <alignment horizontal="center" vertical="center" wrapText="1"/>
      <protection locked="0"/>
    </xf>
    <xf numFmtId="0" fontId="3" fillId="10" borderId="25" xfId="0" applyFont="1" applyFill="1" applyBorder="1" applyAlignment="1" applyProtection="1">
      <alignment horizontal="center" vertical="top" wrapText="1"/>
      <protection locked="0"/>
    </xf>
    <xf numFmtId="0" fontId="34" fillId="10" borderId="17" xfId="0" applyFont="1" applyFill="1" applyBorder="1" applyAlignment="1" applyProtection="1">
      <alignment horizontal="center" vertical="center" wrapText="1"/>
      <protection locked="0"/>
    </xf>
    <xf numFmtId="176" fontId="34" fillId="2" borderId="17" xfId="0" applyNumberFormat="1" applyFont="1" applyFill="1" applyBorder="1" applyAlignment="1" applyProtection="1">
      <alignment horizontal="center" vertical="center"/>
      <protection locked="0"/>
    </xf>
    <xf numFmtId="0" fontId="21" fillId="12" borderId="67" xfId="0" applyFont="1" applyFill="1" applyBorder="1" applyAlignment="1">
      <alignment horizontal="center" vertical="center"/>
    </xf>
    <xf numFmtId="0" fontId="21" fillId="12" borderId="68" xfId="0" applyFont="1" applyFill="1" applyBorder="1" applyAlignment="1">
      <alignment horizontal="center" vertical="center"/>
    </xf>
    <xf numFmtId="0" fontId="21" fillId="12" borderId="69" xfId="0" applyFont="1" applyFill="1" applyBorder="1" applyAlignment="1">
      <alignment horizontal="center" vertical="center"/>
    </xf>
    <xf numFmtId="0" fontId="21" fillId="12" borderId="48" xfId="0" applyFont="1" applyFill="1" applyBorder="1" applyAlignment="1" applyProtection="1">
      <alignment horizontal="center" vertical="center"/>
      <protection locked="0"/>
    </xf>
    <xf numFmtId="0" fontId="32" fillId="2" borderId="91" xfId="0" applyFont="1" applyFill="1" applyBorder="1" applyAlignment="1" applyProtection="1">
      <alignment horizontal="center" vertical="center" wrapText="1"/>
      <protection locked="0"/>
    </xf>
    <xf numFmtId="0" fontId="32" fillId="2" borderId="43" xfId="0" applyFont="1" applyFill="1" applyBorder="1" applyAlignment="1" applyProtection="1">
      <alignment horizontal="left" vertical="top"/>
      <protection locked="0"/>
    </xf>
    <xf numFmtId="0" fontId="32" fillId="2" borderId="90" xfId="0" applyFont="1" applyFill="1" applyBorder="1" applyAlignment="1" applyProtection="1">
      <alignment horizontal="center" vertical="top" wrapText="1"/>
      <protection locked="0"/>
    </xf>
    <xf numFmtId="0" fontId="32" fillId="2" borderId="91" xfId="0" applyFont="1" applyFill="1" applyBorder="1" applyAlignment="1" applyProtection="1">
      <alignment horizontal="center" vertical="top" wrapText="1"/>
      <protection locked="0"/>
    </xf>
    <xf numFmtId="0" fontId="32" fillId="2" borderId="92" xfId="0" applyFont="1" applyFill="1" applyBorder="1" applyAlignment="1" applyProtection="1">
      <alignment horizontal="center" vertical="top" wrapText="1"/>
      <protection locked="0"/>
    </xf>
    <xf numFmtId="0" fontId="32" fillId="2" borderId="54" xfId="0" applyFont="1" applyFill="1" applyBorder="1" applyAlignment="1" applyProtection="1">
      <alignment horizontal="center" vertical="center"/>
      <protection locked="0"/>
    </xf>
    <xf numFmtId="0" fontId="32" fillId="2" borderId="50"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wrapText="1"/>
      <protection locked="0"/>
    </xf>
    <xf numFmtId="0" fontId="32" fillId="2" borderId="24"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32" fillId="10" borderId="86" xfId="0" applyFont="1" applyFill="1" applyBorder="1" applyAlignment="1" applyProtection="1">
      <alignment horizontal="center" vertical="center"/>
      <protection locked="0"/>
    </xf>
    <xf numFmtId="0" fontId="32" fillId="10" borderId="88" xfId="0" applyFont="1" applyFill="1" applyBorder="1" applyAlignment="1" applyProtection="1">
      <alignment horizontal="center" vertical="center"/>
      <protection locked="0"/>
    </xf>
    <xf numFmtId="0" fontId="32" fillId="10" borderId="88" xfId="0" applyFont="1" applyFill="1" applyBorder="1" applyAlignment="1" applyProtection="1">
      <alignment horizontal="center" vertical="center" wrapText="1"/>
      <protection locked="0"/>
    </xf>
    <xf numFmtId="0" fontId="32" fillId="10" borderId="89" xfId="0" applyFont="1" applyFill="1" applyBorder="1" applyAlignment="1" applyProtection="1">
      <alignment horizontal="center" vertical="center" wrapText="1"/>
      <protection locked="0"/>
    </xf>
    <xf numFmtId="0" fontId="32" fillId="10" borderId="88" xfId="0" applyFont="1" applyFill="1" applyBorder="1" applyAlignment="1" applyProtection="1">
      <alignment horizontal="left" vertical="center" wrapText="1"/>
      <protection locked="0"/>
    </xf>
    <xf numFmtId="0" fontId="32" fillId="10" borderId="89" xfId="0" applyFont="1" applyFill="1" applyBorder="1" applyAlignment="1" applyProtection="1">
      <alignment horizontal="left" vertical="center" wrapText="1"/>
      <protection locked="0"/>
    </xf>
    <xf numFmtId="0" fontId="21" fillId="12" borderId="17" xfId="0" applyFont="1" applyFill="1" applyBorder="1" applyAlignment="1" applyProtection="1">
      <alignment horizontal="center" vertical="center"/>
      <protection locked="0"/>
    </xf>
    <xf numFmtId="0" fontId="21" fillId="9" borderId="17" xfId="0" applyFont="1" applyFill="1" applyBorder="1" applyAlignment="1">
      <alignment horizontal="center" vertical="center" wrapText="1"/>
    </xf>
    <xf numFmtId="0" fontId="4" fillId="28" borderId="17" xfId="0" applyFont="1" applyFill="1" applyBorder="1" applyAlignment="1" applyProtection="1">
      <alignment horizontal="center" vertical="center" wrapText="1"/>
      <protection locked="0"/>
    </xf>
    <xf numFmtId="0" fontId="21" fillId="12" borderId="16" xfId="0" applyFont="1" applyFill="1" applyBorder="1" applyAlignment="1" applyProtection="1">
      <alignment horizontal="center" vertical="center"/>
      <protection locked="0"/>
    </xf>
    <xf numFmtId="0" fontId="21" fillId="12" borderId="24" xfId="0" applyFont="1" applyFill="1" applyBorder="1" applyAlignment="1" applyProtection="1">
      <alignment horizontal="center" vertical="center"/>
      <protection locked="0"/>
    </xf>
    <xf numFmtId="0" fontId="21" fillId="12" borderId="25" xfId="0" applyFont="1" applyFill="1" applyBorder="1" applyAlignment="1" applyProtection="1">
      <alignment horizontal="center" vertical="center"/>
      <protection locked="0"/>
    </xf>
    <xf numFmtId="0" fontId="3" fillId="10" borderId="17" xfId="0" applyFont="1" applyFill="1" applyBorder="1" applyAlignment="1" applyProtection="1">
      <alignment horizontal="left" vertical="center" wrapText="1"/>
      <protection locked="0"/>
    </xf>
    <xf numFmtId="0" fontId="21" fillId="12" borderId="58" xfId="0" applyFont="1" applyFill="1" applyBorder="1" applyAlignment="1" applyProtection="1">
      <alignment horizontal="center" vertical="center"/>
      <protection locked="0"/>
    </xf>
    <xf numFmtId="0" fontId="34" fillId="2" borderId="59" xfId="0" applyFont="1" applyFill="1" applyBorder="1" applyAlignment="1" applyProtection="1">
      <alignment horizontal="center" vertical="center" wrapText="1"/>
      <protection locked="0"/>
    </xf>
    <xf numFmtId="0" fontId="21" fillId="12" borderId="44" xfId="0" applyFont="1" applyFill="1" applyBorder="1" applyAlignment="1" applyProtection="1">
      <alignment horizontal="center" vertical="center"/>
      <protection locked="0"/>
    </xf>
    <xf numFmtId="0" fontId="3" fillId="2" borderId="17" xfId="0" applyFont="1" applyFill="1" applyBorder="1" applyAlignment="1" applyProtection="1">
      <alignment horizontal="left" vertical="center" wrapText="1"/>
      <protection locked="0"/>
    </xf>
    <xf numFmtId="0" fontId="21" fillId="12" borderId="43" xfId="0" applyFont="1" applyFill="1" applyBorder="1" applyAlignment="1" applyProtection="1">
      <alignment horizontal="center" vertical="center"/>
      <protection locked="0"/>
    </xf>
    <xf numFmtId="0" fontId="3" fillId="2" borderId="54" xfId="0" applyFont="1" applyFill="1" applyBorder="1" applyAlignment="1" applyProtection="1">
      <alignment horizontal="left" vertical="top" wrapText="1"/>
      <protection locked="0"/>
    </xf>
    <xf numFmtId="0" fontId="3" fillId="2" borderId="50" xfId="0" applyFont="1" applyFill="1" applyBorder="1" applyAlignment="1" applyProtection="1">
      <alignment horizontal="left" vertical="top" wrapText="1"/>
      <protection locked="0"/>
    </xf>
    <xf numFmtId="0" fontId="3" fillId="2" borderId="55" xfId="0" applyFont="1" applyFill="1" applyBorder="1" applyAlignment="1" applyProtection="1">
      <alignment horizontal="left" vertical="top" wrapText="1"/>
      <protection locked="0"/>
    </xf>
    <xf numFmtId="0" fontId="3" fillId="2" borderId="56"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52" xfId="0" applyFont="1" applyFill="1" applyBorder="1" applyAlignment="1" applyProtection="1">
      <alignment horizontal="left" vertical="top" wrapText="1"/>
      <protection locked="0"/>
    </xf>
    <xf numFmtId="0" fontId="3" fillId="2" borderId="51" xfId="0" applyFont="1" applyFill="1" applyBorder="1" applyAlignment="1" applyProtection="1">
      <alignment horizontal="left" vertical="top" wrapText="1"/>
      <protection locked="0"/>
    </xf>
    <xf numFmtId="0" fontId="3" fillId="2" borderId="15" xfId="0" applyFont="1" applyFill="1" applyBorder="1" applyAlignment="1" applyProtection="1">
      <alignment horizontal="left" vertical="top" wrapText="1"/>
      <protection locked="0"/>
    </xf>
    <xf numFmtId="0" fontId="3" fillId="2" borderId="57" xfId="0" applyFont="1" applyFill="1" applyBorder="1" applyAlignment="1" applyProtection="1">
      <alignment horizontal="left" vertical="top" wrapText="1"/>
      <protection locked="0"/>
    </xf>
    <xf numFmtId="0" fontId="62" fillId="12" borderId="54" xfId="0" applyFont="1" applyFill="1" applyBorder="1" applyAlignment="1" applyProtection="1">
      <alignment horizontal="center" vertical="center" wrapText="1"/>
      <protection locked="0"/>
    </xf>
    <xf numFmtId="0" fontId="62" fillId="12" borderId="50" xfId="0" applyFont="1" applyFill="1" applyBorder="1" applyAlignment="1" applyProtection="1">
      <alignment horizontal="center" vertical="center" wrapText="1"/>
      <protection locked="0"/>
    </xf>
    <xf numFmtId="0" fontId="62" fillId="12" borderId="56" xfId="0" applyFont="1" applyFill="1" applyBorder="1" applyAlignment="1" applyProtection="1">
      <alignment horizontal="center" vertical="center" wrapText="1"/>
      <protection locked="0"/>
    </xf>
    <xf numFmtId="0" fontId="62" fillId="12" borderId="0" xfId="0" applyFont="1" applyFill="1" applyAlignment="1" applyProtection="1">
      <alignment horizontal="center" vertical="center" wrapText="1"/>
      <protection locked="0"/>
    </xf>
    <xf numFmtId="0" fontId="62" fillId="12" borderId="51" xfId="0" applyFont="1" applyFill="1" applyBorder="1" applyAlignment="1" applyProtection="1">
      <alignment horizontal="center" vertical="center" wrapText="1"/>
      <protection locked="0"/>
    </xf>
    <xf numFmtId="0" fontId="62" fillId="12" borderId="15" xfId="0" applyFont="1" applyFill="1" applyBorder="1" applyAlignment="1" applyProtection="1">
      <alignment horizontal="center" vertical="center" wrapText="1"/>
      <protection locked="0"/>
    </xf>
    <xf numFmtId="0" fontId="21" fillId="12" borderId="54" xfId="0" applyFont="1" applyFill="1" applyBorder="1" applyAlignment="1" applyProtection="1">
      <alignment horizontal="center" vertical="center"/>
      <protection locked="0"/>
    </xf>
    <xf numFmtId="0" fontId="21" fillId="12" borderId="50" xfId="0" applyFont="1" applyFill="1" applyBorder="1" applyAlignment="1" applyProtection="1">
      <alignment horizontal="center" vertical="center"/>
      <protection locked="0"/>
    </xf>
    <xf numFmtId="0" fontId="21" fillId="12" borderId="55" xfId="0" applyFont="1" applyFill="1" applyBorder="1" applyAlignment="1" applyProtection="1">
      <alignment horizontal="center" vertical="center"/>
      <protection locked="0"/>
    </xf>
    <xf numFmtId="0" fontId="34" fillId="2" borderId="54" xfId="0" applyFont="1" applyFill="1" applyBorder="1" applyAlignment="1" applyProtection="1">
      <alignment horizontal="left" vertical="top" wrapText="1"/>
      <protection locked="0"/>
    </xf>
    <xf numFmtId="0" fontId="34" fillId="2" borderId="50" xfId="0" applyFont="1" applyFill="1" applyBorder="1" applyAlignment="1" applyProtection="1">
      <alignment horizontal="left" vertical="top" wrapText="1"/>
      <protection locked="0"/>
    </xf>
    <xf numFmtId="0" fontId="34" fillId="2" borderId="55" xfId="0" applyFont="1" applyFill="1" applyBorder="1" applyAlignment="1" applyProtection="1">
      <alignment horizontal="left" vertical="top" wrapText="1"/>
      <protection locked="0"/>
    </xf>
    <xf numFmtId="0" fontId="34" fillId="2" borderId="56"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52" xfId="0" applyFont="1" applyFill="1" applyBorder="1" applyAlignment="1" applyProtection="1">
      <alignment horizontal="left" vertical="top" wrapText="1"/>
      <protection locked="0"/>
    </xf>
    <xf numFmtId="0" fontId="34" fillId="2" borderId="51" xfId="0" applyFont="1" applyFill="1" applyBorder="1" applyAlignment="1" applyProtection="1">
      <alignment horizontal="left" vertical="top" wrapText="1"/>
      <protection locked="0"/>
    </xf>
    <xf numFmtId="0" fontId="34" fillId="2" borderId="15" xfId="0" applyFont="1" applyFill="1" applyBorder="1" applyAlignment="1" applyProtection="1">
      <alignment horizontal="left" vertical="top" wrapText="1"/>
      <protection locked="0"/>
    </xf>
    <xf numFmtId="0" fontId="34" fillId="2" borderId="57" xfId="0" applyFont="1" applyFill="1" applyBorder="1" applyAlignment="1" applyProtection="1">
      <alignment horizontal="left" vertical="top" wrapText="1"/>
      <protection locked="0"/>
    </xf>
    <xf numFmtId="0" fontId="34" fillId="2" borderId="17" xfId="0" applyFont="1" applyFill="1" applyBorder="1" applyAlignment="1" applyProtection="1">
      <alignment horizontal="center" vertical="top" wrapText="1"/>
      <protection locked="0"/>
    </xf>
    <xf numFmtId="0" fontId="21" fillId="12" borderId="49" xfId="0" applyFont="1" applyFill="1" applyBorder="1" applyAlignment="1" applyProtection="1">
      <alignment horizontal="center" vertical="center"/>
      <protection locked="0"/>
    </xf>
    <xf numFmtId="0" fontId="21" fillId="12" borderId="59" xfId="0" applyFont="1" applyFill="1" applyBorder="1" applyAlignment="1" applyProtection="1">
      <alignment horizontal="center" vertical="center"/>
      <protection locked="0"/>
    </xf>
    <xf numFmtId="0" fontId="21" fillId="12" borderId="43" xfId="0" applyFont="1" applyFill="1" applyBorder="1" applyAlignment="1" applyProtection="1">
      <alignment horizontal="center" vertical="center" wrapText="1"/>
      <protection locked="0"/>
    </xf>
    <xf numFmtId="0" fontId="21" fillId="12" borderId="44"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wrapText="1"/>
      <protection locked="0"/>
    </xf>
    <xf numFmtId="0" fontId="21" fillId="12" borderId="58" xfId="0" applyFont="1" applyFill="1" applyBorder="1" applyAlignment="1" applyProtection="1">
      <alignment horizontal="center" vertical="center" wrapText="1"/>
      <protection locked="0"/>
    </xf>
    <xf numFmtId="0" fontId="21" fillId="12" borderId="59" xfId="0" applyFont="1" applyFill="1" applyBorder="1" applyAlignment="1" applyProtection="1">
      <alignment horizontal="center" vertical="center" wrapText="1"/>
      <protection locked="0"/>
    </xf>
    <xf numFmtId="0" fontId="21" fillId="12" borderId="17" xfId="0" applyFont="1" applyFill="1" applyBorder="1" applyAlignment="1" applyProtection="1">
      <alignment horizontal="center" vertical="center" wrapText="1"/>
      <protection locked="0"/>
    </xf>
    <xf numFmtId="0" fontId="34" fillId="10" borderId="17" xfId="0" applyFont="1" applyFill="1" applyBorder="1" applyAlignment="1" applyProtection="1">
      <alignment horizontal="left" vertical="center" wrapText="1"/>
      <protection locked="0"/>
    </xf>
    <xf numFmtId="0" fontId="3" fillId="2" borderId="16" xfId="0" applyFont="1" applyFill="1" applyBorder="1" applyAlignment="1" applyProtection="1">
      <alignment horizontal="center" vertical="center" wrapText="1"/>
      <protection locked="0"/>
    </xf>
    <xf numFmtId="0" fontId="3" fillId="2" borderId="24" xfId="0" applyFont="1" applyFill="1" applyBorder="1" applyAlignment="1" applyProtection="1">
      <alignment horizontal="center" vertical="center" wrapText="1"/>
      <protection locked="0"/>
    </xf>
    <xf numFmtId="0" fontId="3" fillId="2" borderId="25"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protection locked="0"/>
    </xf>
    <xf numFmtId="179" fontId="32" fillId="2" borderId="17" xfId="0" applyNumberFormat="1" applyFont="1" applyFill="1" applyBorder="1" applyAlignment="1" applyProtection="1">
      <alignment horizontal="center" vertical="center" wrapText="1"/>
      <protection locked="0"/>
    </xf>
    <xf numFmtId="179" fontId="32" fillId="10" borderId="17" xfId="0" applyNumberFormat="1" applyFont="1" applyFill="1" applyBorder="1" applyAlignment="1" applyProtection="1">
      <alignment horizontal="center" vertical="center" wrapText="1"/>
      <protection locked="0"/>
    </xf>
    <xf numFmtId="0" fontId="44" fillId="0" borderId="0" xfId="0" applyFont="1" applyAlignment="1">
      <alignment horizontal="center" vertical="top"/>
    </xf>
    <xf numFmtId="0" fontId="44" fillId="0" borderId="1" xfId="0" applyFont="1" applyBorder="1" applyAlignment="1">
      <alignment horizontal="center" vertical="top"/>
    </xf>
    <xf numFmtId="0" fontId="21" fillId="23" borderId="17" xfId="0" applyFont="1" applyFill="1" applyBorder="1" applyAlignment="1" applyProtection="1">
      <alignment horizontal="center" vertical="center" wrapText="1"/>
      <protection locked="0"/>
    </xf>
    <xf numFmtId="0" fontId="106" fillId="6" borderId="50" xfId="0" applyFont="1" applyFill="1" applyBorder="1" applyAlignment="1">
      <alignment horizontal="center" wrapText="1"/>
    </xf>
    <xf numFmtId="0" fontId="21" fillId="12" borderId="48" xfId="0" applyFont="1" applyFill="1" applyBorder="1" applyAlignment="1" applyProtection="1">
      <alignment horizontal="center" vertical="center" wrapText="1"/>
      <protection locked="0"/>
    </xf>
    <xf numFmtId="0" fontId="101" fillId="2" borderId="17" xfId="0" applyFont="1" applyFill="1" applyBorder="1" applyAlignment="1" applyProtection="1">
      <alignment horizontal="center" vertical="center" wrapText="1"/>
      <protection locked="0"/>
    </xf>
    <xf numFmtId="0" fontId="21" fillId="12" borderId="49" xfId="0" applyFont="1" applyFill="1" applyBorder="1" applyAlignment="1" applyProtection="1">
      <alignment horizontal="center" vertical="center" wrapText="1"/>
      <protection locked="0"/>
    </xf>
    <xf numFmtId="0" fontId="101" fillId="10" borderId="17" xfId="0" applyFont="1" applyFill="1" applyBorder="1" applyAlignment="1" applyProtection="1">
      <alignment horizontal="center" vertical="center" wrapText="1"/>
      <protection locked="0"/>
    </xf>
    <xf numFmtId="0" fontId="101" fillId="2" borderId="16" xfId="0" applyFont="1" applyFill="1" applyBorder="1" applyAlignment="1" applyProtection="1">
      <alignment horizontal="center" vertical="center" wrapText="1"/>
      <protection locked="0"/>
    </xf>
    <xf numFmtId="0" fontId="101" fillId="2" borderId="25" xfId="0" applyFont="1" applyFill="1" applyBorder="1" applyAlignment="1" applyProtection="1">
      <alignment horizontal="center" vertical="center" wrapText="1"/>
      <protection locked="0"/>
    </xf>
    <xf numFmtId="0" fontId="7" fillId="0" borderId="0" xfId="0" applyFont="1" applyAlignment="1">
      <alignment horizontal="center" vertical="top"/>
    </xf>
    <xf numFmtId="179" fontId="32" fillId="2" borderId="43" xfId="0" applyNumberFormat="1" applyFont="1" applyFill="1" applyBorder="1" applyAlignment="1" applyProtection="1">
      <alignment horizontal="center" vertical="center" wrapText="1"/>
      <protection locked="0"/>
    </xf>
    <xf numFmtId="179" fontId="32" fillId="10" borderId="84" xfId="0" applyNumberFormat="1" applyFont="1" applyFill="1" applyBorder="1" applyAlignment="1" applyProtection="1">
      <alignment horizontal="center" vertical="center" wrapText="1"/>
      <protection locked="0"/>
    </xf>
    <xf numFmtId="0" fontId="81" fillId="0" borderId="36" xfId="0" applyFont="1" applyBorder="1" applyAlignment="1">
      <alignment horizontal="center" vertical="top" wrapText="1"/>
    </xf>
    <xf numFmtId="0" fontId="81" fillId="0" borderId="37" xfId="0" applyFont="1" applyBorder="1" applyAlignment="1">
      <alignment horizontal="center" vertical="top" wrapText="1"/>
    </xf>
    <xf numFmtId="0" fontId="81" fillId="0" borderId="38" xfId="0" applyFont="1" applyBorder="1" applyAlignment="1">
      <alignment horizontal="center" vertical="top" wrapText="1"/>
    </xf>
    <xf numFmtId="0" fontId="5" fillId="0" borderId="6" xfId="0" applyFont="1" applyBorder="1" applyAlignment="1">
      <alignment horizontal="center" vertical="top" wrapText="1"/>
    </xf>
    <xf numFmtId="0" fontId="5" fillId="0" borderId="11" xfId="0" applyFont="1" applyBorder="1" applyAlignment="1">
      <alignment horizontal="center" vertical="top" wrapText="1"/>
    </xf>
    <xf numFmtId="0" fontId="5" fillId="0" borderId="28"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2" xfId="0" applyFont="1" applyBorder="1" applyAlignment="1">
      <alignment horizontal="center" vertical="top" wrapText="1"/>
    </xf>
    <xf numFmtId="0" fontId="5" fillId="0" borderId="8" xfId="0" applyFont="1" applyBorder="1" applyAlignment="1">
      <alignment horizontal="center" vertical="top" wrapText="1"/>
    </xf>
    <xf numFmtId="0" fontId="46" fillId="0" borderId="36" xfId="0" applyFont="1" applyBorder="1" applyAlignment="1">
      <alignment horizontal="center" vertical="top" wrapText="1"/>
    </xf>
    <xf numFmtId="0" fontId="46" fillId="0" borderId="37" xfId="0" applyFont="1" applyBorder="1" applyAlignment="1">
      <alignment horizontal="center" vertical="top" wrapText="1"/>
    </xf>
    <xf numFmtId="0" fontId="46" fillId="0" borderId="38" xfId="0" applyFont="1" applyBorder="1" applyAlignment="1">
      <alignment horizontal="center" vertical="top" wrapText="1"/>
    </xf>
    <xf numFmtId="0" fontId="92" fillId="0" borderId="36" xfId="0" applyFont="1" applyBorder="1" applyAlignment="1">
      <alignment horizontal="center" vertical="top" wrapText="1"/>
    </xf>
    <xf numFmtId="0" fontId="10" fillId="0" borderId="0" xfId="0" applyFont="1" applyAlignment="1">
      <alignment horizontal="center" vertical="top" wrapText="1"/>
    </xf>
    <xf numFmtId="0" fontId="3" fillId="0" borderId="0" xfId="0" applyFont="1" applyAlignment="1">
      <alignment horizontal="center" vertical="center"/>
    </xf>
    <xf numFmtId="0" fontId="39" fillId="0" borderId="31" xfId="0" applyFont="1" applyBorder="1" applyAlignment="1">
      <alignment horizontal="center" vertical="center"/>
    </xf>
    <xf numFmtId="0" fontId="37" fillId="0" borderId="27" xfId="1" applyBorder="1" applyAlignment="1">
      <alignment horizontal="center" vertical="center" wrapText="1"/>
    </xf>
    <xf numFmtId="0" fontId="10" fillId="0" borderId="27" xfId="0" applyFont="1" applyBorder="1" applyAlignment="1">
      <alignment horizontal="center" vertical="center" wrapText="1"/>
    </xf>
    <xf numFmtId="0" fontId="0" fillId="0" borderId="27" xfId="0" applyBorder="1" applyAlignment="1">
      <alignment horizontal="center" vertical="center" wrapText="1"/>
    </xf>
    <xf numFmtId="0" fontId="10" fillId="0" borderId="0" xfId="0" applyFont="1" applyAlignment="1">
      <alignment horizontal="center" vertical="center"/>
    </xf>
    <xf numFmtId="0" fontId="10" fillId="0" borderId="27" xfId="0" applyFont="1" applyBorder="1" applyAlignment="1">
      <alignment horizontal="center" vertical="center"/>
    </xf>
    <xf numFmtId="0" fontId="0" fillId="0" borderId="27" xfId="0" applyBorder="1" applyAlignment="1">
      <alignment horizontal="center" vertical="top" wrapText="1"/>
    </xf>
    <xf numFmtId="0" fontId="0" fillId="0" borderId="26" xfId="0"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0" fontId="37" fillId="0" borderId="28" xfId="1" applyBorder="1" applyAlignment="1">
      <alignment horizontal="center" vertical="top" wrapText="1"/>
    </xf>
    <xf numFmtId="0" fontId="37" fillId="0" borderId="26" xfId="1" applyBorder="1" applyAlignment="1">
      <alignment horizontal="center" vertical="top" wrapText="1"/>
    </xf>
    <xf numFmtId="0" fontId="37" fillId="0" borderId="32" xfId="1" applyBorder="1" applyAlignment="1">
      <alignment horizontal="center" vertical="top" wrapText="1"/>
    </xf>
    <xf numFmtId="0" fontId="10" fillId="0" borderId="27" xfId="0" applyFont="1" applyBorder="1" applyAlignment="1">
      <alignment horizontal="center" vertical="top" wrapText="1"/>
    </xf>
    <xf numFmtId="0" fontId="99" fillId="10" borderId="2" xfId="0" applyFont="1" applyFill="1" applyBorder="1" applyAlignment="1">
      <alignment horizontal="center" vertical="center" wrapText="1"/>
    </xf>
    <xf numFmtId="0" fontId="99" fillId="10" borderId="3" xfId="0" applyFont="1" applyFill="1" applyBorder="1" applyAlignment="1">
      <alignment horizontal="center" vertical="center" wrapText="1"/>
    </xf>
    <xf numFmtId="0" fontId="99" fillId="2" borderId="2" xfId="0" applyFont="1" applyFill="1" applyBorder="1" applyAlignment="1">
      <alignment horizontal="center" vertical="center" wrapText="1"/>
    </xf>
    <xf numFmtId="0" fontId="99" fillId="2" borderId="3" xfId="0" applyFont="1" applyFill="1" applyBorder="1" applyAlignment="1">
      <alignment horizontal="center" vertical="center" wrapText="1"/>
    </xf>
    <xf numFmtId="0" fontId="99" fillId="50" borderId="2" xfId="0" applyFont="1" applyFill="1" applyBorder="1" applyAlignment="1">
      <alignment horizontal="center" vertical="center" wrapText="1"/>
    </xf>
    <xf numFmtId="0" fontId="99" fillId="50" borderId="3" xfId="0" applyFont="1" applyFill="1" applyBorder="1" applyAlignment="1">
      <alignment horizontal="center" vertical="center" wrapText="1"/>
    </xf>
    <xf numFmtId="0" fontId="3" fillId="10" borderId="17" xfId="0" applyFont="1" applyFill="1" applyBorder="1" applyAlignment="1" applyProtection="1">
      <alignment horizontal="left" vertical="top" wrapText="1"/>
      <protection locked="0"/>
    </xf>
    <xf numFmtId="0" fontId="3" fillId="2" borderId="17" xfId="0" applyFont="1" applyFill="1" applyBorder="1" applyAlignment="1" applyProtection="1">
      <alignment horizontal="left" vertical="top" wrapText="1"/>
      <protection locked="0"/>
    </xf>
    <xf numFmtId="0" fontId="34" fillId="10" borderId="17" xfId="0" applyFont="1" applyFill="1" applyBorder="1" applyAlignment="1" applyProtection="1">
      <alignment horizontal="left" vertical="top" wrapText="1"/>
      <protection locked="0"/>
    </xf>
    <xf numFmtId="0" fontId="73" fillId="37" borderId="16" xfId="0" applyFont="1" applyFill="1" applyBorder="1" applyAlignment="1" applyProtection="1">
      <alignment horizontal="center" vertical="center" wrapText="1"/>
      <protection locked="0"/>
    </xf>
    <xf numFmtId="0" fontId="73" fillId="37" borderId="24" xfId="0" applyFont="1" applyFill="1" applyBorder="1" applyAlignment="1" applyProtection="1">
      <alignment horizontal="center" vertical="center" wrapText="1"/>
      <protection locked="0"/>
    </xf>
    <xf numFmtId="0" fontId="73" fillId="37" borderId="25" xfId="0" applyFont="1" applyFill="1" applyBorder="1" applyAlignment="1" applyProtection="1">
      <alignment horizontal="center" vertical="center" wrapText="1"/>
      <protection locked="0"/>
    </xf>
    <xf numFmtId="178" fontId="74" fillId="2" borderId="16" xfId="0" applyNumberFormat="1" applyFont="1" applyFill="1" applyBorder="1" applyAlignment="1" applyProtection="1">
      <alignment horizontal="center" vertical="top" wrapText="1"/>
      <protection locked="0"/>
    </xf>
    <xf numFmtId="178" fontId="74" fillId="2" borderId="24" xfId="0" applyNumberFormat="1" applyFont="1" applyFill="1" applyBorder="1" applyAlignment="1" applyProtection="1">
      <alignment horizontal="center" vertical="top" wrapText="1"/>
      <protection locked="0"/>
    </xf>
    <xf numFmtId="178" fontId="74" fillId="2" borderId="25" xfId="0" applyNumberFormat="1" applyFont="1" applyFill="1" applyBorder="1" applyAlignment="1" applyProtection="1">
      <alignment horizontal="center" vertical="top" wrapText="1"/>
      <protection locked="0"/>
    </xf>
    <xf numFmtId="0" fontId="73" fillId="33" borderId="16" xfId="0" applyFont="1" applyFill="1" applyBorder="1" applyAlignment="1" applyProtection="1">
      <alignment horizontal="center" vertical="top" wrapText="1"/>
      <protection locked="0"/>
    </xf>
    <xf numFmtId="0" fontId="73" fillId="33" borderId="24" xfId="0" applyFont="1" applyFill="1" applyBorder="1" applyAlignment="1" applyProtection="1">
      <alignment horizontal="center" vertical="top" wrapText="1"/>
      <protection locked="0"/>
    </xf>
    <xf numFmtId="0" fontId="73" fillId="33" borderId="25" xfId="0" applyFont="1" applyFill="1" applyBorder="1" applyAlignment="1" applyProtection="1">
      <alignment horizontal="center" vertical="top" wrapText="1"/>
      <protection locked="0"/>
    </xf>
    <xf numFmtId="178" fontId="78" fillId="0" borderId="16" xfId="0" applyNumberFormat="1" applyFont="1" applyBorder="1" applyAlignment="1" applyProtection="1">
      <alignment horizontal="center" vertical="top" wrapText="1"/>
      <protection locked="0"/>
    </xf>
    <xf numFmtId="178" fontId="78" fillId="0" borderId="24" xfId="0" applyNumberFormat="1" applyFont="1" applyBorder="1" applyAlignment="1" applyProtection="1">
      <alignment horizontal="center" vertical="top" wrapText="1"/>
      <protection locked="0"/>
    </xf>
    <xf numFmtId="178" fontId="78" fillId="0" borderId="25" xfId="0" applyNumberFormat="1" applyFont="1" applyBorder="1" applyAlignment="1" applyProtection="1">
      <alignment horizontal="center" vertical="top" wrapText="1"/>
      <protection locked="0"/>
    </xf>
    <xf numFmtId="0" fontId="72" fillId="23" borderId="47"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top" wrapText="1"/>
      <protection locked="0"/>
    </xf>
    <xf numFmtId="0" fontId="72" fillId="23" borderId="46" xfId="0" applyFont="1" applyFill="1" applyBorder="1" applyAlignment="1" applyProtection="1">
      <alignment horizontal="center" vertical="top" wrapText="1"/>
      <protection locked="0"/>
    </xf>
    <xf numFmtId="178" fontId="74" fillId="2" borderId="17" xfId="0" applyNumberFormat="1" applyFont="1" applyFill="1" applyBorder="1" applyAlignment="1" applyProtection="1">
      <alignment horizontal="center" vertical="top" wrapText="1"/>
      <protection locked="0"/>
    </xf>
    <xf numFmtId="0" fontId="71" fillId="17" borderId="0" xfId="0" applyFont="1" applyFill="1" applyAlignment="1">
      <alignment horizontal="center" vertical="center" wrapText="1"/>
    </xf>
    <xf numFmtId="0" fontId="71" fillId="12" borderId="0" xfId="0" applyFont="1" applyFill="1" applyAlignment="1">
      <alignment horizontal="center" vertical="center" wrapText="1"/>
    </xf>
    <xf numFmtId="177" fontId="3" fillId="16" borderId="0" xfId="0" applyNumberFormat="1" applyFont="1" applyFill="1" applyAlignment="1">
      <alignment horizontal="center" vertical="center" wrapText="1"/>
    </xf>
    <xf numFmtId="0" fontId="71" fillId="23" borderId="16" xfId="0" applyFont="1" applyFill="1" applyBorder="1" applyAlignment="1" applyProtection="1">
      <alignment horizontal="center" vertical="center" wrapText="1"/>
      <protection locked="0"/>
    </xf>
    <xf numFmtId="0" fontId="71" fillId="23" borderId="24" xfId="0" applyFont="1" applyFill="1" applyBorder="1" applyAlignment="1" applyProtection="1">
      <alignment horizontal="center" vertical="center" wrapText="1"/>
      <protection locked="0"/>
    </xf>
    <xf numFmtId="0" fontId="71" fillId="23" borderId="25" xfId="0" applyFont="1" applyFill="1" applyBorder="1" applyAlignment="1" applyProtection="1">
      <alignment horizontal="center" vertical="center" wrapText="1"/>
      <protection locked="0"/>
    </xf>
    <xf numFmtId="0" fontId="73" fillId="37" borderId="51" xfId="0" applyFont="1" applyFill="1" applyBorder="1" applyAlignment="1" applyProtection="1">
      <alignment horizontal="center" vertical="center"/>
      <protection locked="0"/>
    </xf>
    <xf numFmtId="0" fontId="73" fillId="37" borderId="15" xfId="0" applyFont="1" applyFill="1" applyBorder="1" applyAlignment="1" applyProtection="1">
      <alignment horizontal="center" vertical="center"/>
      <protection locked="0"/>
    </xf>
    <xf numFmtId="178" fontId="73" fillId="0" borderId="0" xfId="0" applyNumberFormat="1" applyFont="1" applyAlignment="1" applyProtection="1">
      <alignment horizontal="center" vertical="center"/>
      <protection locked="0"/>
    </xf>
    <xf numFmtId="178" fontId="73" fillId="0" borderId="52" xfId="0" applyNumberFormat="1" applyFont="1" applyBorder="1" applyAlignment="1" applyProtection="1">
      <alignment horizontal="center" vertical="center"/>
      <protection locked="0"/>
    </xf>
    <xf numFmtId="0" fontId="3" fillId="2" borderId="17" xfId="0" applyFont="1" applyFill="1" applyBorder="1" applyAlignment="1" applyProtection="1">
      <alignment horizontal="center" vertical="top" wrapText="1"/>
      <protection locked="0"/>
    </xf>
    <xf numFmtId="177" fontId="3" fillId="2" borderId="17" xfId="0" applyNumberFormat="1" applyFont="1" applyFill="1" applyBorder="1" applyAlignment="1">
      <alignment horizontal="center" vertical="center" wrapText="1"/>
    </xf>
    <xf numFmtId="177" fontId="3" fillId="2" borderId="17" xfId="0" applyNumberFormat="1" applyFont="1" applyFill="1" applyBorder="1" applyAlignment="1" applyProtection="1">
      <alignment horizontal="center" vertical="center" wrapText="1"/>
      <protection locked="0"/>
    </xf>
    <xf numFmtId="0" fontId="3" fillId="10" borderId="17" xfId="0" applyFont="1" applyFill="1" applyBorder="1" applyAlignment="1" applyProtection="1">
      <alignment horizontal="center" vertical="top" wrapText="1"/>
      <protection locked="0"/>
    </xf>
    <xf numFmtId="177" fontId="3" fillId="10" borderId="17" xfId="0" applyNumberFormat="1" applyFont="1" applyFill="1" applyBorder="1" applyAlignment="1">
      <alignment horizontal="center" vertical="center" wrapText="1"/>
    </xf>
    <xf numFmtId="177" fontId="3" fillId="10" borderId="17" xfId="0" applyNumberFormat="1" applyFont="1" applyFill="1" applyBorder="1" applyAlignment="1" applyProtection="1">
      <alignment horizontal="center" vertical="center" wrapText="1"/>
      <protection locked="0"/>
    </xf>
    <xf numFmtId="0" fontId="3" fillId="2" borderId="17" xfId="0" applyFont="1" applyFill="1" applyBorder="1" applyAlignment="1">
      <alignment horizontal="center" vertical="top" wrapText="1"/>
    </xf>
    <xf numFmtId="0" fontId="3" fillId="10" borderId="17" xfId="0" applyFont="1" applyFill="1" applyBorder="1" applyAlignment="1">
      <alignment horizontal="center" vertical="top" wrapText="1"/>
    </xf>
    <xf numFmtId="0" fontId="3" fillId="16" borderId="0" xfId="0" applyFont="1" applyFill="1" applyAlignment="1" applyProtection="1">
      <alignment horizontal="center" vertical="center" wrapText="1"/>
      <protection locked="0"/>
    </xf>
    <xf numFmtId="0" fontId="36" fillId="12" borderId="48" xfId="0" applyFont="1" applyFill="1" applyBorder="1" applyAlignment="1">
      <alignment horizontal="center" vertical="center" wrapText="1"/>
    </xf>
    <xf numFmtId="0" fontId="32" fillId="14" borderId="17" xfId="0" applyFont="1" applyFill="1" applyBorder="1" applyAlignment="1">
      <alignment horizontal="center" vertical="center" wrapText="1"/>
    </xf>
    <xf numFmtId="0" fontId="36" fillId="12" borderId="42" xfId="0" applyFont="1" applyFill="1" applyBorder="1" applyAlignment="1">
      <alignment horizontal="center" vertical="center" wrapText="1"/>
    </xf>
    <xf numFmtId="0" fontId="36" fillId="12" borderId="49" xfId="0" applyFont="1" applyFill="1" applyBorder="1" applyAlignment="1">
      <alignment horizontal="center" vertical="center" wrapText="1"/>
    </xf>
    <xf numFmtId="0" fontId="21" fillId="7" borderId="0" xfId="2" applyFont="1" applyFill="1" applyAlignment="1">
      <alignment horizontal="center" vertical="center"/>
    </xf>
    <xf numFmtId="0" fontId="21" fillId="7" borderId="0" xfId="0" applyFont="1" applyFill="1" applyAlignment="1">
      <alignment horizontal="center" vertical="center" wrapText="1"/>
    </xf>
    <xf numFmtId="0" fontId="15" fillId="6" borderId="0" xfId="0" applyFont="1" applyFill="1" applyAlignment="1">
      <alignment horizontal="center" wrapText="1"/>
    </xf>
    <xf numFmtId="0" fontId="21" fillId="12" borderId="6" xfId="2" applyFont="1" applyFill="1" applyBorder="1" applyAlignment="1">
      <alignment horizontal="center" vertical="center" wrapText="1"/>
    </xf>
    <xf numFmtId="0" fontId="21" fillId="12" borderId="7" xfId="2" applyFont="1" applyFill="1" applyBorder="1" applyAlignment="1">
      <alignment horizontal="center" vertical="center" wrapText="1"/>
    </xf>
    <xf numFmtId="0" fontId="21" fillId="12" borderId="11" xfId="2" applyFont="1" applyFill="1" applyBorder="1" applyAlignment="1">
      <alignment horizontal="center" vertical="center" wrapText="1"/>
    </xf>
    <xf numFmtId="0" fontId="3" fillId="2" borderId="6" xfId="2" applyFont="1" applyFill="1" applyBorder="1" applyAlignment="1" applyProtection="1">
      <alignment horizontal="center" vertical="center" wrapText="1"/>
      <protection locked="0"/>
    </xf>
    <xf numFmtId="0" fontId="3" fillId="2" borderId="7" xfId="2" applyFont="1" applyFill="1" applyBorder="1" applyAlignment="1" applyProtection="1">
      <alignment horizontal="center" vertical="center" wrapText="1"/>
      <protection locked="0"/>
    </xf>
    <xf numFmtId="0" fontId="3" fillId="2" borderId="11" xfId="2" applyFont="1" applyFill="1" applyBorder="1" applyAlignment="1" applyProtection="1">
      <alignment horizontal="center" vertical="center" wrapText="1"/>
      <protection locked="0"/>
    </xf>
    <xf numFmtId="0" fontId="3" fillId="2" borderId="5" xfId="2" applyFont="1" applyFill="1" applyBorder="1" applyAlignment="1" applyProtection="1">
      <alignment horizontal="center" vertical="center"/>
      <protection locked="0"/>
    </xf>
    <xf numFmtId="0" fontId="21" fillId="12" borderId="5" xfId="0" applyFont="1" applyFill="1" applyBorder="1" applyAlignment="1">
      <alignment horizontal="center" vertical="center" wrapText="1"/>
    </xf>
    <xf numFmtId="0" fontId="3" fillId="14" borderId="5" xfId="0" applyFont="1" applyFill="1" applyBorder="1" applyAlignment="1" applyProtection="1">
      <alignment horizontal="center" vertical="center"/>
      <protection locked="0"/>
    </xf>
    <xf numFmtId="0" fontId="3" fillId="15" borderId="6" xfId="0" applyFont="1" applyFill="1" applyBorder="1" applyAlignment="1">
      <alignment horizontal="center" vertical="center" wrapText="1"/>
    </xf>
    <xf numFmtId="0" fontId="3" fillId="15" borderId="11" xfId="0" applyFont="1" applyFill="1" applyBorder="1" applyAlignment="1">
      <alignment horizontal="center" vertical="center" wrapText="1"/>
    </xf>
    <xf numFmtId="0" fontId="3" fillId="2" borderId="5" xfId="0" applyFont="1" applyFill="1" applyBorder="1" applyAlignment="1" applyProtection="1">
      <alignment horizontal="center" vertical="center"/>
      <protection locked="0"/>
    </xf>
    <xf numFmtId="0" fontId="29" fillId="14" borderId="5" xfId="0" applyFont="1" applyFill="1" applyBorder="1" applyAlignment="1">
      <alignment horizontal="center" vertical="center"/>
    </xf>
    <xf numFmtId="0" fontId="30" fillId="16" borderId="5" xfId="0" applyFont="1" applyFill="1" applyBorder="1" applyAlignment="1">
      <alignment horizontal="center" vertical="center"/>
    </xf>
    <xf numFmtId="0" fontId="34" fillId="2" borderId="5" xfId="0" applyFont="1" applyFill="1" applyBorder="1" applyAlignment="1" applyProtection="1">
      <alignment horizontal="center" vertical="center" wrapText="1"/>
      <protection locked="0"/>
    </xf>
    <xf numFmtId="0" fontId="21" fillId="12" borderId="5" xfId="2" applyFont="1" applyFill="1" applyBorder="1" applyAlignment="1">
      <alignment horizontal="center" vertical="center" wrapText="1"/>
    </xf>
    <xf numFmtId="0" fontId="21" fillId="12" borderId="6" xfId="0" applyFont="1" applyFill="1" applyBorder="1" applyAlignment="1">
      <alignment horizontal="center" vertical="center" wrapText="1"/>
    </xf>
    <xf numFmtId="0" fontId="21" fillId="12" borderId="7" xfId="0" applyFont="1" applyFill="1" applyBorder="1" applyAlignment="1">
      <alignment horizontal="center" vertical="center" wrapText="1"/>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protection locked="0"/>
    </xf>
    <xf numFmtId="0" fontId="3" fillId="10" borderId="6" xfId="2" applyFont="1" applyFill="1" applyBorder="1" applyAlignment="1" applyProtection="1">
      <alignment horizontal="center" vertical="center" wrapText="1"/>
      <protection locked="0"/>
    </xf>
    <xf numFmtId="0" fontId="3" fillId="10" borderId="7" xfId="2" applyFont="1" applyFill="1" applyBorder="1" applyAlignment="1" applyProtection="1">
      <alignment horizontal="center" vertical="center" wrapText="1"/>
      <protection locked="0"/>
    </xf>
    <xf numFmtId="0" fontId="3" fillId="10" borderId="11" xfId="2" applyFont="1" applyFill="1" applyBorder="1" applyAlignment="1" applyProtection="1">
      <alignment horizontal="center" vertical="center" wrapText="1"/>
      <protection locked="0"/>
    </xf>
    <xf numFmtId="176" fontId="3" fillId="0" borderId="6" xfId="2" applyNumberFormat="1" applyFont="1" applyBorder="1" applyAlignment="1" applyProtection="1">
      <alignment horizontal="left" vertical="top"/>
      <protection locked="0"/>
    </xf>
    <xf numFmtId="176" fontId="3" fillId="0" borderId="7" xfId="2" applyNumberFormat="1" applyFont="1" applyBorder="1" applyAlignment="1" applyProtection="1">
      <alignment horizontal="left" vertical="top"/>
      <protection locked="0"/>
    </xf>
    <xf numFmtId="176" fontId="3" fillId="0" borderId="11" xfId="2" applyNumberFormat="1" applyFont="1" applyBorder="1" applyAlignment="1" applyProtection="1">
      <alignment horizontal="left" vertical="top"/>
      <protection locked="0"/>
    </xf>
    <xf numFmtId="0" fontId="3" fillId="10" borderId="5" xfId="2"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protection locked="0"/>
    </xf>
    <xf numFmtId="0" fontId="32" fillId="0" borderId="6" xfId="0" applyFont="1" applyBorder="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3" fillId="0" borderId="5" xfId="2" applyFont="1" applyBorder="1" applyAlignment="1" applyProtection="1">
      <alignment horizontal="center" vertical="center" wrapText="1"/>
      <protection locked="0"/>
    </xf>
    <xf numFmtId="0" fontId="28" fillId="2" borderId="5" xfId="2" applyFont="1" applyFill="1" applyBorder="1" applyProtection="1">
      <alignment vertical="center"/>
      <protection locked="0"/>
    </xf>
    <xf numFmtId="0" fontId="3" fillId="0" borderId="6" xfId="2" applyFont="1" applyBorder="1" applyAlignment="1" applyProtection="1">
      <alignment horizontal="center" vertical="center" wrapText="1"/>
      <protection locked="0"/>
    </xf>
    <xf numFmtId="0" fontId="3" fillId="0" borderId="7" xfId="2" applyFont="1" applyBorder="1" applyAlignment="1" applyProtection="1">
      <alignment horizontal="center" vertical="center" wrapText="1"/>
      <protection locked="0"/>
    </xf>
    <xf numFmtId="0" fontId="3" fillId="0" borderId="11" xfId="2" applyFont="1" applyBorder="1" applyAlignment="1" applyProtection="1">
      <alignment horizontal="center" vertical="center" wrapText="1"/>
      <protection locked="0"/>
    </xf>
    <xf numFmtId="0" fontId="15" fillId="6" borderId="1" xfId="0" applyFont="1" applyFill="1" applyBorder="1" applyAlignment="1">
      <alignment horizontal="center" vertical="center" wrapText="1"/>
    </xf>
    <xf numFmtId="0" fontId="3" fillId="0" borderId="6"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14" borderId="5" xfId="0" applyFont="1" applyFill="1" applyBorder="1" applyAlignment="1">
      <alignment horizontal="center" vertical="center"/>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protection locked="0"/>
    </xf>
    <xf numFmtId="0" fontId="3" fillId="2" borderId="14"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0" fontId="3" fillId="0" borderId="5" xfId="2" applyFont="1" applyBorder="1" applyAlignment="1" applyProtection="1">
      <alignment horizontal="left" vertical="top" wrapText="1"/>
      <protection locked="0"/>
    </xf>
    <xf numFmtId="0" fontId="3" fillId="2" borderId="5" xfId="2" applyFont="1" applyFill="1" applyBorder="1" applyAlignment="1" applyProtection="1">
      <alignment horizontal="center" vertical="center" wrapText="1"/>
      <protection locked="0"/>
    </xf>
    <xf numFmtId="0" fontId="21" fillId="12" borderId="4" xfId="2" applyFont="1" applyFill="1" applyBorder="1" applyAlignment="1">
      <alignment horizontal="center" vertical="center" wrapText="1"/>
    </xf>
    <xf numFmtId="0" fontId="21" fillId="12" borderId="10" xfId="2" applyFont="1" applyFill="1" applyBorder="1" applyAlignment="1">
      <alignment horizontal="center" vertical="center" wrapText="1"/>
    </xf>
    <xf numFmtId="0" fontId="15" fillId="6" borderId="1" xfId="0" applyFont="1" applyFill="1" applyBorder="1" applyAlignment="1">
      <alignment horizontal="center" wrapText="1"/>
    </xf>
    <xf numFmtId="0" fontId="3" fillId="2" borderId="5" xfId="2" applyFont="1" applyFill="1" applyBorder="1" applyAlignment="1" applyProtection="1">
      <alignment horizontal="left" vertical="top"/>
      <protection locked="0"/>
    </xf>
    <xf numFmtId="0" fontId="3" fillId="2" borderId="40" xfId="2" applyFont="1" applyFill="1" applyBorder="1" applyAlignment="1" applyProtection="1">
      <alignment horizontal="left" vertical="top"/>
      <protection locked="0"/>
    </xf>
    <xf numFmtId="0" fontId="3" fillId="0" borderId="5" xfId="0" applyFont="1" applyBorder="1" applyAlignment="1" applyProtection="1">
      <alignment horizontal="left" vertical="top" wrapText="1"/>
      <protection locked="0"/>
    </xf>
    <xf numFmtId="0" fontId="10" fillId="2" borderId="5" xfId="2" applyFill="1" applyBorder="1" applyAlignment="1" applyProtection="1">
      <alignment horizontal="center" vertical="center"/>
      <protection locked="0"/>
    </xf>
    <xf numFmtId="0" fontId="15" fillId="6" borderId="7" xfId="2" applyFont="1" applyFill="1" applyBorder="1" applyAlignment="1">
      <alignment horizontal="center" wrapText="1"/>
    </xf>
    <xf numFmtId="0" fontId="21" fillId="13" borderId="5" xfId="2" applyFont="1" applyFill="1" applyBorder="1" applyAlignment="1">
      <alignment horizontal="center" vertical="center"/>
    </xf>
    <xf numFmtId="0" fontId="32" fillId="10" borderId="17" xfId="0" applyFont="1" applyFill="1" applyBorder="1" applyAlignment="1" applyProtection="1">
      <alignment horizontal="center" vertical="top"/>
      <protection locked="0"/>
    </xf>
    <xf numFmtId="0" fontId="32" fillId="2" borderId="17" xfId="0" applyFont="1" applyFill="1" applyBorder="1" applyAlignment="1" applyProtection="1">
      <alignment horizontal="center" vertical="top"/>
      <protection locked="0"/>
    </xf>
    <xf numFmtId="0" fontId="32" fillId="2" borderId="17" xfId="0" quotePrefix="1" applyFont="1" applyFill="1" applyBorder="1" applyAlignment="1" applyProtection="1">
      <alignment horizontal="center" vertical="top"/>
      <protection locked="0"/>
    </xf>
    <xf numFmtId="0" fontId="106" fillId="6" borderId="50" xfId="2" applyFont="1" applyFill="1" applyBorder="1" applyAlignment="1">
      <alignment horizontal="center"/>
    </xf>
    <xf numFmtId="0" fontId="3" fillId="2" borderId="16" xfId="2" applyFont="1" applyFill="1" applyBorder="1" applyAlignment="1" applyProtection="1">
      <alignment horizontal="center" vertical="center"/>
      <protection locked="0"/>
    </xf>
    <xf numFmtId="0" fontId="3" fillId="2" borderId="24" xfId="2" applyFont="1" applyFill="1" applyBorder="1" applyAlignment="1" applyProtection="1">
      <alignment horizontal="center" vertical="center"/>
      <protection locked="0"/>
    </xf>
    <xf numFmtId="0" fontId="3" fillId="2" borderId="25" xfId="2" applyFont="1" applyFill="1" applyBorder="1" applyAlignment="1" applyProtection="1">
      <alignment horizontal="center" vertical="center"/>
      <protection locked="0"/>
    </xf>
    <xf numFmtId="0" fontId="3" fillId="10" borderId="16" xfId="2" applyFont="1" applyFill="1" applyBorder="1" applyAlignment="1" applyProtection="1">
      <alignment horizontal="center" vertical="center"/>
      <protection locked="0"/>
    </xf>
    <xf numFmtId="0" fontId="3" fillId="10" borderId="24" xfId="2" applyFont="1" applyFill="1" applyBorder="1" applyAlignment="1" applyProtection="1">
      <alignment horizontal="center" vertical="center"/>
      <protection locked="0"/>
    </xf>
    <xf numFmtId="0" fontId="3" fillId="10" borderId="25" xfId="2" applyFont="1" applyFill="1" applyBorder="1" applyAlignment="1" applyProtection="1">
      <alignment horizontal="center" vertical="center"/>
      <protection locked="0"/>
    </xf>
    <xf numFmtId="0" fontId="3" fillId="10" borderId="17" xfId="2" applyFont="1" applyFill="1" applyBorder="1" applyAlignment="1" applyProtection="1">
      <alignment horizontal="center" vertical="center"/>
      <protection locked="0"/>
    </xf>
    <xf numFmtId="0" fontId="3" fillId="2" borderId="17" xfId="2" applyFont="1" applyFill="1" applyBorder="1" applyAlignment="1" applyProtection="1">
      <alignment horizontal="center" vertical="center"/>
      <protection locked="0"/>
    </xf>
    <xf numFmtId="0" fontId="106" fillId="6" borderId="24" xfId="2" applyFont="1" applyFill="1" applyBorder="1" applyAlignment="1">
      <alignment horizontal="center"/>
    </xf>
    <xf numFmtId="0" fontId="21" fillId="46" borderId="0" xfId="2" applyFont="1" applyFill="1" applyAlignment="1">
      <alignment horizontal="center" vertical="center" wrapText="1"/>
    </xf>
    <xf numFmtId="0" fontId="3" fillId="2" borderId="16" xfId="0" applyFont="1" applyFill="1" applyBorder="1" applyAlignment="1">
      <alignment vertical="center" wrapText="1"/>
    </xf>
    <xf numFmtId="0" fontId="3" fillId="2" borderId="24" xfId="0" applyFont="1" applyFill="1" applyBorder="1" applyAlignment="1">
      <alignment vertical="center" wrapText="1"/>
    </xf>
    <xf numFmtId="0" fontId="3" fillId="2" borderId="25" xfId="0" applyFont="1" applyFill="1" applyBorder="1" applyAlignment="1">
      <alignment vertical="center" wrapText="1"/>
    </xf>
    <xf numFmtId="0" fontId="21" fillId="12" borderId="16" xfId="2" applyFont="1" applyFill="1" applyBorder="1" applyAlignment="1">
      <alignment horizontal="center" vertical="center"/>
    </xf>
    <xf numFmtId="0" fontId="21" fillId="12" borderId="24" xfId="2" applyFont="1" applyFill="1" applyBorder="1" applyAlignment="1">
      <alignment horizontal="center" vertical="center"/>
    </xf>
    <xf numFmtId="0" fontId="21" fillId="12" borderId="25" xfId="2" applyFont="1" applyFill="1" applyBorder="1" applyAlignment="1">
      <alignment horizontal="center" vertical="center"/>
    </xf>
    <xf numFmtId="0" fontId="106" fillId="6" borderId="0" xfId="2" applyFont="1" applyFill="1" applyAlignment="1">
      <alignment horizontal="center"/>
    </xf>
    <xf numFmtId="0" fontId="3" fillId="2" borderId="17" xfId="2" applyFont="1" applyFill="1" applyBorder="1" applyAlignment="1">
      <alignment horizontal="center" vertical="center"/>
    </xf>
    <xf numFmtId="0" fontId="21" fillId="12" borderId="0" xfId="2" applyFont="1" applyFill="1" applyAlignment="1">
      <alignment horizontal="center" vertical="center" wrapText="1"/>
    </xf>
    <xf numFmtId="0" fontId="3" fillId="2" borderId="54" xfId="2" applyFont="1" applyFill="1" applyBorder="1" applyAlignment="1">
      <alignment horizontal="left" vertical="top" wrapText="1"/>
    </xf>
    <xf numFmtId="0" fontId="3" fillId="2" borderId="50" xfId="2" applyFont="1" applyFill="1" applyBorder="1" applyAlignment="1">
      <alignment horizontal="left" vertical="top" wrapText="1"/>
    </xf>
    <xf numFmtId="0" fontId="3" fillId="2" borderId="55" xfId="2" applyFont="1" applyFill="1" applyBorder="1" applyAlignment="1">
      <alignment horizontal="left" vertical="top" wrapText="1"/>
    </xf>
    <xf numFmtId="0" fontId="3" fillId="2" borderId="56" xfId="2" applyFont="1" applyFill="1" applyBorder="1" applyAlignment="1">
      <alignment horizontal="left" vertical="top" wrapText="1"/>
    </xf>
    <xf numFmtId="0" fontId="3" fillId="2" borderId="0" xfId="2" applyFont="1" applyFill="1" applyAlignment="1">
      <alignment horizontal="left" vertical="top" wrapText="1"/>
    </xf>
    <xf numFmtId="0" fontId="3" fillId="2" borderId="52" xfId="2" applyFont="1" applyFill="1" applyBorder="1" applyAlignment="1">
      <alignment horizontal="left" vertical="top" wrapText="1"/>
    </xf>
    <xf numFmtId="0" fontId="3" fillId="2" borderId="51" xfId="2" applyFont="1" applyFill="1" applyBorder="1" applyAlignment="1">
      <alignment horizontal="left" vertical="top" wrapText="1"/>
    </xf>
    <xf numFmtId="0" fontId="3" fillId="2" borderId="15" xfId="2" applyFont="1" applyFill="1" applyBorder="1" applyAlignment="1">
      <alignment horizontal="left" vertical="top" wrapText="1"/>
    </xf>
    <xf numFmtId="0" fontId="3" fillId="2" borderId="57" xfId="2" applyFont="1" applyFill="1" applyBorder="1" applyAlignment="1">
      <alignment horizontal="left" vertical="top" wrapText="1"/>
    </xf>
    <xf numFmtId="0" fontId="3" fillId="2" borderId="70" xfId="2" applyFont="1" applyFill="1" applyBorder="1" applyAlignment="1" applyProtection="1">
      <alignment horizontal="center" vertical="center"/>
      <protection locked="0"/>
    </xf>
    <xf numFmtId="0" fontId="3" fillId="2" borderId="71" xfId="2" applyFont="1" applyFill="1" applyBorder="1" applyAlignment="1" applyProtection="1">
      <alignment horizontal="center" vertical="center"/>
      <protection locked="0"/>
    </xf>
    <xf numFmtId="0" fontId="3" fillId="2" borderId="70" xfId="2" applyFont="1" applyFill="1" applyBorder="1" applyAlignment="1" applyProtection="1">
      <alignment horizontal="left" vertical="center" wrapText="1"/>
      <protection locked="0"/>
    </xf>
    <xf numFmtId="0" fontId="3" fillId="2" borderId="71" xfId="2" applyFont="1" applyFill="1" applyBorder="1" applyAlignment="1" applyProtection="1">
      <alignment horizontal="left" vertical="center" wrapText="1"/>
      <protection locked="0"/>
    </xf>
    <xf numFmtId="0" fontId="1" fillId="27" borderId="19" xfId="0" applyFont="1" applyFill="1" applyBorder="1" applyAlignment="1">
      <alignment horizontal="center" vertical="center" wrapText="1"/>
    </xf>
    <xf numFmtId="0" fontId="1" fillId="27" borderId="19" xfId="0" applyFont="1" applyFill="1" applyBorder="1" applyAlignment="1">
      <alignment horizontal="center" vertical="center"/>
    </xf>
    <xf numFmtId="0" fontId="1" fillId="27" borderId="0" xfId="0" applyFont="1" applyFill="1" applyAlignment="1">
      <alignment horizontal="center" vertical="center" wrapText="1"/>
    </xf>
    <xf numFmtId="0" fontId="18" fillId="27" borderId="2" xfId="0" applyFont="1" applyFill="1" applyBorder="1" applyAlignment="1">
      <alignment horizontal="center" vertical="center" wrapText="1"/>
    </xf>
    <xf numFmtId="0" fontId="18" fillId="27" borderId="3" xfId="0" applyFont="1" applyFill="1" applyBorder="1" applyAlignment="1">
      <alignment horizontal="center" vertical="center" wrapText="1"/>
    </xf>
    <xf numFmtId="0" fontId="18" fillId="27" borderId="1" xfId="0" applyFont="1" applyFill="1" applyBorder="1" applyAlignment="1">
      <alignment horizontal="center" vertical="center" wrapText="1"/>
    </xf>
    <xf numFmtId="0" fontId="1" fillId="27" borderId="1" xfId="0" applyFont="1" applyFill="1" applyBorder="1" applyAlignment="1">
      <alignment horizontal="center" vertical="center"/>
    </xf>
    <xf numFmtId="0" fontId="17" fillId="27" borderId="14" xfId="0" applyFont="1" applyFill="1" applyBorder="1" applyAlignment="1">
      <alignment horizontal="center" vertical="center" wrapText="1"/>
    </xf>
    <xf numFmtId="0" fontId="18" fillId="27" borderId="7"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 fillId="2" borderId="14"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0" xfId="0" applyFont="1" applyFill="1" applyBorder="1" applyAlignment="1">
      <alignment horizontal="left" vertical="top" wrapText="1"/>
    </xf>
    <xf numFmtId="0" fontId="19" fillId="2"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8" fillId="2" borderId="5" xfId="0" applyFont="1" applyFill="1" applyBorder="1" applyAlignment="1">
      <alignment horizontal="center" vertical="center"/>
    </xf>
    <xf numFmtId="0" fontId="1" fillId="2" borderId="5" xfId="0" applyFont="1" applyFill="1" applyBorder="1" applyAlignment="1">
      <alignment horizontal="left" vertical="center" wrapText="1"/>
    </xf>
    <xf numFmtId="0" fontId="131" fillId="2" borderId="2" xfId="0" applyFont="1" applyFill="1" applyBorder="1" applyAlignment="1">
      <alignment horizontal="center" vertical="center" wrapText="1"/>
    </xf>
    <xf numFmtId="0" fontId="131" fillId="2" borderId="3" xfId="0" applyFont="1" applyFill="1" applyBorder="1" applyAlignment="1">
      <alignment horizontal="center" vertical="center" wrapText="1"/>
    </xf>
    <xf numFmtId="0" fontId="131" fillId="2" borderId="8" xfId="0" applyFont="1" applyFill="1" applyBorder="1" applyAlignment="1">
      <alignment horizontal="center" vertical="center" wrapText="1"/>
    </xf>
    <xf numFmtId="0" fontId="131" fillId="2" borderId="13" xfId="0" applyFont="1" applyFill="1" applyBorder="1" applyAlignment="1">
      <alignment horizontal="center" vertical="center" wrapText="1"/>
    </xf>
    <xf numFmtId="0" fontId="131" fillId="2" borderId="0" xfId="0" applyFont="1" applyFill="1" applyAlignment="1">
      <alignment horizontal="center" vertical="center" wrapText="1"/>
    </xf>
    <xf numFmtId="0" fontId="131" fillId="2" borderId="14" xfId="0" applyFont="1" applyFill="1" applyBorder="1" applyAlignment="1">
      <alignment horizontal="center" vertical="center" wrapText="1"/>
    </xf>
    <xf numFmtId="0" fontId="131" fillId="2" borderId="4" xfId="0" applyFont="1" applyFill="1" applyBorder="1" applyAlignment="1">
      <alignment horizontal="center" vertical="center" wrapText="1"/>
    </xf>
    <xf numFmtId="0" fontId="131" fillId="2" borderId="1" xfId="0" applyFont="1" applyFill="1" applyBorder="1" applyAlignment="1">
      <alignment horizontal="center" vertical="center" wrapText="1"/>
    </xf>
    <xf numFmtId="0" fontId="131" fillId="2" borderId="10"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75" fillId="0" borderId="5" xfId="1" applyFont="1" applyBorder="1" applyAlignment="1">
      <alignment horizontal="center" vertical="center" wrapText="1"/>
    </xf>
    <xf numFmtId="0" fontId="75" fillId="0" borderId="0" xfId="1" applyFont="1" applyAlignment="1">
      <alignment horizontal="center" vertical="center"/>
    </xf>
    <xf numFmtId="0" fontId="21" fillId="53" borderId="98" xfId="0" applyFont="1" applyFill="1" applyBorder="1" applyAlignment="1">
      <alignment horizontal="center" vertical="center"/>
    </xf>
    <xf numFmtId="0" fontId="3" fillId="52" borderId="98" xfId="0" applyFont="1" applyFill="1" applyBorder="1" applyAlignment="1">
      <alignment horizontal="center" vertical="center"/>
    </xf>
    <xf numFmtId="0" fontId="3" fillId="2" borderId="98" xfId="0" applyFont="1" applyFill="1" applyBorder="1" applyAlignment="1">
      <alignment horizontal="left" vertical="top" wrapText="1"/>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0" fontId="11" fillId="7" borderId="7" xfId="0" applyFont="1" applyFill="1" applyBorder="1" applyAlignment="1">
      <alignment horizontal="center" vertical="center"/>
    </xf>
    <xf numFmtId="0" fontId="11" fillId="7" borderId="11" xfId="0" applyFont="1" applyFill="1" applyBorder="1" applyAlignment="1">
      <alignment horizontal="center" vertical="center"/>
    </xf>
    <xf numFmtId="0" fontId="12" fillId="8" borderId="5" xfId="0" applyFont="1" applyFill="1" applyBorder="1" applyAlignment="1">
      <alignment vertical="center" wrapText="1"/>
    </xf>
    <xf numFmtId="0" fontId="13" fillId="6" borderId="13" xfId="0" applyFont="1" applyFill="1" applyBorder="1">
      <alignment vertical="center"/>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0" fillId="2" borderId="8" xfId="0" applyFont="1" applyFill="1" applyBorder="1" applyAlignment="1">
      <alignment vertical="center" wrapText="1"/>
    </xf>
    <xf numFmtId="0" fontId="10" fillId="2" borderId="13" xfId="0" applyFont="1" applyFill="1" applyBorder="1" applyAlignment="1">
      <alignment vertical="center" wrapText="1"/>
    </xf>
    <xf numFmtId="0" fontId="10" fillId="2" borderId="0" xfId="0" applyFont="1" applyFill="1" applyAlignment="1">
      <alignment vertical="center" wrapText="1"/>
    </xf>
    <xf numFmtId="0" fontId="10" fillId="2" borderId="14" xfId="0" applyFont="1" applyFill="1" applyBorder="1" applyAlignment="1">
      <alignment vertical="center" wrapText="1"/>
    </xf>
    <xf numFmtId="0" fontId="10" fillId="2" borderId="4" xfId="0" applyFont="1" applyFill="1" applyBorder="1" applyAlignment="1">
      <alignment vertical="center" wrapText="1"/>
    </xf>
    <xf numFmtId="0" fontId="10" fillId="2" borderId="1" xfId="0" applyFont="1" applyFill="1" applyBorder="1" applyAlignment="1">
      <alignment vertical="center" wrapText="1"/>
    </xf>
    <xf numFmtId="0" fontId="10" fillId="2" borderId="10" xfId="0" applyFont="1" applyFill="1" applyBorder="1" applyAlignment="1">
      <alignment vertical="center" wrapText="1"/>
    </xf>
    <xf numFmtId="0" fontId="10" fillId="2" borderId="5" xfId="0" applyFont="1" applyFill="1" applyBorder="1" applyAlignment="1">
      <alignment vertical="center" wrapText="1"/>
    </xf>
    <xf numFmtId="0" fontId="10" fillId="2" borderId="2" xfId="0" applyFont="1" applyFill="1" applyBorder="1">
      <alignment vertical="center"/>
    </xf>
    <xf numFmtId="0" fontId="10" fillId="2" borderId="3" xfId="0" applyFont="1" applyFill="1" applyBorder="1">
      <alignment vertical="center"/>
    </xf>
    <xf numFmtId="0" fontId="10" fillId="2" borderId="8" xfId="0" applyFont="1" applyFill="1" applyBorder="1">
      <alignment vertical="center"/>
    </xf>
    <xf numFmtId="0" fontId="10" fillId="2" borderId="4" xfId="0" applyFont="1" applyFill="1" applyBorder="1">
      <alignment vertical="center"/>
    </xf>
    <xf numFmtId="0" fontId="10" fillId="2" borderId="1" xfId="0" applyFont="1" applyFill="1" applyBorder="1">
      <alignment vertical="center"/>
    </xf>
    <xf numFmtId="0" fontId="10" fillId="2" borderId="10" xfId="0" applyFont="1" applyFill="1" applyBorder="1">
      <alignment vertical="center"/>
    </xf>
    <xf numFmtId="0" fontId="83" fillId="9" borderId="0" xfId="0" applyFont="1" applyFill="1" applyAlignment="1">
      <alignment horizontal="center" vertical="center"/>
    </xf>
    <xf numFmtId="0" fontId="120" fillId="6" borderId="24" xfId="0" applyFont="1" applyFill="1" applyBorder="1" applyAlignment="1">
      <alignment horizontal="center" wrapText="1"/>
    </xf>
    <xf numFmtId="0" fontId="120" fillId="6" borderId="15" xfId="0" applyFont="1" applyFill="1" applyBorder="1" applyAlignment="1">
      <alignment horizontal="center" wrapText="1"/>
    </xf>
    <xf numFmtId="0" fontId="118" fillId="9" borderId="0" xfId="0" applyFont="1" applyFill="1" applyAlignment="1">
      <alignment horizontal="center" vertical="center"/>
    </xf>
    <xf numFmtId="0" fontId="84" fillId="9" borderId="0" xfId="0" applyFont="1" applyFill="1" applyAlignment="1">
      <alignment horizontal="center" vertical="center"/>
    </xf>
    <xf numFmtId="0" fontId="34" fillId="10" borderId="16" xfId="0" applyFont="1" applyFill="1" applyBorder="1" applyAlignment="1">
      <alignment horizontal="center" vertical="center" wrapText="1"/>
    </xf>
    <xf numFmtId="0" fontId="34" fillId="10" borderId="24" xfId="0" applyFont="1" applyFill="1" applyBorder="1" applyAlignment="1">
      <alignment horizontal="center" vertical="center" wrapText="1"/>
    </xf>
    <xf numFmtId="0" fontId="34" fillId="10" borderId="25" xfId="0" applyFont="1" applyFill="1" applyBorder="1" applyAlignment="1">
      <alignment horizontal="center" vertical="center" wrapText="1"/>
    </xf>
    <xf numFmtId="0" fontId="34" fillId="2" borderId="16"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34" fillId="2" borderId="25" xfId="0" applyFont="1" applyFill="1" applyBorder="1" applyAlignment="1">
      <alignment horizontal="center" vertical="center" wrapText="1"/>
    </xf>
    <xf numFmtId="0" fontId="118" fillId="9" borderId="0" xfId="0" applyFont="1" applyFill="1" applyAlignment="1">
      <alignment horizontal="center" vertical="center" wrapText="1"/>
    </xf>
    <xf numFmtId="0" fontId="84" fillId="9" borderId="0" xfId="0" applyFont="1" applyFill="1" applyAlignment="1">
      <alignment horizontal="center" vertical="center" wrapText="1"/>
    </xf>
    <xf numFmtId="0" fontId="81" fillId="2" borderId="17" xfId="0" applyFont="1" applyFill="1" applyBorder="1" applyAlignment="1" applyProtection="1">
      <alignment horizontal="center" vertical="center"/>
      <protection locked="0"/>
    </xf>
    <xf numFmtId="0" fontId="105" fillId="6" borderId="0" xfId="0" applyFont="1" applyFill="1" applyAlignment="1">
      <alignment horizontal="center" wrapText="1"/>
    </xf>
    <xf numFmtId="0" fontId="81" fillId="2" borderId="16" xfId="0" applyFont="1" applyFill="1" applyBorder="1" applyAlignment="1" applyProtection="1">
      <alignment horizontal="center" vertical="center"/>
      <protection locked="0"/>
    </xf>
    <xf numFmtId="0" fontId="81" fillId="2" borderId="24" xfId="0" applyFont="1" applyFill="1" applyBorder="1" applyAlignment="1" applyProtection="1">
      <alignment horizontal="center" vertical="center"/>
      <protection locked="0"/>
    </xf>
    <xf numFmtId="0" fontId="81" fillId="2" borderId="25" xfId="0" applyFont="1" applyFill="1" applyBorder="1" applyAlignment="1" applyProtection="1">
      <alignment horizontal="center" vertical="center"/>
      <protection locked="0"/>
    </xf>
    <xf numFmtId="0" fontId="92"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84" fillId="9" borderId="17" xfId="0" applyFont="1" applyFill="1" applyBorder="1" applyAlignment="1">
      <alignment horizontal="center" vertical="center"/>
    </xf>
    <xf numFmtId="0" fontId="3" fillId="10" borderId="16" xfId="0" applyFont="1" applyFill="1" applyBorder="1" applyAlignment="1">
      <alignment horizontal="center" vertical="center" wrapText="1"/>
    </xf>
    <xf numFmtId="0" fontId="3" fillId="10" borderId="24" xfId="0" applyFont="1" applyFill="1" applyBorder="1" applyAlignment="1">
      <alignment horizontal="center" vertical="center" wrapText="1"/>
    </xf>
    <xf numFmtId="0" fontId="3" fillId="10" borderId="25" xfId="0" applyFont="1" applyFill="1" applyBorder="1" applyAlignment="1">
      <alignment horizontal="center" vertical="center" wrapText="1"/>
    </xf>
    <xf numFmtId="0" fontId="92"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top" wrapText="1"/>
      <protection locked="0"/>
    </xf>
    <xf numFmtId="0" fontId="94" fillId="2" borderId="17" xfId="0" applyFont="1" applyFill="1" applyBorder="1" applyAlignment="1" applyProtection="1">
      <alignment horizontal="center" vertical="top" wrapText="1"/>
      <protection locked="0"/>
    </xf>
    <xf numFmtId="0" fontId="135" fillId="9" borderId="0" xfId="0" applyFont="1" applyFill="1" applyAlignment="1">
      <alignment horizontal="center" vertical="center"/>
    </xf>
    <xf numFmtId="0" fontId="84" fillId="4" borderId="16" xfId="0" applyFont="1" applyFill="1" applyBorder="1" applyAlignment="1">
      <alignment horizontal="center" vertical="center" wrapText="1"/>
    </xf>
    <xf numFmtId="0" fontId="84" fillId="4" borderId="24" xfId="0" applyFont="1" applyFill="1" applyBorder="1" applyAlignment="1">
      <alignment horizontal="center" vertical="center" wrapText="1"/>
    </xf>
    <xf numFmtId="0" fontId="84" fillId="4" borderId="25" xfId="0" applyFont="1" applyFill="1" applyBorder="1" applyAlignment="1">
      <alignment horizontal="center" vertical="center" wrapText="1"/>
    </xf>
    <xf numFmtId="0" fontId="95" fillId="5" borderId="54" xfId="0" applyFont="1" applyFill="1" applyBorder="1" applyAlignment="1">
      <alignment horizontal="center" vertical="center"/>
    </xf>
    <xf numFmtId="0" fontId="95" fillId="5" borderId="50" xfId="0" applyFont="1" applyFill="1" applyBorder="1" applyAlignment="1">
      <alignment horizontal="center" vertical="center"/>
    </xf>
    <xf numFmtId="0" fontId="95" fillId="5" borderId="55" xfId="0" applyFont="1" applyFill="1" applyBorder="1" applyAlignment="1">
      <alignment horizontal="center" vertical="center"/>
    </xf>
    <xf numFmtId="0" fontId="95" fillId="5" borderId="51" xfId="0" applyFont="1" applyFill="1" applyBorder="1" applyAlignment="1">
      <alignment horizontal="center" vertical="center"/>
    </xf>
    <xf numFmtId="0" fontId="95" fillId="5" borderId="15" xfId="0" applyFont="1" applyFill="1" applyBorder="1" applyAlignment="1">
      <alignment horizontal="center" vertical="center"/>
    </xf>
    <xf numFmtId="0" fontId="95" fillId="5" borderId="57" xfId="0" applyFont="1" applyFill="1" applyBorder="1" applyAlignment="1">
      <alignment horizontal="center" vertical="center"/>
    </xf>
    <xf numFmtId="0" fontId="84" fillId="3" borderId="16" xfId="0" applyFont="1" applyFill="1" applyBorder="1" applyAlignment="1">
      <alignment horizontal="center" vertical="center" wrapText="1"/>
    </xf>
    <xf numFmtId="0" fontId="84" fillId="3" borderId="24" xfId="0" applyFont="1" applyFill="1" applyBorder="1" applyAlignment="1">
      <alignment horizontal="center" vertical="center" wrapText="1"/>
    </xf>
    <xf numFmtId="0" fontId="84" fillId="3" borderId="25" xfId="0" applyFont="1" applyFill="1" applyBorder="1" applyAlignment="1">
      <alignment horizontal="center" vertical="center" wrapText="1"/>
    </xf>
    <xf numFmtId="0" fontId="9"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70" fillId="0" borderId="60" xfId="0" applyFont="1" applyBorder="1" applyAlignment="1">
      <alignment horizontal="center" vertical="center"/>
    </xf>
    <xf numFmtId="0" fontId="70" fillId="0" borderId="61" xfId="0" applyFont="1" applyBorder="1" applyAlignment="1">
      <alignment horizontal="center" vertical="center"/>
    </xf>
    <xf numFmtId="0" fontId="70" fillId="0" borderId="62" xfId="0" applyFont="1" applyBorder="1" applyAlignment="1">
      <alignment horizontal="center" vertical="center"/>
    </xf>
    <xf numFmtId="0" fontId="5" fillId="0" borderId="60" xfId="0" applyFont="1" applyBorder="1" applyAlignment="1">
      <alignment horizontal="center" vertical="center"/>
    </xf>
    <xf numFmtId="0" fontId="5" fillId="0" borderId="61" xfId="0" applyFont="1" applyBorder="1" applyAlignment="1">
      <alignment horizontal="center" vertical="center"/>
    </xf>
    <xf numFmtId="0" fontId="5" fillId="0" borderId="62" xfId="0" applyFont="1" applyBorder="1" applyAlignment="1">
      <alignment horizontal="center" vertical="center"/>
    </xf>
    <xf numFmtId="0" fontId="5" fillId="0" borderId="54" xfId="0" applyFont="1" applyBorder="1" applyAlignment="1">
      <alignment horizontal="left" vertical="center" wrapText="1"/>
    </xf>
    <xf numFmtId="0" fontId="5" fillId="0" borderId="50" xfId="0" applyFont="1" applyBorder="1" applyAlignment="1">
      <alignment horizontal="left" vertical="center" wrapText="1"/>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0" xfId="0" applyFont="1" applyAlignment="1">
      <alignment horizontal="left" vertical="center" wrapText="1"/>
    </xf>
    <xf numFmtId="0" fontId="5" fillId="0" borderId="52" xfId="0" applyFont="1" applyBorder="1" applyAlignment="1">
      <alignment horizontal="left" vertical="center" wrapText="1"/>
    </xf>
    <xf numFmtId="0" fontId="5" fillId="0" borderId="51" xfId="0" applyFont="1" applyBorder="1" applyAlignment="1">
      <alignment horizontal="left" vertical="center" wrapText="1"/>
    </xf>
    <xf numFmtId="0" fontId="5" fillId="0" borderId="15" xfId="0" applyFont="1" applyBorder="1" applyAlignment="1">
      <alignment horizontal="left" vertical="center" wrapText="1"/>
    </xf>
    <xf numFmtId="0" fontId="5" fillId="0" borderId="57" xfId="0" applyFont="1" applyBorder="1" applyAlignment="1">
      <alignment horizontal="left" vertical="center" wrapText="1"/>
    </xf>
    <xf numFmtId="0" fontId="5" fillId="0" borderId="54" xfId="0" applyFont="1" applyBorder="1" applyAlignment="1">
      <alignment vertical="center" wrapText="1"/>
    </xf>
    <xf numFmtId="0" fontId="5" fillId="0" borderId="50" xfId="0" applyFont="1" applyBorder="1" applyAlignment="1">
      <alignment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0" fontId="5" fillId="0" borderId="0" xfId="0" applyFont="1" applyAlignment="1">
      <alignment vertical="center" wrapText="1"/>
    </xf>
    <xf numFmtId="0" fontId="5" fillId="0" borderId="52" xfId="0" applyFont="1" applyBorder="1" applyAlignment="1">
      <alignment vertical="center" wrapText="1"/>
    </xf>
    <xf numFmtId="0" fontId="5" fillId="0" borderId="51" xfId="0" applyFont="1" applyBorder="1" applyAlignment="1">
      <alignment vertical="center" wrapText="1"/>
    </xf>
    <xf numFmtId="0" fontId="5" fillId="0" borderId="15" xfId="0" applyFont="1" applyBorder="1" applyAlignment="1">
      <alignment vertical="center" wrapText="1"/>
    </xf>
    <xf numFmtId="0" fontId="5" fillId="0" borderId="57" xfId="0" applyFont="1" applyBorder="1" applyAlignment="1">
      <alignment vertical="center" wrapText="1"/>
    </xf>
    <xf numFmtId="0" fontId="95" fillId="3" borderId="16" xfId="0" applyFont="1" applyFill="1" applyBorder="1" applyAlignment="1">
      <alignment horizontal="center" vertical="center"/>
    </xf>
    <xf numFmtId="0" fontId="95" fillId="3" borderId="24" xfId="0" applyFont="1" applyFill="1" applyBorder="1" applyAlignment="1">
      <alignment horizontal="center" vertical="center"/>
    </xf>
    <xf numFmtId="0" fontId="95" fillId="3" borderId="25" xfId="0" applyFont="1" applyFill="1" applyBorder="1" applyAlignment="1">
      <alignment horizontal="center" vertical="center"/>
    </xf>
    <xf numFmtId="0" fontId="98" fillId="0" borderId="60" xfId="0" applyFont="1" applyBorder="1" applyAlignment="1">
      <alignment vertical="center" wrapText="1"/>
    </xf>
    <xf numFmtId="0" fontId="5" fillId="0" borderId="61" xfId="0" applyFont="1" applyBorder="1" applyAlignment="1">
      <alignment vertical="center" wrapText="1"/>
    </xf>
    <xf numFmtId="0" fontId="5" fillId="0" borderId="62" xfId="0" applyFont="1" applyBorder="1" applyAlignment="1">
      <alignment vertical="center" wrapText="1"/>
    </xf>
    <xf numFmtId="0" fontId="5" fillId="0" borderId="60" xfId="0" applyFont="1" applyBorder="1" applyAlignment="1">
      <alignment vertical="center" wrapText="1"/>
    </xf>
    <xf numFmtId="0" fontId="5" fillId="0" borderId="60" xfId="0" applyFont="1" applyBorder="1" applyAlignment="1">
      <alignment horizontal="left" vertical="center" wrapText="1"/>
    </xf>
    <xf numFmtId="0" fontId="5" fillId="0" borderId="61" xfId="0" applyFont="1" applyBorder="1" applyAlignment="1">
      <alignment horizontal="left" vertical="center" wrapText="1"/>
    </xf>
    <xf numFmtId="0" fontId="5" fillId="0" borderId="62" xfId="0" applyFont="1" applyBorder="1" applyAlignment="1">
      <alignment horizontal="left" vertical="center" wrapText="1"/>
    </xf>
    <xf numFmtId="0" fontId="6" fillId="3" borderId="16"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cellXfs>
  <cellStyles count="3">
    <cellStyle name="常规" xfId="0" builtinId="0"/>
    <cellStyle name="常规 2" xfId="1" xr:uid="{00000000-0005-0000-0000-000031000000}"/>
    <cellStyle name="常规 3" xfId="2" xr:uid="{00000000-0005-0000-0000-000032000000}"/>
  </cellStyles>
  <dxfs count="140">
    <dxf>
      <font>
        <b/>
        <i val="0"/>
        <color rgb="FF00B0F0"/>
      </font>
    </dxf>
    <dxf>
      <font>
        <b/>
        <i val="0"/>
        <color rgb="FF00B0F0"/>
      </font>
    </dxf>
    <dxf>
      <font>
        <b/>
        <i val="0"/>
        <color rgb="FF00B0F0"/>
      </font>
    </dxf>
    <dxf>
      <font>
        <b/>
        <i val="0"/>
        <color rgb="FF00B0F0"/>
      </font>
    </dxf>
    <dxf>
      <font>
        <b/>
        <i val="0"/>
        <color rgb="FF00B0F0"/>
      </font>
    </dxf>
    <dxf>
      <font>
        <b/>
        <i val="0"/>
        <color rgb="FF00B0F0"/>
      </font>
    </dxf>
    <dxf>
      <fill>
        <patternFill patternType="solid">
          <fgColor auto="1"/>
          <bgColor rgb="FFFFCFAF"/>
        </patternFill>
      </fill>
    </dxf>
    <dxf>
      <fill>
        <patternFill patternType="solid">
          <fgColor auto="1"/>
          <bgColor rgb="FFFEDEAB"/>
        </patternFill>
      </fill>
    </dxf>
    <dxf>
      <fill>
        <patternFill patternType="solid">
          <fgColor auto="1"/>
          <bgColor rgb="FFABD7FF"/>
        </patternFill>
      </fill>
    </dxf>
    <dxf>
      <fill>
        <patternFill patternType="solid">
          <fgColor auto="1"/>
          <bgColor rgb="FFF5D7F1"/>
        </patternFill>
      </fill>
    </dxf>
    <dxf>
      <fill>
        <patternFill patternType="solid">
          <fgColor auto="1"/>
          <bgColor rgb="FFDDD9C4"/>
        </patternFill>
      </fill>
    </dxf>
    <dxf>
      <fill>
        <patternFill patternType="solid">
          <bgColor rgb="FFFDE9D9"/>
        </patternFill>
      </fill>
    </dxf>
    <dxf>
      <fill>
        <patternFill patternType="solid">
          <bgColor rgb="FFFAFEC2"/>
        </patternFill>
      </fill>
    </dxf>
    <dxf>
      <fill>
        <patternFill>
          <bgColor rgb="FFDDEBF7"/>
        </patternFill>
      </fill>
    </dxf>
    <dxf>
      <font>
        <b/>
        <i val="0"/>
        <color theme="8" tint="-0.499984740745262"/>
      </font>
    </dxf>
    <dxf>
      <font>
        <color theme="8" tint="0.39994506668294322"/>
      </font>
      <numFmt numFmtId="0" formatCode="General"/>
      <fill>
        <patternFill patternType="solid">
          <fgColor theme="4" tint="-0.24994659260841701"/>
          <bgColor theme="8" tint="0.39994506668294322"/>
        </patternFill>
      </fill>
    </dxf>
    <dxf>
      <font>
        <color theme="0"/>
      </font>
    </dxf>
    <dxf>
      <font>
        <color theme="0" tint="-0.499984740745262"/>
      </font>
    </dxf>
    <dxf>
      <font>
        <b/>
        <i val="0"/>
        <color rgb="FFC00000"/>
      </font>
    </dxf>
    <dxf>
      <font>
        <b/>
        <i val="0"/>
        <color theme="0"/>
      </font>
      <fill>
        <gradientFill degree="180">
          <stop position="0">
            <color rgb="FF8B5CF6"/>
          </stop>
          <stop position="1">
            <color rgb="FFF43F5E"/>
          </stop>
        </gradientFill>
      </fill>
    </dxf>
    <dxf>
      <font>
        <color theme="9" tint="0.39994506668294322"/>
      </font>
      <fill>
        <patternFill patternType="solid">
          <bgColor theme="9" tint="0.39994506668294322"/>
        </patternFill>
      </fill>
    </dxf>
    <dxf>
      <fill>
        <patternFill patternType="solid">
          <bgColor rgb="FFFF9900"/>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color theme="7" tint="-0.24994659260841701"/>
      </font>
    </dxf>
    <dxf>
      <font>
        <color theme="4" tint="-0.24994659260841701"/>
      </font>
    </dxf>
    <dxf>
      <font>
        <color rgb="FF7030A0"/>
      </font>
    </dxf>
    <dxf>
      <font>
        <color theme="8" tint="-0.24994659260841701"/>
      </font>
    </dxf>
    <dxf>
      <font>
        <color rgb="FFC00000"/>
      </font>
    </dxf>
    <dxf>
      <font>
        <color theme="3" tint="-0.24994659260841701"/>
      </font>
    </dxf>
    <dxf>
      <font>
        <color theme="9" tint="-0.24994659260841701"/>
      </font>
    </dxf>
    <dxf>
      <font>
        <color rgb="FFFF99FF"/>
      </font>
    </dxf>
    <dxf>
      <font>
        <color theme="8" tint="-0.24994659260841701"/>
      </font>
    </dxf>
    <dxf>
      <font>
        <color theme="9" tint="-0.2499465926084170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ont>
        <b/>
        <i val="0"/>
        <color rgb="FFC00000"/>
      </font>
    </dxf>
    <dxf>
      <font>
        <color theme="1"/>
      </font>
    </dxf>
    <dxf>
      <font>
        <color theme="0"/>
      </font>
    </dxf>
    <dxf>
      <font>
        <b/>
        <i val="0"/>
        <color theme="0"/>
      </font>
      <fill>
        <gradientFill degree="180">
          <stop position="0">
            <color rgb="FF8B5CF6"/>
          </stop>
          <stop position="1">
            <color rgb="FFF43F5E"/>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0"/>
      </font>
      <fill>
        <gradientFill degree="180">
          <stop position="0">
            <color theme="0"/>
          </stop>
          <stop position="1">
            <color theme="9" tint="-0.25098422193060094"/>
          </stop>
        </gradientFill>
      </fill>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s>
  <tableStyles count="0" defaultTableStyle="TableStyleMedium2" defaultPivotStyle="PivotStyleLight16"/>
  <colors>
    <mruColors>
      <color rgb="FF70AD47"/>
      <color rgb="FFF43F5E"/>
      <color rgb="FF8B5CF6"/>
      <color rgb="FFFF99FF"/>
      <color rgb="FFDDEBF7"/>
      <color rgb="FFFAFEC2"/>
      <color rgb="FFFDE9D9"/>
      <color rgb="FFDDD9C4"/>
      <color rgb="FFF5D7F1"/>
      <color rgb="FFABD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98</xdr:col>
      <xdr:colOff>62754</xdr:colOff>
      <xdr:row>79</xdr:row>
      <xdr:rowOff>44824</xdr:rowOff>
    </xdr:from>
    <xdr:ext cx="2796988" cy="2840285"/>
    <xdr:pic>
      <xdr:nvPicPr>
        <xdr:cNvPr id="2" name="图片 1">
          <a:extLst>
            <a:ext uri="{FF2B5EF4-FFF2-40B4-BE49-F238E27FC236}">
              <a16:creationId xmlns:a16="http://schemas.microsoft.com/office/drawing/2014/main" id="{4A787B5E-2E75-4804-AFAC-C5CD946327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13" t="4456" r="5015" b="4180"/>
        <a:stretch>
          <a:fillRect/>
        </a:stretch>
      </xdr:blipFill>
      <xdr:spPr>
        <a:xfrm>
          <a:off x="16125714" y="11360524"/>
          <a:ext cx="2796988" cy="28402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B423FF0-8838-46C2-8033-8A3A888851B7}"/>
            </a:ext>
          </a:extLst>
        </xdr:cNvPr>
        <xdr:cNvSpPr/>
      </xdr:nvSpPr>
      <xdr:spPr>
        <a:xfrm>
          <a:off x="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88147D28-938B-486E-A2AD-2DDCD5BFE0EB}"/>
            </a:ext>
          </a:extLst>
        </xdr:cNvPr>
        <xdr:cNvSpPr/>
      </xdr:nvSpPr>
      <xdr:spPr>
        <a:xfrm>
          <a:off x="0" y="6217920"/>
          <a:ext cx="3467100" cy="237744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53F7680E-0FFB-45BA-9DFE-BCECBA54BEAA}"/>
            </a:ext>
          </a:extLst>
        </xdr:cNvPr>
        <xdr:cNvSpPr/>
      </xdr:nvSpPr>
      <xdr:spPr>
        <a:xfrm>
          <a:off x="3467100" y="3489960"/>
          <a:ext cx="2133600" cy="1447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8D5FD38A-DB81-48DB-8BA7-C024497F572D}"/>
            </a:ext>
          </a:extLst>
        </xdr:cNvPr>
        <xdr:cNvSpPr/>
      </xdr:nvSpPr>
      <xdr:spPr>
        <a:xfrm>
          <a:off x="0" y="182880"/>
          <a:ext cx="1333500"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9371913-BACD-4519-9935-73ED411F46E0}"/>
            </a:ext>
          </a:extLst>
        </xdr:cNvPr>
        <xdr:cNvSpPr/>
      </xdr:nvSpPr>
      <xdr:spPr>
        <a:xfrm>
          <a:off x="3467100" y="2019300"/>
          <a:ext cx="1600200" cy="10972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FC25BB81-475D-41CD-BD4C-7C6B133F9365}"/>
            </a:ext>
          </a:extLst>
        </xdr:cNvPr>
        <xdr:cNvSpPr/>
      </xdr:nvSpPr>
      <xdr:spPr>
        <a:xfrm>
          <a:off x="3467100" y="182880"/>
          <a:ext cx="533400" cy="3657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A0ADABA5-C9EB-493D-93E4-353CC34C2EB4}"/>
            </a:ext>
          </a:extLst>
        </xdr:cNvPr>
        <xdr:cNvSpPr/>
      </xdr:nvSpPr>
      <xdr:spPr>
        <a:xfrm>
          <a:off x="3467787" y="914400"/>
          <a:ext cx="1066113" cy="73152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AF69E7EF-16CB-4B74-8CBF-0776A549B045}"/>
            </a:ext>
          </a:extLst>
        </xdr:cNvPr>
        <xdr:cNvSpPr/>
      </xdr:nvSpPr>
      <xdr:spPr>
        <a:xfrm>
          <a:off x="0" y="4572000"/>
          <a:ext cx="1866900" cy="12801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3F139ABF-BA1D-4C88-AD8A-070D236135BC}"/>
            </a:ext>
          </a:extLst>
        </xdr:cNvPr>
        <xdr:cNvSpPr/>
      </xdr:nvSpPr>
      <xdr:spPr>
        <a:xfrm>
          <a:off x="26670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2931BF72-853A-487B-99EA-ED5AAF190DDF}"/>
            </a:ext>
          </a:extLst>
        </xdr:cNvPr>
        <xdr:cNvSpPr/>
      </xdr:nvSpPr>
      <xdr:spPr>
        <a:xfrm>
          <a:off x="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39101DF9-8AFD-4FD1-BCA5-0CD40A5D1621}"/>
            </a:ext>
          </a:extLst>
        </xdr:cNvPr>
        <xdr:cNvSpPr/>
      </xdr:nvSpPr>
      <xdr:spPr>
        <a:xfrm>
          <a:off x="26670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1CB5A8B4-A5C9-400F-8B17-A697AEA5F173}"/>
            </a:ext>
          </a:extLst>
        </xdr:cNvPr>
        <xdr:cNvSpPr/>
      </xdr:nvSpPr>
      <xdr:spPr>
        <a:xfrm>
          <a:off x="0" y="292608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9B5EE0A9-7D90-4A87-800D-7C691FC8A915}"/>
            </a:ext>
          </a:extLst>
        </xdr:cNvPr>
        <xdr:cNvSpPr/>
      </xdr:nvSpPr>
      <xdr:spPr>
        <a:xfrm>
          <a:off x="537882" y="4303059"/>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8CCF5186-DCE1-4CD8-A746-1E5581F13706}"/>
            </a:ext>
          </a:extLst>
        </xdr:cNvPr>
        <xdr:cNvSpPr/>
      </xdr:nvSpPr>
      <xdr:spPr>
        <a:xfrm>
          <a:off x="537882" y="4840941"/>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6E424EF-022A-41CB-8CF2-F9236649F5C5}"/>
            </a:ext>
          </a:extLst>
        </xdr:cNvPr>
        <xdr:cNvSpPr/>
      </xdr:nvSpPr>
      <xdr:spPr>
        <a:xfrm>
          <a:off x="0" y="4840942"/>
          <a:ext cx="1344706" cy="1344712"/>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68580</xdr:colOff>
      <xdr:row>0</xdr:row>
      <xdr:rowOff>175260</xdr:rowOff>
    </xdr:from>
    <xdr:to>
      <xdr:col>16</xdr:col>
      <xdr:colOff>327660</xdr:colOff>
      <xdr:row>15</xdr:row>
      <xdr:rowOff>38100</xdr:rowOff>
    </xdr:to>
    <xdr:sp macro="" textlink="">
      <xdr:nvSpPr>
        <xdr:cNvPr id="2" name="文本框 1">
          <a:extLst>
            <a:ext uri="{FF2B5EF4-FFF2-40B4-BE49-F238E27FC236}">
              <a16:creationId xmlns:a16="http://schemas.microsoft.com/office/drawing/2014/main" id="{00000000-0008-0000-0E00-000002000000}"/>
            </a:ext>
          </a:extLst>
        </xdr:cNvPr>
        <xdr:cNvSpPr txBox="1"/>
      </xdr:nvSpPr>
      <xdr:spPr>
        <a:xfrm>
          <a:off x="7383780" y="175260"/>
          <a:ext cx="2697480" cy="2621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8966</xdr:colOff>
      <xdr:row>13</xdr:row>
      <xdr:rowOff>8964</xdr:rowOff>
    </xdr:from>
    <xdr:to>
      <xdr:col>3</xdr:col>
      <xdr:colOff>197223</xdr:colOff>
      <xdr:row>16</xdr:row>
      <xdr:rowOff>172705</xdr:rowOff>
    </xdr:to>
    <xdr:pic>
      <xdr:nvPicPr>
        <xdr:cNvPr id="7" name="图片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140" y="2550160"/>
          <a:ext cx="759460" cy="697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zoomScaleNormal="100" workbookViewId="0">
      <selection activeCell="E5" sqref="E5:M5"/>
    </sheetView>
  </sheetViews>
  <sheetFormatPr defaultColWidth="2.75" defaultRowHeight="16.5" x14ac:dyDescent="0.15"/>
  <cols>
    <col min="1" max="16384" width="2.75" style="4"/>
  </cols>
  <sheetData>
    <row r="1" spans="1:68" ht="16.899999999999999" customHeight="1" x14ac:dyDescent="0.15">
      <c r="A1" s="700" t="s">
        <v>0</v>
      </c>
      <c r="B1" s="700"/>
      <c r="C1" s="700"/>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700"/>
      <c r="AV1" s="700"/>
      <c r="AW1" s="700"/>
      <c r="AX1" s="700"/>
      <c r="AY1" s="700"/>
      <c r="AZ1" s="700"/>
      <c r="BA1" s="700"/>
      <c r="BB1" s="700"/>
      <c r="BC1" s="700"/>
      <c r="BD1" s="700"/>
      <c r="BE1" s="700"/>
      <c r="BF1" s="700"/>
      <c r="BG1" s="700"/>
      <c r="BH1" s="700"/>
      <c r="BI1" s="700"/>
      <c r="BJ1" s="700"/>
      <c r="BK1" s="700"/>
      <c r="BL1" s="700"/>
      <c r="BM1" s="700"/>
      <c r="BN1" s="700"/>
      <c r="BO1" s="700"/>
      <c r="BP1" s="700"/>
    </row>
    <row r="2" spans="1:68" ht="7.9" customHeight="1" x14ac:dyDescent="0.15"/>
    <row r="3" spans="1:68" ht="16.899999999999999" customHeight="1" x14ac:dyDescent="0.15">
      <c r="B3" s="798" t="s">
        <v>1</v>
      </c>
      <c r="C3" s="798"/>
      <c r="D3" s="798"/>
      <c r="E3" s="640"/>
      <c r="F3" s="640"/>
      <c r="G3" s="640"/>
      <c r="H3" s="640"/>
      <c r="I3" s="640"/>
      <c r="J3" s="640"/>
      <c r="K3" s="640"/>
      <c r="L3" s="640"/>
      <c r="M3" s="640"/>
      <c r="O3" s="739" t="s">
        <v>13</v>
      </c>
      <c r="P3" s="739"/>
      <c r="Q3" s="739"/>
      <c r="R3" s="739"/>
      <c r="S3" s="739"/>
      <c r="T3" s="739"/>
      <c r="U3" s="739"/>
      <c r="V3" s="739"/>
      <c r="W3" s="739"/>
      <c r="X3" s="739"/>
      <c r="Y3" s="739"/>
      <c r="Z3" s="739"/>
      <c r="AA3" s="739"/>
      <c r="AB3" s="739"/>
      <c r="AC3" s="739"/>
      <c r="AD3" s="739"/>
      <c r="AE3" s="739"/>
      <c r="AF3" s="739"/>
      <c r="AG3" s="739"/>
      <c r="AH3" s="739"/>
      <c r="AI3" s="739"/>
      <c r="AJ3" s="739"/>
      <c r="AK3" s="739"/>
      <c r="AL3" s="739"/>
      <c r="AM3" s="739"/>
      <c r="AN3" s="739"/>
      <c r="AP3" s="783" t="s">
        <v>5</v>
      </c>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5"/>
    </row>
    <row r="4" spans="1:68" ht="16.899999999999999" customHeight="1" x14ac:dyDescent="0.15">
      <c r="B4" s="799" t="s">
        <v>3</v>
      </c>
      <c r="C4" s="799"/>
      <c r="D4" s="799"/>
      <c r="E4" s="669"/>
      <c r="F4" s="669"/>
      <c r="G4" s="669"/>
      <c r="H4" s="669"/>
      <c r="I4" s="669"/>
      <c r="J4" s="669"/>
      <c r="K4" s="669"/>
      <c r="L4" s="669"/>
      <c r="M4" s="669"/>
      <c r="O4" s="763" t="s">
        <v>14</v>
      </c>
      <c r="P4" s="763"/>
      <c r="Q4" s="763"/>
      <c r="R4" s="763"/>
      <c r="S4" s="764" t="str">
        <f>背景!J2</f>
        <v>见注释，或自选至多三项</v>
      </c>
      <c r="T4" s="764"/>
      <c r="U4" s="764"/>
      <c r="V4" s="764"/>
      <c r="W4" s="764"/>
      <c r="X4" s="764"/>
      <c r="Y4" s="764"/>
      <c r="Z4" s="764"/>
      <c r="AA4" s="764"/>
      <c r="AB4" s="797" t="s">
        <v>16</v>
      </c>
      <c r="AC4" s="797"/>
      <c r="AD4" s="797"/>
      <c r="AE4" s="797"/>
      <c r="AF4" s="764" t="str">
        <f>背景!K2</f>
        <v>自选一项起源专长</v>
      </c>
      <c r="AG4" s="764"/>
      <c r="AH4" s="764"/>
      <c r="AI4" s="764"/>
      <c r="AJ4" s="764"/>
      <c r="AK4" s="764"/>
      <c r="AL4" s="764"/>
      <c r="AM4" s="764"/>
      <c r="AN4" s="764"/>
      <c r="AP4" s="786"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787"/>
      <c r="AR4" s="787"/>
      <c r="AS4" s="787"/>
      <c r="AT4" s="787"/>
      <c r="AU4" s="787"/>
      <c r="AV4" s="787"/>
      <c r="AW4" s="787"/>
      <c r="AX4" s="787"/>
      <c r="AY4" s="787"/>
      <c r="AZ4" s="787"/>
      <c r="BA4" s="787"/>
      <c r="BB4" s="787"/>
      <c r="BC4" s="787"/>
      <c r="BD4" s="787"/>
      <c r="BE4" s="787"/>
      <c r="BF4" s="787"/>
      <c r="BG4" s="787"/>
      <c r="BH4" s="787"/>
      <c r="BI4" s="787"/>
      <c r="BJ4" s="787"/>
      <c r="BK4" s="787"/>
      <c r="BL4" s="787"/>
      <c r="BM4" s="787"/>
      <c r="BN4" s="787"/>
      <c r="BO4" s="788"/>
    </row>
    <row r="5" spans="1:68" ht="16.899999999999999" customHeight="1" x14ac:dyDescent="0.15">
      <c r="B5" s="799" t="s">
        <v>4</v>
      </c>
      <c r="C5" s="799"/>
      <c r="D5" s="799"/>
      <c r="E5" s="640"/>
      <c r="F5" s="640"/>
      <c r="G5" s="640"/>
      <c r="H5" s="640"/>
      <c r="I5" s="640"/>
      <c r="J5" s="640"/>
      <c r="K5" s="640"/>
      <c r="L5" s="640"/>
      <c r="M5" s="640"/>
      <c r="O5" s="765" t="s">
        <v>18</v>
      </c>
      <c r="P5" s="765"/>
      <c r="Q5" s="765"/>
      <c r="R5" s="765"/>
      <c r="S5" s="734" t="str">
        <f>背景!L2</f>
        <v>自选两个适合背景的技能</v>
      </c>
      <c r="T5" s="734"/>
      <c r="U5" s="734"/>
      <c r="V5" s="734"/>
      <c r="W5" s="734"/>
      <c r="X5" s="734"/>
      <c r="Y5" s="734"/>
      <c r="Z5" s="734"/>
      <c r="AA5" s="734"/>
      <c r="AB5" s="734"/>
      <c r="AC5" s="734"/>
      <c r="AD5" s="734"/>
      <c r="AE5" s="734"/>
      <c r="AF5" s="734"/>
      <c r="AG5" s="734"/>
      <c r="AH5" s="734"/>
      <c r="AI5" s="734"/>
      <c r="AJ5" s="734"/>
      <c r="AK5" s="734"/>
      <c r="AL5" s="734"/>
      <c r="AM5" s="734"/>
      <c r="AN5" s="734"/>
      <c r="AP5" s="789"/>
      <c r="AQ5" s="790"/>
      <c r="AR5" s="790"/>
      <c r="AS5" s="790"/>
      <c r="AT5" s="790"/>
      <c r="AU5" s="790"/>
      <c r="AV5" s="790"/>
      <c r="AW5" s="790"/>
      <c r="AX5" s="790"/>
      <c r="AY5" s="790"/>
      <c r="AZ5" s="790"/>
      <c r="BA5" s="790"/>
      <c r="BB5" s="790"/>
      <c r="BC5" s="790"/>
      <c r="BD5" s="790"/>
      <c r="BE5" s="790"/>
      <c r="BF5" s="790"/>
      <c r="BG5" s="790"/>
      <c r="BH5" s="790"/>
      <c r="BI5" s="790"/>
      <c r="BJ5" s="790"/>
      <c r="BK5" s="790"/>
      <c r="BL5" s="790"/>
      <c r="BM5" s="790"/>
      <c r="BN5" s="790"/>
      <c r="BO5" s="791"/>
    </row>
    <row r="6" spans="1:68" ht="16.899999999999999" customHeight="1" x14ac:dyDescent="0.15">
      <c r="B6" s="800" t="s">
        <v>6</v>
      </c>
      <c r="C6" s="800"/>
      <c r="D6" s="800"/>
      <c r="E6" s="669" t="inlineStr">
        <is>
          <t xml:space="preserve">工匠</t>
        </is>
      </c>
      <c r="F6" s="669"/>
      <c r="G6" s="669"/>
      <c r="H6" s="669"/>
      <c r="I6" s="669"/>
      <c r="J6" s="669"/>
      <c r="K6" s="669"/>
      <c r="L6" s="669"/>
      <c r="M6" s="669"/>
      <c r="O6" s="796" t="s">
        <v>20</v>
      </c>
      <c r="P6" s="796"/>
      <c r="Q6" s="796"/>
      <c r="R6" s="796"/>
      <c r="S6" s="795" t="str">
        <f>背景!M2</f>
        <v>选择一个工具，它与该背景有关，或是经常被该背景的人使用</v>
      </c>
      <c r="T6" s="795"/>
      <c r="U6" s="795"/>
      <c r="V6" s="795"/>
      <c r="W6" s="795"/>
      <c r="X6" s="795"/>
      <c r="Y6" s="795"/>
      <c r="Z6" s="795"/>
      <c r="AA6" s="795"/>
      <c r="AB6" s="795"/>
      <c r="AC6" s="795"/>
      <c r="AD6" s="795"/>
      <c r="AE6" s="795"/>
      <c r="AF6" s="795"/>
      <c r="AG6" s="795"/>
      <c r="AH6" s="795"/>
      <c r="AI6" s="795"/>
      <c r="AJ6" s="795"/>
      <c r="AK6" s="795"/>
      <c r="AL6" s="795"/>
      <c r="AM6" s="795"/>
      <c r="AN6" s="795"/>
      <c r="AP6" s="789"/>
      <c r="AQ6" s="790"/>
      <c r="AR6" s="790"/>
      <c r="AS6" s="790"/>
      <c r="AT6" s="790"/>
      <c r="AU6" s="790"/>
      <c r="AV6" s="790"/>
      <c r="AW6" s="790"/>
      <c r="AX6" s="790"/>
      <c r="AY6" s="790"/>
      <c r="AZ6" s="790"/>
      <c r="BA6" s="790"/>
      <c r="BB6" s="790"/>
      <c r="BC6" s="790"/>
      <c r="BD6" s="790"/>
      <c r="BE6" s="790"/>
      <c r="BF6" s="790"/>
      <c r="BG6" s="790"/>
      <c r="BH6" s="790"/>
      <c r="BI6" s="790"/>
      <c r="BJ6" s="790"/>
      <c r="BK6" s="790"/>
      <c r="BL6" s="790"/>
      <c r="BM6" s="790"/>
      <c r="BN6" s="790"/>
      <c r="BO6" s="791"/>
    </row>
    <row r="7" spans="1:68" ht="16.899999999999999" customHeight="1" x14ac:dyDescent="0.15">
      <c r="O7" s="802" t="s">
        <v>3007</v>
      </c>
      <c r="P7" s="802"/>
      <c r="Q7" s="802"/>
      <c r="R7" s="802"/>
      <c r="S7" s="804" t="str">
        <f>背景!N2</f>
        <v>组合一套价值50GP的装备（购买完毕后多余的钱也会包含在其内）。不要将包含军用武器和护甲包含在背景给予的装备中，角色会从其职业中获得这两样装备。</v>
      </c>
      <c r="T7" s="804"/>
      <c r="U7" s="804"/>
      <c r="V7" s="804"/>
      <c r="W7" s="804"/>
      <c r="X7" s="804"/>
      <c r="Y7" s="804"/>
      <c r="Z7" s="804"/>
      <c r="AA7" s="804"/>
      <c r="AB7" s="804"/>
      <c r="AC7" s="804"/>
      <c r="AD7" s="804"/>
      <c r="AE7" s="804"/>
      <c r="AF7" s="804"/>
      <c r="AG7" s="804"/>
      <c r="AH7" s="804"/>
      <c r="AI7" s="804"/>
      <c r="AJ7" s="804"/>
      <c r="AK7" s="804"/>
      <c r="AL7" s="804"/>
      <c r="AM7" s="804"/>
      <c r="AN7" s="804"/>
      <c r="AP7" s="789"/>
      <c r="AQ7" s="790"/>
      <c r="AR7" s="790"/>
      <c r="AS7" s="790"/>
      <c r="AT7" s="790"/>
      <c r="AU7" s="790"/>
      <c r="AV7" s="790"/>
      <c r="AW7" s="790"/>
      <c r="AX7" s="790"/>
      <c r="AY7" s="790"/>
      <c r="AZ7" s="790"/>
      <c r="BA7" s="790"/>
      <c r="BB7" s="790"/>
      <c r="BC7" s="790"/>
      <c r="BD7" s="790"/>
      <c r="BE7" s="790"/>
      <c r="BF7" s="790"/>
      <c r="BG7" s="790"/>
      <c r="BH7" s="790"/>
      <c r="BI7" s="790"/>
      <c r="BJ7" s="790"/>
      <c r="BK7" s="790"/>
      <c r="BL7" s="790"/>
      <c r="BM7" s="790"/>
      <c r="BN7" s="790"/>
      <c r="BO7" s="791"/>
    </row>
    <row r="8" spans="1:68" ht="16.899999999999999" customHeight="1" x14ac:dyDescent="0.15">
      <c r="B8" s="801" t="s">
        <v>7</v>
      </c>
      <c r="C8" s="801"/>
      <c r="D8" s="801"/>
      <c r="E8" s="640"/>
      <c r="F8" s="640"/>
      <c r="G8" s="640"/>
      <c r="H8" s="798" t="s">
        <v>8</v>
      </c>
      <c r="I8" s="798"/>
      <c r="J8" s="798"/>
      <c r="K8" s="640"/>
      <c r="L8" s="640"/>
      <c r="M8" s="640"/>
      <c r="O8" s="803"/>
      <c r="P8" s="803"/>
      <c r="Q8" s="803"/>
      <c r="R8" s="803"/>
      <c r="S8" s="804"/>
      <c r="T8" s="804"/>
      <c r="U8" s="804"/>
      <c r="V8" s="804"/>
      <c r="W8" s="804"/>
      <c r="X8" s="804"/>
      <c r="Y8" s="804"/>
      <c r="Z8" s="804"/>
      <c r="AA8" s="804"/>
      <c r="AB8" s="804"/>
      <c r="AC8" s="804"/>
      <c r="AD8" s="804"/>
      <c r="AE8" s="804"/>
      <c r="AF8" s="804"/>
      <c r="AG8" s="804"/>
      <c r="AH8" s="804"/>
      <c r="AI8" s="804"/>
      <c r="AJ8" s="804"/>
      <c r="AK8" s="804"/>
      <c r="AL8" s="804"/>
      <c r="AM8" s="804"/>
      <c r="AN8" s="804"/>
      <c r="AP8" s="789"/>
      <c r="AQ8" s="790"/>
      <c r="AR8" s="790"/>
      <c r="AS8" s="790"/>
      <c r="AT8" s="790"/>
      <c r="AU8" s="790"/>
      <c r="AV8" s="790"/>
      <c r="AW8" s="790"/>
      <c r="AX8" s="790"/>
      <c r="AY8" s="790"/>
      <c r="AZ8" s="790"/>
      <c r="BA8" s="790"/>
      <c r="BB8" s="790"/>
      <c r="BC8" s="790"/>
      <c r="BD8" s="790"/>
      <c r="BE8" s="790"/>
      <c r="BF8" s="790"/>
      <c r="BG8" s="790"/>
      <c r="BH8" s="790"/>
      <c r="BI8" s="790"/>
      <c r="BJ8" s="790"/>
      <c r="BK8" s="790"/>
      <c r="BL8" s="790"/>
      <c r="BM8" s="790"/>
      <c r="BN8" s="790"/>
      <c r="BO8" s="791"/>
    </row>
    <row r="9" spans="1:68" ht="16.899999999999999" customHeight="1" x14ac:dyDescent="0.15">
      <c r="B9" s="800" t="s">
        <v>9</v>
      </c>
      <c r="C9" s="800"/>
      <c r="D9" s="800"/>
      <c r="E9" s="669"/>
      <c r="F9" s="669"/>
      <c r="G9" s="669"/>
      <c r="H9" s="800" t="s">
        <v>10</v>
      </c>
      <c r="I9" s="800"/>
      <c r="J9" s="800"/>
      <c r="K9" s="669"/>
      <c r="L9" s="669"/>
      <c r="M9" s="669"/>
      <c r="O9" s="803"/>
      <c r="P9" s="803"/>
      <c r="Q9" s="803"/>
      <c r="R9" s="803"/>
      <c r="S9" s="804"/>
      <c r="T9" s="804"/>
      <c r="U9" s="804"/>
      <c r="V9" s="804"/>
      <c r="W9" s="804"/>
      <c r="X9" s="804"/>
      <c r="Y9" s="804"/>
      <c r="Z9" s="804"/>
      <c r="AA9" s="804"/>
      <c r="AB9" s="804"/>
      <c r="AC9" s="804"/>
      <c r="AD9" s="804"/>
      <c r="AE9" s="804"/>
      <c r="AF9" s="804"/>
      <c r="AG9" s="804"/>
      <c r="AH9" s="804"/>
      <c r="AI9" s="804"/>
      <c r="AJ9" s="804"/>
      <c r="AK9" s="804"/>
      <c r="AL9" s="804"/>
      <c r="AM9" s="804"/>
      <c r="AN9" s="804"/>
      <c r="AP9" s="792"/>
      <c r="AQ9" s="793"/>
      <c r="AR9" s="793"/>
      <c r="AS9" s="793"/>
      <c r="AT9" s="793"/>
      <c r="AU9" s="793"/>
      <c r="AV9" s="793"/>
      <c r="AW9" s="793"/>
      <c r="AX9" s="793"/>
      <c r="AY9" s="793"/>
      <c r="AZ9" s="793"/>
      <c r="BA9" s="793"/>
      <c r="BB9" s="793"/>
      <c r="BC9" s="793"/>
      <c r="BD9" s="793"/>
      <c r="BE9" s="793"/>
      <c r="BF9" s="793"/>
      <c r="BG9" s="793"/>
      <c r="BH9" s="793"/>
      <c r="BI9" s="793"/>
      <c r="BJ9" s="793"/>
      <c r="BK9" s="793"/>
      <c r="BL9" s="793"/>
      <c r="BM9" s="793"/>
      <c r="BN9" s="793"/>
      <c r="BO9" s="794"/>
    </row>
    <row r="10" spans="1:68" ht="16.899999999999999" customHeight="1" x14ac:dyDescent="0.15"/>
    <row r="11" spans="1:68" ht="16.899999999999999" customHeight="1" x14ac:dyDescent="0.15">
      <c r="B11" s="759" t="s">
        <v>2</v>
      </c>
      <c r="C11" s="760"/>
      <c r="D11" s="760"/>
      <c r="E11" s="760"/>
      <c r="F11" s="760"/>
      <c r="G11" s="760"/>
      <c r="H11" s="760"/>
      <c r="I11" s="760"/>
      <c r="J11" s="760"/>
      <c r="K11" s="760"/>
      <c r="L11" s="760"/>
      <c r="M11" s="761"/>
      <c r="O11" s="756" t="s">
        <v>12</v>
      </c>
      <c r="P11" s="756"/>
      <c r="Q11" s="756"/>
      <c r="R11" s="756"/>
      <c r="S11" s="766"/>
      <c r="T11" s="766"/>
      <c r="U11" s="766"/>
      <c r="V11" s="766"/>
      <c r="W11" s="766"/>
      <c r="X11" s="766"/>
      <c r="Y11" s="766"/>
      <c r="Z11" s="766"/>
      <c r="AA11" s="766"/>
      <c r="AB11" s="766"/>
      <c r="AC11" s="766"/>
      <c r="AD11" s="766"/>
      <c r="AE11" s="766"/>
      <c r="AF11" s="766"/>
      <c r="AG11" s="766"/>
      <c r="AH11" s="766"/>
      <c r="AI11" s="766"/>
      <c r="AJ11" s="766"/>
      <c r="AK11" s="766"/>
      <c r="AL11" s="766"/>
      <c r="AM11" s="766"/>
      <c r="AN11" s="766"/>
      <c r="AO11" s="766"/>
      <c r="AP11" s="766"/>
      <c r="AQ11" s="766"/>
      <c r="AR11" s="766"/>
      <c r="AS11" s="766"/>
      <c r="AT11" s="766"/>
      <c r="AV11" s="759" t="s">
        <v>11</v>
      </c>
      <c r="AW11" s="760"/>
      <c r="AX11" s="760"/>
      <c r="AY11" s="760"/>
      <c r="AZ11" s="760"/>
      <c r="BA11" s="760"/>
      <c r="BB11" s="760"/>
      <c r="BC11" s="760"/>
      <c r="BD11" s="760"/>
      <c r="BE11" s="760"/>
      <c r="BF11" s="760"/>
      <c r="BG11" s="760"/>
      <c r="BH11" s="760"/>
      <c r="BI11" s="760"/>
      <c r="BJ11" s="760"/>
      <c r="BK11" s="760"/>
      <c r="BL11" s="760"/>
      <c r="BM11" s="760"/>
      <c r="BN11" s="760"/>
      <c r="BO11" s="761"/>
    </row>
    <row r="12" spans="1:68" ht="16.899999999999999" customHeight="1" x14ac:dyDescent="0.15">
      <c r="B12" s="805"/>
      <c r="C12" s="806"/>
      <c r="D12" s="806"/>
      <c r="E12" s="806"/>
      <c r="F12" s="806"/>
      <c r="G12" s="806"/>
      <c r="H12" s="806"/>
      <c r="I12" s="806"/>
      <c r="J12" s="806"/>
      <c r="K12" s="806"/>
      <c r="L12" s="806"/>
      <c r="M12" s="807"/>
      <c r="O12" s="767"/>
      <c r="P12" s="767"/>
      <c r="Q12" s="767"/>
      <c r="R12" s="767"/>
      <c r="S12" s="762"/>
      <c r="T12" s="762"/>
      <c r="U12" s="762"/>
      <c r="V12" s="762"/>
      <c r="W12" s="762"/>
      <c r="X12" s="762"/>
      <c r="Y12" s="762"/>
      <c r="Z12" s="762"/>
      <c r="AA12" s="762"/>
      <c r="AB12" s="762"/>
      <c r="AC12" s="762"/>
      <c r="AD12" s="762"/>
      <c r="AE12" s="762"/>
      <c r="AF12" s="762"/>
      <c r="AG12" s="762"/>
      <c r="AH12" s="762"/>
      <c r="AI12" s="762"/>
      <c r="AJ12" s="762"/>
      <c r="AK12" s="762"/>
      <c r="AL12" s="762"/>
      <c r="AM12" s="762"/>
      <c r="AN12" s="762"/>
      <c r="AO12" s="762"/>
      <c r="AP12" s="762"/>
      <c r="AQ12" s="762"/>
      <c r="AR12" s="762"/>
      <c r="AS12" s="762"/>
      <c r="AT12" s="762"/>
      <c r="AV12" s="640"/>
      <c r="AW12" s="640"/>
      <c r="AX12" s="640"/>
      <c r="AY12" s="640"/>
      <c r="AZ12" s="640"/>
      <c r="BA12" s="640"/>
      <c r="BB12" s="640"/>
      <c r="BC12" s="640"/>
      <c r="BD12" s="640"/>
      <c r="BE12" s="640"/>
      <c r="BF12" s="640"/>
      <c r="BG12" s="640"/>
      <c r="BH12" s="640"/>
      <c r="BI12" s="640"/>
      <c r="BJ12" s="640"/>
      <c r="BK12" s="640"/>
      <c r="BL12" s="640"/>
      <c r="BM12" s="640"/>
      <c r="BN12" s="640"/>
      <c r="BO12" s="640"/>
    </row>
    <row r="13" spans="1:68" ht="16.899999999999999" customHeight="1" x14ac:dyDescent="0.15">
      <c r="B13" s="805"/>
      <c r="C13" s="806"/>
      <c r="D13" s="806"/>
      <c r="E13" s="806"/>
      <c r="F13" s="806"/>
      <c r="G13" s="806"/>
      <c r="H13" s="806"/>
      <c r="I13" s="806"/>
      <c r="J13" s="806"/>
      <c r="K13" s="806"/>
      <c r="L13" s="806"/>
      <c r="M13" s="807"/>
      <c r="O13" s="765" t="s">
        <v>15</v>
      </c>
      <c r="P13" s="765"/>
      <c r="Q13" s="765"/>
      <c r="R13" s="765"/>
      <c r="S13" s="766"/>
      <c r="T13" s="766"/>
      <c r="U13" s="766"/>
      <c r="V13" s="766"/>
      <c r="W13" s="766"/>
      <c r="X13" s="766"/>
      <c r="Y13" s="766"/>
      <c r="Z13" s="766"/>
      <c r="AA13" s="766"/>
      <c r="AB13" s="766"/>
      <c r="AC13" s="766"/>
      <c r="AD13" s="766"/>
      <c r="AE13" s="766"/>
      <c r="AF13" s="766"/>
      <c r="AG13" s="766"/>
      <c r="AH13" s="766"/>
      <c r="AI13" s="766"/>
      <c r="AJ13" s="766"/>
      <c r="AK13" s="766"/>
      <c r="AL13" s="766"/>
      <c r="AM13" s="766"/>
      <c r="AN13" s="766"/>
      <c r="AO13" s="766"/>
      <c r="AP13" s="766"/>
      <c r="AQ13" s="766"/>
      <c r="AR13" s="766"/>
      <c r="AS13" s="766"/>
      <c r="AT13" s="766"/>
      <c r="AV13" s="640"/>
      <c r="AW13" s="640"/>
      <c r="AX13" s="640"/>
      <c r="AY13" s="640"/>
      <c r="AZ13" s="640"/>
      <c r="BA13" s="640"/>
      <c r="BB13" s="640"/>
      <c r="BC13" s="640"/>
      <c r="BD13" s="640"/>
      <c r="BE13" s="640"/>
      <c r="BF13" s="640"/>
      <c r="BG13" s="640"/>
      <c r="BH13" s="640"/>
      <c r="BI13" s="640"/>
      <c r="BJ13" s="640"/>
      <c r="BK13" s="640"/>
      <c r="BL13" s="640"/>
      <c r="BM13" s="640"/>
      <c r="BN13" s="640"/>
      <c r="BO13" s="640"/>
    </row>
    <row r="14" spans="1:68" ht="16.899999999999999" customHeight="1" x14ac:dyDescent="0.15">
      <c r="B14" s="805"/>
      <c r="C14" s="806"/>
      <c r="D14" s="806"/>
      <c r="E14" s="806"/>
      <c r="F14" s="806"/>
      <c r="G14" s="806"/>
      <c r="H14" s="806"/>
      <c r="I14" s="806"/>
      <c r="J14" s="806"/>
      <c r="K14" s="806"/>
      <c r="L14" s="806"/>
      <c r="M14" s="807"/>
      <c r="O14" s="765" t="s">
        <v>17</v>
      </c>
      <c r="P14" s="765"/>
      <c r="Q14" s="765"/>
      <c r="R14" s="765"/>
      <c r="S14" s="762"/>
      <c r="T14" s="762"/>
      <c r="U14" s="762"/>
      <c r="V14" s="762"/>
      <c r="W14" s="762"/>
      <c r="X14" s="762"/>
      <c r="Y14" s="762"/>
      <c r="Z14" s="762"/>
      <c r="AA14" s="762"/>
      <c r="AB14" s="762"/>
      <c r="AC14" s="762"/>
      <c r="AD14" s="762"/>
      <c r="AE14" s="762"/>
      <c r="AF14" s="762"/>
      <c r="AG14" s="762"/>
      <c r="AH14" s="762"/>
      <c r="AI14" s="762"/>
      <c r="AJ14" s="762"/>
      <c r="AK14" s="762"/>
      <c r="AL14" s="762"/>
      <c r="AM14" s="762"/>
      <c r="AN14" s="762"/>
      <c r="AO14" s="762"/>
      <c r="AP14" s="762"/>
      <c r="AQ14" s="762"/>
      <c r="AR14" s="762"/>
      <c r="AS14" s="762"/>
      <c r="AT14" s="762"/>
      <c r="AV14" s="640"/>
      <c r="AW14" s="640"/>
      <c r="AX14" s="640"/>
      <c r="AY14" s="640"/>
      <c r="AZ14" s="640"/>
      <c r="BA14" s="640"/>
      <c r="BB14" s="640"/>
      <c r="BC14" s="640"/>
      <c r="BD14" s="640"/>
      <c r="BE14" s="640"/>
      <c r="BF14" s="640"/>
      <c r="BG14" s="640"/>
      <c r="BH14" s="640"/>
      <c r="BI14" s="640"/>
      <c r="BJ14" s="640"/>
      <c r="BK14" s="640"/>
      <c r="BL14" s="640"/>
      <c r="BM14" s="640"/>
      <c r="BN14" s="640"/>
      <c r="BO14" s="640"/>
    </row>
    <row r="15" spans="1:68" ht="16.899999999999999" customHeight="1" x14ac:dyDescent="0.15">
      <c r="B15" s="805"/>
      <c r="C15" s="806"/>
      <c r="D15" s="806"/>
      <c r="E15" s="806"/>
      <c r="F15" s="806"/>
      <c r="G15" s="806"/>
      <c r="H15" s="806"/>
      <c r="I15" s="806"/>
      <c r="J15" s="806"/>
      <c r="K15" s="806"/>
      <c r="L15" s="806"/>
      <c r="M15" s="807"/>
      <c r="O15" s="808" t="s">
        <v>19</v>
      </c>
      <c r="P15" s="808"/>
      <c r="Q15" s="808"/>
      <c r="R15" s="808"/>
      <c r="S15" s="766"/>
      <c r="T15" s="766"/>
      <c r="U15" s="766"/>
      <c r="V15" s="766"/>
      <c r="W15" s="766"/>
      <c r="X15" s="766"/>
      <c r="Y15" s="766"/>
      <c r="Z15" s="766"/>
      <c r="AA15" s="766"/>
      <c r="AB15" s="766"/>
      <c r="AC15" s="766"/>
      <c r="AD15" s="766"/>
      <c r="AE15" s="766"/>
      <c r="AF15" s="766"/>
      <c r="AG15" s="766"/>
      <c r="AH15" s="766"/>
      <c r="AI15" s="766"/>
      <c r="AJ15" s="766"/>
      <c r="AK15" s="766"/>
      <c r="AL15" s="766"/>
      <c r="AM15" s="766"/>
      <c r="AN15" s="766"/>
      <c r="AO15" s="766"/>
      <c r="AP15" s="766"/>
      <c r="AQ15" s="766"/>
      <c r="AR15" s="766"/>
      <c r="AS15" s="766"/>
      <c r="AT15" s="766"/>
      <c r="AV15" s="640"/>
      <c r="AW15" s="640"/>
      <c r="AX15" s="640"/>
      <c r="AY15" s="640"/>
      <c r="AZ15" s="640"/>
      <c r="BA15" s="640"/>
      <c r="BB15" s="640"/>
      <c r="BC15" s="640"/>
      <c r="BD15" s="640"/>
      <c r="BE15" s="640"/>
      <c r="BF15" s="640"/>
      <c r="BG15" s="640"/>
      <c r="BH15" s="640"/>
      <c r="BI15" s="640"/>
      <c r="BJ15" s="640"/>
      <c r="BK15" s="640"/>
      <c r="BL15" s="640"/>
      <c r="BM15" s="640"/>
      <c r="BN15" s="640"/>
      <c r="BO15" s="640"/>
    </row>
    <row r="16" spans="1:68" ht="16.899999999999999" customHeight="1" x14ac:dyDescent="0.15">
      <c r="B16" s="805"/>
      <c r="C16" s="806"/>
      <c r="D16" s="806"/>
      <c r="E16" s="806"/>
      <c r="F16" s="806"/>
      <c r="G16" s="806"/>
      <c r="H16" s="806"/>
      <c r="I16" s="806"/>
      <c r="J16" s="806"/>
      <c r="K16" s="806"/>
      <c r="L16" s="806"/>
      <c r="M16" s="807"/>
      <c r="AV16" s="640"/>
      <c r="AW16" s="640"/>
      <c r="AX16" s="640"/>
      <c r="AY16" s="640"/>
      <c r="AZ16" s="640"/>
      <c r="BA16" s="640"/>
      <c r="BB16" s="640"/>
      <c r="BC16" s="640"/>
      <c r="BD16" s="640"/>
      <c r="BE16" s="640"/>
      <c r="BF16" s="640"/>
      <c r="BG16" s="640"/>
      <c r="BH16" s="640"/>
      <c r="BI16" s="640"/>
      <c r="BJ16" s="640"/>
      <c r="BK16" s="640"/>
      <c r="BL16" s="640"/>
      <c r="BM16" s="640"/>
      <c r="BN16" s="640"/>
      <c r="BO16" s="640"/>
    </row>
    <row r="17" spans="2:67" ht="16.899999999999999" customHeight="1" x14ac:dyDescent="0.15">
      <c r="B17" s="805"/>
      <c r="C17" s="806"/>
      <c r="D17" s="806"/>
      <c r="E17" s="806"/>
      <c r="F17" s="806"/>
      <c r="G17" s="806"/>
      <c r="H17" s="806"/>
      <c r="I17" s="806"/>
      <c r="J17" s="806"/>
      <c r="K17" s="806"/>
      <c r="L17" s="806"/>
      <c r="M17" s="807"/>
      <c r="O17" s="777" t="s">
        <v>21</v>
      </c>
      <c r="P17" s="778"/>
      <c r="Q17" s="778"/>
      <c r="R17" s="778"/>
      <c r="S17" s="768"/>
      <c r="T17" s="769"/>
      <c r="U17" s="769"/>
      <c r="V17" s="769"/>
      <c r="W17" s="769"/>
      <c r="X17" s="769"/>
      <c r="Y17" s="769"/>
      <c r="Z17" s="769"/>
      <c r="AA17" s="769"/>
      <c r="AB17" s="769"/>
      <c r="AC17" s="769"/>
      <c r="AD17" s="769"/>
      <c r="AE17" s="769"/>
      <c r="AF17" s="769"/>
      <c r="AG17" s="769"/>
      <c r="AH17" s="769"/>
      <c r="AI17" s="769"/>
      <c r="AJ17" s="769"/>
      <c r="AK17" s="769"/>
      <c r="AL17" s="769"/>
      <c r="AM17" s="769"/>
      <c r="AN17" s="769"/>
      <c r="AO17" s="769"/>
      <c r="AP17" s="769"/>
      <c r="AQ17" s="769"/>
      <c r="AR17" s="769"/>
      <c r="AS17" s="769"/>
      <c r="AT17" s="770"/>
      <c r="AV17" s="640"/>
      <c r="AW17" s="640"/>
      <c r="AX17" s="640"/>
      <c r="AY17" s="640"/>
      <c r="AZ17" s="640"/>
      <c r="BA17" s="640"/>
      <c r="BB17" s="640"/>
      <c r="BC17" s="640"/>
      <c r="BD17" s="640"/>
      <c r="BE17" s="640"/>
      <c r="BF17" s="640"/>
      <c r="BG17" s="640"/>
      <c r="BH17" s="640"/>
      <c r="BI17" s="640"/>
      <c r="BJ17" s="640"/>
      <c r="BK17" s="640"/>
      <c r="BL17" s="640"/>
      <c r="BM17" s="640"/>
      <c r="BN17" s="640"/>
      <c r="BO17" s="640"/>
    </row>
    <row r="18" spans="2:67" ht="16.899999999999999" customHeight="1" x14ac:dyDescent="0.15">
      <c r="B18" s="805"/>
      <c r="C18" s="806"/>
      <c r="D18" s="806"/>
      <c r="E18" s="806"/>
      <c r="F18" s="806"/>
      <c r="G18" s="806"/>
      <c r="H18" s="806"/>
      <c r="I18" s="806"/>
      <c r="J18" s="806"/>
      <c r="K18" s="806"/>
      <c r="L18" s="806"/>
      <c r="M18" s="807"/>
      <c r="O18" s="779"/>
      <c r="P18" s="780"/>
      <c r="Q18" s="780"/>
      <c r="R18" s="780"/>
      <c r="S18" s="771"/>
      <c r="T18" s="772"/>
      <c r="U18" s="772"/>
      <c r="V18" s="772"/>
      <c r="W18" s="772"/>
      <c r="X18" s="772"/>
      <c r="Y18" s="772"/>
      <c r="Z18" s="772"/>
      <c r="AA18" s="772"/>
      <c r="AB18" s="772"/>
      <c r="AC18" s="772"/>
      <c r="AD18" s="772"/>
      <c r="AE18" s="772"/>
      <c r="AF18" s="772"/>
      <c r="AG18" s="772"/>
      <c r="AH18" s="772"/>
      <c r="AI18" s="772"/>
      <c r="AJ18" s="772"/>
      <c r="AK18" s="772"/>
      <c r="AL18" s="772"/>
      <c r="AM18" s="772"/>
      <c r="AN18" s="772"/>
      <c r="AO18" s="772"/>
      <c r="AP18" s="772"/>
      <c r="AQ18" s="772"/>
      <c r="AR18" s="772"/>
      <c r="AS18" s="772"/>
      <c r="AT18" s="773"/>
      <c r="AV18" s="640"/>
      <c r="AW18" s="640"/>
      <c r="AX18" s="640"/>
      <c r="AY18" s="640"/>
      <c r="AZ18" s="640"/>
      <c r="BA18" s="640"/>
      <c r="BB18" s="640"/>
      <c r="BC18" s="640"/>
      <c r="BD18" s="640"/>
      <c r="BE18" s="640"/>
      <c r="BF18" s="640"/>
      <c r="BG18" s="640"/>
      <c r="BH18" s="640"/>
      <c r="BI18" s="640"/>
      <c r="BJ18" s="640"/>
      <c r="BK18" s="640"/>
      <c r="BL18" s="640"/>
      <c r="BM18" s="640"/>
      <c r="BN18" s="640"/>
      <c r="BO18" s="640"/>
    </row>
    <row r="19" spans="2:67" ht="16.899999999999999" customHeight="1" x14ac:dyDescent="0.15">
      <c r="B19" s="805"/>
      <c r="C19" s="806"/>
      <c r="D19" s="806"/>
      <c r="E19" s="806"/>
      <c r="F19" s="806"/>
      <c r="G19" s="806"/>
      <c r="H19" s="806"/>
      <c r="I19" s="806"/>
      <c r="J19" s="806"/>
      <c r="K19" s="806"/>
      <c r="L19" s="806"/>
      <c r="M19" s="807"/>
      <c r="O19" s="779"/>
      <c r="P19" s="780"/>
      <c r="Q19" s="780"/>
      <c r="R19" s="780"/>
      <c r="S19" s="771"/>
      <c r="T19" s="772"/>
      <c r="U19" s="772"/>
      <c r="V19" s="772"/>
      <c r="W19" s="772"/>
      <c r="X19" s="772"/>
      <c r="Y19" s="772"/>
      <c r="Z19" s="772"/>
      <c r="AA19" s="772"/>
      <c r="AB19" s="772"/>
      <c r="AC19" s="772"/>
      <c r="AD19" s="772"/>
      <c r="AE19" s="772"/>
      <c r="AF19" s="772"/>
      <c r="AG19" s="772"/>
      <c r="AH19" s="772"/>
      <c r="AI19" s="772"/>
      <c r="AJ19" s="772"/>
      <c r="AK19" s="772"/>
      <c r="AL19" s="772"/>
      <c r="AM19" s="772"/>
      <c r="AN19" s="772"/>
      <c r="AO19" s="772"/>
      <c r="AP19" s="772"/>
      <c r="AQ19" s="772"/>
      <c r="AR19" s="772"/>
      <c r="AS19" s="772"/>
      <c r="AT19" s="773"/>
      <c r="AV19" s="640"/>
      <c r="AW19" s="640"/>
      <c r="AX19" s="640"/>
      <c r="AY19" s="640"/>
      <c r="AZ19" s="640"/>
      <c r="BA19" s="640"/>
      <c r="BB19" s="640"/>
      <c r="BC19" s="640"/>
      <c r="BD19" s="640"/>
      <c r="BE19" s="640"/>
      <c r="BF19" s="640"/>
      <c r="BG19" s="640"/>
      <c r="BH19" s="640"/>
      <c r="BI19" s="640"/>
      <c r="BJ19" s="640"/>
      <c r="BK19" s="640"/>
      <c r="BL19" s="640"/>
      <c r="BM19" s="640"/>
      <c r="BN19" s="640"/>
      <c r="BO19" s="640"/>
    </row>
    <row r="20" spans="2:67" ht="16.899999999999999" customHeight="1" x14ac:dyDescent="0.15">
      <c r="B20" s="805"/>
      <c r="C20" s="806"/>
      <c r="D20" s="806"/>
      <c r="E20" s="806"/>
      <c r="F20" s="806"/>
      <c r="G20" s="806"/>
      <c r="H20" s="806"/>
      <c r="I20" s="806"/>
      <c r="J20" s="806"/>
      <c r="K20" s="806"/>
      <c r="L20" s="806"/>
      <c r="M20" s="807"/>
      <c r="O20" s="779"/>
      <c r="P20" s="780"/>
      <c r="Q20" s="780"/>
      <c r="R20" s="780"/>
      <c r="S20" s="771"/>
      <c r="T20" s="772"/>
      <c r="U20" s="772"/>
      <c r="V20" s="772"/>
      <c r="W20" s="772"/>
      <c r="X20" s="772"/>
      <c r="Y20" s="772"/>
      <c r="Z20" s="772"/>
      <c r="AA20" s="772"/>
      <c r="AB20" s="772"/>
      <c r="AC20" s="772"/>
      <c r="AD20" s="772"/>
      <c r="AE20" s="772"/>
      <c r="AF20" s="772"/>
      <c r="AG20" s="772"/>
      <c r="AH20" s="772"/>
      <c r="AI20" s="772"/>
      <c r="AJ20" s="772"/>
      <c r="AK20" s="772"/>
      <c r="AL20" s="772"/>
      <c r="AM20" s="772"/>
      <c r="AN20" s="772"/>
      <c r="AO20" s="772"/>
      <c r="AP20" s="772"/>
      <c r="AQ20" s="772"/>
      <c r="AR20" s="772"/>
      <c r="AS20" s="772"/>
      <c r="AT20" s="773"/>
      <c r="AV20" s="640"/>
      <c r="AW20" s="640"/>
      <c r="AX20" s="640"/>
      <c r="AY20" s="640"/>
      <c r="AZ20" s="640"/>
      <c r="BA20" s="640"/>
      <c r="BB20" s="640"/>
      <c r="BC20" s="640"/>
      <c r="BD20" s="640"/>
      <c r="BE20" s="640"/>
      <c r="BF20" s="640"/>
      <c r="BG20" s="640"/>
      <c r="BH20" s="640"/>
      <c r="BI20" s="640"/>
      <c r="BJ20" s="640"/>
      <c r="BK20" s="640"/>
      <c r="BL20" s="640"/>
      <c r="BM20" s="640"/>
      <c r="BN20" s="640"/>
      <c r="BO20" s="640"/>
    </row>
    <row r="21" spans="2:67" ht="16.899999999999999" customHeight="1" x14ac:dyDescent="0.15">
      <c r="B21" s="805"/>
      <c r="C21" s="806"/>
      <c r="D21" s="806"/>
      <c r="E21" s="806"/>
      <c r="F21" s="806"/>
      <c r="G21" s="806"/>
      <c r="H21" s="806"/>
      <c r="I21" s="806"/>
      <c r="J21" s="806"/>
      <c r="K21" s="806"/>
      <c r="L21" s="806"/>
      <c r="M21" s="807"/>
      <c r="O21" s="779"/>
      <c r="P21" s="780"/>
      <c r="Q21" s="780"/>
      <c r="R21" s="780"/>
      <c r="S21" s="771"/>
      <c r="T21" s="772"/>
      <c r="U21" s="772"/>
      <c r="V21" s="772"/>
      <c r="W21" s="772"/>
      <c r="X21" s="772"/>
      <c r="Y21" s="772"/>
      <c r="Z21" s="772"/>
      <c r="AA21" s="772"/>
      <c r="AB21" s="772"/>
      <c r="AC21" s="772"/>
      <c r="AD21" s="772"/>
      <c r="AE21" s="772"/>
      <c r="AF21" s="772"/>
      <c r="AG21" s="772"/>
      <c r="AH21" s="772"/>
      <c r="AI21" s="772"/>
      <c r="AJ21" s="772"/>
      <c r="AK21" s="772"/>
      <c r="AL21" s="772"/>
      <c r="AM21" s="772"/>
      <c r="AN21" s="772"/>
      <c r="AO21" s="772"/>
      <c r="AP21" s="772"/>
      <c r="AQ21" s="772"/>
      <c r="AR21" s="772"/>
      <c r="AS21" s="772"/>
      <c r="AT21" s="773"/>
      <c r="AV21" s="640"/>
      <c r="AW21" s="640"/>
      <c r="AX21" s="640"/>
      <c r="AY21" s="640"/>
      <c r="AZ21" s="640"/>
      <c r="BA21" s="640"/>
      <c r="BB21" s="640"/>
      <c r="BC21" s="640"/>
      <c r="BD21" s="640"/>
      <c r="BE21" s="640"/>
      <c r="BF21" s="640"/>
      <c r="BG21" s="640"/>
      <c r="BH21" s="640"/>
      <c r="BI21" s="640"/>
      <c r="BJ21" s="640"/>
      <c r="BK21" s="640"/>
      <c r="BL21" s="640"/>
      <c r="BM21" s="640"/>
      <c r="BN21" s="640"/>
      <c r="BO21" s="640"/>
    </row>
    <row r="22" spans="2:67" ht="16.899999999999999" customHeight="1" x14ac:dyDescent="0.15">
      <c r="O22" s="779"/>
      <c r="P22" s="780"/>
      <c r="Q22" s="780"/>
      <c r="R22" s="780"/>
      <c r="S22" s="771"/>
      <c r="T22" s="772"/>
      <c r="U22" s="772"/>
      <c r="V22" s="772"/>
      <c r="W22" s="772"/>
      <c r="X22" s="772"/>
      <c r="Y22" s="772"/>
      <c r="Z22" s="772"/>
      <c r="AA22" s="772"/>
      <c r="AB22" s="772"/>
      <c r="AC22" s="772"/>
      <c r="AD22" s="772"/>
      <c r="AE22" s="772"/>
      <c r="AF22" s="772"/>
      <c r="AG22" s="772"/>
      <c r="AH22" s="772"/>
      <c r="AI22" s="772"/>
      <c r="AJ22" s="772"/>
      <c r="AK22" s="772"/>
      <c r="AL22" s="772"/>
      <c r="AM22" s="772"/>
      <c r="AN22" s="772"/>
      <c r="AO22" s="772"/>
      <c r="AP22" s="772"/>
      <c r="AQ22" s="772"/>
      <c r="AR22" s="772"/>
      <c r="AS22" s="772"/>
      <c r="AT22" s="773"/>
      <c r="AV22" s="640"/>
      <c r="AW22" s="640"/>
      <c r="AX22" s="640"/>
      <c r="AY22" s="640"/>
      <c r="AZ22" s="640"/>
      <c r="BA22" s="640"/>
      <c r="BB22" s="640"/>
      <c r="BC22" s="640"/>
      <c r="BD22" s="640"/>
      <c r="BE22" s="640"/>
      <c r="BF22" s="640"/>
      <c r="BG22" s="640"/>
      <c r="BH22" s="640"/>
      <c r="BI22" s="640"/>
      <c r="BJ22" s="640"/>
      <c r="BK22" s="640"/>
      <c r="BL22" s="640"/>
      <c r="BM22" s="640"/>
      <c r="BN22" s="640"/>
      <c r="BO22" s="640"/>
    </row>
    <row r="23" spans="2:67" ht="16.899999999999999" customHeight="1" x14ac:dyDescent="0.15">
      <c r="B23" s="803" t="s">
        <v>2945</v>
      </c>
      <c r="C23" s="803"/>
      <c r="D23" s="803"/>
      <c r="E23" s="803"/>
      <c r="F23" s="803"/>
      <c r="G23" s="803"/>
      <c r="H23" s="803"/>
      <c r="I23" s="803"/>
      <c r="J23" s="803"/>
      <c r="K23" s="803"/>
      <c r="L23" s="803"/>
      <c r="M23" s="803"/>
      <c r="O23" s="779"/>
      <c r="P23" s="780"/>
      <c r="Q23" s="780"/>
      <c r="R23" s="780"/>
      <c r="S23" s="771"/>
      <c r="T23" s="772"/>
      <c r="U23" s="772"/>
      <c r="V23" s="772"/>
      <c r="W23" s="772"/>
      <c r="X23" s="772"/>
      <c r="Y23" s="772"/>
      <c r="Z23" s="772"/>
      <c r="AA23" s="772"/>
      <c r="AB23" s="772"/>
      <c r="AC23" s="772"/>
      <c r="AD23" s="772"/>
      <c r="AE23" s="772"/>
      <c r="AF23" s="772"/>
      <c r="AG23" s="772"/>
      <c r="AH23" s="772"/>
      <c r="AI23" s="772"/>
      <c r="AJ23" s="772"/>
      <c r="AK23" s="772"/>
      <c r="AL23" s="772"/>
      <c r="AM23" s="772"/>
      <c r="AN23" s="772"/>
      <c r="AO23" s="772"/>
      <c r="AP23" s="772"/>
      <c r="AQ23" s="772"/>
      <c r="AR23" s="772"/>
      <c r="AS23" s="772"/>
      <c r="AT23" s="773"/>
      <c r="AV23" s="640"/>
      <c r="AW23" s="640"/>
      <c r="AX23" s="640"/>
      <c r="AY23" s="640"/>
      <c r="AZ23" s="640"/>
      <c r="BA23" s="640"/>
      <c r="BB23" s="640"/>
      <c r="BC23" s="640"/>
      <c r="BD23" s="640"/>
      <c r="BE23" s="640"/>
      <c r="BF23" s="640"/>
      <c r="BG23" s="640"/>
      <c r="BH23" s="640"/>
      <c r="BI23" s="640"/>
      <c r="BJ23" s="640"/>
      <c r="BK23" s="640"/>
      <c r="BL23" s="640"/>
      <c r="BM23" s="640"/>
      <c r="BN23" s="640"/>
      <c r="BO23" s="640"/>
    </row>
    <row r="24" spans="2:67" ht="16.899999999999999" customHeight="1" x14ac:dyDescent="0.15">
      <c r="B24" s="640"/>
      <c r="C24" s="640"/>
      <c r="D24" s="640"/>
      <c r="E24" s="640"/>
      <c r="F24" s="640"/>
      <c r="G24" s="640"/>
      <c r="H24" s="640"/>
      <c r="I24" s="640"/>
      <c r="J24" s="640"/>
      <c r="K24" s="640"/>
      <c r="L24" s="640"/>
      <c r="M24" s="640"/>
      <c r="O24" s="779"/>
      <c r="P24" s="780"/>
      <c r="Q24" s="780"/>
      <c r="R24" s="780"/>
      <c r="S24" s="771"/>
      <c r="T24" s="772"/>
      <c r="U24" s="772"/>
      <c r="V24" s="772"/>
      <c r="W24" s="772"/>
      <c r="X24" s="772"/>
      <c r="Y24" s="772"/>
      <c r="Z24" s="772"/>
      <c r="AA24" s="772"/>
      <c r="AB24" s="772"/>
      <c r="AC24" s="772"/>
      <c r="AD24" s="772"/>
      <c r="AE24" s="772"/>
      <c r="AF24" s="772"/>
      <c r="AG24" s="772"/>
      <c r="AH24" s="772"/>
      <c r="AI24" s="772"/>
      <c r="AJ24" s="772"/>
      <c r="AK24" s="772"/>
      <c r="AL24" s="772"/>
      <c r="AM24" s="772"/>
      <c r="AN24" s="772"/>
      <c r="AO24" s="772"/>
      <c r="AP24" s="772"/>
      <c r="AQ24" s="772"/>
      <c r="AR24" s="772"/>
      <c r="AS24" s="772"/>
      <c r="AT24" s="773"/>
      <c r="AV24" s="640"/>
      <c r="AW24" s="640"/>
      <c r="AX24" s="640"/>
      <c r="AY24" s="640"/>
      <c r="AZ24" s="640"/>
      <c r="BA24" s="640"/>
      <c r="BB24" s="640"/>
      <c r="BC24" s="640"/>
      <c r="BD24" s="640"/>
      <c r="BE24" s="640"/>
      <c r="BF24" s="640"/>
      <c r="BG24" s="640"/>
      <c r="BH24" s="640"/>
      <c r="BI24" s="640"/>
      <c r="BJ24" s="640"/>
      <c r="BK24" s="640"/>
      <c r="BL24" s="640"/>
      <c r="BM24" s="640"/>
      <c r="BN24" s="640"/>
      <c r="BO24" s="640"/>
    </row>
    <row r="25" spans="2:67" ht="16.899999999999999" customHeight="1" x14ac:dyDescent="0.15">
      <c r="B25" s="669"/>
      <c r="C25" s="669"/>
      <c r="D25" s="669"/>
      <c r="E25" s="669"/>
      <c r="F25" s="669"/>
      <c r="G25" s="669"/>
      <c r="H25" s="669"/>
      <c r="I25" s="669"/>
      <c r="J25" s="669"/>
      <c r="K25" s="669"/>
      <c r="L25" s="669"/>
      <c r="M25" s="669"/>
      <c r="O25" s="779"/>
      <c r="P25" s="780"/>
      <c r="Q25" s="780"/>
      <c r="R25" s="780"/>
      <c r="S25" s="771"/>
      <c r="T25" s="772"/>
      <c r="U25" s="772"/>
      <c r="V25" s="772"/>
      <c r="W25" s="772"/>
      <c r="X25" s="772"/>
      <c r="Y25" s="772"/>
      <c r="Z25" s="772"/>
      <c r="AA25" s="772"/>
      <c r="AB25" s="772"/>
      <c r="AC25" s="772"/>
      <c r="AD25" s="772"/>
      <c r="AE25" s="772"/>
      <c r="AF25" s="772"/>
      <c r="AG25" s="772"/>
      <c r="AH25" s="772"/>
      <c r="AI25" s="772"/>
      <c r="AJ25" s="772"/>
      <c r="AK25" s="772"/>
      <c r="AL25" s="772"/>
      <c r="AM25" s="772"/>
      <c r="AN25" s="772"/>
      <c r="AO25" s="772"/>
      <c r="AP25" s="772"/>
      <c r="AQ25" s="772"/>
      <c r="AR25" s="772"/>
      <c r="AS25" s="772"/>
      <c r="AT25" s="773"/>
      <c r="AV25" s="640"/>
      <c r="AW25" s="640"/>
      <c r="AX25" s="640"/>
      <c r="AY25" s="640"/>
      <c r="AZ25" s="640"/>
      <c r="BA25" s="640"/>
      <c r="BB25" s="640"/>
      <c r="BC25" s="640"/>
      <c r="BD25" s="640"/>
      <c r="BE25" s="640"/>
      <c r="BF25" s="640"/>
      <c r="BG25" s="640"/>
      <c r="BH25" s="640"/>
      <c r="BI25" s="640"/>
      <c r="BJ25" s="640"/>
      <c r="BK25" s="640"/>
      <c r="BL25" s="640"/>
      <c r="BM25" s="640"/>
      <c r="BN25" s="640"/>
      <c r="BO25" s="640"/>
    </row>
    <row r="26" spans="2:67" ht="16.899999999999999" customHeight="1" x14ac:dyDescent="0.15">
      <c r="B26" s="640"/>
      <c r="C26" s="640"/>
      <c r="D26" s="640"/>
      <c r="E26" s="640"/>
      <c r="F26" s="640"/>
      <c r="G26" s="640"/>
      <c r="H26" s="640"/>
      <c r="I26" s="640"/>
      <c r="J26" s="640"/>
      <c r="K26" s="640"/>
      <c r="L26" s="640"/>
      <c r="M26" s="640"/>
      <c r="O26" s="779"/>
      <c r="P26" s="780"/>
      <c r="Q26" s="780"/>
      <c r="R26" s="780"/>
      <c r="S26" s="771"/>
      <c r="T26" s="772"/>
      <c r="U26" s="772"/>
      <c r="V26" s="772"/>
      <c r="W26" s="772"/>
      <c r="X26" s="772"/>
      <c r="Y26" s="772"/>
      <c r="Z26" s="772"/>
      <c r="AA26" s="772"/>
      <c r="AB26" s="772"/>
      <c r="AC26" s="772"/>
      <c r="AD26" s="772"/>
      <c r="AE26" s="772"/>
      <c r="AF26" s="772"/>
      <c r="AG26" s="772"/>
      <c r="AH26" s="772"/>
      <c r="AI26" s="772"/>
      <c r="AJ26" s="772"/>
      <c r="AK26" s="772"/>
      <c r="AL26" s="772"/>
      <c r="AM26" s="772"/>
      <c r="AN26" s="772"/>
      <c r="AO26" s="772"/>
      <c r="AP26" s="772"/>
      <c r="AQ26" s="772"/>
      <c r="AR26" s="772"/>
      <c r="AS26" s="772"/>
      <c r="AT26" s="773"/>
      <c r="AV26" s="640"/>
      <c r="AW26" s="640"/>
      <c r="AX26" s="640"/>
      <c r="AY26" s="640"/>
      <c r="AZ26" s="640"/>
      <c r="BA26" s="640"/>
      <c r="BB26" s="640"/>
      <c r="BC26" s="640"/>
      <c r="BD26" s="640"/>
      <c r="BE26" s="640"/>
      <c r="BF26" s="640"/>
      <c r="BG26" s="640"/>
      <c r="BH26" s="640"/>
      <c r="BI26" s="640"/>
      <c r="BJ26" s="640"/>
      <c r="BK26" s="640"/>
      <c r="BL26" s="640"/>
      <c r="BM26" s="640"/>
      <c r="BN26" s="640"/>
      <c r="BO26" s="640"/>
    </row>
    <row r="27" spans="2:67" ht="16.899999999999999" customHeight="1" x14ac:dyDescent="0.15">
      <c r="B27" s="669"/>
      <c r="C27" s="669"/>
      <c r="D27" s="669"/>
      <c r="E27" s="669"/>
      <c r="F27" s="669"/>
      <c r="G27" s="669"/>
      <c r="H27" s="669"/>
      <c r="I27" s="669"/>
      <c r="J27" s="669"/>
      <c r="K27" s="669"/>
      <c r="L27" s="669"/>
      <c r="M27" s="669"/>
      <c r="O27" s="779"/>
      <c r="P27" s="780"/>
      <c r="Q27" s="780"/>
      <c r="R27" s="780"/>
      <c r="S27" s="771"/>
      <c r="T27" s="772"/>
      <c r="U27" s="772"/>
      <c r="V27" s="772"/>
      <c r="W27" s="772"/>
      <c r="X27" s="772"/>
      <c r="Y27" s="772"/>
      <c r="Z27" s="772"/>
      <c r="AA27" s="772"/>
      <c r="AB27" s="772"/>
      <c r="AC27" s="772"/>
      <c r="AD27" s="772"/>
      <c r="AE27" s="772"/>
      <c r="AF27" s="772"/>
      <c r="AG27" s="772"/>
      <c r="AH27" s="772"/>
      <c r="AI27" s="772"/>
      <c r="AJ27" s="772"/>
      <c r="AK27" s="772"/>
      <c r="AL27" s="772"/>
      <c r="AM27" s="772"/>
      <c r="AN27" s="772"/>
      <c r="AO27" s="772"/>
      <c r="AP27" s="772"/>
      <c r="AQ27" s="772"/>
      <c r="AR27" s="772"/>
      <c r="AS27" s="772"/>
      <c r="AT27" s="773"/>
      <c r="AV27" s="640"/>
      <c r="AW27" s="640"/>
      <c r="AX27" s="640"/>
      <c r="AY27" s="640"/>
      <c r="AZ27" s="640"/>
      <c r="BA27" s="640"/>
      <c r="BB27" s="640"/>
      <c r="BC27" s="640"/>
      <c r="BD27" s="640"/>
      <c r="BE27" s="640"/>
      <c r="BF27" s="640"/>
      <c r="BG27" s="640"/>
      <c r="BH27" s="640"/>
      <c r="BI27" s="640"/>
      <c r="BJ27" s="640"/>
      <c r="BK27" s="640"/>
      <c r="BL27" s="640"/>
      <c r="BM27" s="640"/>
      <c r="BN27" s="640"/>
      <c r="BO27" s="640"/>
    </row>
    <row r="28" spans="2:67" ht="16.899999999999999" customHeight="1" x14ac:dyDescent="0.15">
      <c r="B28" s="640"/>
      <c r="C28" s="640"/>
      <c r="D28" s="640"/>
      <c r="E28" s="640"/>
      <c r="F28" s="640"/>
      <c r="G28" s="640"/>
      <c r="H28" s="640"/>
      <c r="I28" s="640"/>
      <c r="J28" s="640"/>
      <c r="K28" s="640"/>
      <c r="L28" s="640"/>
      <c r="M28" s="640"/>
      <c r="O28" s="779"/>
      <c r="P28" s="780"/>
      <c r="Q28" s="780"/>
      <c r="R28" s="780"/>
      <c r="S28" s="771"/>
      <c r="T28" s="772"/>
      <c r="U28" s="772"/>
      <c r="V28" s="772"/>
      <c r="W28" s="772"/>
      <c r="X28" s="772"/>
      <c r="Y28" s="772"/>
      <c r="Z28" s="772"/>
      <c r="AA28" s="772"/>
      <c r="AB28" s="772"/>
      <c r="AC28" s="772"/>
      <c r="AD28" s="772"/>
      <c r="AE28" s="772"/>
      <c r="AF28" s="772"/>
      <c r="AG28" s="772"/>
      <c r="AH28" s="772"/>
      <c r="AI28" s="772"/>
      <c r="AJ28" s="772"/>
      <c r="AK28" s="772"/>
      <c r="AL28" s="772"/>
      <c r="AM28" s="772"/>
      <c r="AN28" s="772"/>
      <c r="AO28" s="772"/>
      <c r="AP28" s="772"/>
      <c r="AQ28" s="772"/>
      <c r="AR28" s="772"/>
      <c r="AS28" s="772"/>
      <c r="AT28" s="773"/>
      <c r="AV28" s="640"/>
      <c r="AW28" s="640"/>
      <c r="AX28" s="640"/>
      <c r="AY28" s="640"/>
      <c r="AZ28" s="640"/>
      <c r="BA28" s="640"/>
      <c r="BB28" s="640"/>
      <c r="BC28" s="640"/>
      <c r="BD28" s="640"/>
      <c r="BE28" s="640"/>
      <c r="BF28" s="640"/>
      <c r="BG28" s="640"/>
      <c r="BH28" s="640"/>
      <c r="BI28" s="640"/>
      <c r="BJ28" s="640"/>
      <c r="BK28" s="640"/>
      <c r="BL28" s="640"/>
      <c r="BM28" s="640"/>
      <c r="BN28" s="640"/>
      <c r="BO28" s="640"/>
    </row>
    <row r="29" spans="2:67" ht="16.899999999999999" customHeight="1" x14ac:dyDescent="0.15">
      <c r="O29" s="779"/>
      <c r="P29" s="780"/>
      <c r="Q29" s="780"/>
      <c r="R29" s="780"/>
      <c r="S29" s="771"/>
      <c r="T29" s="772"/>
      <c r="U29" s="772"/>
      <c r="V29" s="772"/>
      <c r="W29" s="772"/>
      <c r="X29" s="772"/>
      <c r="Y29" s="772"/>
      <c r="Z29" s="772"/>
      <c r="AA29" s="772"/>
      <c r="AB29" s="772"/>
      <c r="AC29" s="772"/>
      <c r="AD29" s="772"/>
      <c r="AE29" s="772"/>
      <c r="AF29" s="772"/>
      <c r="AG29" s="772"/>
      <c r="AH29" s="772"/>
      <c r="AI29" s="772"/>
      <c r="AJ29" s="772"/>
      <c r="AK29" s="772"/>
      <c r="AL29" s="772"/>
      <c r="AM29" s="772"/>
      <c r="AN29" s="772"/>
      <c r="AO29" s="772"/>
      <c r="AP29" s="772"/>
      <c r="AQ29" s="772"/>
      <c r="AR29" s="772"/>
      <c r="AS29" s="772"/>
      <c r="AT29" s="773"/>
      <c r="AV29" s="640"/>
      <c r="AW29" s="640"/>
      <c r="AX29" s="640"/>
      <c r="AY29" s="640"/>
      <c r="AZ29" s="640"/>
      <c r="BA29" s="640"/>
      <c r="BB29" s="640"/>
      <c r="BC29" s="640"/>
      <c r="BD29" s="640"/>
      <c r="BE29" s="640"/>
      <c r="BF29" s="640"/>
      <c r="BG29" s="640"/>
      <c r="BH29" s="640"/>
      <c r="BI29" s="640"/>
      <c r="BJ29" s="640"/>
      <c r="BK29" s="640"/>
      <c r="BL29" s="640"/>
      <c r="BM29" s="640"/>
      <c r="BN29" s="640"/>
      <c r="BO29" s="640"/>
    </row>
    <row r="30" spans="2:67" ht="16.899999999999999" customHeight="1" x14ac:dyDescent="0.15">
      <c r="B30" s="803" t="s">
        <v>2944</v>
      </c>
      <c r="C30" s="803"/>
      <c r="D30" s="803"/>
      <c r="E30" s="803"/>
      <c r="F30" s="803"/>
      <c r="G30" s="803"/>
      <c r="H30" s="803"/>
      <c r="I30" s="803"/>
      <c r="J30" s="803"/>
      <c r="K30" s="803"/>
      <c r="L30" s="803"/>
      <c r="M30" s="803"/>
      <c r="O30" s="779"/>
      <c r="P30" s="780"/>
      <c r="Q30" s="780"/>
      <c r="R30" s="780"/>
      <c r="S30" s="771"/>
      <c r="T30" s="772"/>
      <c r="U30" s="772"/>
      <c r="V30" s="772"/>
      <c r="W30" s="772"/>
      <c r="X30" s="772"/>
      <c r="Y30" s="772"/>
      <c r="Z30" s="772"/>
      <c r="AA30" s="772"/>
      <c r="AB30" s="772"/>
      <c r="AC30" s="772"/>
      <c r="AD30" s="772"/>
      <c r="AE30" s="772"/>
      <c r="AF30" s="772"/>
      <c r="AG30" s="772"/>
      <c r="AH30" s="772"/>
      <c r="AI30" s="772"/>
      <c r="AJ30" s="772"/>
      <c r="AK30" s="772"/>
      <c r="AL30" s="772"/>
      <c r="AM30" s="772"/>
      <c r="AN30" s="772"/>
      <c r="AO30" s="772"/>
      <c r="AP30" s="772"/>
      <c r="AQ30" s="772"/>
      <c r="AR30" s="772"/>
      <c r="AS30" s="772"/>
      <c r="AT30" s="773"/>
      <c r="AV30" s="640"/>
      <c r="AW30" s="640"/>
      <c r="AX30" s="640"/>
      <c r="AY30" s="640"/>
      <c r="AZ30" s="640"/>
      <c r="BA30" s="640"/>
      <c r="BB30" s="640"/>
      <c r="BC30" s="640"/>
      <c r="BD30" s="640"/>
      <c r="BE30" s="640"/>
      <c r="BF30" s="640"/>
      <c r="BG30" s="640"/>
      <c r="BH30" s="640"/>
      <c r="BI30" s="640"/>
      <c r="BJ30" s="640"/>
      <c r="BK30" s="640"/>
      <c r="BL30" s="640"/>
      <c r="BM30" s="640"/>
      <c r="BN30" s="640"/>
      <c r="BO30" s="640"/>
    </row>
    <row r="31" spans="2:67" ht="15" customHeight="1" x14ac:dyDescent="0.15">
      <c r="B31" s="640" t="inlineStr">
        <is>
          <t xml:space="preserve">选择一种工匠工具（参见第六章）</t>
        </is>
      </c>
      <c r="C31" s="640"/>
      <c r="D31" s="640"/>
      <c r="E31" s="640"/>
      <c r="F31" s="640"/>
      <c r="G31" s="640"/>
      <c r="H31" s="640"/>
      <c r="I31" s="640"/>
      <c r="J31" s="640"/>
      <c r="K31" s="640"/>
      <c r="L31" s="640"/>
      <c r="M31" s="640"/>
      <c r="O31" s="779"/>
      <c r="P31" s="780"/>
      <c r="Q31" s="780"/>
      <c r="R31" s="780"/>
      <c r="S31" s="771"/>
      <c r="T31" s="772"/>
      <c r="U31" s="772"/>
      <c r="V31" s="772"/>
      <c r="W31" s="772"/>
      <c r="X31" s="772"/>
      <c r="Y31" s="772"/>
      <c r="Z31" s="772"/>
      <c r="AA31" s="772"/>
      <c r="AB31" s="772"/>
      <c r="AC31" s="772"/>
      <c r="AD31" s="772"/>
      <c r="AE31" s="772"/>
      <c r="AF31" s="772"/>
      <c r="AG31" s="772"/>
      <c r="AH31" s="772"/>
      <c r="AI31" s="772"/>
      <c r="AJ31" s="772"/>
      <c r="AK31" s="772"/>
      <c r="AL31" s="772"/>
      <c r="AM31" s="772"/>
      <c r="AN31" s="772"/>
      <c r="AO31" s="772"/>
      <c r="AP31" s="772"/>
      <c r="AQ31" s="772"/>
      <c r="AR31" s="772"/>
      <c r="AS31" s="772"/>
      <c r="AT31" s="773"/>
      <c r="AV31" s="640"/>
      <c r="AW31" s="640"/>
      <c r="AX31" s="640"/>
      <c r="AY31" s="640"/>
      <c r="AZ31" s="640"/>
      <c r="BA31" s="640"/>
      <c r="BB31" s="640"/>
      <c r="BC31" s="640"/>
      <c r="BD31" s="640"/>
      <c r="BE31" s="640"/>
      <c r="BF31" s="640"/>
      <c r="BG31" s="640"/>
      <c r="BH31" s="640"/>
      <c r="BI31" s="640"/>
      <c r="BJ31" s="640"/>
      <c r="BK31" s="640"/>
      <c r="BL31" s="640"/>
      <c r="BM31" s="640"/>
      <c r="BN31" s="640"/>
      <c r="BO31" s="640"/>
    </row>
    <row r="32" spans="2:67" ht="15" customHeight="1" x14ac:dyDescent="0.15">
      <c r="B32" s="669"/>
      <c r="C32" s="669"/>
      <c r="D32" s="669"/>
      <c r="E32" s="669"/>
      <c r="F32" s="669"/>
      <c r="G32" s="669"/>
      <c r="H32" s="669"/>
      <c r="I32" s="669"/>
      <c r="J32" s="669"/>
      <c r="K32" s="669"/>
      <c r="L32" s="669"/>
      <c r="M32" s="669"/>
      <c r="O32" s="779"/>
      <c r="P32" s="780"/>
      <c r="Q32" s="780"/>
      <c r="R32" s="780"/>
      <c r="S32" s="771"/>
      <c r="T32" s="772"/>
      <c r="U32" s="772"/>
      <c r="V32" s="772"/>
      <c r="W32" s="772"/>
      <c r="X32" s="772"/>
      <c r="Y32" s="772"/>
      <c r="Z32" s="772"/>
      <c r="AA32" s="772"/>
      <c r="AB32" s="772"/>
      <c r="AC32" s="772"/>
      <c r="AD32" s="772"/>
      <c r="AE32" s="772"/>
      <c r="AF32" s="772"/>
      <c r="AG32" s="772"/>
      <c r="AH32" s="772"/>
      <c r="AI32" s="772"/>
      <c r="AJ32" s="772"/>
      <c r="AK32" s="772"/>
      <c r="AL32" s="772"/>
      <c r="AM32" s="772"/>
      <c r="AN32" s="772"/>
      <c r="AO32" s="772"/>
      <c r="AP32" s="772"/>
      <c r="AQ32" s="772"/>
      <c r="AR32" s="772"/>
      <c r="AS32" s="772"/>
      <c r="AT32" s="773"/>
      <c r="AV32" s="640"/>
      <c r="AW32" s="640"/>
      <c r="AX32" s="640"/>
      <c r="AY32" s="640"/>
      <c r="AZ32" s="640"/>
      <c r="BA32" s="640"/>
      <c r="BB32" s="640"/>
      <c r="BC32" s="640"/>
      <c r="BD32" s="640"/>
      <c r="BE32" s="640"/>
      <c r="BF32" s="640"/>
      <c r="BG32" s="640"/>
      <c r="BH32" s="640"/>
      <c r="BI32" s="640"/>
      <c r="BJ32" s="640"/>
      <c r="BK32" s="640"/>
      <c r="BL32" s="640"/>
      <c r="BM32" s="640"/>
      <c r="BN32" s="640"/>
      <c r="BO32" s="640"/>
    </row>
    <row r="33" spans="2:67" ht="15" customHeight="1" x14ac:dyDescent="0.15">
      <c r="B33" s="640"/>
      <c r="C33" s="640"/>
      <c r="D33" s="640"/>
      <c r="E33" s="640"/>
      <c r="F33" s="640"/>
      <c r="G33" s="640"/>
      <c r="H33" s="640"/>
      <c r="I33" s="640"/>
      <c r="J33" s="640"/>
      <c r="K33" s="640"/>
      <c r="L33" s="640"/>
      <c r="M33" s="640"/>
      <c r="O33" s="779"/>
      <c r="P33" s="780"/>
      <c r="Q33" s="780"/>
      <c r="R33" s="780"/>
      <c r="S33" s="771"/>
      <c r="T33" s="772"/>
      <c r="U33" s="772"/>
      <c r="V33" s="772"/>
      <c r="W33" s="772"/>
      <c r="X33" s="772"/>
      <c r="Y33" s="772"/>
      <c r="Z33" s="772"/>
      <c r="AA33" s="772"/>
      <c r="AB33" s="772"/>
      <c r="AC33" s="772"/>
      <c r="AD33" s="772"/>
      <c r="AE33" s="772"/>
      <c r="AF33" s="772"/>
      <c r="AG33" s="772"/>
      <c r="AH33" s="772"/>
      <c r="AI33" s="772"/>
      <c r="AJ33" s="772"/>
      <c r="AK33" s="772"/>
      <c r="AL33" s="772"/>
      <c r="AM33" s="772"/>
      <c r="AN33" s="772"/>
      <c r="AO33" s="772"/>
      <c r="AP33" s="772"/>
      <c r="AQ33" s="772"/>
      <c r="AR33" s="772"/>
      <c r="AS33" s="772"/>
      <c r="AT33" s="773"/>
      <c r="AV33" s="640"/>
      <c r="AW33" s="640"/>
      <c r="AX33" s="640"/>
      <c r="AY33" s="640"/>
      <c r="AZ33" s="640"/>
      <c r="BA33" s="640"/>
      <c r="BB33" s="640"/>
      <c r="BC33" s="640"/>
      <c r="BD33" s="640"/>
      <c r="BE33" s="640"/>
      <c r="BF33" s="640"/>
      <c r="BG33" s="640"/>
      <c r="BH33" s="640"/>
      <c r="BI33" s="640"/>
      <c r="BJ33" s="640"/>
      <c r="BK33" s="640"/>
      <c r="BL33" s="640"/>
      <c r="BM33" s="640"/>
      <c r="BN33" s="640"/>
      <c r="BO33" s="640"/>
    </row>
    <row r="34" spans="2:67" ht="15" customHeight="1" x14ac:dyDescent="0.15">
      <c r="B34" s="669"/>
      <c r="C34" s="669"/>
      <c r="D34" s="669"/>
      <c r="E34" s="669"/>
      <c r="F34" s="669"/>
      <c r="G34" s="669"/>
      <c r="H34" s="669"/>
      <c r="I34" s="669"/>
      <c r="J34" s="669"/>
      <c r="K34" s="669"/>
      <c r="L34" s="669"/>
      <c r="M34" s="669"/>
      <c r="O34" s="779"/>
      <c r="P34" s="780"/>
      <c r="Q34" s="780"/>
      <c r="R34" s="780"/>
      <c r="S34" s="771"/>
      <c r="T34" s="772"/>
      <c r="U34" s="772"/>
      <c r="V34" s="772"/>
      <c r="W34" s="772"/>
      <c r="X34" s="772"/>
      <c r="Y34" s="772"/>
      <c r="Z34" s="772"/>
      <c r="AA34" s="772"/>
      <c r="AB34" s="772"/>
      <c r="AC34" s="772"/>
      <c r="AD34" s="772"/>
      <c r="AE34" s="772"/>
      <c r="AF34" s="772"/>
      <c r="AG34" s="772"/>
      <c r="AH34" s="772"/>
      <c r="AI34" s="772"/>
      <c r="AJ34" s="772"/>
      <c r="AK34" s="772"/>
      <c r="AL34" s="772"/>
      <c r="AM34" s="772"/>
      <c r="AN34" s="772"/>
      <c r="AO34" s="772"/>
      <c r="AP34" s="772"/>
      <c r="AQ34" s="772"/>
      <c r="AR34" s="772"/>
      <c r="AS34" s="772"/>
      <c r="AT34" s="773"/>
      <c r="AV34" s="640"/>
      <c r="AW34" s="640"/>
      <c r="AX34" s="640"/>
      <c r="AY34" s="640"/>
      <c r="AZ34" s="640"/>
      <c r="BA34" s="640"/>
      <c r="BB34" s="640"/>
      <c r="BC34" s="640"/>
      <c r="BD34" s="640"/>
      <c r="BE34" s="640"/>
      <c r="BF34" s="640"/>
      <c r="BG34" s="640"/>
      <c r="BH34" s="640"/>
      <c r="BI34" s="640"/>
      <c r="BJ34" s="640"/>
      <c r="BK34" s="640"/>
      <c r="BL34" s="640"/>
      <c r="BM34" s="640"/>
      <c r="BN34" s="640"/>
      <c r="BO34" s="640"/>
    </row>
    <row r="35" spans="2:67" ht="15" customHeight="1" x14ac:dyDescent="0.15">
      <c r="B35" s="640"/>
      <c r="C35" s="640"/>
      <c r="D35" s="640"/>
      <c r="E35" s="640"/>
      <c r="F35" s="640"/>
      <c r="G35" s="640"/>
      <c r="H35" s="640"/>
      <c r="I35" s="640"/>
      <c r="J35" s="640"/>
      <c r="K35" s="640"/>
      <c r="L35" s="640"/>
      <c r="M35" s="640"/>
      <c r="O35" s="781"/>
      <c r="P35" s="782"/>
      <c r="Q35" s="782"/>
      <c r="R35" s="782"/>
      <c r="S35" s="774"/>
      <c r="T35" s="775"/>
      <c r="U35" s="775"/>
      <c r="V35" s="775"/>
      <c r="W35" s="775"/>
      <c r="X35" s="775"/>
      <c r="Y35" s="775"/>
      <c r="Z35" s="775"/>
      <c r="AA35" s="775"/>
      <c r="AB35" s="775"/>
      <c r="AC35" s="775"/>
      <c r="AD35" s="775"/>
      <c r="AE35" s="775"/>
      <c r="AF35" s="775"/>
      <c r="AG35" s="775"/>
      <c r="AH35" s="775"/>
      <c r="AI35" s="775"/>
      <c r="AJ35" s="775"/>
      <c r="AK35" s="775"/>
      <c r="AL35" s="775"/>
      <c r="AM35" s="775"/>
      <c r="AN35" s="775"/>
      <c r="AO35" s="775"/>
      <c r="AP35" s="775"/>
      <c r="AQ35" s="775"/>
      <c r="AR35" s="775"/>
      <c r="AS35" s="775"/>
      <c r="AT35" s="776"/>
      <c r="AV35" s="640"/>
      <c r="AW35" s="640"/>
      <c r="AX35" s="640"/>
      <c r="AY35" s="640"/>
      <c r="AZ35" s="640"/>
      <c r="BA35" s="640"/>
      <c r="BB35" s="640"/>
      <c r="BC35" s="640"/>
      <c r="BD35" s="640"/>
      <c r="BE35" s="640"/>
      <c r="BF35" s="640"/>
      <c r="BG35" s="640"/>
      <c r="BH35" s="640"/>
      <c r="BI35" s="640"/>
      <c r="BJ35" s="640"/>
      <c r="BK35" s="640"/>
      <c r="BL35" s="640"/>
      <c r="BM35" s="640"/>
      <c r="BN35" s="640"/>
      <c r="BO35" s="640"/>
    </row>
    <row r="36" spans="2:67" ht="15" customHeight="1" x14ac:dyDescent="0.15">
      <c r="B36" s="139"/>
      <c r="C36" s="139"/>
      <c r="D36" s="139"/>
      <c r="E36" s="139"/>
      <c r="F36" s="139"/>
      <c r="G36" s="139"/>
      <c r="H36" s="139"/>
      <c r="I36" s="139"/>
      <c r="J36" s="139"/>
      <c r="K36" s="139"/>
      <c r="L36" s="139"/>
      <c r="M36" s="139"/>
    </row>
  </sheetData>
  <sheetProtection sheet="1"/>
  <mergeCells count="67">
    <mergeCell ref="B12:M21"/>
    <mergeCell ref="B35:G35"/>
    <mergeCell ref="H35:M35"/>
    <mergeCell ref="O15:R15"/>
    <mergeCell ref="O14:R14"/>
    <mergeCell ref="B28:G28"/>
    <mergeCell ref="H28:M28"/>
    <mergeCell ref="B23:M23"/>
    <mergeCell ref="B33:G33"/>
    <mergeCell ref="H33:M33"/>
    <mergeCell ref="B34:G34"/>
    <mergeCell ref="H34:M34"/>
    <mergeCell ref="B27:G27"/>
    <mergeCell ref="H27:M27"/>
    <mergeCell ref="B32:G32"/>
    <mergeCell ref="H32:M32"/>
    <mergeCell ref="B31:G31"/>
    <mergeCell ref="H31:M31"/>
    <mergeCell ref="B24:G24"/>
    <mergeCell ref="H24:M24"/>
    <mergeCell ref="B25:G25"/>
    <mergeCell ref="H25:M25"/>
    <mergeCell ref="B26:G26"/>
    <mergeCell ref="H26:M26"/>
    <mergeCell ref="B30:M30"/>
    <mergeCell ref="E9:G9"/>
    <mergeCell ref="H9:J9"/>
    <mergeCell ref="K9:M9"/>
    <mergeCell ref="O7:R9"/>
    <mergeCell ref="S7:AN9"/>
    <mergeCell ref="A1:BP1"/>
    <mergeCell ref="B3:D3"/>
    <mergeCell ref="E3:M3"/>
    <mergeCell ref="B11:M11"/>
    <mergeCell ref="B4:D4"/>
    <mergeCell ref="E4:M4"/>
    <mergeCell ref="B5:D5"/>
    <mergeCell ref="E5:M5"/>
    <mergeCell ref="B6:D6"/>
    <mergeCell ref="E6:M6"/>
    <mergeCell ref="B8:D8"/>
    <mergeCell ref="E8:G8"/>
    <mergeCell ref="H8:J8"/>
    <mergeCell ref="K8:M8"/>
    <mergeCell ref="B9:D9"/>
    <mergeCell ref="S11:AT11"/>
    <mergeCell ref="AP3:BO3"/>
    <mergeCell ref="AP4:BO9"/>
    <mergeCell ref="O3:AN3"/>
    <mergeCell ref="S6:AN6"/>
    <mergeCell ref="S5:AN5"/>
    <mergeCell ref="O6:R6"/>
    <mergeCell ref="AB4:AE4"/>
    <mergeCell ref="O5:R5"/>
    <mergeCell ref="AV11:BO11"/>
    <mergeCell ref="S12:AT12"/>
    <mergeCell ref="O4:R4"/>
    <mergeCell ref="S4:AA4"/>
    <mergeCell ref="O13:R13"/>
    <mergeCell ref="S13:AT13"/>
    <mergeCell ref="AF4:AN4"/>
    <mergeCell ref="O11:R12"/>
    <mergeCell ref="AV12:BO35"/>
    <mergeCell ref="S14:AT14"/>
    <mergeCell ref="S15:AT15"/>
    <mergeCell ref="S17:AT35"/>
    <mergeCell ref="O17:R35"/>
  </mergeCells>
  <phoneticPr fontId="68" type="noConversion"/>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11">
        <x14:dataValidation type="list" allowBlank="1" showInputMessage="1" xr:uid="{808602CC-5D83-421C-A6D7-48C041E2AA8E}">
          <x14:formula1>
            <xm:f>背景!$K$2</xm:f>
          </x14:formula1>
          <xm:sqref>AF4:AN4</xm:sqref>
        </x14:dataValidation>
        <x14:dataValidation type="list" allowBlank="1" showInputMessage="1" xr:uid="{5F1BFD51-CD32-4310-BC9F-609BCA3F402D}">
          <x14:formula1>
            <xm:f>背景!$L$2</xm:f>
          </x14:formula1>
          <xm:sqref>S5:AA5</xm:sqref>
        </x14:dataValidation>
        <x14:dataValidation type="list" allowBlank="1" showInputMessage="1" xr:uid="{6BDF2A1D-9204-494E-ADFD-6EA7414D6A71}">
          <x14:formula1>
            <xm:f>背景!$M$2</xm:f>
          </x14:formula1>
          <xm:sqref>S6:AA6</xm:sqref>
        </x14:dataValidation>
        <x14:dataValidation type="list" allowBlank="1" showInputMessage="1" xr:uid="{7A918830-266C-4516-BC5A-5AD5AB214DFD}">
          <x14:formula1>
            <xm:f>背景!$N$2</xm:f>
          </x14:formula1>
          <xm:sqref>S7:AD8</xm:sqref>
        </x14:dataValidation>
        <x14:dataValidation type="list" allowBlank="1" showInputMessage="1" xr:uid="{FB805B76-C0A5-4EAB-AA59-5A3888B729CD}">
          <x14:formula1>
            <xm:f>背景!$O$2</xm:f>
          </x14:formula1>
          <xm:sqref>AP4:BO7</xm:sqref>
        </x14:dataValidation>
        <x14:dataValidation type="list" allowBlank="1" showInputMessage="1" xr:uid="{F489F0FC-40E5-495E-9B24-E6636C93B9DE}">
          <x14:formula1>
            <xm:f>OFFSET(背景!$A$2:$A$150,,,SUMPRODUCT(N(LEN(背景!$A$2:$A$150)&gt;0)),)</xm:f>
          </x14:formula1>
          <xm:sqref>E6:M6</xm:sqref>
        </x14:dataValidation>
        <x14:dataValidation type="list" allowBlank="1" showInputMessage="1" xr:uid="{F6AC8E4D-BAFC-47C7-B6B0-56576620792C}">
          <x14:formula1>
            <xm:f>背景!$J$2</xm:f>
          </x14:formula1>
          <xm:sqref>S4:AA4</xm:sqref>
        </x14:dataValidation>
        <x14:dataValidation type="list" allowBlank="1" showInputMessage="1" xr:uid="{E464737F-4EE8-4710-B24F-F26B5F5769E6}">
          <x14:formula1>
            <xm:f>数据表!$M$2:$M$22</xm:f>
          </x14:formula1>
          <xm:sqref>B24:M28</xm:sqref>
        </x14:dataValidation>
        <x14:dataValidation type="list" allowBlank="1" showInputMessage="1" xr:uid="{CC167136-100F-4BCB-A2A9-1AE2C5017979}">
          <x14:formula1>
            <xm:f>OFFSET(装备!$K$1:$K$45,,,SUMPRODUCT(N(LEN(装备!$K$1:$K$45)&gt;0)),)</xm:f>
          </x14:formula1>
          <xm:sqref>B31:M35</xm:sqref>
        </x14:dataValidation>
        <x14:dataValidation type="list" allowBlank="1" showInputMessage="1" xr:uid="{6346CCE1-AC69-4127-AFE5-680D088A5D68}">
          <x14:formula1>
            <xm:f>主要!$E$3</xm:f>
          </x14:formula1>
          <xm:sqref>E3:M3</xm:sqref>
        </x14:dataValidation>
        <x14:dataValidation type="list" allowBlank="1" showInputMessage="1" xr:uid="{9B31A198-A3A9-4C6E-8FB5-854CDB799BCB}">
          <x14:formula1>
            <xm:f>主要!$E$4</xm:f>
          </x14:formula1>
          <xm:sqref>E4:M4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L101"/>
  <sheetViews>
    <sheetView showGridLines="0" tabSelected="1" zoomScale="90" zoomScaleNormal="90" workbookViewId="0">
      <selection activeCell="K13" sqref="K13:L13"/>
    </sheetView>
  </sheetViews>
  <sheetFormatPr defaultColWidth="2.375" defaultRowHeight="16.7" customHeight="1" x14ac:dyDescent="0.15"/>
  <cols>
    <col min="1" max="1" width="2.375" style="7"/>
    <col min="2" max="2" width="2.375" style="7" customWidth="1"/>
    <col min="3" max="18" width="2.375" style="7"/>
    <col min="19" max="19" width="2.375" style="7" customWidth="1"/>
    <col min="20" max="37" width="2.375" style="7"/>
    <col min="38" max="38" width="2.375" style="7" customWidth="1"/>
    <col min="39" max="47" width="2.375" style="7"/>
    <col min="48" max="48" width="2.625" style="7" bestFit="1" customWidth="1"/>
    <col min="49" max="49" width="2.375" style="7" customWidth="1"/>
    <col min="50" max="62" width="2.375" style="7"/>
    <col min="63" max="63" width="2.375" style="7" customWidth="1"/>
    <col min="64" max="70" width="2.375" style="7"/>
    <col min="71" max="71" width="2.375" style="7" customWidth="1"/>
    <col min="72" max="72" width="2.375" style="98" customWidth="1"/>
    <col min="73" max="78" width="2.375" style="98"/>
    <col min="79" max="79" width="2.375" style="98" customWidth="1"/>
    <col min="80" max="86" width="2.375" style="98"/>
    <col min="87" max="88" width="2.375" style="98" customWidth="1"/>
    <col min="89" max="99" width="2.375" style="98"/>
    <col min="100" max="100" width="2.375" style="98" customWidth="1"/>
    <col min="101" max="16384" width="2.375" style="98"/>
  </cols>
  <sheetData>
    <row r="1" spans="1:93" ht="16.7" customHeight="1" x14ac:dyDescent="0.15">
      <c r="A1" s="539" t="s">
        <v>10990</v>
      </c>
      <c r="B1" s="539"/>
      <c r="C1" s="539"/>
      <c r="D1" s="539"/>
      <c r="E1" s="539"/>
      <c r="F1" s="539"/>
      <c r="G1" s="539"/>
      <c r="H1" s="539"/>
      <c r="I1" s="539"/>
      <c r="J1" s="539"/>
      <c r="K1" s="539"/>
      <c r="L1" s="539"/>
      <c r="M1" s="539"/>
      <c r="N1" s="539"/>
      <c r="O1" s="539"/>
      <c r="P1" s="539"/>
      <c r="Q1" s="539"/>
      <c r="R1" s="539"/>
      <c r="S1" s="539"/>
      <c r="T1" s="539"/>
      <c r="U1" s="539"/>
      <c r="V1" s="539"/>
      <c r="W1" s="539"/>
      <c r="X1" s="539"/>
      <c r="Y1" s="539"/>
      <c r="Z1" s="539"/>
      <c r="AA1" s="539"/>
      <c r="AB1" s="539"/>
      <c r="AC1" s="539"/>
      <c r="AD1" s="539"/>
      <c r="AE1" s="539"/>
      <c r="AF1" s="539"/>
      <c r="AG1" s="539"/>
      <c r="AH1" s="539"/>
      <c r="AI1" s="539"/>
      <c r="AJ1" s="539"/>
      <c r="AK1" s="539"/>
      <c r="AL1" s="539"/>
      <c r="AM1" s="539"/>
      <c r="AN1" s="539"/>
      <c r="AO1" s="539"/>
      <c r="AP1" s="539"/>
      <c r="AQ1" s="539"/>
      <c r="AR1" s="539"/>
      <c r="AS1" s="539"/>
      <c r="AT1" s="539"/>
      <c r="AU1" s="539"/>
      <c r="AV1" s="5" t="str">
        <f>".st"&amp;
" 力量"&amp;IF($B$13="O","*","")&amp;":"&amp;$F$13&amp;
" 敏捷"&amp;IF($B$14="O","*","")&amp;":"&amp;$F$14&amp;
" 体质"&amp;IF($B$15="O","*","")&amp;":"&amp;$F$15&amp;
" 智力"&amp;IF($B$16="O","*","")&amp;":"&amp;$F$16&amp;
" 感知"&amp;IF($B$17="O","*","")&amp;":"&amp;$F$17&amp;
" 魅力"&amp;IF($B$18="O","*","")&amp;":"&amp;$F$18&amp;
" hp"&amp;":"&amp;R22&amp;" hpmax"&amp;":"&amp;V22&amp;
" 先攻"&amp;":"&amp;D22&amp;" ac"&amp;":"&amp;D23&amp;" dc"&amp;":"&amp;D24&amp;" pp"&amp;":"&amp;$L$23&amp;" 熟练"&amp;":"&amp;S3&amp;
" 运动"&amp;IF($B$41="O","*",IF($B$41="🅞","*2",IF($H$39="O","*0.5","")))&amp;":"&amp;IF($F$41+$X$11="",0,$F$41+$X$11)&amp;
" 特技"&amp;IF($B$43="O","*",IF($B$43="🅞","*2",IF($H$39="O","*0.5","")))&amp;":"&amp;IF($F$43+$X$11="",0,$F$43+$X$11)&amp;
" 巧手"&amp;IF($B$44="O","*",IF($B$44="🅞","*2",IF($H$39="O","*0.5","")))&amp;":"&amp;IF($F$44+$X$11="",0,$F$44+$X$11)&amp;
" 隐匿"&amp;IF($B$45="O","*",IF($B$45="🅞","*2",IF($H$39="O","*0.5","")))&amp;":"&amp;IF($F$45+$X$11="",0,$F$45+$X$11)&amp;
" 调查"&amp;IF($B$47="O","*",IF($B$47="🅞","*2",IF($H$39="O","*0.5","")))&amp;":"&amp;IF($F$47+$X$11="",0,$F$47+$X$11)&amp;
" 奥秘"&amp;IF($B$48="O","*",IF($B$48="🅞","*2",IF($H$39="O","*0.5","")))&amp;":"&amp;IF($F$48+$X$11="",0,$F$48+$X$11)&amp;
" 历史"&amp;IF($B$49="O","*",IF($B$49="🅞","*2",IF($H$39="O","*0.5","")))&amp;":"&amp;IF($F$49+$X$11="",0,$F$49+$X$11)&amp;
" 自然"&amp;IF($B$50="O","*",IF($B$50="🅞","*2",IF($H$39="O","*0.5","")))&amp;":"&amp;IF($F$50+$X$11="",0,$F$50+$X$11)&amp;
" 宗教"&amp;IF($B$51="O","*",IF($B$51="🅞","*2",IF($H$39="O","*0.5","")))&amp;":"&amp;IF($F$51+$X$11="",0,$F$51+$X$11)&amp;
" 察觉"&amp;IF($B$53="O","*",IF($B$53="🅞","*2",IF($H$39="O","*0.5","")))&amp;":"&amp;IF($F$53+$X$11="",0,$F$53+$X$11)&amp;
" 洞悉"&amp;IF($B$54="O","*",IF($B$54="🅞","*2",IF($H$39="O","*0.5","")))&amp;":"&amp;IF($F$54+$X$11="",0,$F$54+$X$11)&amp;
" 驯兽"&amp;IF($B$55="O","*",IF($B$55="🅞","*2",IF($H$39="O","*0.5","")))&amp;":"&amp;IF($F$55+$X$11="",0,$F$55+$X$11)&amp;
" 医疗"&amp;IF($B$56="O","*",IF($B$56="🅞","*2",IF($H$39="O","*0.5","")))&amp;":"&amp;IF($F$56+$X$11="",0,$F$56+$X$11)&amp;
" 求生"&amp;IF($B$57="O","*",IF($B$57="🅞","*2",IF($H$39="O","*0.5","")))&amp;":"&amp;IF($F$57+$X$11="",0,$F$57+$X$11)&amp;
" 游说"&amp;IF($B$59="O","*",IF($B$59="🅞","*2",IF($H$39="O","*0.5","")))&amp;":"&amp;IF($F$59+$X$11="",0,$F$59+$X$11)&amp;
" 欺瞒"&amp;IF($B$60="O","*",IF($B$60="🅞","*2",IF($H$39="O","*0.5","")))&amp;":"&amp;IF($F$60+$X$11="",0,$F$60+$X$11)&amp;
" 威吓"&amp;IF($B$61="O","*",IF($B$61="🅞","*2",IF($H$39="O","*0.5","")))&amp;":"&amp;IF($F$61+$X$11="",0,$F$61+$X$11)&amp;
" 表演"&amp;IF($B$62="O","*",IF($B$62="🅞","*2",IF($H$39="O","*0.5","")))&amp;":"&amp;IF($F$62+$X$11="",0,$F$62+$X$11)</f>
        <v>.st 力量:10 敏捷:10 体质:10 智力:10 感知:10 魅力:10 hp:0 hpmax:0 先攻:0 ac:10 dc:10 pp:10 熟练:2 运动:0 特技:0 巧手:0 隐匿:0 调查:0 奥秘:0 历史:0 自然:0 宗教:0 察觉:0 洞悉:0 驯兽:0 医疗:0 求生:0 游说:0 欺瞒:0 威吓:0 表演:0</v>
      </c>
      <c r="AW1" s="539" t="s">
        <v>22</v>
      </c>
      <c r="AX1" s="539"/>
      <c r="AY1" s="539"/>
      <c r="AZ1" s="539"/>
      <c r="BA1" s="539"/>
      <c r="BB1" s="539"/>
      <c r="BC1" s="539"/>
      <c r="BD1" s="539"/>
      <c r="BE1" s="539"/>
      <c r="BF1" s="539"/>
      <c r="BG1" s="539"/>
      <c r="BH1" s="539"/>
      <c r="BI1" s="539"/>
      <c r="BJ1" s="658" t="s">
        <v>23</v>
      </c>
      <c r="BK1" s="658"/>
      <c r="BL1" s="658"/>
      <c r="BM1" s="658"/>
      <c r="BN1" s="658"/>
      <c r="BO1" s="658"/>
      <c r="BP1" s="658"/>
      <c r="BQ1" s="659" t="s">
        <v>24</v>
      </c>
      <c r="BR1" s="659"/>
      <c r="BT1" s="539" t="s">
        <v>25</v>
      </c>
      <c r="BU1" s="539"/>
      <c r="BV1" s="539"/>
      <c r="BW1" s="539"/>
      <c r="BX1" s="539"/>
      <c r="BY1" s="539"/>
      <c r="BZ1" s="539"/>
      <c r="CA1" s="539"/>
      <c r="CB1" s="539"/>
      <c r="CC1" s="539"/>
      <c r="CD1" s="539"/>
      <c r="CE1" s="539"/>
      <c r="CF1" s="539"/>
      <c r="CG1" s="539"/>
      <c r="CH1" s="539"/>
      <c r="CI1" s="539"/>
      <c r="CJ1" s="539"/>
      <c r="CK1" s="539"/>
      <c r="CL1" s="539"/>
      <c r="CM1" s="539"/>
      <c r="CN1" s="539"/>
      <c r="CO1" s="539"/>
    </row>
    <row r="2" spans="1:93" ht="16.7" customHeight="1" x14ac:dyDescent="0.3">
      <c r="AU2" s="98"/>
      <c r="AX2" s="537" t="s">
        <v>26</v>
      </c>
      <c r="AY2" s="537"/>
      <c r="AZ2" s="537" t="s">
        <v>27</v>
      </c>
      <c r="BA2" s="537"/>
      <c r="BB2" s="537" t="s">
        <v>28</v>
      </c>
      <c r="BC2" s="537"/>
      <c r="BD2" s="537" t="s">
        <v>29</v>
      </c>
      <c r="BE2" s="537"/>
      <c r="BF2" s="537" t="s">
        <v>30</v>
      </c>
      <c r="BG2" s="537"/>
      <c r="BH2" s="537" t="s">
        <v>31</v>
      </c>
      <c r="BI2" s="537"/>
      <c r="BJ2" s="537" t="s">
        <v>32</v>
      </c>
      <c r="BK2" s="537"/>
      <c r="BL2" s="537" t="s">
        <v>33</v>
      </c>
      <c r="BM2" s="537"/>
      <c r="BN2" s="537" t="s">
        <v>34</v>
      </c>
      <c r="BO2" s="537"/>
      <c r="BP2" s="537" t="s">
        <v>35</v>
      </c>
      <c r="BQ2" s="537"/>
      <c r="BT2" s="537" t="s">
        <v>36</v>
      </c>
      <c r="BU2" s="537"/>
      <c r="BV2" s="537"/>
      <c r="BW2" s="537"/>
      <c r="BX2" s="537"/>
      <c r="BY2" s="537"/>
      <c r="BZ2" s="537" t="s">
        <v>37</v>
      </c>
      <c r="CA2" s="537"/>
      <c r="CB2" s="537"/>
      <c r="CC2" s="537"/>
      <c r="CD2" s="537"/>
      <c r="CE2" s="537"/>
      <c r="CF2" s="537"/>
      <c r="CG2" s="537"/>
      <c r="CH2" s="537"/>
      <c r="CI2" s="537"/>
      <c r="CJ2" s="537"/>
      <c r="CK2" s="537"/>
      <c r="CL2" s="537"/>
      <c r="CM2" s="537"/>
      <c r="CN2" s="537"/>
      <c r="CO2" s="537"/>
    </row>
    <row r="3" spans="1:93" ht="16.7" customHeight="1" x14ac:dyDescent="0.3">
      <c r="B3" s="632" t="s">
        <v>1</v>
      </c>
      <c r="C3" s="632"/>
      <c r="D3" s="632"/>
      <c r="E3" s="640" t="inlineStr">
        <is>
          <t xml:space="preserve">琼脂糖</t>
        </is>
      </c>
      <c r="F3" s="640"/>
      <c r="G3" s="640"/>
      <c r="H3" s="640"/>
      <c r="I3" s="640"/>
      <c r="J3" s="640"/>
      <c r="K3" s="640"/>
      <c r="L3" s="640"/>
      <c r="M3" s="640"/>
      <c r="N3" s="640"/>
      <c r="Q3" s="532" t="s">
        <v>38</v>
      </c>
      <c r="R3" s="532"/>
      <c r="S3" s="645">
        <f>IFERROR(VLOOKUP(SUM(O6,O7,O8),数据表!CM2:CN21,2,FALSE)+W4,IF(SUM(O6,O7,O8)&gt;=20,6,2))</f>
        <v>2</v>
      </c>
      <c r="T3" s="645"/>
      <c r="U3" s="645"/>
      <c r="W3" s="537" t="s">
        <v>39</v>
      </c>
      <c r="X3" s="537"/>
      <c r="AA3" s="647"/>
      <c r="AB3" s="648"/>
      <c r="AC3" s="648"/>
      <c r="AD3" s="648"/>
      <c r="AE3" s="648"/>
      <c r="AF3" s="648"/>
      <c r="AG3" s="648"/>
      <c r="AH3" s="648"/>
      <c r="AI3" s="648"/>
      <c r="AJ3" s="648"/>
      <c r="AK3" s="648"/>
      <c r="AL3" s="648"/>
      <c r="AM3" s="648"/>
      <c r="AN3" s="648"/>
      <c r="AO3" s="648"/>
      <c r="AP3" s="648"/>
      <c r="AQ3" s="648"/>
      <c r="AR3" s="648"/>
      <c r="AS3" s="648"/>
      <c r="AT3" s="649"/>
      <c r="AU3" s="98"/>
      <c r="AW3" s="662" t="s">
        <v>22</v>
      </c>
      <c r="AX3" s="640"/>
      <c r="AY3" s="640"/>
      <c r="AZ3" s="640"/>
      <c r="BA3" s="640"/>
      <c r="BB3" s="640"/>
      <c r="BC3" s="640"/>
      <c r="BD3" s="640"/>
      <c r="BE3" s="640"/>
      <c r="BF3" s="640"/>
      <c r="BG3" s="640"/>
      <c r="BH3" s="640"/>
      <c r="BI3" s="640"/>
      <c r="BJ3" s="640"/>
      <c r="BK3" s="640"/>
      <c r="BL3" s="640"/>
      <c r="BM3" s="640"/>
      <c r="BN3" s="640"/>
      <c r="BO3" s="640"/>
      <c r="BP3" s="640"/>
      <c r="BQ3" s="640"/>
      <c r="BT3" s="509" t="s">
        <v>703</v>
      </c>
      <c r="BU3" s="509"/>
      <c r="BV3" s="509"/>
      <c r="BW3" s="509"/>
      <c r="BX3" s="509"/>
      <c r="BY3" s="509"/>
      <c r="BZ3" s="517"/>
      <c r="CA3" s="517"/>
      <c r="CB3" s="517"/>
      <c r="CC3" s="517"/>
      <c r="CD3" s="517"/>
      <c r="CE3" s="517"/>
      <c r="CF3" s="517"/>
      <c r="CG3" s="517"/>
      <c r="CH3" s="517"/>
      <c r="CI3" s="517"/>
      <c r="CJ3" s="517"/>
      <c r="CK3" s="517"/>
      <c r="CL3" s="517"/>
      <c r="CM3" s="517"/>
      <c r="CN3" s="517"/>
      <c r="CO3" s="517"/>
    </row>
    <row r="4" spans="1:93" ht="16.7" customHeight="1" x14ac:dyDescent="0.3">
      <c r="B4" s="646" t="s">
        <v>3</v>
      </c>
      <c r="C4" s="646"/>
      <c r="D4" s="646"/>
      <c r="E4" s="640" t="s">
        <v>3003</v>
      </c>
      <c r="F4" s="640"/>
      <c r="G4" s="640"/>
      <c r="H4" s="640"/>
      <c r="I4" s="640"/>
      <c r="J4" s="640"/>
      <c r="K4" s="640"/>
      <c r="L4" s="640"/>
      <c r="M4" s="640"/>
      <c r="N4" s="640"/>
      <c r="Q4" s="532"/>
      <c r="R4" s="532"/>
      <c r="S4" s="645"/>
      <c r="T4" s="645"/>
      <c r="U4" s="645"/>
      <c r="V4" s="100" t="s">
        <v>40</v>
      </c>
      <c r="W4" s="640"/>
      <c r="X4" s="640"/>
      <c r="AA4" s="650"/>
      <c r="AB4" s="651"/>
      <c r="AC4" s="651"/>
      <c r="AD4" s="651"/>
      <c r="AE4" s="651"/>
      <c r="AF4" s="651"/>
      <c r="AG4" s="651"/>
      <c r="AH4" s="651"/>
      <c r="AI4" s="651"/>
      <c r="AJ4" s="651"/>
      <c r="AK4" s="651"/>
      <c r="AL4" s="651"/>
      <c r="AM4" s="651"/>
      <c r="AN4" s="651"/>
      <c r="AO4" s="651"/>
      <c r="AP4" s="651"/>
      <c r="AQ4" s="651"/>
      <c r="AR4" s="651"/>
      <c r="AS4" s="651"/>
      <c r="AT4" s="652"/>
      <c r="AU4" s="98"/>
      <c r="AW4" s="662"/>
      <c r="AX4" s="537" t="s">
        <v>41</v>
      </c>
      <c r="AY4" s="537"/>
      <c r="AZ4" s="537" t="s">
        <v>42</v>
      </c>
      <c r="BA4" s="537"/>
      <c r="BB4" s="537" t="s">
        <v>43</v>
      </c>
      <c r="BC4" s="537"/>
      <c r="BD4" s="537" t="s">
        <v>44</v>
      </c>
      <c r="BE4" s="537"/>
      <c r="BF4" s="537" t="s">
        <v>45</v>
      </c>
      <c r="BG4" s="537"/>
      <c r="BH4" s="537" t="s">
        <v>46</v>
      </c>
      <c r="BI4" s="537"/>
      <c r="BJ4" s="537" t="s">
        <v>47</v>
      </c>
      <c r="BK4" s="537"/>
      <c r="BL4" s="537" t="s">
        <v>48</v>
      </c>
      <c r="BM4" s="537"/>
      <c r="BN4" s="537" t="s">
        <v>49</v>
      </c>
      <c r="BO4" s="537"/>
      <c r="BP4" s="537" t="s">
        <v>50</v>
      </c>
      <c r="BQ4" s="537"/>
      <c r="BT4" s="515" t="s">
        <v>94</v>
      </c>
      <c r="BU4" s="515"/>
      <c r="BV4" s="515"/>
      <c r="BW4" s="515"/>
      <c r="BX4" s="515"/>
      <c r="BY4" s="515"/>
      <c r="BZ4" s="516"/>
      <c r="CA4" s="516"/>
      <c r="CB4" s="516"/>
      <c r="CC4" s="516"/>
      <c r="CD4" s="516"/>
      <c r="CE4" s="516"/>
      <c r="CF4" s="516"/>
      <c r="CG4" s="516"/>
      <c r="CH4" s="516"/>
      <c r="CI4" s="516"/>
      <c r="CJ4" s="516"/>
      <c r="CK4" s="516"/>
      <c r="CL4" s="516"/>
      <c r="CM4" s="516"/>
      <c r="CN4" s="516"/>
      <c r="CO4" s="516"/>
    </row>
    <row r="5" spans="1:93" ht="16.7" customHeight="1" x14ac:dyDescent="0.3">
      <c r="E5" s="537" t="s">
        <v>51</v>
      </c>
      <c r="F5" s="537"/>
      <c r="G5" s="537"/>
      <c r="H5" s="537"/>
      <c r="I5" s="537" t="s">
        <v>52</v>
      </c>
      <c r="J5" s="537"/>
      <c r="K5" s="537"/>
      <c r="L5" s="537"/>
      <c r="M5" s="537"/>
      <c r="N5" s="537"/>
      <c r="O5" s="537" t="s">
        <v>53</v>
      </c>
      <c r="P5" s="537"/>
      <c r="AA5" s="650"/>
      <c r="AB5" s="651"/>
      <c r="AC5" s="651"/>
      <c r="AD5" s="651"/>
      <c r="AE5" s="651"/>
      <c r="AF5" s="651"/>
      <c r="AG5" s="651"/>
      <c r="AH5" s="651"/>
      <c r="AI5" s="651"/>
      <c r="AJ5" s="651"/>
      <c r="AK5" s="651"/>
      <c r="AL5" s="651"/>
      <c r="AM5" s="651"/>
      <c r="AN5" s="651"/>
      <c r="AO5" s="651"/>
      <c r="AP5" s="651"/>
      <c r="AQ5" s="651"/>
      <c r="AR5" s="651"/>
      <c r="AS5" s="651"/>
      <c r="AT5" s="652"/>
      <c r="AU5" s="98"/>
      <c r="AW5" s="662"/>
      <c r="AX5" s="640"/>
      <c r="AY5" s="640"/>
      <c r="AZ5" s="640"/>
      <c r="BA5" s="640"/>
      <c r="BB5" s="640"/>
      <c r="BC5" s="640"/>
      <c r="BD5" s="640"/>
      <c r="BE5" s="640"/>
      <c r="BF5" s="640"/>
      <c r="BG5" s="640"/>
      <c r="BH5" s="640"/>
      <c r="BI5" s="640"/>
      <c r="BJ5" s="640"/>
      <c r="BK5" s="640"/>
      <c r="BL5" s="640"/>
      <c r="BM5" s="640"/>
      <c r="BN5" s="640"/>
      <c r="BO5" s="640"/>
      <c r="BP5" s="640"/>
      <c r="BQ5" s="640"/>
      <c r="BT5" s="509" t="s">
        <v>96</v>
      </c>
      <c r="BU5" s="509"/>
      <c r="BV5" s="509"/>
      <c r="BW5" s="509"/>
      <c r="BX5" s="509"/>
      <c r="BY5" s="509"/>
      <c r="BZ5" s="517"/>
      <c r="CA5" s="517"/>
      <c r="CB5" s="517"/>
      <c r="CC5" s="517"/>
      <c r="CD5" s="517"/>
      <c r="CE5" s="517"/>
      <c r="CF5" s="517"/>
      <c r="CG5" s="517"/>
      <c r="CH5" s="517"/>
      <c r="CI5" s="517"/>
      <c r="CJ5" s="517"/>
      <c r="CK5" s="517"/>
      <c r="CL5" s="517"/>
      <c r="CM5" s="517"/>
      <c r="CN5" s="517"/>
      <c r="CO5" s="517"/>
    </row>
    <row r="6" spans="1:93" ht="16.7" customHeight="1" x14ac:dyDescent="0.3">
      <c r="B6" s="632" t="s">
        <v>54</v>
      </c>
      <c r="C6" s="632"/>
      <c r="D6" s="632"/>
      <c r="E6" s="656" t="inlineStr">
        <is>
          <t xml:space="preserve">野蛮人</t>
        </is>
      </c>
      <c r="F6" s="656"/>
      <c r="G6" s="656"/>
      <c r="H6" s="656"/>
      <c r="I6" s="656" t="inlineStr">
        <is>
          <t xml:space="preserve">狂战士道途</t>
        </is>
      </c>
      <c r="J6" s="656"/>
      <c r="K6" s="656"/>
      <c r="L6" s="656"/>
      <c r="M6" s="656"/>
      <c r="N6" s="656"/>
      <c r="O6" s="640" t="inlineStr">
        <is>
          <t xml:space="preserve">8</t>
        </is>
      </c>
      <c r="P6" s="640"/>
      <c r="R6" s="632" t="s">
        <v>55</v>
      </c>
      <c r="S6" s="632"/>
      <c r="T6" s="663" t="inlineStr">
        <is>
          <t xml:space="preserve">半身人</t>
        </is>
      </c>
      <c r="U6" s="663"/>
      <c r="V6" s="663"/>
      <c r="W6" s="663"/>
      <c r="X6" s="663"/>
      <c r="Y6" s="6"/>
      <c r="AA6" s="650"/>
      <c r="AB6" s="651"/>
      <c r="AC6" s="651"/>
      <c r="AD6" s="651"/>
      <c r="AE6" s="651"/>
      <c r="AF6" s="651"/>
      <c r="AG6" s="651"/>
      <c r="AH6" s="651"/>
      <c r="AI6" s="651"/>
      <c r="AJ6" s="651"/>
      <c r="AK6" s="651"/>
      <c r="AL6" s="651"/>
      <c r="AM6" s="651"/>
      <c r="AN6" s="651"/>
      <c r="AO6" s="651"/>
      <c r="AP6" s="651"/>
      <c r="AQ6" s="651"/>
      <c r="AR6" s="651"/>
      <c r="AS6" s="651"/>
      <c r="AT6" s="652"/>
      <c r="AU6" s="98"/>
      <c r="AW6" s="662"/>
      <c r="AX6" s="499" t="s">
        <v>56</v>
      </c>
      <c r="AY6" s="499"/>
      <c r="AZ6" s="499"/>
      <c r="BA6" s="288"/>
      <c r="BB6" s="499" t="s">
        <v>3019</v>
      </c>
      <c r="BC6" s="499"/>
      <c r="BD6" s="499"/>
      <c r="BE6" s="288"/>
      <c r="BF6" s="499" t="s">
        <v>57</v>
      </c>
      <c r="BG6" s="499"/>
      <c r="BH6" s="499"/>
      <c r="BI6" s="537" t="s">
        <v>58</v>
      </c>
      <c r="BJ6" s="499"/>
      <c r="BK6" s="499"/>
      <c r="BL6" s="499"/>
      <c r="BM6" s="499"/>
      <c r="BN6" s="499"/>
      <c r="BO6" s="499"/>
      <c r="BP6" s="499"/>
      <c r="BQ6" s="499"/>
      <c r="BT6" s="515" t="inlineStr">
        <is>
          <t xml:space="preserve">勇气</t>
        </is>
      </c>
      <c r="BU6" s="515"/>
      <c r="BV6" s="515"/>
      <c r="BW6" s="515"/>
      <c r="BX6" s="515"/>
      <c r="BY6" s="515"/>
      <c r="BZ6" s="516"/>
      <c r="CA6" s="516"/>
      <c r="CB6" s="516"/>
      <c r="CC6" s="516"/>
      <c r="CD6" s="516"/>
      <c r="CE6" s="516"/>
      <c r="CF6" s="516"/>
      <c r="CG6" s="516"/>
      <c r="CH6" s="516"/>
      <c r="CI6" s="516"/>
      <c r="CJ6" s="516"/>
      <c r="CK6" s="516"/>
      <c r="CL6" s="516"/>
      <c r="CM6" s="516"/>
      <c r="CN6" s="516"/>
      <c r="CO6" s="516"/>
    </row>
    <row r="7" spans="1:93" ht="16.7" customHeight="1" x14ac:dyDescent="0.15">
      <c r="B7" s="657" t="s">
        <v>59</v>
      </c>
      <c r="C7" s="657"/>
      <c r="D7" s="657"/>
      <c r="E7" s="656"/>
      <c r="F7" s="656"/>
      <c r="G7" s="656"/>
      <c r="H7" s="656"/>
      <c r="I7" s="656"/>
      <c r="J7" s="656"/>
      <c r="K7" s="656"/>
      <c r="L7" s="656"/>
      <c r="M7" s="656"/>
      <c r="N7" s="656"/>
      <c r="O7" s="640"/>
      <c r="P7" s="640"/>
      <c r="R7" s="677" t="s">
        <v>60</v>
      </c>
      <c r="S7" s="677"/>
      <c r="T7" s="678"/>
      <c r="U7" s="678"/>
      <c r="V7" s="678"/>
      <c r="W7" s="678"/>
      <c r="X7" s="678"/>
      <c r="AA7" s="650"/>
      <c r="AB7" s="651"/>
      <c r="AC7" s="651"/>
      <c r="AD7" s="651"/>
      <c r="AE7" s="651"/>
      <c r="AF7" s="651"/>
      <c r="AG7" s="651"/>
      <c r="AH7" s="651"/>
      <c r="AI7" s="651"/>
      <c r="AJ7" s="651"/>
      <c r="AK7" s="651"/>
      <c r="AL7" s="651"/>
      <c r="AM7" s="651"/>
      <c r="AN7" s="651"/>
      <c r="AO7" s="651"/>
      <c r="AP7" s="651"/>
      <c r="AQ7" s="651"/>
      <c r="AR7" s="651"/>
      <c r="AS7" s="651"/>
      <c r="AT7" s="652"/>
      <c r="AU7" s="98"/>
      <c r="AW7" s="662"/>
      <c r="AX7" s="640"/>
      <c r="AY7" s="640"/>
      <c r="AZ7" s="640"/>
      <c r="BB7" s="640"/>
      <c r="BC7" s="640"/>
      <c r="BD7" s="640"/>
      <c r="BF7" s="661">
        <f>IF(BQ1="否",SUM(AX3:BQ3,AX5:BQ5,(R15+AX7)*(O6+O7+O8),BB7),
SUM(O6*职业!AT2,O7*职业!AT3,O8*职业!AT4,职业!AT7,(R15+AX7)*(O6+O7+O8),BB7))</f>
        <v>0</v>
      </c>
      <c r="BG7" s="661"/>
      <c r="BH7" s="661"/>
      <c r="BI7" s="499"/>
      <c r="BJ7" s="499"/>
      <c r="BK7" s="499"/>
      <c r="BL7" s="499"/>
      <c r="BM7" s="499"/>
      <c r="BN7" s="499"/>
      <c r="BO7" s="499"/>
      <c r="BP7" s="499"/>
      <c r="BQ7" s="499"/>
      <c r="BT7" s="509" t="inlineStr">
        <is>
          <t xml:space="preserve">半身人灵巧</t>
        </is>
      </c>
      <c r="BU7" s="509"/>
      <c r="BV7" s="509"/>
      <c r="BW7" s="509"/>
      <c r="BX7" s="509"/>
      <c r="BY7" s="509"/>
      <c r="BZ7" s="517"/>
      <c r="CA7" s="517"/>
      <c r="CB7" s="517"/>
      <c r="CC7" s="517"/>
      <c r="CD7" s="517"/>
      <c r="CE7" s="517"/>
      <c r="CF7" s="517"/>
      <c r="CG7" s="517"/>
      <c r="CH7" s="517"/>
      <c r="CI7" s="517"/>
      <c r="CJ7" s="517"/>
      <c r="CK7" s="517"/>
      <c r="CL7" s="517"/>
      <c r="CM7" s="517"/>
      <c r="CN7" s="517"/>
      <c r="CO7" s="517"/>
    </row>
    <row r="8" spans="1:93" ht="16.7" customHeight="1" x14ac:dyDescent="0.15">
      <c r="B8" s="657" t="s">
        <v>61</v>
      </c>
      <c r="C8" s="657"/>
      <c r="D8" s="657"/>
      <c r="E8" s="656"/>
      <c r="F8" s="656"/>
      <c r="G8" s="656"/>
      <c r="H8" s="656"/>
      <c r="I8" s="656"/>
      <c r="J8" s="656"/>
      <c r="K8" s="656"/>
      <c r="L8" s="656"/>
      <c r="M8" s="656"/>
      <c r="N8" s="656"/>
      <c r="O8" s="640"/>
      <c r="P8" s="640"/>
      <c r="R8" s="677" t="s">
        <v>62</v>
      </c>
      <c r="S8" s="677"/>
      <c r="T8" s="644" t="inlineStr">
        <is>
          <t xml:space="preserve">守序善良</t>
        </is>
      </c>
      <c r="U8" s="644"/>
      <c r="V8" s="644"/>
      <c r="W8" s="644"/>
      <c r="X8" s="644"/>
      <c r="AA8" s="650"/>
      <c r="AB8" s="651"/>
      <c r="AC8" s="651"/>
      <c r="AD8" s="651"/>
      <c r="AE8" s="651"/>
      <c r="AF8" s="651"/>
      <c r="AG8" s="651"/>
      <c r="AH8" s="651"/>
      <c r="AI8" s="651"/>
      <c r="AJ8" s="651"/>
      <c r="AK8" s="651"/>
      <c r="AL8" s="651"/>
      <c r="AM8" s="651"/>
      <c r="AN8" s="651"/>
      <c r="AO8" s="651"/>
      <c r="AP8" s="651"/>
      <c r="AQ8" s="651"/>
      <c r="AR8" s="651"/>
      <c r="AS8" s="651"/>
      <c r="AT8" s="652"/>
      <c r="AU8" s="98"/>
      <c r="BT8" s="515" t="inlineStr">
        <is>
          <t xml:space="preserve">天生善匿</t>
        </is>
      </c>
      <c r="BU8" s="515"/>
      <c r="BV8" s="515"/>
      <c r="BW8" s="515"/>
      <c r="BX8" s="515"/>
      <c r="BY8" s="515"/>
      <c r="BZ8" s="516"/>
      <c r="CA8" s="516"/>
      <c r="CB8" s="516"/>
      <c r="CC8" s="516"/>
      <c r="CD8" s="516"/>
      <c r="CE8" s="516"/>
      <c r="CF8" s="516"/>
      <c r="CG8" s="516"/>
      <c r="CH8" s="516"/>
      <c r="CI8" s="516"/>
      <c r="CJ8" s="516"/>
      <c r="CK8" s="516"/>
      <c r="CL8" s="516"/>
      <c r="CM8" s="516"/>
      <c r="CN8" s="516"/>
      <c r="CO8" s="516"/>
    </row>
    <row r="9" spans="1:93" ht="16.7" customHeight="1" x14ac:dyDescent="0.15">
      <c r="B9" s="646" t="s">
        <v>63</v>
      </c>
      <c r="C9" s="646"/>
      <c r="D9" s="646"/>
      <c r="E9" s="640"/>
      <c r="F9" s="640"/>
      <c r="G9" s="640"/>
      <c r="H9" s="640"/>
      <c r="I9" s="640"/>
      <c r="J9" s="640"/>
      <c r="K9" s="640"/>
      <c r="L9" s="640"/>
      <c r="M9" s="640"/>
      <c r="N9" s="640"/>
      <c r="O9" s="675" t="str">
        <f>IF(E9="","","Lv "&amp;VLOOKUP(E9,数据表!CI3:CJ22,2,TRUE))</f>
        <v/>
      </c>
      <c r="P9" s="675"/>
      <c r="R9" s="646" t="s">
        <v>64</v>
      </c>
      <c r="S9" s="646"/>
      <c r="T9" s="664"/>
      <c r="U9" s="664"/>
      <c r="V9" s="664"/>
      <c r="W9" s="664"/>
      <c r="X9" s="664"/>
      <c r="AA9" s="650"/>
      <c r="AB9" s="651"/>
      <c r="AC9" s="651"/>
      <c r="AD9" s="651"/>
      <c r="AE9" s="651"/>
      <c r="AF9" s="651"/>
      <c r="AG9" s="651"/>
      <c r="AH9" s="651"/>
      <c r="AI9" s="651"/>
      <c r="AJ9" s="651"/>
      <c r="AK9" s="651"/>
      <c r="AL9" s="651"/>
      <c r="AM9" s="651"/>
      <c r="AN9" s="651"/>
      <c r="AO9" s="651"/>
      <c r="AP9" s="651"/>
      <c r="AQ9" s="651"/>
      <c r="AR9" s="651"/>
      <c r="AS9" s="651"/>
      <c r="AT9" s="652"/>
      <c r="AU9" s="98"/>
      <c r="AW9" s="509"/>
      <c r="AX9" s="509"/>
      <c r="AY9" s="509"/>
      <c r="AZ9" s="509"/>
      <c r="BA9" s="509"/>
      <c r="BB9" s="509"/>
      <c r="BC9" s="130"/>
      <c r="BD9" s="509"/>
      <c r="BE9" s="509"/>
      <c r="BF9" s="509"/>
      <c r="BG9" s="509"/>
      <c r="BH9" s="509"/>
      <c r="BI9" s="509"/>
      <c r="BJ9" s="660" t="s">
        <v>65</v>
      </c>
      <c r="BK9" s="660"/>
      <c r="BL9" s="660"/>
      <c r="BM9" s="660"/>
      <c r="BN9" s="660"/>
      <c r="BO9" s="660"/>
      <c r="BP9" s="660"/>
      <c r="BQ9" s="660"/>
      <c r="BR9" s="660"/>
      <c r="BS9" s="98"/>
      <c r="BT9" s="509" t="inlineStr">
        <is>
          <t xml:space="preserve">幸运</t>
        </is>
      </c>
      <c r="BU9" s="509"/>
      <c r="BV9" s="509"/>
      <c r="BW9" s="509"/>
      <c r="BX9" s="509"/>
      <c r="BY9" s="509"/>
      <c r="BZ9" s="517"/>
      <c r="CA9" s="517"/>
      <c r="CB9" s="517"/>
      <c r="CC9" s="517"/>
      <c r="CD9" s="517"/>
      <c r="CE9" s="517"/>
      <c r="CF9" s="517"/>
      <c r="CG9" s="517"/>
      <c r="CH9" s="517"/>
      <c r="CI9" s="517"/>
      <c r="CJ9" s="517"/>
      <c r="CK9" s="517"/>
      <c r="CL9" s="517"/>
      <c r="CM9" s="517"/>
      <c r="CN9" s="517"/>
      <c r="CO9" s="517"/>
    </row>
    <row r="10" spans="1:93" ht="16.7" customHeight="1" x14ac:dyDescent="0.3">
      <c r="AA10" s="650"/>
      <c r="AB10" s="651"/>
      <c r="AC10" s="651"/>
      <c r="AD10" s="651"/>
      <c r="AE10" s="651"/>
      <c r="AF10" s="651"/>
      <c r="AG10" s="651"/>
      <c r="AH10" s="651"/>
      <c r="AI10" s="651"/>
      <c r="AJ10" s="651"/>
      <c r="AK10" s="651"/>
      <c r="AL10" s="651"/>
      <c r="AM10" s="651"/>
      <c r="AN10" s="651"/>
      <c r="AO10" s="651"/>
      <c r="AP10" s="651"/>
      <c r="AQ10" s="651"/>
      <c r="AR10" s="651"/>
      <c r="AS10" s="651"/>
      <c r="AT10" s="652"/>
      <c r="AU10" s="98"/>
      <c r="AW10" s="284" t="s">
        <v>53</v>
      </c>
      <c r="AX10" s="537" t="s">
        <v>36</v>
      </c>
      <c r="AY10" s="537"/>
      <c r="AZ10" s="537"/>
      <c r="BA10" s="537"/>
      <c r="BB10" s="537"/>
      <c r="BC10" s="537" t="s">
        <v>37</v>
      </c>
      <c r="BD10" s="537"/>
      <c r="BE10" s="537"/>
      <c r="BF10" s="537"/>
      <c r="BG10" s="537"/>
      <c r="BH10" s="537"/>
      <c r="BI10" s="537"/>
      <c r="BJ10" s="537"/>
      <c r="BK10" s="537"/>
      <c r="BL10" s="537"/>
      <c r="BM10" s="537"/>
      <c r="BN10" s="537"/>
      <c r="BO10" s="537"/>
      <c r="BP10" s="537"/>
      <c r="BQ10" s="537"/>
      <c r="BR10" s="537"/>
      <c r="BS10" s="98"/>
      <c r="BT10" s="515"/>
      <c r="BU10" s="515"/>
      <c r="BV10" s="515"/>
      <c r="BW10" s="515"/>
      <c r="BX10" s="515"/>
      <c r="BY10" s="515"/>
      <c r="BZ10" s="516"/>
      <c r="CA10" s="516"/>
      <c r="CB10" s="516"/>
      <c r="CC10" s="516"/>
      <c r="CD10" s="516"/>
      <c r="CE10" s="516"/>
      <c r="CF10" s="516"/>
      <c r="CG10" s="516"/>
      <c r="CH10" s="516"/>
      <c r="CI10" s="516"/>
      <c r="CJ10" s="516"/>
      <c r="CK10" s="516"/>
      <c r="CL10" s="516"/>
      <c r="CM10" s="516"/>
      <c r="CN10" s="516"/>
      <c r="CO10" s="516"/>
    </row>
    <row r="11" spans="1:93" ht="16.7" customHeight="1" x14ac:dyDescent="0.15">
      <c r="B11" s="539" t="s">
        <v>67</v>
      </c>
      <c r="C11" s="539"/>
      <c r="D11" s="539"/>
      <c r="E11" s="539"/>
      <c r="F11" s="539"/>
      <c r="G11" s="539"/>
      <c r="H11" s="539"/>
      <c r="I11" s="539"/>
      <c r="J11" s="539"/>
      <c r="K11" s="539"/>
      <c r="L11" s="539"/>
      <c r="M11" s="539"/>
      <c r="N11" s="539"/>
      <c r="O11" s="539"/>
      <c r="P11" s="539"/>
      <c r="Q11" s="539"/>
      <c r="R11" s="676" t="s">
        <v>10812</v>
      </c>
      <c r="S11" s="676"/>
      <c r="T11" s="676"/>
      <c r="U11" s="676"/>
      <c r="V11" s="676"/>
      <c r="W11" s="676"/>
      <c r="X11" s="659"/>
      <c r="Y11" s="659"/>
      <c r="AA11" s="650"/>
      <c r="AB11" s="651"/>
      <c r="AC11" s="651"/>
      <c r="AD11" s="651"/>
      <c r="AE11" s="651"/>
      <c r="AF11" s="651"/>
      <c r="AG11" s="651"/>
      <c r="AH11" s="651"/>
      <c r="AI11" s="651"/>
      <c r="AJ11" s="651"/>
      <c r="AK11" s="651"/>
      <c r="AL11" s="651"/>
      <c r="AM11" s="651"/>
      <c r="AN11" s="651"/>
      <c r="AO11" s="651"/>
      <c r="AP11" s="651"/>
      <c r="AQ11" s="651"/>
      <c r="AR11" s="651"/>
      <c r="AS11" s="651"/>
      <c r="AT11" s="652"/>
      <c r="AU11" s="98"/>
      <c r="AW11" s="131" t="str">
        <f>职业!CV2</f>
        <v/>
      </c>
      <c r="AX11" s="509" t="s">
        <v>543</v>
      </c>
      <c r="AY11" s="509"/>
      <c r="AZ11" s="509"/>
      <c r="BA11" s="509"/>
      <c r="BB11" s="509"/>
      <c r="BC11" s="517"/>
      <c r="BD11" s="517"/>
      <c r="BE11" s="517"/>
      <c r="BF11" s="517"/>
      <c r="BG11" s="517"/>
      <c r="BH11" s="517"/>
      <c r="BI11" s="517"/>
      <c r="BJ11" s="517"/>
      <c r="BK11" s="517"/>
      <c r="BL11" s="517"/>
      <c r="BM11" s="517"/>
      <c r="BN11" s="517"/>
      <c r="BO11" s="517"/>
      <c r="BP11" s="517"/>
      <c r="BQ11" s="517"/>
      <c r="BR11" s="517"/>
      <c r="BS11" s="98"/>
      <c r="BT11" s="509"/>
      <c r="BU11" s="509"/>
      <c r="BV11" s="509"/>
      <c r="BW11" s="509"/>
      <c r="BX11" s="509"/>
      <c r="BY11" s="509"/>
      <c r="BZ11" s="517"/>
      <c r="CA11" s="517"/>
      <c r="CB11" s="517"/>
      <c r="CC11" s="517"/>
      <c r="CD11" s="517"/>
      <c r="CE11" s="517"/>
      <c r="CF11" s="517"/>
      <c r="CG11" s="517"/>
      <c r="CH11" s="517"/>
      <c r="CI11" s="517"/>
      <c r="CJ11" s="517"/>
      <c r="CK11" s="517"/>
      <c r="CL11" s="517"/>
      <c r="CM11" s="517"/>
      <c r="CN11" s="517"/>
      <c r="CO11" s="517"/>
    </row>
    <row r="12" spans="1:93" ht="16.7" customHeight="1" x14ac:dyDescent="0.3">
      <c r="A12" s="99"/>
      <c r="B12" s="285" t="s">
        <v>38</v>
      </c>
      <c r="C12" s="286"/>
      <c r="D12" s="287"/>
      <c r="E12" s="287"/>
      <c r="F12" s="537" t="s">
        <v>68</v>
      </c>
      <c r="G12" s="537"/>
      <c r="H12" s="643" t="s">
        <v>69</v>
      </c>
      <c r="I12" s="643"/>
      <c r="J12" s="643"/>
      <c r="K12" s="537" t="s">
        <v>6</v>
      </c>
      <c r="L12" s="537"/>
      <c r="M12" s="537" t="s">
        <v>70</v>
      </c>
      <c r="N12" s="537"/>
      <c r="O12" s="537" t="s">
        <v>39</v>
      </c>
      <c r="P12" s="537"/>
      <c r="Q12" s="643" t="s">
        <v>71</v>
      </c>
      <c r="R12" s="643"/>
      <c r="S12" s="643"/>
      <c r="T12" s="537" t="s">
        <v>72</v>
      </c>
      <c r="U12" s="537"/>
      <c r="V12" s="287"/>
      <c r="W12" s="537" t="s">
        <v>39</v>
      </c>
      <c r="X12" s="537"/>
      <c r="Y12" s="19"/>
      <c r="Z12" s="19"/>
      <c r="AA12" s="650"/>
      <c r="AB12" s="651"/>
      <c r="AC12" s="651"/>
      <c r="AD12" s="651"/>
      <c r="AE12" s="651"/>
      <c r="AF12" s="651"/>
      <c r="AG12" s="651"/>
      <c r="AH12" s="651"/>
      <c r="AI12" s="651"/>
      <c r="AJ12" s="651"/>
      <c r="AK12" s="651"/>
      <c r="AL12" s="651"/>
      <c r="AM12" s="651"/>
      <c r="AN12" s="651"/>
      <c r="AO12" s="651"/>
      <c r="AP12" s="651"/>
      <c r="AQ12" s="651"/>
      <c r="AR12" s="651"/>
      <c r="AS12" s="651"/>
      <c r="AT12" s="652"/>
      <c r="AU12" s="98"/>
      <c r="AW12" s="132" t="str">
        <f>职业!CV3</f>
        <v/>
      </c>
      <c r="AX12" s="515" t="s">
        <v>18</v>
      </c>
      <c r="AY12" s="515"/>
      <c r="AZ12" s="515"/>
      <c r="BA12" s="515"/>
      <c r="BB12" s="515"/>
      <c r="BC12" s="516"/>
      <c r="BD12" s="516"/>
      <c r="BE12" s="516"/>
      <c r="BF12" s="516"/>
      <c r="BG12" s="516"/>
      <c r="BH12" s="516"/>
      <c r="BI12" s="516"/>
      <c r="BJ12" s="516"/>
      <c r="BK12" s="516"/>
      <c r="BL12" s="516"/>
      <c r="BM12" s="516"/>
      <c r="BN12" s="516"/>
      <c r="BO12" s="516"/>
      <c r="BP12" s="516"/>
      <c r="BQ12" s="516"/>
      <c r="BR12" s="516"/>
      <c r="BS12" s="98"/>
      <c r="BT12" s="515"/>
      <c r="BU12" s="515"/>
      <c r="BV12" s="515"/>
      <c r="BW12" s="515"/>
      <c r="BX12" s="515"/>
      <c r="BY12" s="515"/>
      <c r="BZ12" s="679"/>
      <c r="CA12" s="574"/>
      <c r="CB12" s="574"/>
      <c r="CC12" s="574"/>
      <c r="CD12" s="574"/>
      <c r="CE12" s="574"/>
      <c r="CF12" s="574"/>
      <c r="CG12" s="574"/>
      <c r="CH12" s="574"/>
      <c r="CI12" s="574"/>
      <c r="CJ12" s="574"/>
      <c r="CK12" s="574"/>
      <c r="CL12" s="574"/>
      <c r="CM12" s="574"/>
      <c r="CN12" s="574"/>
      <c r="CO12" s="575"/>
    </row>
    <row r="13" spans="1:93" ht="16.7" customHeight="1" x14ac:dyDescent="0.3">
      <c r="B13" s="433" t="s">
        <v>5819</v>
      </c>
      <c r="C13" s="618" t="s">
        <v>6882</v>
      </c>
      <c r="D13" s="618"/>
      <c r="E13" s="618"/>
      <c r="F13" s="619">
        <f t="shared" ref="F13:F18" si="0">I13+K13+M13+O13</f>
        <v>10</v>
      </c>
      <c r="G13" s="619"/>
      <c r="H13" s="354" t="s">
        <v>40</v>
      </c>
      <c r="I13" s="620">
        <v>10</v>
      </c>
      <c r="J13" s="620"/>
      <c r="K13" s="641"/>
      <c r="L13" s="642"/>
      <c r="M13" s="620"/>
      <c r="N13" s="620"/>
      <c r="O13" s="620"/>
      <c r="P13" s="620"/>
      <c r="Q13" s="354" t="s">
        <v>75</v>
      </c>
      <c r="R13" s="616">
        <f t="shared" ref="R13:R18" si="1">INT(F13/2-5)</f>
        <v>0</v>
      </c>
      <c r="S13" s="616"/>
      <c r="T13" s="630">
        <f>INT(F13/2-5)+IF(B13="O",$S$3,0)+W13</f>
        <v>0</v>
      </c>
      <c r="U13" s="630"/>
      <c r="V13" s="354" t="s">
        <v>40</v>
      </c>
      <c r="W13" s="620"/>
      <c r="X13" s="620"/>
      <c r="Y13" s="19"/>
      <c r="Z13" s="19"/>
      <c r="AA13" s="650"/>
      <c r="AB13" s="651"/>
      <c r="AC13" s="651"/>
      <c r="AD13" s="651"/>
      <c r="AE13" s="651"/>
      <c r="AF13" s="651"/>
      <c r="AG13" s="651"/>
      <c r="AH13" s="651"/>
      <c r="AI13" s="651"/>
      <c r="AJ13" s="651"/>
      <c r="AK13" s="651"/>
      <c r="AL13" s="651"/>
      <c r="AM13" s="651"/>
      <c r="AN13" s="651"/>
      <c r="AO13" s="651"/>
      <c r="AP13" s="651"/>
      <c r="AQ13" s="651"/>
      <c r="AR13" s="651"/>
      <c r="AS13" s="651"/>
      <c r="AT13" s="652"/>
      <c r="AU13" s="98"/>
      <c r="AW13" s="131" t="str">
        <f>职业!CV4</f>
        <v/>
      </c>
      <c r="AX13" s="509" t="s">
        <v>544</v>
      </c>
      <c r="AY13" s="509"/>
      <c r="AZ13" s="509"/>
      <c r="BA13" s="509"/>
      <c r="BB13" s="509"/>
      <c r="BC13" s="517"/>
      <c r="BD13" s="517"/>
      <c r="BE13" s="517"/>
      <c r="BF13" s="517"/>
      <c r="BG13" s="517"/>
      <c r="BH13" s="517"/>
      <c r="BI13" s="517"/>
      <c r="BJ13" s="517"/>
      <c r="BK13" s="517"/>
      <c r="BL13" s="517"/>
      <c r="BM13" s="517"/>
      <c r="BN13" s="517"/>
      <c r="BO13" s="517"/>
      <c r="BP13" s="517"/>
      <c r="BQ13" s="517"/>
      <c r="BR13" s="517"/>
      <c r="BS13" s="98"/>
      <c r="BT13" s="509"/>
      <c r="BU13" s="509"/>
      <c r="BV13" s="509"/>
      <c r="BW13" s="509"/>
      <c r="BX13" s="509"/>
      <c r="BY13" s="509"/>
      <c r="BZ13" s="559"/>
      <c r="CA13" s="560"/>
      <c r="CB13" s="560"/>
      <c r="CC13" s="560"/>
      <c r="CD13" s="560"/>
      <c r="CE13" s="560"/>
      <c r="CF13" s="560"/>
      <c r="CG13" s="560"/>
      <c r="CH13" s="560"/>
      <c r="CI13" s="560"/>
      <c r="CJ13" s="560"/>
      <c r="CK13" s="560"/>
      <c r="CL13" s="560"/>
      <c r="CM13" s="560"/>
      <c r="CN13" s="560"/>
      <c r="CO13" s="561"/>
    </row>
    <row r="14" spans="1:93" ht="16.7" customHeight="1" x14ac:dyDescent="0.3">
      <c r="A14" s="101"/>
      <c r="B14" s="433" t="s">
        <v>73</v>
      </c>
      <c r="C14" s="618" t="s">
        <v>76</v>
      </c>
      <c r="D14" s="618"/>
      <c r="E14" s="618"/>
      <c r="F14" s="619">
        <f t="shared" si="0"/>
        <v>10</v>
      </c>
      <c r="G14" s="619"/>
      <c r="H14" s="354" t="s">
        <v>40</v>
      </c>
      <c r="I14" s="620">
        <v>10</v>
      </c>
      <c r="J14" s="620"/>
      <c r="K14" s="620"/>
      <c r="L14" s="620"/>
      <c r="M14" s="620"/>
      <c r="N14" s="620"/>
      <c r="O14" s="620"/>
      <c r="P14" s="620"/>
      <c r="Q14" s="354" t="s">
        <v>75</v>
      </c>
      <c r="R14" s="616">
        <f t="shared" si="1"/>
        <v>0</v>
      </c>
      <c r="S14" s="616"/>
      <c r="T14" s="630">
        <f t="shared" ref="T14:T18" si="2">INT(F14/2-5)+IF(B14="O",$S$3,0)+W14</f>
        <v>0</v>
      </c>
      <c r="U14" s="630"/>
      <c r="V14" s="354" t="s">
        <v>40</v>
      </c>
      <c r="W14" s="620"/>
      <c r="X14" s="620"/>
      <c r="Y14" s="19"/>
      <c r="Z14" s="19"/>
      <c r="AA14" s="650"/>
      <c r="AB14" s="651"/>
      <c r="AC14" s="651"/>
      <c r="AD14" s="651"/>
      <c r="AE14" s="651"/>
      <c r="AF14" s="651"/>
      <c r="AG14" s="651"/>
      <c r="AH14" s="651"/>
      <c r="AI14" s="651"/>
      <c r="AJ14" s="651"/>
      <c r="AK14" s="651"/>
      <c r="AL14" s="651"/>
      <c r="AM14" s="651"/>
      <c r="AN14" s="651"/>
      <c r="AO14" s="651"/>
      <c r="AP14" s="651"/>
      <c r="AQ14" s="651"/>
      <c r="AR14" s="651"/>
      <c r="AS14" s="651"/>
      <c r="AT14" s="652"/>
      <c r="AU14" s="98"/>
      <c r="AW14" s="132" t="str">
        <f>职业!CV5</f>
        <v/>
      </c>
      <c r="AX14" s="515" t="s">
        <v>20</v>
      </c>
      <c r="AY14" s="515"/>
      <c r="AZ14" s="515"/>
      <c r="BA14" s="515"/>
      <c r="BB14" s="515"/>
      <c r="BC14" s="516"/>
      <c r="BD14" s="516"/>
      <c r="BE14" s="516"/>
      <c r="BF14" s="516"/>
      <c r="BG14" s="516"/>
      <c r="BH14" s="516"/>
      <c r="BI14" s="516"/>
      <c r="BJ14" s="516"/>
      <c r="BK14" s="516"/>
      <c r="BL14" s="516"/>
      <c r="BM14" s="516"/>
      <c r="BN14" s="516"/>
      <c r="BO14" s="516"/>
      <c r="BP14" s="516"/>
      <c r="BQ14" s="516"/>
      <c r="BR14" s="516"/>
      <c r="BS14" s="98"/>
      <c r="BT14" s="515"/>
      <c r="BU14" s="515"/>
      <c r="BV14" s="515"/>
      <c r="BW14" s="515"/>
      <c r="BX14" s="515"/>
      <c r="BY14" s="515"/>
      <c r="BZ14" s="679"/>
      <c r="CA14" s="574"/>
      <c r="CB14" s="574"/>
      <c r="CC14" s="574"/>
      <c r="CD14" s="574"/>
      <c r="CE14" s="574"/>
      <c r="CF14" s="574"/>
      <c r="CG14" s="574"/>
      <c r="CH14" s="574"/>
      <c r="CI14" s="574"/>
      <c r="CJ14" s="574"/>
      <c r="CK14" s="574"/>
      <c r="CL14" s="574"/>
      <c r="CM14" s="574"/>
      <c r="CN14" s="574"/>
      <c r="CO14" s="575"/>
    </row>
    <row r="15" spans="1:93" ht="16.7" customHeight="1" x14ac:dyDescent="0.3">
      <c r="A15" s="101"/>
      <c r="B15" s="433" t="s">
        <v>73</v>
      </c>
      <c r="C15" s="618" t="s">
        <v>77</v>
      </c>
      <c r="D15" s="618"/>
      <c r="E15" s="618"/>
      <c r="F15" s="619">
        <f t="shared" si="0"/>
        <v>10</v>
      </c>
      <c r="G15" s="619"/>
      <c r="H15" s="354" t="s">
        <v>40</v>
      </c>
      <c r="I15" s="620">
        <v>10</v>
      </c>
      <c r="J15" s="620"/>
      <c r="K15" s="620"/>
      <c r="L15" s="620"/>
      <c r="M15" s="620"/>
      <c r="N15" s="620"/>
      <c r="O15" s="620"/>
      <c r="P15" s="620"/>
      <c r="Q15" s="354" t="s">
        <v>75</v>
      </c>
      <c r="R15" s="616">
        <f t="shared" si="1"/>
        <v>0</v>
      </c>
      <c r="S15" s="616"/>
      <c r="T15" s="630">
        <f t="shared" si="2"/>
        <v>0</v>
      </c>
      <c r="U15" s="630"/>
      <c r="V15" s="354" t="s">
        <v>40</v>
      </c>
      <c r="W15" s="620"/>
      <c r="X15" s="620"/>
      <c r="Y15" s="19"/>
      <c r="Z15" s="19"/>
      <c r="AA15" s="650"/>
      <c r="AB15" s="651"/>
      <c r="AC15" s="651"/>
      <c r="AD15" s="651"/>
      <c r="AE15" s="651"/>
      <c r="AF15" s="651"/>
      <c r="AG15" s="651"/>
      <c r="AH15" s="651"/>
      <c r="AI15" s="651"/>
      <c r="AJ15" s="651"/>
      <c r="AK15" s="651"/>
      <c r="AL15" s="651"/>
      <c r="AM15" s="651"/>
      <c r="AN15" s="651"/>
      <c r="AO15" s="651"/>
      <c r="AP15" s="651"/>
      <c r="AQ15" s="651"/>
      <c r="AR15" s="651"/>
      <c r="AS15" s="651"/>
      <c r="AT15" s="652"/>
      <c r="AU15" s="98"/>
      <c r="AW15" s="131" t="str">
        <f>职业!CV6</f>
        <v/>
      </c>
      <c r="AX15" s="509" t="s">
        <v>546</v>
      </c>
      <c r="AY15" s="509"/>
      <c r="AZ15" s="509"/>
      <c r="BA15" s="509"/>
      <c r="BB15" s="509"/>
      <c r="BC15" s="517"/>
      <c r="BD15" s="517"/>
      <c r="BE15" s="517"/>
      <c r="BF15" s="517"/>
      <c r="BG15" s="517"/>
      <c r="BH15" s="517"/>
      <c r="BI15" s="517"/>
      <c r="BJ15" s="517"/>
      <c r="BK15" s="517"/>
      <c r="BL15" s="517"/>
      <c r="BM15" s="517"/>
      <c r="BN15" s="517"/>
      <c r="BO15" s="517"/>
      <c r="BP15" s="517"/>
      <c r="BQ15" s="517"/>
      <c r="BR15" s="517"/>
      <c r="BS15" s="98"/>
      <c r="BT15" s="509"/>
      <c r="BU15" s="509"/>
      <c r="BV15" s="509"/>
      <c r="BW15" s="509"/>
      <c r="BX15" s="509"/>
      <c r="BY15" s="509"/>
      <c r="BZ15" s="559"/>
      <c r="CA15" s="560"/>
      <c r="CB15" s="560"/>
      <c r="CC15" s="560"/>
      <c r="CD15" s="560"/>
      <c r="CE15" s="560"/>
      <c r="CF15" s="560"/>
      <c r="CG15" s="560"/>
      <c r="CH15" s="560"/>
      <c r="CI15" s="560"/>
      <c r="CJ15" s="560"/>
      <c r="CK15" s="560"/>
      <c r="CL15" s="560"/>
      <c r="CM15" s="560"/>
      <c r="CN15" s="560"/>
      <c r="CO15" s="561"/>
    </row>
    <row r="16" spans="1:93" ht="16.7" customHeight="1" x14ac:dyDescent="0.3">
      <c r="A16" s="101"/>
      <c r="B16" s="433" t="s">
        <v>73</v>
      </c>
      <c r="C16" s="618" t="s">
        <v>78</v>
      </c>
      <c r="D16" s="618"/>
      <c r="E16" s="618"/>
      <c r="F16" s="619">
        <f t="shared" si="0"/>
        <v>10</v>
      </c>
      <c r="G16" s="619"/>
      <c r="H16" s="354" t="s">
        <v>40</v>
      </c>
      <c r="I16" s="620">
        <v>10</v>
      </c>
      <c r="J16" s="620"/>
      <c r="K16" s="620"/>
      <c r="L16" s="620"/>
      <c r="M16" s="620"/>
      <c r="N16" s="620"/>
      <c r="O16" s="620"/>
      <c r="P16" s="620"/>
      <c r="Q16" s="354" t="s">
        <v>75</v>
      </c>
      <c r="R16" s="616">
        <f t="shared" si="1"/>
        <v>0</v>
      </c>
      <c r="S16" s="616"/>
      <c r="T16" s="630">
        <f t="shared" si="2"/>
        <v>0</v>
      </c>
      <c r="U16" s="630"/>
      <c r="V16" s="354" t="s">
        <v>40</v>
      </c>
      <c r="W16" s="620"/>
      <c r="X16" s="620"/>
      <c r="Y16" s="19"/>
      <c r="Z16" s="19"/>
      <c r="AA16" s="650"/>
      <c r="AB16" s="651"/>
      <c r="AC16" s="651"/>
      <c r="AD16" s="651"/>
      <c r="AE16" s="651"/>
      <c r="AF16" s="651"/>
      <c r="AG16" s="651"/>
      <c r="AH16" s="651"/>
      <c r="AI16" s="651"/>
      <c r="AJ16" s="651"/>
      <c r="AK16" s="651"/>
      <c r="AL16" s="651"/>
      <c r="AM16" s="651"/>
      <c r="AN16" s="651"/>
      <c r="AO16" s="651"/>
      <c r="AP16" s="651"/>
      <c r="AQ16" s="651"/>
      <c r="AR16" s="651"/>
      <c r="AS16" s="651"/>
      <c r="AT16" s="652"/>
      <c r="AU16" s="98"/>
      <c r="AW16" s="132" t="str">
        <f>职业!CV7</f>
        <v/>
      </c>
      <c r="AX16" s="515" t="s">
        <v>547</v>
      </c>
      <c r="AY16" s="515"/>
      <c r="AZ16" s="515"/>
      <c r="BA16" s="515"/>
      <c r="BB16" s="515"/>
      <c r="BC16" s="516"/>
      <c r="BD16" s="516"/>
      <c r="BE16" s="516"/>
      <c r="BF16" s="516"/>
      <c r="BG16" s="516"/>
      <c r="BH16" s="516"/>
      <c r="BI16" s="516"/>
      <c r="BJ16" s="516"/>
      <c r="BK16" s="516"/>
      <c r="BL16" s="516"/>
      <c r="BM16" s="516"/>
      <c r="BN16" s="516"/>
      <c r="BO16" s="516"/>
      <c r="BP16" s="516"/>
      <c r="BQ16" s="516"/>
      <c r="BR16" s="516"/>
      <c r="BS16" s="98"/>
    </row>
    <row r="17" spans="1:93" ht="16.7" customHeight="1" x14ac:dyDescent="0.3">
      <c r="A17" s="101"/>
      <c r="B17" s="433" t="s">
        <v>73</v>
      </c>
      <c r="C17" s="618" t="s">
        <v>79</v>
      </c>
      <c r="D17" s="618"/>
      <c r="E17" s="618"/>
      <c r="F17" s="619">
        <f t="shared" si="0"/>
        <v>10</v>
      </c>
      <c r="G17" s="619"/>
      <c r="H17" s="354" t="s">
        <v>40</v>
      </c>
      <c r="I17" s="620">
        <v>10</v>
      </c>
      <c r="J17" s="620"/>
      <c r="K17" s="620"/>
      <c r="L17" s="620"/>
      <c r="M17" s="620"/>
      <c r="N17" s="620"/>
      <c r="O17" s="620"/>
      <c r="P17" s="620"/>
      <c r="Q17" s="354" t="s">
        <v>75</v>
      </c>
      <c r="R17" s="616">
        <f t="shared" si="1"/>
        <v>0</v>
      </c>
      <c r="S17" s="616"/>
      <c r="T17" s="630">
        <f t="shared" si="2"/>
        <v>0</v>
      </c>
      <c r="U17" s="630"/>
      <c r="V17" s="354" t="s">
        <v>40</v>
      </c>
      <c r="W17" s="620"/>
      <c r="X17" s="620"/>
      <c r="Y17" s="19"/>
      <c r="Z17" s="19"/>
      <c r="AA17" s="650"/>
      <c r="AB17" s="651"/>
      <c r="AC17" s="651"/>
      <c r="AD17" s="651"/>
      <c r="AE17" s="651"/>
      <c r="AF17" s="651"/>
      <c r="AG17" s="651"/>
      <c r="AH17" s="651"/>
      <c r="AI17" s="651"/>
      <c r="AJ17" s="651"/>
      <c r="AK17" s="651"/>
      <c r="AL17" s="651"/>
      <c r="AM17" s="651"/>
      <c r="AN17" s="651"/>
      <c r="AO17" s="651"/>
      <c r="AP17" s="651"/>
      <c r="AQ17" s="651"/>
      <c r="AR17" s="651"/>
      <c r="AS17" s="651"/>
      <c r="AT17" s="652"/>
      <c r="AU17" s="98"/>
      <c r="AW17" s="131" t="str">
        <f>职业!CV8</f>
        <v/>
      </c>
      <c r="AX17" s="509"/>
      <c r="AY17" s="509"/>
      <c r="AZ17" s="509"/>
      <c r="BA17" s="509"/>
      <c r="BB17" s="509"/>
      <c r="BC17" s="517"/>
      <c r="BD17" s="517"/>
      <c r="BE17" s="517"/>
      <c r="BF17" s="517"/>
      <c r="BG17" s="517"/>
      <c r="BH17" s="517"/>
      <c r="BI17" s="517"/>
      <c r="BJ17" s="517"/>
      <c r="BK17" s="517"/>
      <c r="BL17" s="517"/>
      <c r="BM17" s="517"/>
      <c r="BN17" s="517"/>
      <c r="BO17" s="517"/>
      <c r="BP17" s="517"/>
      <c r="BQ17" s="517"/>
      <c r="BR17" s="517"/>
      <c r="BS17" s="98"/>
      <c r="BT17" s="539" t="s">
        <v>16</v>
      </c>
      <c r="BU17" s="539"/>
      <c r="BV17" s="539"/>
      <c r="BW17" s="539"/>
      <c r="BX17" s="539"/>
      <c r="BY17" s="539"/>
      <c r="BZ17" s="539"/>
      <c r="CA17" s="539"/>
      <c r="CB17" s="539"/>
      <c r="CC17" s="539"/>
      <c r="CD17" s="539"/>
      <c r="CE17" s="539"/>
      <c r="CF17" s="539"/>
      <c r="CG17" s="539"/>
      <c r="CH17" s="539"/>
      <c r="CI17" s="539"/>
      <c r="CJ17" s="539"/>
      <c r="CK17" s="539"/>
      <c r="CL17" s="539"/>
      <c r="CM17" s="539"/>
      <c r="CN17" s="539"/>
      <c r="CO17" s="539"/>
    </row>
    <row r="18" spans="1:93" ht="16.7" customHeight="1" x14ac:dyDescent="0.3">
      <c r="A18" s="101"/>
      <c r="B18" s="433" t="s">
        <v>73</v>
      </c>
      <c r="C18" s="618" t="s">
        <v>80</v>
      </c>
      <c r="D18" s="618"/>
      <c r="E18" s="618"/>
      <c r="F18" s="619">
        <f t="shared" si="0"/>
        <v>10</v>
      </c>
      <c r="G18" s="619"/>
      <c r="H18" s="354" t="s">
        <v>40</v>
      </c>
      <c r="I18" s="620">
        <v>10</v>
      </c>
      <c r="J18" s="620"/>
      <c r="K18" s="620"/>
      <c r="L18" s="620"/>
      <c r="M18" s="620"/>
      <c r="N18" s="620"/>
      <c r="O18" s="620"/>
      <c r="P18" s="620"/>
      <c r="Q18" s="354" t="s">
        <v>75</v>
      </c>
      <c r="R18" s="616">
        <f t="shared" si="1"/>
        <v>0</v>
      </c>
      <c r="S18" s="616"/>
      <c r="T18" s="630">
        <f t="shared" si="2"/>
        <v>0</v>
      </c>
      <c r="U18" s="630"/>
      <c r="V18" s="354" t="s">
        <v>40</v>
      </c>
      <c r="W18" s="620"/>
      <c r="X18" s="620"/>
      <c r="Y18" s="19"/>
      <c r="Z18" s="19"/>
      <c r="AA18" s="650"/>
      <c r="AB18" s="651"/>
      <c r="AC18" s="651"/>
      <c r="AD18" s="651"/>
      <c r="AE18" s="651"/>
      <c r="AF18" s="651"/>
      <c r="AG18" s="651"/>
      <c r="AH18" s="651"/>
      <c r="AI18" s="651"/>
      <c r="AJ18" s="651"/>
      <c r="AK18" s="651"/>
      <c r="AL18" s="651"/>
      <c r="AM18" s="651"/>
      <c r="AN18" s="651"/>
      <c r="AO18" s="651"/>
      <c r="AP18" s="651"/>
      <c r="AQ18" s="651"/>
      <c r="AR18" s="651"/>
      <c r="AS18" s="651"/>
      <c r="AT18" s="652"/>
      <c r="AU18" s="98"/>
      <c r="AW18" s="132" t="str">
        <f>职业!CV9</f>
        <v/>
      </c>
      <c r="AX18" s="515"/>
      <c r="AY18" s="515"/>
      <c r="AZ18" s="515"/>
      <c r="BA18" s="515"/>
      <c r="BB18" s="515"/>
      <c r="BC18" s="516"/>
      <c r="BD18" s="516"/>
      <c r="BE18" s="516"/>
      <c r="BF18" s="516"/>
      <c r="BG18" s="516"/>
      <c r="BH18" s="516"/>
      <c r="BI18" s="516"/>
      <c r="BJ18" s="516"/>
      <c r="BK18" s="516"/>
      <c r="BL18" s="516"/>
      <c r="BM18" s="516"/>
      <c r="BN18" s="516"/>
      <c r="BO18" s="516"/>
      <c r="BP18" s="516"/>
      <c r="BQ18" s="516"/>
      <c r="BR18" s="516"/>
      <c r="BS18" s="98"/>
      <c r="BT18" s="284" t="s">
        <v>53</v>
      </c>
      <c r="BU18" s="537" t="s">
        <v>36</v>
      </c>
      <c r="BV18" s="537"/>
      <c r="BW18" s="537"/>
      <c r="BX18" s="537"/>
      <c r="BY18" s="537"/>
      <c r="BZ18" s="537" t="s">
        <v>37</v>
      </c>
      <c r="CA18" s="537"/>
      <c r="CB18" s="537"/>
      <c r="CC18" s="537"/>
      <c r="CD18" s="537"/>
      <c r="CE18" s="537"/>
      <c r="CF18" s="537"/>
      <c r="CG18" s="537"/>
      <c r="CH18" s="537"/>
      <c r="CI18" s="537"/>
      <c r="CJ18" s="537"/>
      <c r="CK18" s="537"/>
      <c r="CL18" s="537"/>
      <c r="CM18" s="537"/>
      <c r="CN18" s="537"/>
      <c r="CO18" s="537"/>
    </row>
    <row r="19" spans="1:93" ht="16.7" customHeight="1" x14ac:dyDescent="0.15">
      <c r="A19" s="101"/>
      <c r="AA19" s="650"/>
      <c r="AB19" s="651"/>
      <c r="AC19" s="651"/>
      <c r="AD19" s="651"/>
      <c r="AE19" s="651"/>
      <c r="AF19" s="651"/>
      <c r="AG19" s="651"/>
      <c r="AH19" s="651"/>
      <c r="AI19" s="651"/>
      <c r="AJ19" s="651"/>
      <c r="AK19" s="651"/>
      <c r="AL19" s="651"/>
      <c r="AM19" s="651"/>
      <c r="AN19" s="651"/>
      <c r="AO19" s="651"/>
      <c r="AP19" s="651"/>
      <c r="AQ19" s="651"/>
      <c r="AR19" s="651"/>
      <c r="AS19" s="651"/>
      <c r="AT19" s="652"/>
      <c r="AU19" s="98"/>
      <c r="AW19" s="131" t="str">
        <f>职业!CV10</f>
        <v/>
      </c>
      <c r="AX19" s="509"/>
      <c r="AY19" s="509"/>
      <c r="AZ19" s="509"/>
      <c r="BA19" s="509"/>
      <c r="BB19" s="509"/>
      <c r="BC19" s="517"/>
      <c r="BD19" s="517"/>
      <c r="BE19" s="517"/>
      <c r="BF19" s="517"/>
      <c r="BG19" s="517"/>
      <c r="BH19" s="517"/>
      <c r="BI19" s="517"/>
      <c r="BJ19" s="517"/>
      <c r="BK19" s="517"/>
      <c r="BL19" s="517"/>
      <c r="BM19" s="517"/>
      <c r="BN19" s="517"/>
      <c r="BO19" s="517"/>
      <c r="BP19" s="517"/>
      <c r="BQ19" s="517"/>
      <c r="BR19" s="517"/>
      <c r="BS19" s="98"/>
      <c r="BT19" s="131">
        <v>1</v>
      </c>
      <c r="BU19" s="509" t="inlineStr">
        <is>
          <t xml:space="preserve">专注重击</t>
        </is>
      </c>
      <c r="BV19" s="509"/>
      <c r="BW19" s="509"/>
      <c r="BX19" s="509"/>
      <c r="BY19" s="509"/>
      <c r="BZ19" s="517"/>
      <c r="CA19" s="517"/>
      <c r="CB19" s="517"/>
      <c r="CC19" s="517"/>
      <c r="CD19" s="517"/>
      <c r="CE19" s="517"/>
      <c r="CF19" s="517"/>
      <c r="CG19" s="517"/>
      <c r="CH19" s="517"/>
      <c r="CI19" s="517"/>
      <c r="CJ19" s="517"/>
      <c r="CK19" s="517"/>
      <c r="CL19" s="517"/>
      <c r="CM19" s="517"/>
      <c r="CN19" s="517"/>
      <c r="CO19" s="517"/>
    </row>
    <row r="20" spans="1:93" ht="16.7" customHeight="1" x14ac:dyDescent="0.15">
      <c r="B20" s="539" t="s">
        <v>81</v>
      </c>
      <c r="C20" s="539"/>
      <c r="D20" s="539"/>
      <c r="E20" s="539"/>
      <c r="F20" s="539"/>
      <c r="G20" s="539"/>
      <c r="H20" s="539"/>
      <c r="I20" s="539"/>
      <c r="J20" s="539"/>
      <c r="K20" s="539"/>
      <c r="L20" s="539"/>
      <c r="M20" s="539"/>
      <c r="N20" s="539"/>
      <c r="O20" s="539"/>
      <c r="P20" s="539"/>
      <c r="Q20" s="539"/>
      <c r="R20" s="635" t="s">
        <v>82</v>
      </c>
      <c r="S20" s="635"/>
      <c r="T20" s="635"/>
      <c r="U20" s="635"/>
      <c r="V20" s="635"/>
      <c r="W20" s="635"/>
      <c r="X20" s="631" t="s">
        <v>83</v>
      </c>
      <c r="Y20" s="631"/>
      <c r="AA20" s="653"/>
      <c r="AB20" s="654"/>
      <c r="AC20" s="654"/>
      <c r="AD20" s="654"/>
      <c r="AE20" s="654"/>
      <c r="AF20" s="654"/>
      <c r="AG20" s="654"/>
      <c r="AH20" s="654"/>
      <c r="AI20" s="654"/>
      <c r="AJ20" s="654"/>
      <c r="AK20" s="654"/>
      <c r="AL20" s="654"/>
      <c r="AM20" s="654"/>
      <c r="AN20" s="654"/>
      <c r="AO20" s="654"/>
      <c r="AP20" s="654"/>
      <c r="AQ20" s="654"/>
      <c r="AR20" s="654"/>
      <c r="AS20" s="654"/>
      <c r="AT20" s="655"/>
      <c r="AU20" s="98"/>
      <c r="AW20" s="132" t="str">
        <f>职业!CV11</f>
        <v/>
      </c>
      <c r="AX20" s="515"/>
      <c r="AY20" s="515"/>
      <c r="AZ20" s="515"/>
      <c r="BA20" s="515"/>
      <c r="BB20" s="515"/>
      <c r="BC20" s="516"/>
      <c r="BD20" s="516"/>
      <c r="BE20" s="516"/>
      <c r="BF20" s="516"/>
      <c r="BG20" s="516"/>
      <c r="BH20" s="516"/>
      <c r="BI20" s="516"/>
      <c r="BJ20" s="516"/>
      <c r="BK20" s="516"/>
      <c r="BL20" s="516"/>
      <c r="BM20" s="516"/>
      <c r="BN20" s="516"/>
      <c r="BO20" s="516"/>
      <c r="BP20" s="516"/>
      <c r="BQ20" s="516"/>
      <c r="BR20" s="516"/>
      <c r="BS20" s="98"/>
      <c r="BT20" s="132">
        <v>4</v>
      </c>
      <c r="BU20" s="515" t="inlineStr">
        <is>
          <t xml:space="preserve">云端漫步者</t>
        </is>
      </c>
      <c r="BV20" s="515"/>
      <c r="BW20" s="515"/>
      <c r="BX20" s="515"/>
      <c r="BY20" s="515"/>
      <c r="BZ20" s="516"/>
      <c r="CA20" s="516"/>
      <c r="CB20" s="516"/>
      <c r="CC20" s="516"/>
      <c r="CD20" s="516"/>
      <c r="CE20" s="516"/>
      <c r="CF20" s="516"/>
      <c r="CG20" s="516"/>
      <c r="CH20" s="516"/>
      <c r="CI20" s="516"/>
      <c r="CJ20" s="516"/>
      <c r="CK20" s="516"/>
      <c r="CL20" s="516"/>
      <c r="CM20" s="516"/>
      <c r="CN20" s="516"/>
      <c r="CO20" s="516"/>
    </row>
    <row r="21" spans="1:93" ht="16.7" customHeight="1" x14ac:dyDescent="0.3">
      <c r="G21" s="537" t="s">
        <v>39</v>
      </c>
      <c r="H21" s="537"/>
      <c r="S21" s="537" t="s">
        <v>84</v>
      </c>
      <c r="T21" s="537"/>
      <c r="U21" s="288"/>
      <c r="V21" s="537" t="s">
        <v>85</v>
      </c>
      <c r="W21" s="537"/>
      <c r="AA21" s="662" t="s">
        <v>91</v>
      </c>
      <c r="AB21" s="662"/>
      <c r="AC21" s="662"/>
      <c r="AD21" s="662"/>
      <c r="AE21" s="662"/>
      <c r="AF21" s="662"/>
      <c r="AG21" s="662"/>
      <c r="AH21" s="662"/>
      <c r="AI21" s="662"/>
      <c r="AJ21" s="662"/>
      <c r="AK21" s="662"/>
      <c r="AL21" s="662"/>
      <c r="AM21" s="662"/>
      <c r="AN21" s="662"/>
      <c r="AO21" s="662"/>
      <c r="AP21" s="662"/>
      <c r="AQ21" s="662"/>
      <c r="AR21" s="662"/>
      <c r="AS21" s="662"/>
      <c r="AT21" s="662"/>
      <c r="AU21" s="98"/>
      <c r="AW21" s="131" t="str">
        <f>职业!CV12</f>
        <v/>
      </c>
      <c r="AX21" s="509"/>
      <c r="AY21" s="509"/>
      <c r="AZ21" s="509"/>
      <c r="BA21" s="509"/>
      <c r="BB21" s="509"/>
      <c r="BC21" s="517"/>
      <c r="BD21" s="517"/>
      <c r="BE21" s="517"/>
      <c r="BF21" s="517"/>
      <c r="BG21" s="517"/>
      <c r="BH21" s="517"/>
      <c r="BI21" s="517"/>
      <c r="BJ21" s="517"/>
      <c r="BK21" s="517"/>
      <c r="BL21" s="517"/>
      <c r="BM21" s="517"/>
      <c r="BN21" s="517"/>
      <c r="BO21" s="517"/>
      <c r="BP21" s="517"/>
      <c r="BQ21" s="517"/>
      <c r="BR21" s="517"/>
      <c r="BT21" s="131">
        <v>8</v>
      </c>
      <c r="BU21" s="509" t="inlineStr">
        <is>
          <t xml:space="preserve">巧匠</t>
        </is>
      </c>
      <c r="BV21" s="509"/>
      <c r="BW21" s="509"/>
      <c r="BX21" s="509"/>
      <c r="BY21" s="509"/>
      <c r="BZ21" s="517"/>
      <c r="CA21" s="517"/>
      <c r="CB21" s="517"/>
      <c r="CC21" s="517"/>
      <c r="CD21" s="517"/>
      <c r="CE21" s="517"/>
      <c r="CF21" s="517"/>
      <c r="CG21" s="517"/>
      <c r="CH21" s="517"/>
      <c r="CI21" s="517"/>
      <c r="CJ21" s="517"/>
      <c r="CK21" s="517"/>
      <c r="CL21" s="517"/>
      <c r="CM21" s="517"/>
      <c r="CN21" s="517"/>
      <c r="CO21" s="517"/>
    </row>
    <row r="22" spans="1:93" ht="16.7" customHeight="1" x14ac:dyDescent="0.15">
      <c r="B22" s="632" t="s">
        <v>86</v>
      </c>
      <c r="C22" s="632"/>
      <c r="D22" s="616">
        <f>SUM(R14+G22)</f>
        <v>0</v>
      </c>
      <c r="E22" s="616"/>
      <c r="F22" s="354" t="s">
        <v>40</v>
      </c>
      <c r="G22" s="640"/>
      <c r="H22" s="640"/>
      <c r="P22" s="625" t="s">
        <v>87</v>
      </c>
      <c r="Q22" s="625"/>
      <c r="R22" s="626">
        <f>V22</f>
        <v>0</v>
      </c>
      <c r="S22" s="626"/>
      <c r="T22" s="627"/>
      <c r="U22" s="136" t="s">
        <v>88</v>
      </c>
      <c r="V22" s="638">
        <f>BF7</f>
        <v>0</v>
      </c>
      <c r="W22" s="639"/>
      <c r="X22" s="639"/>
      <c r="AA22" s="632" t="s">
        <v>93</v>
      </c>
      <c r="AB22" s="632"/>
      <c r="AC22" s="632"/>
      <c r="AD22" s="632"/>
      <c r="AE22" s="641"/>
      <c r="AF22" s="732"/>
      <c r="AG22" s="732"/>
      <c r="AH22" s="732"/>
      <c r="AI22" s="732"/>
      <c r="AJ22" s="732"/>
      <c r="AK22" s="732"/>
      <c r="AL22" s="732"/>
      <c r="AM22" s="732"/>
      <c r="AN22" s="642"/>
      <c r="AO22" s="739" t="s">
        <v>10966</v>
      </c>
      <c r="AP22" s="739"/>
      <c r="AQ22" s="739"/>
      <c r="AR22" s="735"/>
      <c r="AS22" s="735"/>
      <c r="AT22" s="735"/>
      <c r="AW22" s="132" t="str">
        <f>职业!CV13</f>
        <v/>
      </c>
      <c r="AX22" s="515"/>
      <c r="AY22" s="515"/>
      <c r="AZ22" s="515"/>
      <c r="BA22" s="515"/>
      <c r="BB22" s="515"/>
      <c r="BC22" s="516"/>
      <c r="BD22" s="516"/>
      <c r="BE22" s="516"/>
      <c r="BF22" s="516"/>
      <c r="BG22" s="516"/>
      <c r="BH22" s="516"/>
      <c r="BI22" s="516"/>
      <c r="BJ22" s="516"/>
      <c r="BK22" s="516"/>
      <c r="BL22" s="516"/>
      <c r="BM22" s="516"/>
      <c r="BN22" s="516"/>
      <c r="BO22" s="516"/>
      <c r="BP22" s="516"/>
      <c r="BQ22" s="516"/>
      <c r="BR22" s="516"/>
      <c r="BT22" s="132">
        <v>12</v>
      </c>
      <c r="BU22" s="515"/>
      <c r="BV22" s="515"/>
      <c r="BW22" s="515"/>
      <c r="BX22" s="515"/>
      <c r="BY22" s="515"/>
      <c r="BZ22" s="516"/>
      <c r="CA22" s="516"/>
      <c r="CB22" s="516"/>
      <c r="CC22" s="516"/>
      <c r="CD22" s="516"/>
      <c r="CE22" s="516"/>
      <c r="CF22" s="516"/>
      <c r="CG22" s="516"/>
      <c r="CH22" s="516"/>
      <c r="CI22" s="516"/>
      <c r="CJ22" s="516"/>
      <c r="CK22" s="516"/>
      <c r="CL22" s="516"/>
      <c r="CM22" s="516"/>
      <c r="CN22" s="516"/>
      <c r="CO22" s="516"/>
    </row>
    <row r="23" spans="1:93" ht="16.7" customHeight="1" x14ac:dyDescent="0.15">
      <c r="B23" s="595" t="s">
        <v>89</v>
      </c>
      <c r="C23" s="595"/>
      <c r="D23" s="616">
        <f>SUM(AF40,AI40,G23,+IF(AS40="是",AQ40,0))</f>
        <v>10</v>
      </c>
      <c r="E23" s="616"/>
      <c r="F23" s="354" t="s">
        <v>40</v>
      </c>
      <c r="G23" s="669"/>
      <c r="H23" s="669"/>
      <c r="J23" s="632" t="s">
        <v>10968</v>
      </c>
      <c r="K23" s="632"/>
      <c r="L23" s="616">
        <f>SUM(10+I53)</f>
        <v>10</v>
      </c>
      <c r="M23" s="616"/>
      <c r="N23" s="616"/>
      <c r="P23" s="633" t="s">
        <v>90</v>
      </c>
      <c r="Q23" s="634"/>
      <c r="R23" s="636">
        <f>U23</f>
        <v>1</v>
      </c>
      <c r="S23" s="637"/>
      <c r="T23" s="136" t="s">
        <v>88</v>
      </c>
      <c r="U23" s="667">
        <f>O6+O7+O8</f>
        <v>1</v>
      </c>
      <c r="V23" s="668"/>
      <c r="W23" s="640" t="str">
        <f>IF(E7="",IF(E8="",IFERROR(VLOOKUP(E6,职业!AO2:AP21,2,0),""),""),"")</f>
        <v/>
      </c>
      <c r="X23" s="640"/>
      <c r="AA23" s="677" t="s">
        <v>97</v>
      </c>
      <c r="AB23" s="677"/>
      <c r="AC23" s="677"/>
      <c r="AD23" s="677"/>
      <c r="AE23" s="591"/>
      <c r="AF23" s="592"/>
      <c r="AG23" s="592"/>
      <c r="AH23" s="592"/>
      <c r="AI23" s="592"/>
      <c r="AJ23" s="592"/>
      <c r="AK23" s="592"/>
      <c r="AL23" s="592"/>
      <c r="AM23" s="592"/>
      <c r="AN23" s="733"/>
      <c r="AO23" s="677" t="s">
        <v>10761</v>
      </c>
      <c r="AP23" s="677"/>
      <c r="AQ23" s="677"/>
      <c r="AR23" s="734" t="s">
        <v>95</v>
      </c>
      <c r="AS23" s="734"/>
      <c r="AT23" s="734"/>
      <c r="AW23" s="131" t="str">
        <f>职业!CV14</f>
        <v/>
      </c>
      <c r="AX23" s="509"/>
      <c r="AY23" s="509"/>
      <c r="AZ23" s="509"/>
      <c r="BA23" s="509"/>
      <c r="BB23" s="509"/>
      <c r="BC23" s="517"/>
      <c r="BD23" s="517"/>
      <c r="BE23" s="517"/>
      <c r="BF23" s="517"/>
      <c r="BG23" s="517"/>
      <c r="BH23" s="517"/>
      <c r="BI23" s="517"/>
      <c r="BJ23" s="517"/>
      <c r="BK23" s="517"/>
      <c r="BL23" s="517"/>
      <c r="BM23" s="517"/>
      <c r="BN23" s="517"/>
      <c r="BO23" s="517"/>
      <c r="BP23" s="517"/>
      <c r="BQ23" s="517"/>
      <c r="BR23" s="517"/>
      <c r="BT23" s="131">
        <v>16</v>
      </c>
      <c r="BU23" s="509"/>
      <c r="BV23" s="509"/>
      <c r="BW23" s="509"/>
      <c r="BX23" s="509"/>
      <c r="BY23" s="509"/>
      <c r="BZ23" s="517"/>
      <c r="CA23" s="517"/>
      <c r="CB23" s="517"/>
      <c r="CC23" s="517"/>
      <c r="CD23" s="517"/>
      <c r="CE23" s="517"/>
      <c r="CF23" s="517"/>
      <c r="CG23" s="517"/>
      <c r="CH23" s="517"/>
      <c r="CI23" s="517"/>
      <c r="CJ23" s="517"/>
      <c r="CK23" s="517"/>
      <c r="CL23" s="517"/>
      <c r="CM23" s="517"/>
      <c r="CN23" s="517"/>
      <c r="CO23" s="517"/>
    </row>
    <row r="24" spans="1:93" ht="16.7" customHeight="1" x14ac:dyDescent="0.15">
      <c r="B24" s="623" t="s">
        <v>10969</v>
      </c>
      <c r="C24" s="623"/>
      <c r="D24" s="616">
        <f>SUM(8+S3+G24+VLOOKUP(L24,C13:S18,16,FALSE))</f>
        <v>10</v>
      </c>
      <c r="E24" s="616"/>
      <c r="F24" s="354" t="s">
        <v>40</v>
      </c>
      <c r="G24" s="640"/>
      <c r="H24" s="640"/>
      <c r="I24" s="354" t="s">
        <v>40</v>
      </c>
      <c r="J24" s="646" t="s">
        <v>8307</v>
      </c>
      <c r="K24" s="646"/>
      <c r="L24" s="624" t="s">
        <v>80</v>
      </c>
      <c r="M24" s="624"/>
      <c r="N24" s="624"/>
      <c r="P24" s="736" t="s">
        <v>10965</v>
      </c>
      <c r="Q24" s="737"/>
      <c r="R24" s="737"/>
      <c r="S24" s="738"/>
      <c r="T24" s="670"/>
      <c r="U24" s="671"/>
      <c r="V24" s="671"/>
      <c r="W24" s="671"/>
      <c r="X24" s="672"/>
      <c r="AA24" s="646" t="s">
        <v>99</v>
      </c>
      <c r="AB24" s="646"/>
      <c r="AC24" s="646"/>
      <c r="AD24" s="646"/>
      <c r="AE24" s="596"/>
      <c r="AF24" s="597"/>
      <c r="AG24" s="597"/>
      <c r="AH24" s="597"/>
      <c r="AI24" s="597"/>
      <c r="AJ24" s="597"/>
      <c r="AK24" s="597"/>
      <c r="AL24" s="597"/>
      <c r="AM24" s="597"/>
      <c r="AN24" s="731"/>
      <c r="AO24" s="646" t="s">
        <v>96</v>
      </c>
      <c r="AP24" s="646"/>
      <c r="AQ24" s="646"/>
      <c r="AR24" s="735">
        <v>30</v>
      </c>
      <c r="AS24" s="735"/>
      <c r="AT24" s="735"/>
      <c r="AW24" s="132" t="str">
        <f>职业!CV15</f>
        <v/>
      </c>
      <c r="AX24" s="515"/>
      <c r="AY24" s="515"/>
      <c r="AZ24" s="515"/>
      <c r="BA24" s="515"/>
      <c r="BB24" s="515"/>
      <c r="BC24" s="516"/>
      <c r="BD24" s="516"/>
      <c r="BE24" s="516"/>
      <c r="BF24" s="516"/>
      <c r="BG24" s="516"/>
      <c r="BH24" s="516"/>
      <c r="BI24" s="516"/>
      <c r="BJ24" s="516"/>
      <c r="BK24" s="516"/>
      <c r="BL24" s="516"/>
      <c r="BM24" s="516"/>
      <c r="BN24" s="516"/>
      <c r="BO24" s="516"/>
      <c r="BP24" s="516"/>
      <c r="BQ24" s="516"/>
      <c r="BR24" s="516"/>
      <c r="BT24" s="132">
        <v>19</v>
      </c>
      <c r="BU24" s="515"/>
      <c r="BV24" s="515"/>
      <c r="BW24" s="515"/>
      <c r="BX24" s="515"/>
      <c r="BY24" s="515"/>
      <c r="BZ24" s="516"/>
      <c r="CA24" s="516"/>
      <c r="CB24" s="516"/>
      <c r="CC24" s="516"/>
      <c r="CD24" s="516"/>
      <c r="CE24" s="516"/>
      <c r="CF24" s="516"/>
      <c r="CG24" s="516"/>
      <c r="CH24" s="516"/>
      <c r="CI24" s="516"/>
      <c r="CJ24" s="516"/>
      <c r="CK24" s="516"/>
      <c r="CL24" s="516"/>
      <c r="CM24" s="516"/>
      <c r="CN24" s="516"/>
      <c r="CO24" s="516"/>
    </row>
    <row r="25" spans="1:93" ht="16.7" customHeight="1" x14ac:dyDescent="0.3">
      <c r="B25" s="551" t="s">
        <v>6473</v>
      </c>
      <c r="C25" s="551"/>
      <c r="D25" s="551"/>
      <c r="E25" s="551"/>
      <c r="F25" s="537" t="s">
        <v>8308</v>
      </c>
      <c r="G25" s="537"/>
      <c r="H25" s="537"/>
      <c r="I25" s="537"/>
      <c r="J25" s="537" t="s">
        <v>84</v>
      </c>
      <c r="K25" s="537"/>
      <c r="M25" s="537" t="s">
        <v>85</v>
      </c>
      <c r="N25" s="537"/>
      <c r="O25" s="551" t="s">
        <v>10967</v>
      </c>
      <c r="P25" s="551"/>
      <c r="Q25" s="551" t="s">
        <v>6473</v>
      </c>
      <c r="R25" s="551"/>
      <c r="S25" s="551"/>
      <c r="T25" s="551"/>
      <c r="U25" s="537" t="s">
        <v>8308</v>
      </c>
      <c r="V25" s="537"/>
      <c r="W25" s="537"/>
      <c r="X25" s="537"/>
      <c r="Y25" s="537" t="s">
        <v>84</v>
      </c>
      <c r="Z25" s="537"/>
      <c r="AB25" s="537" t="s">
        <v>85</v>
      </c>
      <c r="AC25" s="537"/>
      <c r="AD25" s="551" t="s">
        <v>10967</v>
      </c>
      <c r="AE25" s="551"/>
      <c r="AF25" s="551" t="s">
        <v>6473</v>
      </c>
      <c r="AG25" s="551"/>
      <c r="AH25" s="551"/>
      <c r="AI25" s="551"/>
      <c r="AJ25" s="537" t="s">
        <v>8308</v>
      </c>
      <c r="AK25" s="537"/>
      <c r="AL25" s="537"/>
      <c r="AM25" s="537"/>
      <c r="AN25" s="537" t="s">
        <v>84</v>
      </c>
      <c r="AO25" s="537"/>
      <c r="AQ25" s="537" t="s">
        <v>85</v>
      </c>
      <c r="AR25" s="537"/>
      <c r="AS25" s="551" t="s">
        <v>10967</v>
      </c>
      <c r="AT25" s="551"/>
      <c r="AU25" s="98"/>
      <c r="AW25" s="131" t="str">
        <f>职业!CV16</f>
        <v/>
      </c>
      <c r="AX25" s="509"/>
      <c r="AY25" s="509"/>
      <c r="AZ25" s="509"/>
      <c r="BA25" s="509"/>
      <c r="BB25" s="509"/>
      <c r="BC25" s="517"/>
      <c r="BD25" s="517"/>
      <c r="BE25" s="517"/>
      <c r="BF25" s="517"/>
      <c r="BG25" s="517"/>
      <c r="BH25" s="517"/>
      <c r="BI25" s="517"/>
      <c r="BJ25" s="517"/>
      <c r="BK25" s="517"/>
      <c r="BL25" s="517"/>
      <c r="BM25" s="517"/>
      <c r="BN25" s="517"/>
      <c r="BO25" s="517"/>
      <c r="BP25" s="517"/>
      <c r="BQ25" s="517"/>
      <c r="BR25" s="517"/>
      <c r="BT25" s="131">
        <v>6</v>
      </c>
      <c r="BU25" s="509"/>
      <c r="BV25" s="509"/>
      <c r="BW25" s="509"/>
      <c r="BX25" s="509"/>
      <c r="BY25" s="509"/>
      <c r="BZ25" s="517"/>
      <c r="CA25" s="517"/>
      <c r="CB25" s="517"/>
      <c r="CC25" s="517"/>
      <c r="CD25" s="517"/>
      <c r="CE25" s="517"/>
      <c r="CF25" s="517"/>
      <c r="CG25" s="517"/>
      <c r="CH25" s="517"/>
      <c r="CI25" s="517"/>
      <c r="CJ25" s="517"/>
      <c r="CK25" s="517"/>
      <c r="CL25" s="517"/>
      <c r="CM25" s="517"/>
      <c r="CN25" s="517"/>
      <c r="CO25" s="517"/>
    </row>
    <row r="26" spans="1:93" ht="16.7" customHeight="1" x14ac:dyDescent="0.15">
      <c r="B26" s="613" t="s">
        <v>8306</v>
      </c>
      <c r="C26" s="614"/>
      <c r="D26" s="614"/>
      <c r="E26" s="615"/>
      <c r="F26" s="596"/>
      <c r="G26" s="597"/>
      <c r="H26" s="597"/>
      <c r="I26" s="597"/>
      <c r="J26" s="529"/>
      <c r="K26" s="673"/>
      <c r="L26" s="274" t="s">
        <v>88</v>
      </c>
      <c r="M26" s="530"/>
      <c r="N26" s="612"/>
      <c r="O26" s="628"/>
      <c r="P26" s="558"/>
      <c r="Q26" s="613" t="s">
        <v>8306</v>
      </c>
      <c r="R26" s="614"/>
      <c r="S26" s="614"/>
      <c r="T26" s="615"/>
      <c r="U26" s="596"/>
      <c r="V26" s="597"/>
      <c r="W26" s="597"/>
      <c r="X26" s="597"/>
      <c r="Y26" s="529"/>
      <c r="Z26" s="673"/>
      <c r="AA26" s="274" t="s">
        <v>88</v>
      </c>
      <c r="AB26" s="530"/>
      <c r="AC26" s="612"/>
      <c r="AD26" s="628"/>
      <c r="AE26" s="558"/>
      <c r="AF26" s="613" t="s">
        <v>8306</v>
      </c>
      <c r="AG26" s="614"/>
      <c r="AH26" s="614"/>
      <c r="AI26" s="615"/>
      <c r="AJ26" s="596"/>
      <c r="AK26" s="597"/>
      <c r="AL26" s="597"/>
      <c r="AM26" s="597"/>
      <c r="AN26" s="529"/>
      <c r="AO26" s="673"/>
      <c r="AP26" s="274" t="s">
        <v>88</v>
      </c>
      <c r="AQ26" s="530"/>
      <c r="AR26" s="612"/>
      <c r="AS26" s="628"/>
      <c r="AT26" s="558"/>
      <c r="AW26" s="132" t="str">
        <f>职业!CV17</f>
        <v/>
      </c>
      <c r="AX26" s="515"/>
      <c r="AY26" s="515"/>
      <c r="AZ26" s="515"/>
      <c r="BA26" s="515"/>
      <c r="BB26" s="515"/>
      <c r="BC26" s="516"/>
      <c r="BD26" s="516"/>
      <c r="BE26" s="516"/>
      <c r="BF26" s="516"/>
      <c r="BG26" s="516"/>
      <c r="BH26" s="516"/>
      <c r="BI26" s="516"/>
      <c r="BJ26" s="516"/>
      <c r="BK26" s="516"/>
      <c r="BL26" s="516"/>
      <c r="BM26" s="516"/>
      <c r="BN26" s="516"/>
      <c r="BO26" s="516"/>
      <c r="BP26" s="516"/>
      <c r="BQ26" s="516"/>
      <c r="BR26" s="516"/>
      <c r="BT26" s="132">
        <v>10</v>
      </c>
      <c r="BU26" s="515"/>
      <c r="BV26" s="515"/>
      <c r="BW26" s="515"/>
      <c r="BX26" s="515"/>
      <c r="BY26" s="515"/>
      <c r="BZ26" s="516"/>
      <c r="CA26" s="516"/>
      <c r="CB26" s="516"/>
      <c r="CC26" s="516"/>
      <c r="CD26" s="516"/>
      <c r="CE26" s="516"/>
      <c r="CF26" s="516"/>
      <c r="CG26" s="516"/>
      <c r="CH26" s="516"/>
      <c r="CI26" s="516"/>
      <c r="CJ26" s="516"/>
      <c r="CK26" s="516"/>
      <c r="CL26" s="516"/>
      <c r="CM26" s="516"/>
      <c r="CN26" s="516"/>
      <c r="CO26" s="516"/>
    </row>
    <row r="27" spans="1:93" ht="16.7" customHeight="1" x14ac:dyDescent="0.15">
      <c r="B27" s="606" t="s">
        <v>8306</v>
      </c>
      <c r="C27" s="607"/>
      <c r="D27" s="607"/>
      <c r="E27" s="608"/>
      <c r="F27" s="591"/>
      <c r="G27" s="592"/>
      <c r="H27" s="592"/>
      <c r="I27" s="592"/>
      <c r="J27" s="589"/>
      <c r="K27" s="590"/>
      <c r="L27" s="275" t="s">
        <v>88</v>
      </c>
      <c r="M27" s="593"/>
      <c r="N27" s="594"/>
      <c r="O27" s="629"/>
      <c r="P27" s="568"/>
      <c r="Q27" s="606" t="s">
        <v>8306</v>
      </c>
      <c r="R27" s="607"/>
      <c r="S27" s="607"/>
      <c r="T27" s="608"/>
      <c r="U27" s="591"/>
      <c r="V27" s="592"/>
      <c r="W27" s="592"/>
      <c r="X27" s="592"/>
      <c r="Y27" s="589"/>
      <c r="Z27" s="590"/>
      <c r="AA27" s="275" t="s">
        <v>88</v>
      </c>
      <c r="AB27" s="593"/>
      <c r="AC27" s="594"/>
      <c r="AD27" s="629"/>
      <c r="AE27" s="568"/>
      <c r="AF27" s="606" t="s">
        <v>8306</v>
      </c>
      <c r="AG27" s="607"/>
      <c r="AH27" s="607"/>
      <c r="AI27" s="608"/>
      <c r="AJ27" s="591"/>
      <c r="AK27" s="592"/>
      <c r="AL27" s="592"/>
      <c r="AM27" s="592"/>
      <c r="AN27" s="589"/>
      <c r="AO27" s="590"/>
      <c r="AP27" s="275" t="s">
        <v>88</v>
      </c>
      <c r="AQ27" s="593"/>
      <c r="AR27" s="594"/>
      <c r="AS27" s="629"/>
      <c r="AT27" s="568"/>
      <c r="AW27" s="131" t="str">
        <f>职业!CV18</f>
        <v/>
      </c>
      <c r="AX27" s="509"/>
      <c r="AY27" s="509"/>
      <c r="AZ27" s="509"/>
      <c r="BA27" s="509"/>
      <c r="BB27" s="509"/>
      <c r="BC27" s="517"/>
      <c r="BD27" s="517"/>
      <c r="BE27" s="517"/>
      <c r="BF27" s="517"/>
      <c r="BG27" s="517"/>
      <c r="BH27" s="517"/>
      <c r="BI27" s="517"/>
      <c r="BJ27" s="517"/>
      <c r="BK27" s="517"/>
      <c r="BL27" s="517"/>
      <c r="BM27" s="517"/>
      <c r="BN27" s="517"/>
      <c r="BO27" s="517"/>
      <c r="BP27" s="517"/>
      <c r="BQ27" s="517"/>
      <c r="BR27" s="517"/>
      <c r="BT27" s="131"/>
      <c r="BU27" s="509"/>
      <c r="BV27" s="509"/>
      <c r="BW27" s="509"/>
      <c r="BX27" s="509"/>
      <c r="BY27" s="509"/>
      <c r="BZ27" s="517"/>
      <c r="CA27" s="517"/>
      <c r="CB27" s="517"/>
      <c r="CC27" s="517"/>
      <c r="CD27" s="517"/>
      <c r="CE27" s="517"/>
      <c r="CF27" s="517"/>
      <c r="CG27" s="517"/>
      <c r="CH27" s="517"/>
      <c r="CI27" s="517"/>
      <c r="CJ27" s="517"/>
      <c r="CK27" s="517"/>
      <c r="CL27" s="517"/>
      <c r="CM27" s="517"/>
      <c r="CN27" s="517"/>
      <c r="CO27" s="517"/>
    </row>
    <row r="28" spans="1:93" ht="16.7" customHeight="1" x14ac:dyDescent="0.15">
      <c r="B28" s="609" t="s">
        <v>8306</v>
      </c>
      <c r="C28" s="610"/>
      <c r="D28" s="610"/>
      <c r="E28" s="611"/>
      <c r="F28" s="596"/>
      <c r="G28" s="597"/>
      <c r="H28" s="597"/>
      <c r="I28" s="597"/>
      <c r="J28" s="528"/>
      <c r="K28" s="529"/>
      <c r="L28" s="274" t="s">
        <v>88</v>
      </c>
      <c r="M28" s="530"/>
      <c r="N28" s="612"/>
      <c r="O28" s="628"/>
      <c r="P28" s="558"/>
      <c r="Q28" s="609" t="s">
        <v>8306</v>
      </c>
      <c r="R28" s="610"/>
      <c r="S28" s="610"/>
      <c r="T28" s="611"/>
      <c r="U28" s="596"/>
      <c r="V28" s="597"/>
      <c r="W28" s="597"/>
      <c r="X28" s="597"/>
      <c r="Y28" s="528"/>
      <c r="Z28" s="529"/>
      <c r="AA28" s="274" t="s">
        <v>88</v>
      </c>
      <c r="AB28" s="530"/>
      <c r="AC28" s="612"/>
      <c r="AD28" s="628"/>
      <c r="AE28" s="558"/>
      <c r="AF28" s="609" t="s">
        <v>8306</v>
      </c>
      <c r="AG28" s="610"/>
      <c r="AH28" s="610"/>
      <c r="AI28" s="611"/>
      <c r="AJ28" s="596"/>
      <c r="AK28" s="597"/>
      <c r="AL28" s="597"/>
      <c r="AM28" s="597"/>
      <c r="AN28" s="528"/>
      <c r="AO28" s="529"/>
      <c r="AP28" s="274" t="s">
        <v>88</v>
      </c>
      <c r="AQ28" s="530"/>
      <c r="AR28" s="612"/>
      <c r="AS28" s="628"/>
      <c r="AT28" s="558"/>
      <c r="AW28" s="132" t="str">
        <f>职业!CV19</f>
        <v/>
      </c>
      <c r="AX28" s="515"/>
      <c r="AY28" s="515"/>
      <c r="AZ28" s="515"/>
      <c r="BA28" s="515"/>
      <c r="BB28" s="515"/>
      <c r="BC28" s="516"/>
      <c r="BD28" s="516"/>
      <c r="BE28" s="516"/>
      <c r="BF28" s="516"/>
      <c r="BG28" s="516"/>
      <c r="BH28" s="516"/>
      <c r="BI28" s="516"/>
      <c r="BJ28" s="516"/>
      <c r="BK28" s="516"/>
      <c r="BL28" s="516"/>
      <c r="BM28" s="516"/>
      <c r="BN28" s="516"/>
      <c r="BO28" s="516"/>
      <c r="BP28" s="516"/>
      <c r="BQ28" s="516"/>
      <c r="BR28" s="516"/>
      <c r="BT28" s="132"/>
      <c r="BU28" s="515"/>
      <c r="BV28" s="515"/>
      <c r="BW28" s="515"/>
      <c r="BX28" s="515"/>
      <c r="BY28" s="515"/>
      <c r="BZ28" s="679"/>
      <c r="CA28" s="574"/>
      <c r="CB28" s="574"/>
      <c r="CC28" s="574"/>
      <c r="CD28" s="574"/>
      <c r="CE28" s="574"/>
      <c r="CF28" s="574"/>
      <c r="CG28" s="574"/>
      <c r="CH28" s="574"/>
      <c r="CI28" s="574"/>
      <c r="CJ28" s="574"/>
      <c r="CK28" s="574"/>
      <c r="CL28" s="574"/>
      <c r="CM28" s="574"/>
      <c r="CN28" s="574"/>
      <c r="CO28" s="575"/>
    </row>
    <row r="29" spans="1:93" ht="16.7" customHeight="1" x14ac:dyDescent="0.15">
      <c r="A29" s="101"/>
      <c r="AU29" s="98"/>
      <c r="AW29" s="131" t="str">
        <f>职业!CV20</f>
        <v/>
      </c>
      <c r="AX29" s="509"/>
      <c r="AY29" s="509"/>
      <c r="AZ29" s="509"/>
      <c r="BA29" s="509"/>
      <c r="BB29" s="509"/>
      <c r="BC29" s="517"/>
      <c r="BD29" s="517"/>
      <c r="BE29" s="517"/>
      <c r="BF29" s="517"/>
      <c r="BG29" s="517"/>
      <c r="BH29" s="517"/>
      <c r="BI29" s="517"/>
      <c r="BJ29" s="517"/>
      <c r="BK29" s="517"/>
      <c r="BL29" s="517"/>
      <c r="BM29" s="517"/>
      <c r="BN29" s="517"/>
      <c r="BO29" s="517"/>
      <c r="BP29" s="517"/>
      <c r="BQ29" s="517"/>
      <c r="BR29" s="517"/>
      <c r="BT29" s="131"/>
      <c r="BU29" s="509"/>
      <c r="BV29" s="509"/>
      <c r="BW29" s="509"/>
      <c r="BX29" s="509"/>
      <c r="BY29" s="509"/>
      <c r="BZ29" s="559"/>
      <c r="CA29" s="560"/>
      <c r="CB29" s="560"/>
      <c r="CC29" s="560"/>
      <c r="CD29" s="560"/>
      <c r="CE29" s="560"/>
      <c r="CF29" s="560"/>
      <c r="CG29" s="560"/>
      <c r="CH29" s="560"/>
      <c r="CI29" s="560"/>
      <c r="CJ29" s="560"/>
      <c r="CK29" s="560"/>
      <c r="CL29" s="560"/>
      <c r="CM29" s="560"/>
      <c r="CN29" s="560"/>
      <c r="CO29" s="561"/>
    </row>
    <row r="30" spans="1:93" ht="16.7" customHeight="1" x14ac:dyDescent="0.15">
      <c r="A30" s="101"/>
      <c r="B30" s="539" t="s">
        <v>8557</v>
      </c>
      <c r="C30" s="539"/>
      <c r="D30" s="539"/>
      <c r="E30" s="539"/>
      <c r="F30" s="539"/>
      <c r="G30" s="539"/>
      <c r="H30" s="539"/>
      <c r="I30" s="539"/>
      <c r="J30" s="539"/>
      <c r="K30" s="539"/>
      <c r="L30" s="539"/>
      <c r="M30" s="539"/>
      <c r="N30" s="539"/>
      <c r="O30" s="539"/>
      <c r="P30" s="539"/>
      <c r="Q30" s="539"/>
      <c r="R30" s="539"/>
      <c r="S30" s="539"/>
      <c r="T30" s="539"/>
      <c r="U30" s="635" t="s">
        <v>10802</v>
      </c>
      <c r="V30" s="635"/>
      <c r="W30" s="635"/>
      <c r="X30" s="635"/>
      <c r="Y30" s="635"/>
      <c r="Z30" s="635"/>
      <c r="AA30" s="659" t="s">
        <v>103</v>
      </c>
      <c r="AB30" s="659"/>
      <c r="AC30" s="659"/>
      <c r="AE30" s="635" t="s">
        <v>10764</v>
      </c>
      <c r="AF30" s="635"/>
      <c r="AG30" s="635"/>
      <c r="AH30" s="635"/>
      <c r="AI30" s="635"/>
      <c r="AJ30" s="635"/>
      <c r="AK30" s="659" t="s">
        <v>205</v>
      </c>
      <c r="AL30" s="659"/>
      <c r="AM30" s="659"/>
      <c r="AN30" s="659"/>
      <c r="AO30" s="659"/>
      <c r="AP30" s="635" t="s">
        <v>2999</v>
      </c>
      <c r="AQ30" s="635"/>
      <c r="AR30" s="635"/>
      <c r="AS30" s="659">
        <v>0</v>
      </c>
      <c r="AT30" s="659"/>
      <c r="AW30" s="132" t="str">
        <f>职业!CV21</f>
        <v/>
      </c>
      <c r="AX30" s="515"/>
      <c r="AY30" s="515"/>
      <c r="AZ30" s="515"/>
      <c r="BA30" s="515"/>
      <c r="BB30" s="515"/>
      <c r="BC30" s="516"/>
      <c r="BD30" s="516"/>
      <c r="BE30" s="516"/>
      <c r="BF30" s="516"/>
      <c r="BG30" s="516"/>
      <c r="BH30" s="516"/>
      <c r="BI30" s="516"/>
      <c r="BJ30" s="516"/>
      <c r="BK30" s="516"/>
      <c r="BL30" s="516"/>
      <c r="BM30" s="516"/>
      <c r="BN30" s="516"/>
      <c r="BO30" s="516"/>
      <c r="BP30" s="516"/>
      <c r="BQ30" s="516"/>
      <c r="BR30" s="516"/>
    </row>
    <row r="31" spans="1:93" ht="16.149999999999999" customHeight="1" x14ac:dyDescent="0.35">
      <c r="A31" s="101"/>
      <c r="B31" s="565" t="s">
        <v>10803</v>
      </c>
      <c r="C31" s="565"/>
      <c r="D31" s="565"/>
      <c r="E31" s="292"/>
      <c r="F31" s="291" t="s">
        <v>104</v>
      </c>
      <c r="G31" s="98"/>
      <c r="H31" s="537" t="s">
        <v>6473</v>
      </c>
      <c r="I31" s="537"/>
      <c r="J31" s="537"/>
      <c r="K31" s="293"/>
      <c r="L31" s="291" t="s">
        <v>10940</v>
      </c>
      <c r="M31" s="98"/>
      <c r="N31" s="551" t="s">
        <v>106</v>
      </c>
      <c r="O31" s="551"/>
      <c r="P31" s="551"/>
      <c r="Q31" s="551"/>
      <c r="R31" s="551"/>
      <c r="S31" s="551"/>
      <c r="T31" s="551"/>
      <c r="U31" s="284"/>
      <c r="W31" s="291" t="s">
        <v>2877</v>
      </c>
      <c r="X31" s="551" t="s">
        <v>2876</v>
      </c>
      <c r="Y31" s="551"/>
      <c r="Z31" s="551"/>
      <c r="AA31" s="551"/>
      <c r="AB31" s="537" t="s">
        <v>2875</v>
      </c>
      <c r="AC31" s="537"/>
      <c r="AD31" s="537"/>
      <c r="AE31" s="537"/>
      <c r="AF31" s="499" t="s">
        <v>2874</v>
      </c>
      <c r="AG31" s="499"/>
      <c r="AH31" s="537" t="s">
        <v>10941</v>
      </c>
      <c r="AI31" s="537"/>
      <c r="AJ31" s="537"/>
      <c r="AK31" s="537"/>
      <c r="AL31" s="499" t="s">
        <v>2874</v>
      </c>
      <c r="AM31" s="499"/>
      <c r="AN31" s="499" t="s">
        <v>2878</v>
      </c>
      <c r="AO31" s="499"/>
      <c r="AP31" s="537" t="s">
        <v>6474</v>
      </c>
      <c r="AQ31" s="537"/>
      <c r="AR31" s="537"/>
      <c r="AS31" s="537"/>
      <c r="AT31" s="537"/>
      <c r="AW31" s="131" t="str">
        <f>职业!CV22</f>
        <v/>
      </c>
      <c r="AX31" s="509"/>
      <c r="AY31" s="509"/>
      <c r="AZ31" s="509"/>
      <c r="BA31" s="509"/>
      <c r="BB31" s="509"/>
      <c r="BC31" s="517"/>
      <c r="BD31" s="517"/>
      <c r="BE31" s="517"/>
      <c r="BF31" s="517"/>
      <c r="BG31" s="517"/>
      <c r="BH31" s="517"/>
      <c r="BI31" s="517"/>
      <c r="BJ31" s="517"/>
      <c r="BK31" s="517"/>
      <c r="BL31" s="517"/>
      <c r="BM31" s="517"/>
      <c r="BN31" s="517"/>
      <c r="BO31" s="517"/>
      <c r="BP31" s="517"/>
      <c r="BQ31" s="517"/>
      <c r="BR31" s="517"/>
      <c r="BT31" s="539" t="s">
        <v>111</v>
      </c>
      <c r="BU31" s="539"/>
      <c r="BV31" s="539"/>
      <c r="BW31" s="539"/>
      <c r="BX31" s="539"/>
      <c r="BY31" s="539"/>
      <c r="BZ31" s="539"/>
      <c r="CA31" s="539"/>
      <c r="CB31" s="539"/>
      <c r="CC31" s="539"/>
      <c r="CD31" s="539"/>
      <c r="CE31" s="539"/>
      <c r="CF31" s="539"/>
      <c r="CG31" s="539"/>
      <c r="CH31" s="539"/>
      <c r="CI31" s="539"/>
      <c r="CJ31" s="539"/>
      <c r="CK31" s="539"/>
      <c r="CL31" s="539"/>
      <c r="CM31" s="539"/>
      <c r="CN31" s="539"/>
      <c r="CO31" s="539"/>
    </row>
    <row r="32" spans="1:93" ht="16.7" customHeight="1" x14ac:dyDescent="0.3">
      <c r="A32" s="101"/>
      <c r="B32" s="569"/>
      <c r="C32" s="569"/>
      <c r="D32" s="569"/>
      <c r="E32" s="569"/>
      <c r="F32" s="433"/>
      <c r="G32" s="295" t="s">
        <v>75</v>
      </c>
      <c r="H32" s="552"/>
      <c r="I32" s="552"/>
      <c r="J32" s="552"/>
      <c r="K32" s="522"/>
      <c r="L32" s="133"/>
      <c r="M32" s="622" t="str">
        <f>装备!AS2</f>
        <v/>
      </c>
      <c r="N32" s="622"/>
      <c r="O32" s="622"/>
      <c r="P32" s="622"/>
      <c r="Q32" s="622"/>
      <c r="R32" s="622"/>
      <c r="S32" s="622"/>
      <c r="T32" s="622"/>
      <c r="U32" s="622"/>
      <c r="V32" s="295" t="s">
        <v>75</v>
      </c>
      <c r="W32" s="433" t="s">
        <v>116</v>
      </c>
      <c r="X32" s="683" t="s">
        <v>2872</v>
      </c>
      <c r="Y32" s="684"/>
      <c r="Z32" s="748" t="str">
        <f>装备!AU2</f>
        <v/>
      </c>
      <c r="AA32" s="749"/>
      <c r="AB32" s="512" t="str">
        <f>装备!AQ2</f>
        <v/>
      </c>
      <c r="AC32" s="513"/>
      <c r="AD32" s="523" t="str">
        <f>IF(装备!AW2="","",IF(装备!AZ2=1,"",IF(装备!AW2&gt;=0,CONCATENATE("+",装备!AW2),装备!AW2)))</f>
        <v/>
      </c>
      <c r="AE32" s="524"/>
      <c r="AF32" s="522" t="str">
        <f>装备!AR2</f>
        <v/>
      </c>
      <c r="AG32" s="524"/>
      <c r="AH32" s="522"/>
      <c r="AI32" s="523"/>
      <c r="AJ32" s="523"/>
      <c r="AK32" s="524"/>
      <c r="AL32" s="552"/>
      <c r="AM32" s="552"/>
      <c r="AN32" s="617" t="str">
        <f>装备!AT2</f>
        <v/>
      </c>
      <c r="AO32" s="617"/>
      <c r="AP32" s="598" t="str">
        <f>装备!AC2</f>
        <v/>
      </c>
      <c r="AQ32" s="599"/>
      <c r="AR32" s="599"/>
      <c r="AS32" s="599"/>
      <c r="AT32" s="600"/>
      <c r="AW32" s="132" t="str">
        <f>职业!CV23</f>
        <v/>
      </c>
      <c r="AX32" s="515"/>
      <c r="AY32" s="515"/>
      <c r="AZ32" s="515"/>
      <c r="BA32" s="515"/>
      <c r="BB32" s="515"/>
      <c r="BC32" s="516"/>
      <c r="BD32" s="516"/>
      <c r="BE32" s="516"/>
      <c r="BF32" s="516"/>
      <c r="BG32" s="516"/>
      <c r="BH32" s="516"/>
      <c r="BI32" s="516"/>
      <c r="BJ32" s="516"/>
      <c r="BK32" s="516"/>
      <c r="BL32" s="516"/>
      <c r="BM32" s="516"/>
      <c r="BN32" s="516"/>
      <c r="BO32" s="516"/>
      <c r="BP32" s="516"/>
      <c r="BQ32" s="516"/>
      <c r="BR32" s="516"/>
      <c r="BT32" s="537" t="s">
        <v>36</v>
      </c>
      <c r="BU32" s="537"/>
      <c r="BV32" s="537"/>
      <c r="BW32" s="537"/>
      <c r="BX32" s="537"/>
      <c r="BY32" s="537"/>
      <c r="BZ32" s="537" t="s">
        <v>37</v>
      </c>
      <c r="CA32" s="537"/>
      <c r="CB32" s="537"/>
      <c r="CC32" s="537"/>
      <c r="CD32" s="537"/>
      <c r="CE32" s="537"/>
      <c r="CF32" s="537"/>
      <c r="CG32" s="537"/>
      <c r="CH32" s="537"/>
      <c r="CI32" s="537"/>
      <c r="CJ32" s="537"/>
      <c r="CK32" s="537"/>
      <c r="CL32" s="537"/>
      <c r="CM32" s="537"/>
      <c r="CN32" s="537"/>
      <c r="CO32" s="537"/>
    </row>
    <row r="33" spans="1:93" ht="16.7" customHeight="1" x14ac:dyDescent="0.15">
      <c r="A33" s="101"/>
      <c r="B33" s="577"/>
      <c r="C33" s="577"/>
      <c r="D33" s="577"/>
      <c r="E33" s="577"/>
      <c r="F33" s="433"/>
      <c r="G33" s="295" t="s">
        <v>75</v>
      </c>
      <c r="H33" s="579"/>
      <c r="I33" s="579"/>
      <c r="J33" s="579"/>
      <c r="K33" s="580"/>
      <c r="L33" s="134"/>
      <c r="M33" s="621" t="str">
        <f>装备!AS3</f>
        <v/>
      </c>
      <c r="N33" s="621"/>
      <c r="O33" s="621"/>
      <c r="P33" s="621"/>
      <c r="Q33" s="621"/>
      <c r="R33" s="621"/>
      <c r="S33" s="621"/>
      <c r="T33" s="621"/>
      <c r="U33" s="621"/>
      <c r="V33" s="295" t="s">
        <v>75</v>
      </c>
      <c r="W33" s="433" t="s">
        <v>116</v>
      </c>
      <c r="X33" s="604" t="s">
        <v>2872</v>
      </c>
      <c r="Y33" s="605"/>
      <c r="Z33" s="581" t="str">
        <f>装备!AU3</f>
        <v/>
      </c>
      <c r="AA33" s="582"/>
      <c r="AB33" s="562" t="str">
        <f>装备!AQ3</f>
        <v/>
      </c>
      <c r="AC33" s="563"/>
      <c r="AD33" s="583" t="str">
        <f>IF(装备!AW3="","",IF(装备!AZ3=1,"",IF(装备!AW3&gt;=0,CONCATENATE("+",装备!AW3),装备!AW3)))</f>
        <v/>
      </c>
      <c r="AE33" s="584"/>
      <c r="AF33" s="580" t="str">
        <f>装备!AR3</f>
        <v/>
      </c>
      <c r="AG33" s="584"/>
      <c r="AH33" s="580"/>
      <c r="AI33" s="583"/>
      <c r="AJ33" s="583"/>
      <c r="AK33" s="584"/>
      <c r="AL33" s="579"/>
      <c r="AM33" s="579"/>
      <c r="AN33" s="669" t="str">
        <f>装备!AT3</f>
        <v/>
      </c>
      <c r="AO33" s="669"/>
      <c r="AP33" s="601" t="str">
        <f>装备!AC3</f>
        <v/>
      </c>
      <c r="AQ33" s="602"/>
      <c r="AR33" s="602"/>
      <c r="AS33" s="602"/>
      <c r="AT33" s="603"/>
      <c r="AW33" s="131" t="str">
        <f>职业!CV24</f>
        <v/>
      </c>
      <c r="AX33" s="509"/>
      <c r="AY33" s="509"/>
      <c r="AZ33" s="509"/>
      <c r="BA33" s="509"/>
      <c r="BB33" s="509"/>
      <c r="BC33" s="517"/>
      <c r="BD33" s="517"/>
      <c r="BE33" s="517"/>
      <c r="BF33" s="517"/>
      <c r="BG33" s="517"/>
      <c r="BH33" s="517"/>
      <c r="BI33" s="517"/>
      <c r="BJ33" s="517"/>
      <c r="BK33" s="517"/>
      <c r="BL33" s="517"/>
      <c r="BM33" s="517"/>
      <c r="BN33" s="517"/>
      <c r="BO33" s="517"/>
      <c r="BP33" s="517"/>
      <c r="BQ33" s="517"/>
      <c r="BR33" s="517"/>
      <c r="BT33" s="509"/>
      <c r="BU33" s="509"/>
      <c r="BV33" s="509"/>
      <c r="BW33" s="509"/>
      <c r="BX33" s="509"/>
      <c r="BY33" s="509"/>
      <c r="BZ33" s="517"/>
      <c r="CA33" s="517"/>
      <c r="CB33" s="517"/>
      <c r="CC33" s="517"/>
      <c r="CD33" s="517"/>
      <c r="CE33" s="517"/>
      <c r="CF33" s="517"/>
      <c r="CG33" s="517"/>
      <c r="CH33" s="517"/>
      <c r="CI33" s="517"/>
      <c r="CJ33" s="517"/>
      <c r="CK33" s="517"/>
      <c r="CL33" s="517"/>
      <c r="CM33" s="517"/>
      <c r="CN33" s="517"/>
      <c r="CO33" s="517"/>
    </row>
    <row r="34" spans="1:93" ht="16.7" customHeight="1" thickBot="1" x14ac:dyDescent="0.2">
      <c r="A34" s="101"/>
      <c r="B34" s="685"/>
      <c r="C34" s="685"/>
      <c r="D34" s="685"/>
      <c r="E34" s="685"/>
      <c r="F34" s="434"/>
      <c r="G34" s="486" t="s">
        <v>75</v>
      </c>
      <c r="H34" s="674"/>
      <c r="I34" s="674"/>
      <c r="J34" s="674"/>
      <c r="K34" s="680"/>
      <c r="L34" s="413"/>
      <c r="M34" s="741" t="str">
        <f>装备!AS4</f>
        <v/>
      </c>
      <c r="N34" s="741"/>
      <c r="O34" s="741"/>
      <c r="P34" s="741"/>
      <c r="Q34" s="741"/>
      <c r="R34" s="741"/>
      <c r="S34" s="741"/>
      <c r="T34" s="741"/>
      <c r="U34" s="741"/>
      <c r="V34" s="295" t="s">
        <v>75</v>
      </c>
      <c r="W34" s="434" t="s">
        <v>2873</v>
      </c>
      <c r="X34" s="665" t="s">
        <v>2872</v>
      </c>
      <c r="Y34" s="666"/>
      <c r="Z34" s="501" t="str">
        <f>装备!AU4</f>
        <v/>
      </c>
      <c r="AA34" s="502"/>
      <c r="AB34" s="745" t="str">
        <f>装备!AQ4</f>
        <v/>
      </c>
      <c r="AC34" s="746"/>
      <c r="AD34" s="740" t="str">
        <f>IF(装备!AW4="","",IF(装备!AZ4=1,"",IF(装备!AW4&gt;=0,CONCATENATE("+",装备!AW4),装备!AW4)))</f>
        <v/>
      </c>
      <c r="AE34" s="682"/>
      <c r="AF34" s="681" t="str">
        <f>装备!AR4</f>
        <v/>
      </c>
      <c r="AG34" s="682"/>
      <c r="AH34" s="681"/>
      <c r="AI34" s="740"/>
      <c r="AJ34" s="740"/>
      <c r="AK34" s="682"/>
      <c r="AL34" s="674"/>
      <c r="AM34" s="674"/>
      <c r="AN34" s="747" t="str">
        <f>装备!AT4</f>
        <v/>
      </c>
      <c r="AO34" s="747"/>
      <c r="AP34" s="742" t="str">
        <f>装备!AC4</f>
        <v/>
      </c>
      <c r="AQ34" s="743"/>
      <c r="AR34" s="743"/>
      <c r="AS34" s="743"/>
      <c r="AT34" s="744"/>
      <c r="AU34" s="98"/>
      <c r="AW34" s="132" t="str">
        <f>职业!CV25</f>
        <v/>
      </c>
      <c r="AX34" s="515"/>
      <c r="AY34" s="515"/>
      <c r="AZ34" s="515"/>
      <c r="BA34" s="515"/>
      <c r="BB34" s="515"/>
      <c r="BC34" s="516"/>
      <c r="BD34" s="516"/>
      <c r="BE34" s="516"/>
      <c r="BF34" s="516"/>
      <c r="BG34" s="516"/>
      <c r="BH34" s="516"/>
      <c r="BI34" s="516"/>
      <c r="BJ34" s="516"/>
      <c r="BK34" s="516"/>
      <c r="BL34" s="516"/>
      <c r="BM34" s="516"/>
      <c r="BN34" s="516"/>
      <c r="BO34" s="516"/>
      <c r="BP34" s="516"/>
      <c r="BQ34" s="516"/>
      <c r="BR34" s="516"/>
      <c r="BT34" s="515"/>
      <c r="BU34" s="515"/>
      <c r="BV34" s="515"/>
      <c r="BW34" s="515"/>
      <c r="BX34" s="515"/>
      <c r="BY34" s="515"/>
      <c r="BZ34" s="516"/>
      <c r="CA34" s="516"/>
      <c r="CB34" s="516"/>
      <c r="CC34" s="516"/>
      <c r="CD34" s="516"/>
      <c r="CE34" s="516"/>
      <c r="CF34" s="516"/>
      <c r="CG34" s="516"/>
      <c r="CH34" s="516"/>
      <c r="CI34" s="516"/>
      <c r="CJ34" s="516"/>
      <c r="CK34" s="516"/>
      <c r="CL34" s="516"/>
      <c r="CM34" s="516"/>
      <c r="CN34" s="516"/>
      <c r="CO34" s="516"/>
    </row>
    <row r="35" spans="1:93" ht="16.7" customHeight="1" x14ac:dyDescent="0.15">
      <c r="A35" s="101"/>
      <c r="B35" s="690"/>
      <c r="C35" s="690"/>
      <c r="D35" s="690"/>
      <c r="E35" s="690"/>
      <c r="F35" s="435"/>
      <c r="G35" s="295" t="s">
        <v>75</v>
      </c>
      <c r="H35" s="691"/>
      <c r="I35" s="691"/>
      <c r="J35" s="691"/>
      <c r="K35" s="692"/>
      <c r="L35" s="414"/>
      <c r="M35" s="688" t="str">
        <f>装备!AS5</f>
        <v/>
      </c>
      <c r="N35" s="688"/>
      <c r="O35" s="688"/>
      <c r="P35" s="688"/>
      <c r="Q35" s="688"/>
      <c r="R35" s="688"/>
      <c r="S35" s="688"/>
      <c r="T35" s="688"/>
      <c r="U35" s="688"/>
      <c r="V35" s="295" t="s">
        <v>75</v>
      </c>
      <c r="W35" s="435" t="s">
        <v>2873</v>
      </c>
      <c r="X35" s="686" t="s">
        <v>2872</v>
      </c>
      <c r="Y35" s="687"/>
      <c r="Z35" s="754" t="str">
        <f>装备!AU5</f>
        <v/>
      </c>
      <c r="AA35" s="755"/>
      <c r="AB35" s="750" t="str">
        <f>装备!AQ5</f>
        <v/>
      </c>
      <c r="AC35" s="751"/>
      <c r="AD35" s="752" t="str">
        <f>IF(装备!AW5="","",IF(装备!AZ5=1,"",IF(装备!AW5&gt;=0,CONCATENATE("+",装备!AW5),装备!AW5)))</f>
        <v/>
      </c>
      <c r="AE35" s="753"/>
      <c r="AF35" s="692" t="str">
        <f>装备!AR5</f>
        <v/>
      </c>
      <c r="AG35" s="753"/>
      <c r="AH35" s="692"/>
      <c r="AI35" s="752"/>
      <c r="AJ35" s="752"/>
      <c r="AK35" s="753"/>
      <c r="AL35" s="691"/>
      <c r="AM35" s="691"/>
      <c r="AN35" s="696" t="str">
        <f>装备!AT5</f>
        <v/>
      </c>
      <c r="AO35" s="696"/>
      <c r="AP35" s="693" t="str">
        <f>装备!AC5</f>
        <v/>
      </c>
      <c r="AQ35" s="694"/>
      <c r="AR35" s="694"/>
      <c r="AS35" s="694"/>
      <c r="AT35" s="695"/>
      <c r="AU35" s="98"/>
      <c r="AW35" s="131" t="str">
        <f>职业!CV26</f>
        <v/>
      </c>
      <c r="AX35" s="509"/>
      <c r="AY35" s="509"/>
      <c r="AZ35" s="509"/>
      <c r="BA35" s="509"/>
      <c r="BB35" s="509"/>
      <c r="BC35" s="517"/>
      <c r="BD35" s="517"/>
      <c r="BE35" s="517"/>
      <c r="BF35" s="517"/>
      <c r="BG35" s="517"/>
      <c r="BH35" s="517"/>
      <c r="BI35" s="517"/>
      <c r="BJ35" s="517"/>
      <c r="BK35" s="517"/>
      <c r="BL35" s="517"/>
      <c r="BM35" s="517"/>
      <c r="BN35" s="517"/>
      <c r="BO35" s="517"/>
      <c r="BP35" s="517"/>
      <c r="BQ35" s="517"/>
      <c r="BR35" s="517"/>
      <c r="BT35" s="509"/>
      <c r="BU35" s="509"/>
      <c r="BV35" s="509"/>
      <c r="BW35" s="509"/>
      <c r="BX35" s="509"/>
      <c r="BY35" s="509"/>
      <c r="BZ35" s="517"/>
      <c r="CA35" s="517"/>
      <c r="CB35" s="517"/>
      <c r="CC35" s="517"/>
      <c r="CD35" s="517"/>
      <c r="CE35" s="517"/>
      <c r="CF35" s="517"/>
      <c r="CG35" s="517"/>
      <c r="CH35" s="517"/>
      <c r="CI35" s="517"/>
      <c r="CJ35" s="517"/>
      <c r="CK35" s="517"/>
      <c r="CL35" s="517"/>
      <c r="CM35" s="517"/>
      <c r="CN35" s="517"/>
      <c r="CO35" s="517"/>
    </row>
    <row r="36" spans="1:93" ht="16.7" customHeight="1" x14ac:dyDescent="0.3">
      <c r="A36" s="19"/>
      <c r="B36" s="569"/>
      <c r="C36" s="569"/>
      <c r="D36" s="569"/>
      <c r="E36" s="569"/>
      <c r="F36" s="433"/>
      <c r="G36" s="295" t="s">
        <v>75</v>
      </c>
      <c r="H36" s="552"/>
      <c r="I36" s="552"/>
      <c r="J36" s="552"/>
      <c r="K36" s="522"/>
      <c r="L36" s="133"/>
      <c r="M36" s="622" t="str">
        <f>装备!AS6</f>
        <v/>
      </c>
      <c r="N36" s="622"/>
      <c r="O36" s="622"/>
      <c r="P36" s="622"/>
      <c r="Q36" s="622"/>
      <c r="R36" s="622"/>
      <c r="S36" s="622"/>
      <c r="T36" s="622"/>
      <c r="U36" s="622"/>
      <c r="V36" s="295" t="s">
        <v>75</v>
      </c>
      <c r="W36" s="433" t="s">
        <v>2873</v>
      </c>
      <c r="X36" s="683" t="s">
        <v>2872</v>
      </c>
      <c r="Y36" s="684"/>
      <c r="Z36" s="748" t="str">
        <f>装备!AU6</f>
        <v/>
      </c>
      <c r="AA36" s="749"/>
      <c r="AB36" s="512" t="str">
        <f>装备!AQ6</f>
        <v/>
      </c>
      <c r="AC36" s="513"/>
      <c r="AD36" s="523" t="str">
        <f>IF(装备!AW6="","",IF(装备!AZ6=1,"",IF(装备!AW6&gt;=0,CONCATENATE("+",装备!AW6),装备!AW6)))</f>
        <v/>
      </c>
      <c r="AE36" s="524"/>
      <c r="AF36" s="552" t="str">
        <f>装备!AR6</f>
        <v/>
      </c>
      <c r="AG36" s="552"/>
      <c r="AH36" s="522"/>
      <c r="AI36" s="523"/>
      <c r="AJ36" s="523"/>
      <c r="AK36" s="524"/>
      <c r="AL36" s="552"/>
      <c r="AM36" s="552"/>
      <c r="AN36" s="617" t="str">
        <f>装备!AT6</f>
        <v/>
      </c>
      <c r="AO36" s="617"/>
      <c r="AP36" s="598" t="str">
        <f>装备!AC6</f>
        <v/>
      </c>
      <c r="AQ36" s="599"/>
      <c r="AR36" s="599"/>
      <c r="AS36" s="599"/>
      <c r="AT36" s="600"/>
      <c r="AU36" s="98"/>
      <c r="AW36" s="132" t="str">
        <f>职业!CV27</f>
        <v/>
      </c>
      <c r="AX36" s="515"/>
      <c r="AY36" s="515"/>
      <c r="AZ36" s="515"/>
      <c r="BA36" s="515"/>
      <c r="BB36" s="515"/>
      <c r="BC36" s="516"/>
      <c r="BD36" s="516"/>
      <c r="BE36" s="516"/>
      <c r="BF36" s="516"/>
      <c r="BG36" s="516"/>
      <c r="BH36" s="516"/>
      <c r="BI36" s="516"/>
      <c r="BJ36" s="516"/>
      <c r="BK36" s="516"/>
      <c r="BL36" s="516"/>
      <c r="BM36" s="516"/>
      <c r="BN36" s="516"/>
      <c r="BO36" s="516"/>
      <c r="BP36" s="516"/>
      <c r="BQ36" s="516"/>
      <c r="BR36" s="516"/>
      <c r="BT36" s="515"/>
      <c r="BU36" s="515"/>
      <c r="BV36" s="515"/>
      <c r="BW36" s="515"/>
      <c r="BX36" s="515"/>
      <c r="BY36" s="515"/>
      <c r="BZ36" s="679"/>
      <c r="CA36" s="574"/>
      <c r="CB36" s="574"/>
      <c r="CC36" s="574"/>
      <c r="CD36" s="574"/>
      <c r="CE36" s="574"/>
      <c r="CF36" s="574"/>
      <c r="CG36" s="574"/>
      <c r="CH36" s="574"/>
      <c r="CI36" s="574"/>
      <c r="CJ36" s="574"/>
      <c r="CK36" s="574"/>
      <c r="CL36" s="574"/>
      <c r="CM36" s="574"/>
      <c r="CN36" s="574"/>
      <c r="CO36" s="575"/>
    </row>
    <row r="37" spans="1:93" ht="16.7" customHeight="1" x14ac:dyDescent="0.15">
      <c r="A37" s="101"/>
      <c r="AW37" s="131" t="str">
        <f>职业!CV28</f>
        <v/>
      </c>
      <c r="AX37" s="509"/>
      <c r="AY37" s="509"/>
      <c r="AZ37" s="509"/>
      <c r="BA37" s="509"/>
      <c r="BB37" s="509"/>
      <c r="BC37" s="517"/>
      <c r="BD37" s="517"/>
      <c r="BE37" s="517"/>
      <c r="BF37" s="517"/>
      <c r="BG37" s="517"/>
      <c r="BH37" s="517"/>
      <c r="BI37" s="517"/>
      <c r="BJ37" s="517"/>
      <c r="BK37" s="517"/>
      <c r="BL37" s="517"/>
      <c r="BM37" s="517"/>
      <c r="BN37" s="517"/>
      <c r="BO37" s="517"/>
      <c r="BP37" s="517"/>
      <c r="BQ37" s="517"/>
      <c r="BR37" s="517"/>
      <c r="BT37" s="7"/>
      <c r="BU37" s="7"/>
      <c r="BV37" s="7"/>
      <c r="BW37" s="7"/>
      <c r="BX37" s="7"/>
      <c r="BY37" s="7"/>
      <c r="BZ37" s="7"/>
      <c r="CA37" s="7"/>
      <c r="CB37" s="7"/>
      <c r="CC37" s="7"/>
      <c r="CD37" s="7"/>
      <c r="CE37" s="7"/>
      <c r="CF37" s="7"/>
      <c r="CG37" s="7"/>
      <c r="CH37" s="7"/>
      <c r="CI37" s="7"/>
      <c r="CJ37" s="7"/>
      <c r="CK37" s="7"/>
      <c r="CL37" s="7"/>
      <c r="CM37" s="7"/>
      <c r="CN37" s="7"/>
      <c r="CO37" s="7"/>
    </row>
    <row r="38" spans="1:93" ht="16.7" customHeight="1" x14ac:dyDescent="0.15">
      <c r="A38" s="101"/>
      <c r="B38" s="539" t="s">
        <v>100</v>
      </c>
      <c r="C38" s="539"/>
      <c r="D38" s="539"/>
      <c r="E38" s="539"/>
      <c r="F38" s="539"/>
      <c r="G38" s="539"/>
      <c r="H38" s="539"/>
      <c r="I38" s="539"/>
      <c r="J38" s="539"/>
      <c r="L38" s="539" t="s">
        <v>101</v>
      </c>
      <c r="M38" s="539"/>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700" t="s">
        <v>102</v>
      </c>
      <c r="AN38" s="700"/>
      <c r="AO38" s="700"/>
      <c r="AP38" s="700"/>
      <c r="AQ38" s="700"/>
      <c r="AR38" s="700"/>
      <c r="AS38" s="699">
        <f>SUM(装备!T20:T36)</f>
        <v>0</v>
      </c>
      <c r="AT38" s="699"/>
      <c r="AW38" s="132" t="str">
        <f>职业!CV29</f>
        <v/>
      </c>
      <c r="AX38" s="515"/>
      <c r="AY38" s="515"/>
      <c r="AZ38" s="515"/>
      <c r="BA38" s="515"/>
      <c r="BB38" s="515"/>
      <c r="BC38" s="516"/>
      <c r="BD38" s="516"/>
      <c r="BE38" s="516"/>
      <c r="BF38" s="516"/>
      <c r="BG38" s="516"/>
      <c r="BH38" s="516"/>
      <c r="BI38" s="516"/>
      <c r="BJ38" s="516"/>
      <c r="BK38" s="516"/>
      <c r="BL38" s="516"/>
      <c r="BM38" s="516"/>
      <c r="BN38" s="516"/>
      <c r="BO38" s="516"/>
      <c r="BP38" s="516"/>
      <c r="BQ38" s="516"/>
      <c r="BR38" s="516"/>
      <c r="BT38" s="726" t="s">
        <v>98</v>
      </c>
      <c r="BU38" s="726"/>
      <c r="BV38" s="726"/>
      <c r="BW38" s="726"/>
      <c r="BX38" s="726"/>
      <c r="BY38" s="726"/>
      <c r="BZ38" s="726"/>
      <c r="CA38" s="726"/>
      <c r="CB38" s="726"/>
      <c r="CC38" s="726"/>
      <c r="CD38" s="726"/>
      <c r="CE38" s="726"/>
      <c r="CF38" s="726"/>
      <c r="CG38" s="726"/>
      <c r="CH38" s="726"/>
      <c r="CI38" s="726"/>
      <c r="CJ38" s="726"/>
      <c r="CK38" s="726"/>
      <c r="CL38" s="726"/>
      <c r="CM38" s="726"/>
      <c r="CN38" s="726"/>
      <c r="CO38" s="726"/>
    </row>
    <row r="39" spans="1:93" ht="16.7" customHeight="1" x14ac:dyDescent="0.3">
      <c r="A39" s="101"/>
      <c r="B39" s="676" t="s">
        <v>3020</v>
      </c>
      <c r="C39" s="676"/>
      <c r="D39" s="676"/>
      <c r="E39" s="676"/>
      <c r="F39" s="676"/>
      <c r="G39" s="676"/>
      <c r="H39" s="659" t="s">
        <v>73</v>
      </c>
      <c r="I39" s="659"/>
      <c r="J39" s="659"/>
      <c r="L39" s="565" t="s">
        <v>10804</v>
      </c>
      <c r="M39" s="565"/>
      <c r="N39" s="565"/>
      <c r="O39" s="284"/>
      <c r="P39" s="291" t="s">
        <v>104</v>
      </c>
      <c r="Q39" s="288"/>
      <c r="R39" s="551" t="s">
        <v>36</v>
      </c>
      <c r="S39" s="551"/>
      <c r="T39" s="290"/>
      <c r="U39" s="291" t="s">
        <v>105</v>
      </c>
      <c r="V39" s="551" t="s">
        <v>8304</v>
      </c>
      <c r="W39" s="551"/>
      <c r="X39" s="551"/>
      <c r="Y39" s="551"/>
      <c r="Z39" s="551"/>
      <c r="AA39" s="551"/>
      <c r="AB39" s="551"/>
      <c r="AC39" s="551"/>
      <c r="AD39" s="551"/>
      <c r="AE39" s="284"/>
      <c r="AF39" s="537" t="s">
        <v>89</v>
      </c>
      <c r="AG39" s="537"/>
      <c r="AH39" s="697" t="s">
        <v>108</v>
      </c>
      <c r="AI39" s="697"/>
      <c r="AJ39" s="697"/>
      <c r="AL39" s="565" t="s">
        <v>8558</v>
      </c>
      <c r="AM39" s="565"/>
      <c r="AN39" s="565"/>
      <c r="AO39" s="290"/>
      <c r="AP39" s="291" t="s">
        <v>104</v>
      </c>
      <c r="AQ39" s="537" t="s">
        <v>89</v>
      </c>
      <c r="AR39" s="537"/>
      <c r="AS39" s="537" t="s">
        <v>2946</v>
      </c>
      <c r="AT39" s="537"/>
      <c r="AU39" s="98"/>
      <c r="AW39" s="131" t="str">
        <f>职业!CV30</f>
        <v/>
      </c>
      <c r="AX39" s="509"/>
      <c r="AY39" s="509"/>
      <c r="AZ39" s="509"/>
      <c r="BA39" s="509"/>
      <c r="BB39" s="509"/>
      <c r="BC39" s="517"/>
      <c r="BD39" s="517"/>
      <c r="BE39" s="517"/>
      <c r="BF39" s="517"/>
      <c r="BG39" s="517"/>
      <c r="BH39" s="517"/>
      <c r="BI39" s="517"/>
      <c r="BJ39" s="517"/>
      <c r="BK39" s="517"/>
      <c r="BL39" s="517"/>
      <c r="BM39" s="517"/>
      <c r="BN39" s="517"/>
      <c r="BO39" s="517"/>
      <c r="BP39" s="517"/>
      <c r="BQ39" s="517"/>
      <c r="BR39" s="517"/>
      <c r="BT39" s="537" t="s">
        <v>36</v>
      </c>
      <c r="BU39" s="537"/>
      <c r="BV39" s="537"/>
      <c r="BW39" s="537"/>
      <c r="BX39" s="537"/>
      <c r="BY39" s="537"/>
      <c r="BZ39" s="537" t="s">
        <v>37</v>
      </c>
      <c r="CA39" s="537"/>
      <c r="CB39" s="537"/>
      <c r="CC39" s="537"/>
      <c r="CD39" s="537"/>
      <c r="CE39" s="537"/>
      <c r="CF39" s="537"/>
      <c r="CG39" s="537"/>
      <c r="CH39" s="537"/>
      <c r="CI39" s="537"/>
      <c r="CJ39" s="537"/>
      <c r="CK39" s="537"/>
      <c r="CL39" s="537"/>
      <c r="CM39" s="537"/>
      <c r="CN39" s="537"/>
      <c r="CO39" s="537"/>
    </row>
    <row r="40" spans="1:93" ht="16.7" customHeight="1" x14ac:dyDescent="0.3">
      <c r="A40" s="101"/>
      <c r="B40" s="285" t="s">
        <v>38</v>
      </c>
      <c r="C40" s="290"/>
      <c r="D40" s="499" t="s">
        <v>6882</v>
      </c>
      <c r="E40" s="499"/>
      <c r="F40" s="537" t="s">
        <v>39</v>
      </c>
      <c r="G40" s="537"/>
      <c r="H40" s="290"/>
      <c r="I40" s="537" t="s">
        <v>68</v>
      </c>
      <c r="J40" s="537"/>
      <c r="L40" s="569"/>
      <c r="M40" s="569"/>
      <c r="N40" s="569"/>
      <c r="O40" s="569"/>
      <c r="P40" s="433"/>
      <c r="Q40" s="552"/>
      <c r="R40" s="552"/>
      <c r="S40" s="552"/>
      <c r="T40" s="522"/>
      <c r="U40" s="133"/>
      <c r="V40" s="517" t="str">
        <f>装备!AY12</f>
        <v/>
      </c>
      <c r="W40" s="517"/>
      <c r="X40" s="517"/>
      <c r="Y40" s="517"/>
      <c r="Z40" s="517"/>
      <c r="AA40" s="517"/>
      <c r="AB40" s="517"/>
      <c r="AC40" s="517"/>
      <c r="AD40" s="517"/>
      <c r="AE40" s="382" t="s">
        <v>75</v>
      </c>
      <c r="AF40" s="698">
        <f>装备!AV12+U40</f>
        <v>10</v>
      </c>
      <c r="AG40" s="698"/>
      <c r="AH40" s="383" t="s">
        <v>110</v>
      </c>
      <c r="AI40" s="698">
        <f>装备!AW12</f>
        <v>0</v>
      </c>
      <c r="AJ40" s="698"/>
      <c r="AL40" s="576"/>
      <c r="AM40" s="576"/>
      <c r="AN40" s="576"/>
      <c r="AO40" s="576"/>
      <c r="AP40" s="433"/>
      <c r="AQ40" s="698">
        <v>2</v>
      </c>
      <c r="AR40" s="698"/>
      <c r="AS40" s="698" t="s">
        <v>2947</v>
      </c>
      <c r="AT40" s="698"/>
      <c r="AU40" s="98"/>
      <c r="AW40" s="132" t="str">
        <f>职业!CV31</f>
        <v/>
      </c>
      <c r="AX40" s="515"/>
      <c r="AY40" s="515"/>
      <c r="AZ40" s="515"/>
      <c r="BA40" s="515"/>
      <c r="BB40" s="515"/>
      <c r="BC40" s="516"/>
      <c r="BD40" s="516"/>
      <c r="BE40" s="516"/>
      <c r="BF40" s="516"/>
      <c r="BG40" s="516"/>
      <c r="BH40" s="516"/>
      <c r="BI40" s="516"/>
      <c r="BJ40" s="516"/>
      <c r="BK40" s="516"/>
      <c r="BL40" s="516"/>
      <c r="BM40" s="516"/>
      <c r="BN40" s="516"/>
      <c r="BO40" s="516"/>
      <c r="BP40" s="516"/>
      <c r="BQ40" s="516"/>
      <c r="BR40" s="516"/>
      <c r="BT40" s="509"/>
      <c r="BU40" s="509"/>
      <c r="BV40" s="509"/>
      <c r="BW40" s="509"/>
      <c r="BX40" s="509"/>
      <c r="BY40" s="509"/>
      <c r="BZ40" s="517"/>
      <c r="CA40" s="517"/>
      <c r="CB40" s="517"/>
      <c r="CC40" s="517"/>
      <c r="CD40" s="517"/>
      <c r="CE40" s="517"/>
      <c r="CF40" s="517"/>
      <c r="CG40" s="517"/>
      <c r="CH40" s="517"/>
      <c r="CI40" s="517"/>
      <c r="CJ40" s="517"/>
      <c r="CK40" s="517"/>
      <c r="CL40" s="517"/>
      <c r="CM40" s="517"/>
      <c r="CN40" s="517"/>
      <c r="CO40" s="517"/>
    </row>
    <row r="41" spans="1:93" ht="16.7" customHeight="1" x14ac:dyDescent="0.3">
      <c r="A41" s="101"/>
      <c r="B41" s="431" t="s">
        <v>73</v>
      </c>
      <c r="C41" s="554" t="s">
        <v>109</v>
      </c>
      <c r="D41" s="555"/>
      <c r="E41" s="555"/>
      <c r="F41" s="552"/>
      <c r="G41" s="552"/>
      <c r="H41" s="295" t="s">
        <v>75</v>
      </c>
      <c r="I41" s="533">
        <f>R13+F41+IF(B41="O",S3,(IF(B41="🅞",S3*2,IF(H39="O",INT(S3/2),0))))+X11</f>
        <v>0</v>
      </c>
      <c r="J41" s="533"/>
      <c r="L41" s="585" t="s">
        <v>6934</v>
      </c>
      <c r="M41" s="585"/>
      <c r="N41" s="585"/>
      <c r="O41" s="289"/>
      <c r="P41" s="291" t="s">
        <v>104</v>
      </c>
      <c r="Q41" s="294"/>
      <c r="R41" s="537" t="s">
        <v>10805</v>
      </c>
      <c r="S41" s="537"/>
      <c r="T41" s="537"/>
      <c r="U41" s="537" t="s">
        <v>6933</v>
      </c>
      <c r="V41" s="537"/>
      <c r="W41" s="537" t="s">
        <v>106</v>
      </c>
      <c r="X41" s="537"/>
      <c r="Y41" s="537"/>
      <c r="Z41" s="537"/>
      <c r="AA41" s="537"/>
      <c r="AB41" s="537"/>
      <c r="AC41" s="537"/>
      <c r="AD41" s="537"/>
      <c r="AE41" s="537"/>
      <c r="AF41" s="537"/>
      <c r="AG41" s="537"/>
      <c r="AH41" s="537"/>
      <c r="AI41" s="537"/>
      <c r="AJ41" s="537"/>
      <c r="AK41" s="537"/>
      <c r="AL41" s="537"/>
      <c r="AM41" s="537"/>
      <c r="AN41" s="537"/>
      <c r="AO41" s="537"/>
      <c r="AP41" s="537"/>
      <c r="AQ41" s="537"/>
      <c r="AR41" s="537"/>
      <c r="AS41" s="537"/>
      <c r="AT41" s="537"/>
      <c r="AU41" s="98"/>
      <c r="AW41" s="131" t="str">
        <f>职业!CV32</f>
        <v/>
      </c>
      <c r="AX41" s="509"/>
      <c r="AY41" s="509"/>
      <c r="AZ41" s="509"/>
      <c r="BA41" s="509"/>
      <c r="BB41" s="509"/>
      <c r="BC41" s="517"/>
      <c r="BD41" s="517"/>
      <c r="BE41" s="517"/>
      <c r="BF41" s="517"/>
      <c r="BG41" s="517"/>
      <c r="BH41" s="517"/>
      <c r="BI41" s="517"/>
      <c r="BJ41" s="517"/>
      <c r="BK41" s="517"/>
      <c r="BL41" s="517"/>
      <c r="BM41" s="517"/>
      <c r="BN41" s="517"/>
      <c r="BO41" s="517"/>
      <c r="BP41" s="517"/>
      <c r="BQ41" s="517"/>
      <c r="BR41" s="517"/>
      <c r="BT41" s="515"/>
      <c r="BU41" s="515"/>
      <c r="BV41" s="515"/>
      <c r="BW41" s="515"/>
      <c r="BX41" s="515"/>
      <c r="BY41" s="515"/>
      <c r="BZ41" s="516"/>
      <c r="CA41" s="516"/>
      <c r="CB41" s="516"/>
      <c r="CC41" s="516"/>
      <c r="CD41" s="516"/>
      <c r="CE41" s="516"/>
      <c r="CF41" s="516"/>
      <c r="CG41" s="516"/>
      <c r="CH41" s="516"/>
      <c r="CI41" s="516"/>
      <c r="CJ41" s="516"/>
      <c r="CK41" s="516"/>
      <c r="CL41" s="516"/>
      <c r="CM41" s="516"/>
      <c r="CN41" s="516"/>
      <c r="CO41" s="516"/>
    </row>
    <row r="42" spans="1:93" ht="16.7" customHeight="1" x14ac:dyDescent="0.3">
      <c r="A42" s="19"/>
      <c r="B42" s="689" t="s">
        <v>2990</v>
      </c>
      <c r="C42" s="689"/>
      <c r="D42" s="689"/>
      <c r="E42" s="689"/>
      <c r="F42" s="689"/>
      <c r="G42" s="689"/>
      <c r="H42" s="102"/>
      <c r="I42" s="103"/>
      <c r="J42" s="103"/>
      <c r="L42" s="569"/>
      <c r="M42" s="569"/>
      <c r="N42" s="569"/>
      <c r="O42" s="570"/>
      <c r="P42" s="433"/>
      <c r="Q42" s="295" t="s">
        <v>75</v>
      </c>
      <c r="R42" s="556"/>
      <c r="S42" s="557"/>
      <c r="T42" s="558"/>
      <c r="U42" s="552"/>
      <c r="V42" s="571"/>
      <c r="W42" s="572"/>
      <c r="X42" s="560"/>
      <c r="Y42" s="560"/>
      <c r="Z42" s="560"/>
      <c r="AA42" s="560"/>
      <c r="AB42" s="560"/>
      <c r="AC42" s="560"/>
      <c r="AD42" s="560"/>
      <c r="AE42" s="560"/>
      <c r="AF42" s="560"/>
      <c r="AG42" s="560"/>
      <c r="AH42" s="560"/>
      <c r="AI42" s="560"/>
      <c r="AJ42" s="560"/>
      <c r="AK42" s="560"/>
      <c r="AL42" s="560"/>
      <c r="AM42" s="560"/>
      <c r="AN42" s="560"/>
      <c r="AO42" s="560"/>
      <c r="AP42" s="560"/>
      <c r="AQ42" s="560"/>
      <c r="AR42" s="560"/>
      <c r="AS42" s="560"/>
      <c r="AT42" s="561"/>
      <c r="AU42" s="98"/>
      <c r="AW42" s="132" t="str">
        <f>职业!CV33</f>
        <v/>
      </c>
      <c r="AX42" s="515"/>
      <c r="AY42" s="515"/>
      <c r="AZ42" s="515"/>
      <c r="BA42" s="515"/>
      <c r="BB42" s="515"/>
      <c r="BC42" s="516"/>
      <c r="BD42" s="516"/>
      <c r="BE42" s="516"/>
      <c r="BF42" s="516"/>
      <c r="BG42" s="516"/>
      <c r="BH42" s="516"/>
      <c r="BI42" s="516"/>
      <c r="BJ42" s="516"/>
      <c r="BK42" s="516"/>
      <c r="BL42" s="516"/>
      <c r="BM42" s="516"/>
      <c r="BN42" s="516"/>
      <c r="BO42" s="516"/>
      <c r="BP42" s="516"/>
      <c r="BQ42" s="516"/>
      <c r="BR42" s="516"/>
      <c r="BT42" s="509"/>
      <c r="BU42" s="509"/>
      <c r="BV42" s="509"/>
      <c r="BW42" s="509"/>
      <c r="BX42" s="509"/>
      <c r="BY42" s="509"/>
      <c r="BZ42" s="517"/>
      <c r="CA42" s="517"/>
      <c r="CB42" s="517"/>
      <c r="CC42" s="517"/>
      <c r="CD42" s="517"/>
      <c r="CE42" s="517"/>
      <c r="CF42" s="517"/>
      <c r="CG42" s="517"/>
      <c r="CH42" s="517"/>
      <c r="CI42" s="517"/>
      <c r="CJ42" s="517"/>
      <c r="CK42" s="517"/>
      <c r="CL42" s="517"/>
      <c r="CM42" s="517"/>
      <c r="CN42" s="517"/>
      <c r="CO42" s="517"/>
    </row>
    <row r="43" spans="1:93" ht="16.7" customHeight="1" x14ac:dyDescent="0.15">
      <c r="A43" s="101"/>
      <c r="B43" s="431" t="inlineStr">
        <is>
          <t xml:space="preserve">O</t>
        </is>
      </c>
      <c r="C43" s="554" t="s">
        <v>115</v>
      </c>
      <c r="D43" s="555"/>
      <c r="E43" s="555"/>
      <c r="F43" s="552"/>
      <c r="G43" s="552"/>
      <c r="H43" s="295" t="s">
        <v>75</v>
      </c>
      <c r="I43" s="533">
        <f>R14+F43+IF(B43="O",S3,(IF(B43="🅞",S3*2,IF(H39="O",INT(S3/2),0))))+X11</f>
        <v>0</v>
      </c>
      <c r="J43" s="533"/>
      <c r="L43" s="577"/>
      <c r="M43" s="577"/>
      <c r="N43" s="577"/>
      <c r="O43" s="578"/>
      <c r="P43" s="433"/>
      <c r="Q43" s="295" t="s">
        <v>75</v>
      </c>
      <c r="R43" s="566"/>
      <c r="S43" s="567"/>
      <c r="T43" s="568"/>
      <c r="U43" s="579"/>
      <c r="V43" s="586"/>
      <c r="W43" s="573"/>
      <c r="X43" s="574"/>
      <c r="Y43" s="574"/>
      <c r="Z43" s="574"/>
      <c r="AA43" s="574"/>
      <c r="AB43" s="574"/>
      <c r="AC43" s="574"/>
      <c r="AD43" s="574"/>
      <c r="AE43" s="574"/>
      <c r="AF43" s="574"/>
      <c r="AG43" s="574"/>
      <c r="AH43" s="574"/>
      <c r="AI43" s="574"/>
      <c r="AJ43" s="574"/>
      <c r="AK43" s="574"/>
      <c r="AL43" s="574"/>
      <c r="AM43" s="574"/>
      <c r="AN43" s="574"/>
      <c r="AO43" s="574"/>
      <c r="AP43" s="574"/>
      <c r="AQ43" s="574"/>
      <c r="AR43" s="574"/>
      <c r="AS43" s="574"/>
      <c r="AT43" s="575"/>
      <c r="AU43" s="98"/>
      <c r="AW43" s="131" t="str">
        <f>职业!CV34</f>
        <v/>
      </c>
      <c r="AX43" s="509"/>
      <c r="AY43" s="509"/>
      <c r="AZ43" s="509"/>
      <c r="BA43" s="509"/>
      <c r="BB43" s="509"/>
      <c r="BC43" s="517"/>
      <c r="BD43" s="517"/>
      <c r="BE43" s="517"/>
      <c r="BF43" s="517"/>
      <c r="BG43" s="517"/>
      <c r="BH43" s="517"/>
      <c r="BI43" s="517"/>
      <c r="BJ43" s="517"/>
      <c r="BK43" s="517"/>
      <c r="BL43" s="517"/>
      <c r="BM43" s="517"/>
      <c r="BN43" s="517"/>
      <c r="BO43" s="517"/>
      <c r="BP43" s="517"/>
      <c r="BQ43" s="517"/>
      <c r="BR43" s="517"/>
      <c r="BT43" s="515"/>
      <c r="BU43" s="515"/>
      <c r="BV43" s="515"/>
      <c r="BW43" s="515"/>
      <c r="BX43" s="515"/>
      <c r="BY43" s="515"/>
      <c r="BZ43" s="516"/>
      <c r="CA43" s="516"/>
      <c r="CB43" s="516"/>
      <c r="CC43" s="516"/>
      <c r="CD43" s="516"/>
      <c r="CE43" s="516"/>
      <c r="CF43" s="516"/>
      <c r="CG43" s="516"/>
      <c r="CH43" s="516"/>
      <c r="CI43" s="516"/>
      <c r="CJ43" s="516"/>
      <c r="CK43" s="516"/>
      <c r="CL43" s="516"/>
      <c r="CM43" s="516"/>
      <c r="CN43" s="516"/>
      <c r="CO43" s="516"/>
    </row>
    <row r="44" spans="1:93" ht="16.7" customHeight="1" x14ac:dyDescent="0.15">
      <c r="A44" s="101"/>
      <c r="B44" s="431" t="s">
        <v>73</v>
      </c>
      <c r="C44" s="554" t="s">
        <v>117</v>
      </c>
      <c r="D44" s="555"/>
      <c r="E44" s="555"/>
      <c r="F44" s="552"/>
      <c r="G44" s="552"/>
      <c r="H44" s="295" t="s">
        <v>75</v>
      </c>
      <c r="I44" s="533">
        <f>R14+F44+IF(B44="O",S3,(IF(B44="🅞",S3*2,IF(H39="O",INT(S3/2),0))))+X11</f>
        <v>0</v>
      </c>
      <c r="J44" s="533"/>
      <c r="L44" s="569"/>
      <c r="M44" s="569"/>
      <c r="N44" s="569"/>
      <c r="O44" s="570"/>
      <c r="P44" s="433"/>
      <c r="Q44" s="295" t="s">
        <v>75</v>
      </c>
      <c r="R44" s="556"/>
      <c r="S44" s="557"/>
      <c r="T44" s="558"/>
      <c r="U44" s="552"/>
      <c r="V44" s="571"/>
      <c r="W44" s="572"/>
      <c r="X44" s="560"/>
      <c r="Y44" s="560"/>
      <c r="Z44" s="560"/>
      <c r="AA44" s="560"/>
      <c r="AB44" s="560"/>
      <c r="AC44" s="560"/>
      <c r="AD44" s="560"/>
      <c r="AE44" s="560"/>
      <c r="AF44" s="560"/>
      <c r="AG44" s="560"/>
      <c r="AH44" s="560"/>
      <c r="AI44" s="560"/>
      <c r="AJ44" s="560"/>
      <c r="AK44" s="560"/>
      <c r="AL44" s="560"/>
      <c r="AM44" s="560"/>
      <c r="AN44" s="560"/>
      <c r="AO44" s="560"/>
      <c r="AP44" s="560"/>
      <c r="AQ44" s="560"/>
      <c r="AR44" s="560"/>
      <c r="AS44" s="560"/>
      <c r="AT44" s="561"/>
      <c r="AU44" s="98"/>
      <c r="AW44" s="132" t="str">
        <f>职业!CV35</f>
        <v/>
      </c>
      <c r="AX44" s="515"/>
      <c r="AY44" s="515"/>
      <c r="AZ44" s="515"/>
      <c r="BA44" s="515"/>
      <c r="BB44" s="515"/>
      <c r="BC44" s="516"/>
      <c r="BD44" s="516"/>
      <c r="BE44" s="516"/>
      <c r="BF44" s="516"/>
      <c r="BG44" s="516"/>
      <c r="BH44" s="516"/>
      <c r="BI44" s="516"/>
      <c r="BJ44" s="516"/>
      <c r="BK44" s="516"/>
      <c r="BL44" s="516"/>
      <c r="BM44" s="516"/>
      <c r="BN44" s="516"/>
      <c r="BO44" s="516"/>
      <c r="BP44" s="516"/>
      <c r="BQ44" s="516"/>
      <c r="BR44" s="516"/>
      <c r="BT44" s="509"/>
      <c r="BU44" s="509"/>
      <c r="BV44" s="509"/>
      <c r="BW44" s="509"/>
      <c r="BX44" s="509"/>
      <c r="BY44" s="509"/>
      <c r="BZ44" s="517"/>
      <c r="CA44" s="517"/>
      <c r="CB44" s="517"/>
      <c r="CC44" s="517"/>
      <c r="CD44" s="517"/>
      <c r="CE44" s="517"/>
      <c r="CF44" s="517"/>
      <c r="CG44" s="517"/>
      <c r="CH44" s="517"/>
      <c r="CI44" s="517"/>
      <c r="CJ44" s="517"/>
      <c r="CK44" s="517"/>
      <c r="CL44" s="517"/>
      <c r="CM44" s="517"/>
      <c r="CN44" s="517"/>
      <c r="CO44" s="517"/>
    </row>
    <row r="45" spans="1:93" ht="16.7" customHeight="1" x14ac:dyDescent="0.15">
      <c r="A45" s="101"/>
      <c r="B45" s="431" t="s">
        <v>73</v>
      </c>
      <c r="C45" s="554" t="s">
        <v>118</v>
      </c>
      <c r="D45" s="555"/>
      <c r="E45" s="555"/>
      <c r="F45" s="552"/>
      <c r="G45" s="552"/>
      <c r="H45" s="295" t="s">
        <v>75</v>
      </c>
      <c r="I45" s="533">
        <f>R14+F45+IF(B45="O",S3,(IF(B45="🅞",S3*2,IF(H39="O",INT(S3/2),0))))+X11</f>
        <v>0</v>
      </c>
      <c r="J45" s="533"/>
      <c r="L45" s="577"/>
      <c r="M45" s="577"/>
      <c r="N45" s="577"/>
      <c r="O45" s="578"/>
      <c r="P45" s="433"/>
      <c r="Q45" s="295" t="s">
        <v>75</v>
      </c>
      <c r="R45" s="566"/>
      <c r="S45" s="567"/>
      <c r="T45" s="568"/>
      <c r="U45" s="579"/>
      <c r="V45" s="586"/>
      <c r="W45" s="573"/>
      <c r="X45" s="574"/>
      <c r="Y45" s="574"/>
      <c r="Z45" s="574"/>
      <c r="AA45" s="574"/>
      <c r="AB45" s="574"/>
      <c r="AC45" s="574"/>
      <c r="AD45" s="574"/>
      <c r="AE45" s="574"/>
      <c r="AF45" s="574"/>
      <c r="AG45" s="574"/>
      <c r="AH45" s="574"/>
      <c r="AI45" s="574"/>
      <c r="AJ45" s="574"/>
      <c r="AK45" s="574"/>
      <c r="AL45" s="574"/>
      <c r="AM45" s="574"/>
      <c r="AN45" s="574"/>
      <c r="AO45" s="574"/>
      <c r="AP45" s="574"/>
      <c r="AQ45" s="574"/>
      <c r="AR45" s="574"/>
      <c r="AS45" s="574"/>
      <c r="AT45" s="575"/>
      <c r="AU45" s="98"/>
      <c r="AW45" s="131" t="str">
        <f>职业!CV36</f>
        <v/>
      </c>
      <c r="AX45" s="509"/>
      <c r="AY45" s="509"/>
      <c r="AZ45" s="509"/>
      <c r="BA45" s="509"/>
      <c r="BB45" s="509"/>
      <c r="BC45" s="517"/>
      <c r="BD45" s="517"/>
      <c r="BE45" s="517"/>
      <c r="BF45" s="517"/>
      <c r="BG45" s="517"/>
      <c r="BH45" s="517"/>
      <c r="BI45" s="517"/>
      <c r="BJ45" s="517"/>
      <c r="BK45" s="517"/>
      <c r="BL45" s="517"/>
      <c r="BM45" s="517"/>
      <c r="BN45" s="517"/>
      <c r="BO45" s="517"/>
      <c r="BP45" s="517"/>
      <c r="BQ45" s="517"/>
      <c r="BR45" s="517"/>
    </row>
    <row r="46" spans="1:93" ht="16.7" customHeight="1" x14ac:dyDescent="0.15">
      <c r="A46" s="101"/>
      <c r="B46" s="588" t="s">
        <v>5532</v>
      </c>
      <c r="C46" s="588"/>
      <c r="D46" s="588"/>
      <c r="E46" s="588"/>
      <c r="F46" s="588"/>
      <c r="G46" s="588"/>
      <c r="H46" s="102"/>
      <c r="I46" s="103"/>
      <c r="J46" s="103"/>
      <c r="L46" s="569"/>
      <c r="M46" s="569"/>
      <c r="N46" s="569"/>
      <c r="O46" s="570"/>
      <c r="P46" s="433"/>
      <c r="Q46" s="295" t="s">
        <v>75</v>
      </c>
      <c r="R46" s="556"/>
      <c r="S46" s="557"/>
      <c r="T46" s="558"/>
      <c r="U46" s="552"/>
      <c r="V46" s="571"/>
      <c r="W46" s="572"/>
      <c r="X46" s="560"/>
      <c r="Y46" s="560"/>
      <c r="Z46" s="560"/>
      <c r="AA46" s="560"/>
      <c r="AB46" s="560"/>
      <c r="AC46" s="560"/>
      <c r="AD46" s="560"/>
      <c r="AE46" s="560"/>
      <c r="AF46" s="560"/>
      <c r="AG46" s="560"/>
      <c r="AH46" s="560"/>
      <c r="AI46" s="560"/>
      <c r="AJ46" s="560"/>
      <c r="AK46" s="560"/>
      <c r="AL46" s="560"/>
      <c r="AM46" s="560"/>
      <c r="AN46" s="560"/>
      <c r="AO46" s="560"/>
      <c r="AP46" s="560"/>
      <c r="AQ46" s="560"/>
      <c r="AR46" s="560"/>
      <c r="AS46" s="560"/>
      <c r="AT46" s="561"/>
      <c r="AU46" s="98"/>
      <c r="AW46" s="132" t="str">
        <f>职业!CV37</f>
        <v/>
      </c>
      <c r="AX46" s="515"/>
      <c r="AY46" s="515"/>
      <c r="AZ46" s="515"/>
      <c r="BA46" s="515"/>
      <c r="BB46" s="515"/>
      <c r="BC46" s="516"/>
      <c r="BD46" s="516"/>
      <c r="BE46" s="516"/>
      <c r="BF46" s="516"/>
      <c r="BG46" s="516"/>
      <c r="BH46" s="516"/>
      <c r="BI46" s="516"/>
      <c r="BJ46" s="516"/>
      <c r="BK46" s="516"/>
      <c r="BL46" s="516"/>
      <c r="BM46" s="516"/>
      <c r="BN46" s="516"/>
      <c r="BO46" s="516"/>
      <c r="BP46" s="516"/>
      <c r="BQ46" s="516"/>
      <c r="BR46" s="516"/>
      <c r="BT46" s="518" t="s">
        <v>10925</v>
      </c>
      <c r="BU46" s="518"/>
      <c r="BV46" s="518"/>
      <c r="BW46" s="518"/>
      <c r="BX46" s="518"/>
      <c r="BY46" s="518"/>
      <c r="BZ46" s="518"/>
      <c r="CA46" s="518"/>
      <c r="CB46" s="518"/>
      <c r="CC46" s="518"/>
      <c r="CD46" s="518"/>
      <c r="CE46" s="518"/>
      <c r="CF46" s="518"/>
      <c r="CG46" s="518"/>
      <c r="CH46" s="518"/>
      <c r="CI46" s="518"/>
      <c r="CJ46" s="518"/>
      <c r="CK46" s="518"/>
      <c r="CL46" s="518"/>
      <c r="CM46" s="518"/>
      <c r="CN46" s="518"/>
      <c r="CO46" s="518"/>
    </row>
    <row r="47" spans="1:93" ht="16.7" customHeight="1" x14ac:dyDescent="0.3">
      <c r="A47" s="101"/>
      <c r="B47" s="431" t="inlineStr">
        <is>
          <t xml:space="preserve">O</t>
        </is>
      </c>
      <c r="C47" s="554" t="s">
        <v>119</v>
      </c>
      <c r="D47" s="555"/>
      <c r="E47" s="555"/>
      <c r="F47" s="552"/>
      <c r="G47" s="552"/>
      <c r="H47" s="295" t="s">
        <v>75</v>
      </c>
      <c r="I47" s="533">
        <f>R16+F47+IF(B47="O",S3,(IF(B47="🅞",S3*2,IF(H39="O",INT(S3/2),0))))+X11</f>
        <v>0</v>
      </c>
      <c r="J47" s="533"/>
      <c r="L47" s="577"/>
      <c r="M47" s="577"/>
      <c r="N47" s="577"/>
      <c r="O47" s="578"/>
      <c r="P47" s="433"/>
      <c r="Q47" s="295" t="s">
        <v>75</v>
      </c>
      <c r="R47" s="566"/>
      <c r="S47" s="567"/>
      <c r="T47" s="568"/>
      <c r="U47" s="579"/>
      <c r="V47" s="586"/>
      <c r="W47" s="573"/>
      <c r="X47" s="574"/>
      <c r="Y47" s="574"/>
      <c r="Z47" s="574"/>
      <c r="AA47" s="574"/>
      <c r="AB47" s="574"/>
      <c r="AC47" s="574"/>
      <c r="AD47" s="574"/>
      <c r="AE47" s="574"/>
      <c r="AF47" s="574"/>
      <c r="AG47" s="574"/>
      <c r="AH47" s="574"/>
      <c r="AI47" s="574"/>
      <c r="AJ47" s="574"/>
      <c r="AK47" s="574"/>
      <c r="AL47" s="574"/>
      <c r="AM47" s="574"/>
      <c r="AN47" s="574"/>
      <c r="AO47" s="574"/>
      <c r="AP47" s="574"/>
      <c r="AQ47" s="574"/>
      <c r="AR47" s="574"/>
      <c r="AS47" s="574"/>
      <c r="AT47" s="575"/>
      <c r="AU47" s="98"/>
      <c r="AW47" s="131" t="str">
        <f>职业!CV38</f>
        <v/>
      </c>
      <c r="AX47" s="509"/>
      <c r="AY47" s="509"/>
      <c r="AZ47" s="509"/>
      <c r="BA47" s="509"/>
      <c r="BB47" s="509"/>
      <c r="BC47" s="517"/>
      <c r="BD47" s="517"/>
      <c r="BE47" s="517"/>
      <c r="BF47" s="517"/>
      <c r="BG47" s="517"/>
      <c r="BH47" s="517"/>
      <c r="BI47" s="517"/>
      <c r="BJ47" s="517"/>
      <c r="BK47" s="517"/>
      <c r="BL47" s="517"/>
      <c r="BM47" s="517"/>
      <c r="BN47" s="517"/>
      <c r="BO47" s="517"/>
      <c r="BP47" s="517"/>
      <c r="BQ47" s="517"/>
      <c r="BR47" s="517"/>
      <c r="BT47" s="499" t="s">
        <v>10928</v>
      </c>
      <c r="BU47" s="499"/>
      <c r="BV47" s="499"/>
      <c r="BW47" s="499"/>
      <c r="BX47" s="499" t="s">
        <v>10926</v>
      </c>
      <c r="BY47" s="499"/>
      <c r="BZ47" s="499"/>
      <c r="CA47" s="499"/>
      <c r="CB47" s="499"/>
      <c r="CD47" s="499" t="s">
        <v>10821</v>
      </c>
      <c r="CE47" s="499"/>
      <c r="CF47" s="499" t="s">
        <v>10822</v>
      </c>
      <c r="CG47" s="499"/>
      <c r="CH47" s="499"/>
      <c r="CI47" s="499"/>
      <c r="CJ47" s="499"/>
      <c r="CK47" s="499" t="s">
        <v>10823</v>
      </c>
      <c r="CL47" s="499"/>
      <c r="CN47" s="499" t="s">
        <v>10824</v>
      </c>
      <c r="CO47" s="499"/>
    </row>
    <row r="48" spans="1:93" ht="16.7" customHeight="1" x14ac:dyDescent="0.15">
      <c r="B48" s="431" t="s">
        <v>73</v>
      </c>
      <c r="C48" s="554" t="s">
        <v>120</v>
      </c>
      <c r="D48" s="555"/>
      <c r="E48" s="555"/>
      <c r="F48" s="552"/>
      <c r="G48" s="552"/>
      <c r="H48" s="295" t="s">
        <v>75</v>
      </c>
      <c r="I48" s="533">
        <f>R16+F48+IF(B48="O",S3,(IF(B48="🅞",S3*2,IF(H39="O",INT(S3/2),0))))+X11</f>
        <v>0</v>
      </c>
      <c r="J48" s="533"/>
      <c r="L48" s="569"/>
      <c r="M48" s="569"/>
      <c r="N48" s="569"/>
      <c r="O48" s="570"/>
      <c r="P48" s="433"/>
      <c r="Q48" s="295" t="s">
        <v>75</v>
      </c>
      <c r="R48" s="556"/>
      <c r="S48" s="557"/>
      <c r="T48" s="558"/>
      <c r="U48" s="552"/>
      <c r="V48" s="571"/>
      <c r="W48" s="572"/>
      <c r="X48" s="560"/>
      <c r="Y48" s="560"/>
      <c r="Z48" s="560"/>
      <c r="AA48" s="560"/>
      <c r="AB48" s="560"/>
      <c r="AC48" s="560"/>
      <c r="AD48" s="560"/>
      <c r="AE48" s="560"/>
      <c r="AF48" s="560"/>
      <c r="AG48" s="560"/>
      <c r="AH48" s="560"/>
      <c r="AI48" s="560"/>
      <c r="AJ48" s="560"/>
      <c r="AK48" s="560"/>
      <c r="AL48" s="560"/>
      <c r="AM48" s="560"/>
      <c r="AN48" s="560"/>
      <c r="AO48" s="560"/>
      <c r="AP48" s="560"/>
      <c r="AQ48" s="560"/>
      <c r="AR48" s="560"/>
      <c r="AS48" s="560"/>
      <c r="AT48" s="561"/>
      <c r="AU48" s="98"/>
      <c r="AW48" s="132" t="str">
        <f>职业!CV39</f>
        <v/>
      </c>
      <c r="AX48" s="515"/>
      <c r="AY48" s="515"/>
      <c r="AZ48" s="515"/>
      <c r="BA48" s="515"/>
      <c r="BB48" s="515"/>
      <c r="BC48" s="516"/>
      <c r="BD48" s="516"/>
      <c r="BE48" s="516"/>
      <c r="BF48" s="516"/>
      <c r="BG48" s="516"/>
      <c r="BH48" s="516"/>
      <c r="BI48" s="516"/>
      <c r="BJ48" s="516"/>
      <c r="BK48" s="516"/>
      <c r="BL48" s="516"/>
      <c r="BM48" s="516"/>
      <c r="BN48" s="516"/>
      <c r="BO48" s="516"/>
      <c r="BP48" s="516"/>
      <c r="BQ48" s="516"/>
      <c r="BR48" s="516"/>
      <c r="BT48" s="522"/>
      <c r="BU48" s="523"/>
      <c r="BV48" s="523"/>
      <c r="BW48" s="524"/>
      <c r="BX48" s="512"/>
      <c r="BY48" s="513"/>
      <c r="BZ48" s="513"/>
      <c r="CA48" s="513"/>
      <c r="CB48" s="514"/>
      <c r="CC48" s="295" t="s">
        <v>75</v>
      </c>
      <c r="CD48" s="509" t="str">
        <f>IFERROR(VLOOKUP($BX$48,魔宠!$A$3:$AD$21,5,FALSE),"")</f>
        <v/>
      </c>
      <c r="CE48" s="509"/>
      <c r="CF48" s="528"/>
      <c r="CG48" s="529"/>
      <c r="CH48" s="467" t="s">
        <v>88</v>
      </c>
      <c r="CI48" s="526" t="str">
        <f>IFERROR(VLOOKUP($BX$48,魔宠!$A$3:$AD$21,6,FALSE),"")</f>
        <v/>
      </c>
      <c r="CJ48" s="527"/>
      <c r="CK48" s="509" t="str">
        <f>IFERROR(VLOOKUP($BX$48,魔宠!$A$3:$AD$21,7,FALSE),"")</f>
        <v/>
      </c>
      <c r="CL48" s="509"/>
      <c r="CM48" s="295" t="s">
        <v>75</v>
      </c>
      <c r="CN48" s="509" t="str">
        <f>IFERROR(VLOOKUP($BX$48,魔宠!$A$3:$AD$21,8,FALSE),"")</f>
        <v/>
      </c>
      <c r="CO48" s="509"/>
    </row>
    <row r="49" spans="2:93" ht="16.7" customHeight="1" x14ac:dyDescent="0.3">
      <c r="B49" s="431" t="s">
        <v>73</v>
      </c>
      <c r="C49" s="554" t="s">
        <v>121</v>
      </c>
      <c r="D49" s="555"/>
      <c r="E49" s="555"/>
      <c r="F49" s="552"/>
      <c r="G49" s="552"/>
      <c r="H49" s="295" t="s">
        <v>75</v>
      </c>
      <c r="I49" s="533">
        <f>R16+F49+IF(B49="O",S3,(IF(B49="🅞",S3*2,IF(H39="O",INT(S3/2),0))))+X11</f>
        <v>0</v>
      </c>
      <c r="J49" s="533"/>
      <c r="L49" s="577"/>
      <c r="M49" s="577"/>
      <c r="N49" s="577"/>
      <c r="O49" s="578"/>
      <c r="P49" s="433"/>
      <c r="Q49" s="295" t="s">
        <v>75</v>
      </c>
      <c r="R49" s="566"/>
      <c r="S49" s="567"/>
      <c r="T49" s="568"/>
      <c r="U49" s="579"/>
      <c r="V49" s="586"/>
      <c r="W49" s="573"/>
      <c r="X49" s="574"/>
      <c r="Y49" s="574"/>
      <c r="Z49" s="574"/>
      <c r="AA49" s="574"/>
      <c r="AB49" s="574"/>
      <c r="AC49" s="574"/>
      <c r="AD49" s="574"/>
      <c r="AE49" s="574"/>
      <c r="AF49" s="574"/>
      <c r="AG49" s="574"/>
      <c r="AH49" s="574"/>
      <c r="AI49" s="574"/>
      <c r="AJ49" s="574"/>
      <c r="AK49" s="574"/>
      <c r="AL49" s="574"/>
      <c r="AM49" s="574"/>
      <c r="AN49" s="574"/>
      <c r="AO49" s="574"/>
      <c r="AP49" s="574"/>
      <c r="AQ49" s="574"/>
      <c r="AR49" s="574"/>
      <c r="AS49" s="574"/>
      <c r="AT49" s="575"/>
      <c r="AU49" s="98"/>
      <c r="AW49" s="131" t="str">
        <f>职业!CV40</f>
        <v/>
      </c>
      <c r="AX49" s="509"/>
      <c r="AY49" s="509"/>
      <c r="AZ49" s="509"/>
      <c r="BA49" s="509"/>
      <c r="BB49" s="509"/>
      <c r="BC49" s="517"/>
      <c r="BD49" s="517"/>
      <c r="BE49" s="517"/>
      <c r="BF49" s="517"/>
      <c r="BG49" s="517"/>
      <c r="BH49" s="517"/>
      <c r="BI49" s="517"/>
      <c r="BJ49" s="517"/>
      <c r="BK49" s="517"/>
      <c r="BL49" s="517"/>
      <c r="BM49" s="517"/>
      <c r="BN49" s="517"/>
      <c r="BO49" s="517"/>
      <c r="BP49" s="517"/>
      <c r="BQ49" s="517"/>
      <c r="BR49" s="517"/>
      <c r="BT49" s="499" t="s">
        <v>10761</v>
      </c>
      <c r="BU49" s="499"/>
      <c r="BV49" s="499"/>
      <c r="BW49" s="499" t="s">
        <v>10927</v>
      </c>
      <c r="BX49" s="499"/>
      <c r="BY49" s="499"/>
      <c r="BZ49" s="499" t="s">
        <v>10820</v>
      </c>
      <c r="CA49" s="499"/>
      <c r="CB49" s="499"/>
      <c r="CC49" s="499"/>
      <c r="CD49" s="499" t="s">
        <v>10825</v>
      </c>
      <c r="CE49" s="499"/>
      <c r="CF49" s="499"/>
      <c r="CG49" s="499"/>
      <c r="CH49" s="499"/>
      <c r="CI49" s="499"/>
      <c r="CJ49" s="499"/>
      <c r="CK49" s="499"/>
      <c r="CL49" s="499"/>
      <c r="CM49" s="499"/>
      <c r="CN49" s="499"/>
      <c r="CO49" s="499"/>
    </row>
    <row r="50" spans="2:93" ht="16.7" customHeight="1" x14ac:dyDescent="0.15">
      <c r="B50" s="431" t="s">
        <v>73</v>
      </c>
      <c r="C50" s="554" t="s">
        <v>122</v>
      </c>
      <c r="D50" s="555"/>
      <c r="E50" s="555"/>
      <c r="F50" s="552"/>
      <c r="G50" s="552"/>
      <c r="H50" s="295" t="s">
        <v>75</v>
      </c>
      <c r="I50" s="533">
        <f>R16+F50+IF(B50="O",S3,(IF(B50="🅞",S3*2,IF(H39="O",INT(S3/2),0))))+X11</f>
        <v>0</v>
      </c>
      <c r="J50" s="533"/>
      <c r="L50" s="587"/>
      <c r="M50" s="569"/>
      <c r="N50" s="569"/>
      <c r="O50" s="570"/>
      <c r="P50" s="433"/>
      <c r="Q50" s="295" t="s">
        <v>75</v>
      </c>
      <c r="R50" s="556"/>
      <c r="S50" s="557"/>
      <c r="T50" s="558"/>
      <c r="U50" s="552"/>
      <c r="V50" s="571"/>
      <c r="W50" s="572"/>
      <c r="X50" s="560"/>
      <c r="Y50" s="560"/>
      <c r="Z50" s="560"/>
      <c r="AA50" s="560"/>
      <c r="AB50" s="560"/>
      <c r="AC50" s="560"/>
      <c r="AD50" s="560"/>
      <c r="AE50" s="560"/>
      <c r="AF50" s="560"/>
      <c r="AG50" s="560"/>
      <c r="AH50" s="560"/>
      <c r="AI50" s="560"/>
      <c r="AJ50" s="560"/>
      <c r="AK50" s="560"/>
      <c r="AL50" s="560"/>
      <c r="AM50" s="560"/>
      <c r="AN50" s="560"/>
      <c r="AO50" s="560"/>
      <c r="AP50" s="560"/>
      <c r="AQ50" s="560"/>
      <c r="AR50" s="560"/>
      <c r="AS50" s="560"/>
      <c r="AT50" s="561"/>
      <c r="AU50" s="98"/>
      <c r="AW50" s="132" t="str">
        <f>职业!CV41</f>
        <v/>
      </c>
      <c r="AX50" s="515"/>
      <c r="AY50" s="515"/>
      <c r="AZ50" s="515"/>
      <c r="BA50" s="515"/>
      <c r="BB50" s="515"/>
      <c r="BC50" s="516"/>
      <c r="BD50" s="516"/>
      <c r="BE50" s="516"/>
      <c r="BF50" s="516"/>
      <c r="BG50" s="516"/>
      <c r="BH50" s="516"/>
      <c r="BI50" s="516"/>
      <c r="BJ50" s="516"/>
      <c r="BK50" s="516"/>
      <c r="BL50" s="516"/>
      <c r="BM50" s="516"/>
      <c r="BN50" s="516"/>
      <c r="BO50" s="516"/>
      <c r="BP50" s="516"/>
      <c r="BQ50" s="516"/>
      <c r="BR50" s="516"/>
      <c r="BT50" s="519" t="str">
        <f>IFERROR(VLOOKUP($BX$48,魔宠!$A$3:$AD$21,2,FALSE),"")</f>
        <v/>
      </c>
      <c r="BU50" s="520"/>
      <c r="BV50" s="521"/>
      <c r="BW50" s="519" t="str">
        <f>IFERROR(VLOOKUP($BX$48,魔宠!$A$3:$AD$21,3,FALSE),"")</f>
        <v/>
      </c>
      <c r="BX50" s="520"/>
      <c r="BY50" s="521"/>
      <c r="BZ50" s="519" t="str">
        <f>IFERROR(VLOOKUP($BX$48,魔宠!$A$3:$AD$21,4,FALSE),"")</f>
        <v/>
      </c>
      <c r="CA50" s="525"/>
      <c r="CB50" s="520"/>
      <c r="CC50" s="521"/>
      <c r="CD50" s="512" t="str">
        <f>IFERROR(VLOOKUP($BX$48,魔宠!$A$3:$AD$21,9,FALSE),"")</f>
        <v/>
      </c>
      <c r="CE50" s="513"/>
      <c r="CF50" s="513"/>
      <c r="CG50" s="513"/>
      <c r="CH50" s="513"/>
      <c r="CI50" s="513"/>
      <c r="CJ50" s="513"/>
      <c r="CK50" s="513"/>
      <c r="CL50" s="513"/>
      <c r="CM50" s="513"/>
      <c r="CN50" s="513"/>
      <c r="CO50" s="514"/>
    </row>
    <row r="51" spans="2:93" ht="16.7" customHeight="1" x14ac:dyDescent="0.3">
      <c r="B51" s="431" t="s">
        <v>73</v>
      </c>
      <c r="C51" s="554" t="s">
        <v>123</v>
      </c>
      <c r="D51" s="555"/>
      <c r="E51" s="555"/>
      <c r="F51" s="552"/>
      <c r="G51" s="552"/>
      <c r="H51" s="295" t="s">
        <v>75</v>
      </c>
      <c r="I51" s="533">
        <f>R16+F51+IF(B51="O",S3,(IF(B51="🅞",S3*2,IF(H39="O",INT(S3/2),0))))+X11</f>
        <v>0</v>
      </c>
      <c r="J51" s="533"/>
      <c r="L51" s="577"/>
      <c r="M51" s="577"/>
      <c r="N51" s="577"/>
      <c r="O51" s="578"/>
      <c r="P51" s="433"/>
      <c r="Q51" s="295" t="s">
        <v>75</v>
      </c>
      <c r="R51" s="566"/>
      <c r="S51" s="567"/>
      <c r="T51" s="568"/>
      <c r="U51" s="579"/>
      <c r="V51" s="586"/>
      <c r="W51" s="573"/>
      <c r="X51" s="574"/>
      <c r="Y51" s="574"/>
      <c r="Z51" s="574"/>
      <c r="AA51" s="574"/>
      <c r="AB51" s="574"/>
      <c r="AC51" s="574"/>
      <c r="AD51" s="574"/>
      <c r="AE51" s="574"/>
      <c r="AF51" s="574"/>
      <c r="AG51" s="574"/>
      <c r="AH51" s="574"/>
      <c r="AI51" s="574"/>
      <c r="AJ51" s="574"/>
      <c r="AK51" s="574"/>
      <c r="AL51" s="574"/>
      <c r="AM51" s="574"/>
      <c r="AN51" s="574"/>
      <c r="AO51" s="574"/>
      <c r="AP51" s="574"/>
      <c r="AQ51" s="574"/>
      <c r="AR51" s="574"/>
      <c r="AS51" s="574"/>
      <c r="AT51" s="575"/>
      <c r="AU51" s="98"/>
      <c r="AW51" s="131" t="str">
        <f>职业!CV42</f>
        <v/>
      </c>
      <c r="AX51" s="509"/>
      <c r="AY51" s="509"/>
      <c r="AZ51" s="509"/>
      <c r="BA51" s="509"/>
      <c r="BB51" s="509"/>
      <c r="BC51" s="517"/>
      <c r="BD51" s="517"/>
      <c r="BE51" s="517"/>
      <c r="BF51" s="517"/>
      <c r="BG51" s="517"/>
      <c r="BH51" s="517"/>
      <c r="BI51" s="517"/>
      <c r="BJ51" s="517"/>
      <c r="BK51" s="517"/>
      <c r="BL51" s="517"/>
      <c r="BM51" s="517"/>
      <c r="BN51" s="517"/>
      <c r="BO51" s="517"/>
      <c r="BP51" s="517"/>
      <c r="BQ51" s="517"/>
      <c r="BR51" s="517"/>
      <c r="BT51" s="499" t="s">
        <v>6882</v>
      </c>
      <c r="BU51" s="499"/>
      <c r="BV51" s="499" t="s">
        <v>10929</v>
      </c>
      <c r="BW51" s="499"/>
      <c r="BX51" s="499" t="s">
        <v>10930</v>
      </c>
      <c r="BY51" s="499"/>
      <c r="CB51" s="499" t="s">
        <v>2990</v>
      </c>
      <c r="CC51" s="499"/>
      <c r="CD51" s="499" t="s">
        <v>10929</v>
      </c>
      <c r="CE51" s="499"/>
      <c r="CF51" s="499" t="s">
        <v>10930</v>
      </c>
      <c r="CG51" s="499"/>
      <c r="CJ51" s="499" t="s">
        <v>10826</v>
      </c>
      <c r="CK51" s="499"/>
      <c r="CL51" s="499" t="s">
        <v>10929</v>
      </c>
      <c r="CM51" s="499"/>
      <c r="CN51" s="499" t="s">
        <v>10930</v>
      </c>
      <c r="CO51" s="499"/>
    </row>
    <row r="52" spans="2:93" ht="16.7" customHeight="1" x14ac:dyDescent="0.3">
      <c r="B52" s="551" t="s">
        <v>8305</v>
      </c>
      <c r="C52" s="551"/>
      <c r="D52" s="551"/>
      <c r="E52" s="551"/>
      <c r="F52" s="551"/>
      <c r="G52" s="551"/>
      <c r="H52" s="102"/>
      <c r="I52" s="103"/>
      <c r="J52" s="103"/>
      <c r="L52" s="565" t="s">
        <v>8309</v>
      </c>
      <c r="M52" s="565"/>
      <c r="N52" s="565"/>
      <c r="O52" s="19"/>
      <c r="Q52" s="98"/>
      <c r="R52" s="537" t="s">
        <v>10805</v>
      </c>
      <c r="S52" s="537"/>
      <c r="T52" s="537"/>
      <c r="U52" s="551" t="s">
        <v>8308</v>
      </c>
      <c r="V52" s="551"/>
      <c r="W52" s="551"/>
      <c r="X52" s="551"/>
      <c r="Y52" s="551"/>
      <c r="Z52" s="551"/>
      <c r="AA52" s="551"/>
      <c r="AB52" s="551"/>
      <c r="AC52" s="551"/>
      <c r="AD52" s="551"/>
      <c r="AE52" s="551"/>
      <c r="AF52" s="551"/>
      <c r="AG52" s="551"/>
      <c r="AH52" s="551"/>
      <c r="AI52" s="551"/>
      <c r="AJ52" s="551"/>
      <c r="AK52" s="551"/>
      <c r="AL52" s="551"/>
      <c r="AM52" s="551"/>
      <c r="AN52" s="551"/>
      <c r="AO52" s="551"/>
      <c r="AP52" s="537" t="s">
        <v>2999</v>
      </c>
      <c r="AQ52" s="537"/>
      <c r="AR52" s="537"/>
      <c r="AS52" s="537"/>
      <c r="AT52" s="537"/>
      <c r="AU52" s="98"/>
      <c r="AW52" s="132" t="str">
        <f>职业!CV43</f>
        <v/>
      </c>
      <c r="AX52" s="515"/>
      <c r="AY52" s="515"/>
      <c r="AZ52" s="515"/>
      <c r="BA52" s="515"/>
      <c r="BB52" s="515"/>
      <c r="BC52" s="516"/>
      <c r="BD52" s="516"/>
      <c r="BE52" s="516"/>
      <c r="BF52" s="516"/>
      <c r="BG52" s="516"/>
      <c r="BH52" s="516"/>
      <c r="BI52" s="516"/>
      <c r="BJ52" s="516"/>
      <c r="BK52" s="516"/>
      <c r="BL52" s="516"/>
      <c r="BM52" s="516"/>
      <c r="BN52" s="516"/>
      <c r="BO52" s="516"/>
      <c r="BP52" s="516"/>
      <c r="BQ52" s="516"/>
      <c r="BR52" s="516"/>
      <c r="BT52" s="509" t="str">
        <f>IFERROR(VLOOKUP($BX$48,魔宠!$A$3:$AD$21,10,FALSE),"")</f>
        <v/>
      </c>
      <c r="BU52" s="509"/>
      <c r="BV52" s="497" t="str">
        <f>IFERROR(VLOOKUP($BX$48,魔宠!$A$3:$AD$21,11,FALSE),"")</f>
        <v/>
      </c>
      <c r="BW52" s="498"/>
      <c r="BX52" s="511" t="str">
        <f>IFERROR(VLOOKUP($BX$48,魔宠!$A$3:$AD$21,12,FALSE),"")</f>
        <v/>
      </c>
      <c r="BY52" s="511"/>
      <c r="CB52" s="509" t="str">
        <f>IFERROR(VLOOKUP($BX$48,魔宠!$A$3:$AD$21,13,FALSE),"")</f>
        <v/>
      </c>
      <c r="CC52" s="509"/>
      <c r="CD52" s="510" t="str">
        <f>IFERROR(VLOOKUP($BX$48,魔宠!$A$3:$AD$21,14,FALSE),"")</f>
        <v/>
      </c>
      <c r="CE52" s="510"/>
      <c r="CF52" s="511" t="str">
        <f>IFERROR(VLOOKUP($BX$48,魔宠!$A$3:$AD$21,15,FALSE),"")</f>
        <v/>
      </c>
      <c r="CG52" s="511"/>
      <c r="CJ52" s="509" t="str">
        <f>IFERROR(VLOOKUP($BX$48,魔宠!$A$3:$AD$21,16,FALSE),"")</f>
        <v/>
      </c>
      <c r="CK52" s="509"/>
      <c r="CL52" s="510" t="str">
        <f>IFERROR(VLOOKUP($BX$48,魔宠!$A$3:$AD$21,17,FALSE),"")</f>
        <v/>
      </c>
      <c r="CM52" s="510"/>
      <c r="CN52" s="511" t="str">
        <f>IFERROR(VLOOKUP($BX$48,魔宠!$A$3:$AD$21,18,FALSE),"")</f>
        <v/>
      </c>
      <c r="CO52" s="511"/>
    </row>
    <row r="53" spans="2:93" ht="16.7" customHeight="1" x14ac:dyDescent="0.3">
      <c r="B53" s="431" t="s">
        <v>73</v>
      </c>
      <c r="C53" s="554" t="s">
        <v>124</v>
      </c>
      <c r="D53" s="555"/>
      <c r="E53" s="555"/>
      <c r="F53" s="552"/>
      <c r="G53" s="552"/>
      <c r="H53" s="295" t="s">
        <v>75</v>
      </c>
      <c r="I53" s="533">
        <f>R17+F53+IF(B53="O",S3,(IF(B53="🅞",S3*2,IF(H39="O",INT(S3/2),0))))+X11</f>
        <v>0</v>
      </c>
      <c r="J53" s="533"/>
      <c r="L53" s="512"/>
      <c r="M53" s="513"/>
      <c r="N53" s="513"/>
      <c r="O53" s="513"/>
      <c r="P53" s="514"/>
      <c r="Q53" s="295" t="s">
        <v>75</v>
      </c>
      <c r="R53" s="556"/>
      <c r="S53" s="557"/>
      <c r="T53" s="558"/>
      <c r="U53" s="534"/>
      <c r="V53" s="535"/>
      <c r="W53" s="535"/>
      <c r="X53" s="535"/>
      <c r="Y53" s="535"/>
      <c r="Z53" s="535"/>
      <c r="AA53" s="535"/>
      <c r="AB53" s="535"/>
      <c r="AC53" s="535"/>
      <c r="AD53" s="535"/>
      <c r="AE53" s="535"/>
      <c r="AF53" s="535"/>
      <c r="AG53" s="535"/>
      <c r="AH53" s="535"/>
      <c r="AI53" s="535"/>
      <c r="AJ53" s="535"/>
      <c r="AK53" s="535"/>
      <c r="AL53" s="535"/>
      <c r="AM53" s="535"/>
      <c r="AN53" s="535"/>
      <c r="AO53" s="536"/>
      <c r="AP53" s="528"/>
      <c r="AQ53" s="529"/>
      <c r="AR53" s="274" t="s">
        <v>88</v>
      </c>
      <c r="AS53" s="530"/>
      <c r="AT53" s="531"/>
      <c r="AU53" s="98"/>
      <c r="AW53" s="131" t="str">
        <f>职业!CV44</f>
        <v/>
      </c>
      <c r="AX53" s="509"/>
      <c r="AY53" s="509"/>
      <c r="AZ53" s="509"/>
      <c r="BA53" s="509"/>
      <c r="BB53" s="509"/>
      <c r="BC53" s="517"/>
      <c r="BD53" s="517"/>
      <c r="BE53" s="517"/>
      <c r="BF53" s="517"/>
      <c r="BG53" s="517"/>
      <c r="BH53" s="517"/>
      <c r="BI53" s="517"/>
      <c r="BJ53" s="517"/>
      <c r="BK53" s="517"/>
      <c r="BL53" s="517"/>
      <c r="BM53" s="517"/>
      <c r="BN53" s="517"/>
      <c r="BO53" s="517"/>
      <c r="BP53" s="517"/>
      <c r="BQ53" s="517"/>
      <c r="BR53" s="517"/>
      <c r="BT53" s="499" t="s">
        <v>5532</v>
      </c>
      <c r="BU53" s="499"/>
      <c r="BV53" s="499" t="s">
        <v>10929</v>
      </c>
      <c r="BW53" s="499"/>
      <c r="BX53" s="499" t="s">
        <v>10930</v>
      </c>
      <c r="BY53" s="499"/>
      <c r="CB53" s="499" t="s">
        <v>8305</v>
      </c>
      <c r="CC53" s="499"/>
      <c r="CD53" s="499" t="s">
        <v>10929</v>
      </c>
      <c r="CE53" s="499"/>
      <c r="CF53" s="499" t="s">
        <v>10930</v>
      </c>
      <c r="CG53" s="499"/>
      <c r="CJ53" s="499" t="s">
        <v>5537</v>
      </c>
      <c r="CK53" s="499"/>
      <c r="CL53" s="499" t="s">
        <v>10929</v>
      </c>
      <c r="CM53" s="499"/>
      <c r="CN53" s="499" t="s">
        <v>10930</v>
      </c>
      <c r="CO53" s="499"/>
    </row>
    <row r="54" spans="2:93" ht="16.7" customHeight="1" x14ac:dyDescent="0.15">
      <c r="B54" s="431" t="s">
        <v>73</v>
      </c>
      <c r="C54" s="554" t="s">
        <v>125</v>
      </c>
      <c r="D54" s="555"/>
      <c r="E54" s="555"/>
      <c r="F54" s="552"/>
      <c r="G54" s="552"/>
      <c r="H54" s="295" t="s">
        <v>75</v>
      </c>
      <c r="I54" s="533">
        <f>R17+F54+IF(B54="O",S3,(IF(B54="🅞",S3*2,IF(H39="O",INT(S3/2),0))))+X11</f>
        <v>0</v>
      </c>
      <c r="J54" s="533"/>
      <c r="L54" s="562"/>
      <c r="M54" s="563"/>
      <c r="N54" s="563"/>
      <c r="O54" s="563"/>
      <c r="P54" s="564"/>
      <c r="Q54" s="295" t="s">
        <v>75</v>
      </c>
      <c r="R54" s="566"/>
      <c r="S54" s="567"/>
      <c r="T54" s="568"/>
      <c r="U54" s="703"/>
      <c r="V54" s="704"/>
      <c r="W54" s="704"/>
      <c r="X54" s="704"/>
      <c r="Y54" s="704"/>
      <c r="Z54" s="704"/>
      <c r="AA54" s="704"/>
      <c r="AB54" s="704"/>
      <c r="AC54" s="704"/>
      <c r="AD54" s="704"/>
      <c r="AE54" s="704"/>
      <c r="AF54" s="704"/>
      <c r="AG54" s="704"/>
      <c r="AH54" s="704"/>
      <c r="AI54" s="704"/>
      <c r="AJ54" s="704"/>
      <c r="AK54" s="704"/>
      <c r="AL54" s="704"/>
      <c r="AM54" s="704"/>
      <c r="AN54" s="704"/>
      <c r="AO54" s="705"/>
      <c r="AP54" s="589"/>
      <c r="AQ54" s="590"/>
      <c r="AR54" s="275" t="s">
        <v>88</v>
      </c>
      <c r="AS54" s="593"/>
      <c r="AT54" s="707"/>
      <c r="AU54" s="98"/>
      <c r="AW54" s="132" t="str">
        <f>职业!CV45</f>
        <v/>
      </c>
      <c r="AX54" s="515"/>
      <c r="AY54" s="515"/>
      <c r="AZ54" s="515"/>
      <c r="BA54" s="515"/>
      <c r="BB54" s="515"/>
      <c r="BC54" s="516"/>
      <c r="BD54" s="516"/>
      <c r="BE54" s="516"/>
      <c r="BF54" s="516"/>
      <c r="BG54" s="516"/>
      <c r="BH54" s="516"/>
      <c r="BI54" s="516"/>
      <c r="BJ54" s="516"/>
      <c r="BK54" s="516"/>
      <c r="BL54" s="516"/>
      <c r="BM54" s="516"/>
      <c r="BN54" s="516"/>
      <c r="BO54" s="516"/>
      <c r="BP54" s="516"/>
      <c r="BQ54" s="516"/>
      <c r="BR54" s="516"/>
      <c r="BT54" s="509" t="str">
        <f>IFERROR(VLOOKUP($BX$48,魔宠!$A$3:$AD$21,19,FALSE),"")</f>
        <v/>
      </c>
      <c r="BU54" s="509"/>
      <c r="BV54" s="510" t="str">
        <f>IFERROR(VLOOKUP($BX$48,魔宠!$A$3:$AD$21,20,FALSE),"")</f>
        <v/>
      </c>
      <c r="BW54" s="510"/>
      <c r="BX54" s="511" t="str">
        <f>IFERROR(VLOOKUP($BX$48,魔宠!$A$3:$AD$21,21,FALSE),"")</f>
        <v/>
      </c>
      <c r="BY54" s="511"/>
      <c r="CB54" s="509" t="str">
        <f>IFERROR(VLOOKUP($BX$48,魔宠!$A$3:$AD$21,22,FALSE),"")</f>
        <v/>
      </c>
      <c r="CC54" s="509"/>
      <c r="CD54" s="510" t="str">
        <f>IFERROR(VLOOKUP($BX$48,魔宠!$A$3:$AD$21,23,FALSE),"")</f>
        <v/>
      </c>
      <c r="CE54" s="510"/>
      <c r="CF54" s="511" t="str">
        <f>IFERROR(VLOOKUP($BX$48,魔宠!$A$3:$AD$21,24,FALSE),"")</f>
        <v/>
      </c>
      <c r="CG54" s="511"/>
      <c r="CJ54" s="509" t="str">
        <f>IFERROR(VLOOKUP($BX$48,魔宠!$A$3:$AD$21,25,FALSE),"")</f>
        <v/>
      </c>
      <c r="CK54" s="509"/>
      <c r="CL54" s="510" t="str">
        <f>IFERROR(VLOOKUP($BX$48,魔宠!$A$3:$AD$21,26,FALSE),"")</f>
        <v/>
      </c>
      <c r="CM54" s="510"/>
      <c r="CN54" s="511" t="str">
        <f>IFERROR(VLOOKUP($BX$48,魔宠!$A$3:$AD$21,27,FALSE),"")</f>
        <v/>
      </c>
      <c r="CO54" s="511"/>
    </row>
    <row r="55" spans="2:93" ht="16.7" customHeight="1" x14ac:dyDescent="0.3">
      <c r="B55" s="431" t="s">
        <v>73</v>
      </c>
      <c r="C55" s="554" t="s">
        <v>2980</v>
      </c>
      <c r="D55" s="555"/>
      <c r="E55" s="555"/>
      <c r="F55" s="552"/>
      <c r="G55" s="552"/>
      <c r="H55" s="295" t="s">
        <v>75</v>
      </c>
      <c r="I55" s="533">
        <f>R17+F55+IF(B55="O",S3,(IF(B55="🅞",S3*2,IF(H39="O",INT(S3/2),0))))+X11</f>
        <v>0</v>
      </c>
      <c r="J55" s="533"/>
      <c r="L55" s="512"/>
      <c r="M55" s="513"/>
      <c r="N55" s="513"/>
      <c r="O55" s="513"/>
      <c r="P55" s="514"/>
      <c r="Q55" s="295" t="s">
        <v>75</v>
      </c>
      <c r="R55" s="556"/>
      <c r="S55" s="557"/>
      <c r="T55" s="558"/>
      <c r="U55" s="559"/>
      <c r="V55" s="560"/>
      <c r="W55" s="560"/>
      <c r="X55" s="560"/>
      <c r="Y55" s="560"/>
      <c r="Z55" s="560"/>
      <c r="AA55" s="560"/>
      <c r="AB55" s="560"/>
      <c r="AC55" s="560"/>
      <c r="AD55" s="560"/>
      <c r="AE55" s="560"/>
      <c r="AF55" s="560"/>
      <c r="AG55" s="560"/>
      <c r="AH55" s="560"/>
      <c r="AI55" s="560"/>
      <c r="AJ55" s="560"/>
      <c r="AK55" s="560"/>
      <c r="AL55" s="560"/>
      <c r="AM55" s="560"/>
      <c r="AN55" s="560"/>
      <c r="AO55" s="561"/>
      <c r="AP55" s="529"/>
      <c r="AQ55" s="673"/>
      <c r="AR55" s="274" t="s">
        <v>8310</v>
      </c>
      <c r="AS55" s="553"/>
      <c r="AT55" s="530"/>
      <c r="AU55" s="98"/>
      <c r="AW55" s="131" t="str">
        <f>职业!CV46</f>
        <v/>
      </c>
      <c r="AX55" s="509"/>
      <c r="AY55" s="509"/>
      <c r="AZ55" s="509"/>
      <c r="BA55" s="509"/>
      <c r="BB55" s="509"/>
      <c r="BC55" s="517"/>
      <c r="BD55" s="517"/>
      <c r="BE55" s="517"/>
      <c r="BF55" s="517"/>
      <c r="BG55" s="517"/>
      <c r="BH55" s="517"/>
      <c r="BI55" s="517"/>
      <c r="BJ55" s="517"/>
      <c r="BK55" s="517"/>
      <c r="BL55" s="517"/>
      <c r="BM55" s="517"/>
      <c r="BN55" s="517"/>
      <c r="BO55" s="517"/>
      <c r="BP55" s="517"/>
      <c r="BQ55" s="517"/>
      <c r="BR55" s="517"/>
      <c r="BT55" s="499" t="s">
        <v>10895</v>
      </c>
      <c r="BU55" s="499"/>
      <c r="BV55" s="499"/>
      <c r="BW55" s="499"/>
      <c r="BX55" s="499"/>
      <c r="BY55" s="499"/>
      <c r="BZ55" s="499"/>
      <c r="CA55" s="499"/>
      <c r="CB55" s="499"/>
      <c r="CC55" s="499"/>
      <c r="CD55" s="499"/>
      <c r="CE55" s="499"/>
      <c r="CF55" s="499"/>
      <c r="CG55" s="499"/>
      <c r="CH55" s="499"/>
      <c r="CI55" s="499"/>
      <c r="CJ55" s="499"/>
      <c r="CK55" s="499"/>
      <c r="CL55" s="499"/>
      <c r="CM55" s="499"/>
      <c r="CN55" s="499"/>
      <c r="CO55" s="499"/>
    </row>
    <row r="56" spans="2:93" ht="16.7" customHeight="1" x14ac:dyDescent="0.15">
      <c r="B56" s="431" t="inlineStr">
        <is>
          <t xml:space="preserve">O</t>
        </is>
      </c>
      <c r="C56" s="554" t="s">
        <v>2981</v>
      </c>
      <c r="D56" s="555"/>
      <c r="E56" s="555"/>
      <c r="F56" s="552"/>
      <c r="G56" s="552"/>
      <c r="H56" s="295" t="s">
        <v>75</v>
      </c>
      <c r="I56" s="533">
        <f>R17+F56+IF(B56="O",S3,(IF(B56="🅞",S3*2,IF(H39="O",INT(S3/2),0))))+X11</f>
        <v>0</v>
      </c>
      <c r="J56" s="533"/>
      <c r="L56" s="562"/>
      <c r="M56" s="563"/>
      <c r="N56" s="563"/>
      <c r="O56" s="563"/>
      <c r="P56" s="564"/>
      <c r="Q56" s="295" t="s">
        <v>75</v>
      </c>
      <c r="R56" s="566"/>
      <c r="S56" s="567"/>
      <c r="T56" s="568"/>
      <c r="U56" s="703"/>
      <c r="V56" s="704"/>
      <c r="W56" s="704"/>
      <c r="X56" s="704"/>
      <c r="Y56" s="704"/>
      <c r="Z56" s="704"/>
      <c r="AA56" s="704"/>
      <c r="AB56" s="704"/>
      <c r="AC56" s="704"/>
      <c r="AD56" s="704"/>
      <c r="AE56" s="704"/>
      <c r="AF56" s="704"/>
      <c r="AG56" s="704"/>
      <c r="AH56" s="704"/>
      <c r="AI56" s="704"/>
      <c r="AJ56" s="704"/>
      <c r="AK56" s="704"/>
      <c r="AL56" s="704"/>
      <c r="AM56" s="704"/>
      <c r="AN56" s="704"/>
      <c r="AO56" s="705"/>
      <c r="AP56" s="589"/>
      <c r="AQ56" s="590"/>
      <c r="AR56" s="275" t="s">
        <v>8310</v>
      </c>
      <c r="AS56" s="593"/>
      <c r="AT56" s="707"/>
      <c r="AU56" s="98"/>
      <c r="AW56" s="132" t="str">
        <f>职业!CV47</f>
        <v/>
      </c>
      <c r="AX56" s="515"/>
      <c r="AY56" s="515"/>
      <c r="AZ56" s="515"/>
      <c r="BA56" s="515"/>
      <c r="BB56" s="515"/>
      <c r="BC56" s="516"/>
      <c r="BD56" s="516"/>
      <c r="BE56" s="516"/>
      <c r="BF56" s="516"/>
      <c r="BG56" s="516"/>
      <c r="BH56" s="516"/>
      <c r="BI56" s="516"/>
      <c r="BJ56" s="516"/>
      <c r="BK56" s="516"/>
      <c r="BL56" s="516"/>
      <c r="BM56" s="516"/>
      <c r="BN56" s="516"/>
      <c r="BO56" s="516"/>
      <c r="BP56" s="516"/>
      <c r="BQ56" s="516"/>
      <c r="BR56" s="516"/>
      <c r="BT56" s="500" t="str">
        <f>IFERROR(VLOOKUP($BX$48,魔宠!$A$3:$AD$21,28,FALSE),"")</f>
        <v/>
      </c>
      <c r="BU56" s="501"/>
      <c r="BV56" s="501"/>
      <c r="BW56" s="501"/>
      <c r="BX56" s="501"/>
      <c r="BY56" s="501"/>
      <c r="BZ56" s="501"/>
      <c r="CA56" s="501"/>
      <c r="CB56" s="501"/>
      <c r="CC56" s="501"/>
      <c r="CD56" s="501"/>
      <c r="CE56" s="501"/>
      <c r="CF56" s="501"/>
      <c r="CG56" s="501"/>
      <c r="CH56" s="501"/>
      <c r="CI56" s="501"/>
      <c r="CJ56" s="501"/>
      <c r="CK56" s="501"/>
      <c r="CL56" s="501"/>
      <c r="CM56" s="501"/>
      <c r="CN56" s="501"/>
      <c r="CO56" s="502"/>
    </row>
    <row r="57" spans="2:93" ht="16.7" customHeight="1" x14ac:dyDescent="0.15">
      <c r="B57" s="431" t="s">
        <v>73</v>
      </c>
      <c r="C57" s="554" t="s">
        <v>126</v>
      </c>
      <c r="D57" s="555"/>
      <c r="E57" s="555"/>
      <c r="F57" s="552"/>
      <c r="G57" s="552"/>
      <c r="H57" s="295" t="s">
        <v>75</v>
      </c>
      <c r="I57" s="533">
        <f>R17+F57+IF(B57="O",S3,(IF(B57="🅞",S3*2,IF(H39="O",INT(S3/2),0))))+X11</f>
        <v>0</v>
      </c>
      <c r="J57" s="533"/>
      <c r="L57" s="512"/>
      <c r="M57" s="513"/>
      <c r="N57" s="513"/>
      <c r="O57" s="513"/>
      <c r="P57" s="514"/>
      <c r="Q57" s="295" t="s">
        <v>75</v>
      </c>
      <c r="R57" s="556"/>
      <c r="S57" s="557"/>
      <c r="T57" s="558"/>
      <c r="U57" s="534"/>
      <c r="V57" s="535"/>
      <c r="W57" s="535"/>
      <c r="X57" s="535"/>
      <c r="Y57" s="535"/>
      <c r="Z57" s="535"/>
      <c r="AA57" s="535"/>
      <c r="AB57" s="535"/>
      <c r="AC57" s="535"/>
      <c r="AD57" s="535"/>
      <c r="AE57" s="535"/>
      <c r="AF57" s="535"/>
      <c r="AG57" s="535"/>
      <c r="AH57" s="535"/>
      <c r="AI57" s="535"/>
      <c r="AJ57" s="535"/>
      <c r="AK57" s="535"/>
      <c r="AL57" s="535"/>
      <c r="AM57" s="535"/>
      <c r="AN57" s="535"/>
      <c r="AO57" s="536"/>
      <c r="AP57" s="528"/>
      <c r="AQ57" s="529"/>
      <c r="AR57" s="274" t="s">
        <v>88</v>
      </c>
      <c r="AS57" s="530"/>
      <c r="AT57" s="531"/>
      <c r="AU57" s="98"/>
      <c r="AW57" s="131" t="str">
        <f>职业!CV48</f>
        <v/>
      </c>
      <c r="AX57" s="509"/>
      <c r="AY57" s="509"/>
      <c r="AZ57" s="509"/>
      <c r="BA57" s="509"/>
      <c r="BB57" s="509"/>
      <c r="BC57" s="517"/>
      <c r="BD57" s="517"/>
      <c r="BE57" s="517"/>
      <c r="BF57" s="517"/>
      <c r="BG57" s="517"/>
      <c r="BH57" s="517"/>
      <c r="BI57" s="517"/>
      <c r="BJ57" s="517"/>
      <c r="BK57" s="517"/>
      <c r="BL57" s="517"/>
      <c r="BM57" s="517"/>
      <c r="BN57" s="517"/>
      <c r="BO57" s="517"/>
      <c r="BP57" s="517"/>
      <c r="BQ57" s="517"/>
      <c r="BR57" s="517"/>
      <c r="BT57" s="503"/>
      <c r="BU57" s="504"/>
      <c r="BV57" s="504"/>
      <c r="BW57" s="504"/>
      <c r="BX57" s="504"/>
      <c r="BY57" s="504"/>
      <c r="BZ57" s="504"/>
      <c r="CA57" s="504"/>
      <c r="CB57" s="504"/>
      <c r="CC57" s="504"/>
      <c r="CD57" s="504"/>
      <c r="CE57" s="504"/>
      <c r="CF57" s="504"/>
      <c r="CG57" s="504"/>
      <c r="CH57" s="504"/>
      <c r="CI57" s="504"/>
      <c r="CJ57" s="504"/>
      <c r="CK57" s="504"/>
      <c r="CL57" s="504"/>
      <c r="CM57" s="504"/>
      <c r="CN57" s="504"/>
      <c r="CO57" s="505"/>
    </row>
    <row r="58" spans="2:93" ht="16.7" customHeight="1" x14ac:dyDescent="0.3">
      <c r="B58" s="551" t="s">
        <v>5537</v>
      </c>
      <c r="C58" s="551"/>
      <c r="D58" s="551"/>
      <c r="E58" s="551"/>
      <c r="F58" s="551"/>
      <c r="G58" s="551"/>
      <c r="H58" s="102"/>
      <c r="I58" s="103"/>
      <c r="J58" s="103"/>
      <c r="L58" s="537" t="s">
        <v>10801</v>
      </c>
      <c r="M58" s="537"/>
      <c r="N58" s="537"/>
      <c r="O58" s="537"/>
      <c r="P58" s="537"/>
      <c r="Q58" s="537"/>
      <c r="R58" s="537"/>
      <c r="S58" s="537"/>
      <c r="T58" s="537"/>
      <c r="U58" s="537"/>
      <c r="V58" s="537"/>
      <c r="W58" s="537"/>
      <c r="X58" s="537"/>
      <c r="Y58" s="537"/>
      <c r="Z58" s="537"/>
      <c r="AA58" s="537"/>
      <c r="AB58" s="537"/>
      <c r="AC58" s="537"/>
      <c r="AD58" s="537"/>
      <c r="AE58" s="537"/>
      <c r="AF58" s="284"/>
      <c r="AG58" s="537" t="s">
        <v>127</v>
      </c>
      <c r="AH58" s="537"/>
      <c r="AI58" s="537"/>
      <c r="AJ58" s="537"/>
      <c r="AK58" s="537"/>
      <c r="AL58" s="537"/>
      <c r="AM58" s="537"/>
      <c r="AN58" s="537"/>
      <c r="AO58" s="537"/>
      <c r="AP58" s="537"/>
      <c r="AQ58" s="537"/>
      <c r="AR58" s="537"/>
      <c r="AS58" s="537"/>
      <c r="AT58" s="537"/>
      <c r="AU58" s="98"/>
      <c r="AV58" s="98"/>
      <c r="AW58" s="132" t="str">
        <f>职业!CV49</f>
        <v/>
      </c>
      <c r="AX58" s="515"/>
      <c r="AY58" s="515"/>
      <c r="AZ58" s="515"/>
      <c r="BA58" s="515"/>
      <c r="BB58" s="515"/>
      <c r="BC58" s="516"/>
      <c r="BD58" s="516"/>
      <c r="BE58" s="516"/>
      <c r="BF58" s="516"/>
      <c r="BG58" s="516"/>
      <c r="BH58" s="516"/>
      <c r="BI58" s="516"/>
      <c r="BJ58" s="516"/>
      <c r="BK58" s="516"/>
      <c r="BL58" s="516"/>
      <c r="BM58" s="516"/>
      <c r="BN58" s="516"/>
      <c r="BO58" s="516"/>
      <c r="BP58" s="516"/>
      <c r="BQ58" s="516"/>
      <c r="BR58" s="516"/>
      <c r="BT58" s="503"/>
      <c r="BU58" s="504"/>
      <c r="BV58" s="504"/>
      <c r="BW58" s="504"/>
      <c r="BX58" s="504"/>
      <c r="BY58" s="504"/>
      <c r="BZ58" s="504"/>
      <c r="CA58" s="504"/>
      <c r="CB58" s="504"/>
      <c r="CC58" s="504"/>
      <c r="CD58" s="504"/>
      <c r="CE58" s="504"/>
      <c r="CF58" s="504"/>
      <c r="CG58" s="504"/>
      <c r="CH58" s="504"/>
      <c r="CI58" s="504"/>
      <c r="CJ58" s="504"/>
      <c r="CK58" s="504"/>
      <c r="CL58" s="504"/>
      <c r="CM58" s="504"/>
      <c r="CN58" s="504"/>
      <c r="CO58" s="505"/>
    </row>
    <row r="59" spans="2:93" ht="16.7" customHeight="1" x14ac:dyDescent="0.15">
      <c r="B59" s="431" t="inlineStr">
        <is>
          <t xml:space="preserve">O</t>
        </is>
      </c>
      <c r="C59" s="554" t="s">
        <v>128</v>
      </c>
      <c r="D59" s="555"/>
      <c r="E59" s="555"/>
      <c r="F59" s="552"/>
      <c r="G59" s="552"/>
      <c r="H59" s="295" t="s">
        <v>75</v>
      </c>
      <c r="I59" s="533">
        <f>R18+F59+IF(B59="O",S3,(IF(B59="🅞",S3*2,IF(H39="O",INT(S3/2),0))))+X11</f>
        <v>0</v>
      </c>
      <c r="J59" s="533"/>
      <c r="L59" s="532" t="s">
        <v>101</v>
      </c>
      <c r="M59" s="532"/>
      <c r="N59" s="532"/>
      <c r="O59" s="713"/>
      <c r="P59" s="548" t="s">
        <v>129</v>
      </c>
      <c r="Q59" s="549"/>
      <c r="R59" s="532"/>
      <c r="S59" s="550"/>
      <c r="T59" s="549" t="s">
        <v>130</v>
      </c>
      <c r="U59" s="549"/>
      <c r="V59" s="532"/>
      <c r="W59" s="532"/>
      <c r="X59" s="709" t="s">
        <v>75</v>
      </c>
      <c r="Y59" s="532" t="s">
        <v>131</v>
      </c>
      <c r="Z59" s="532"/>
      <c r="AA59" s="532"/>
      <c r="AB59" s="532"/>
      <c r="AC59" s="532"/>
      <c r="AD59" s="532"/>
      <c r="AE59" s="532"/>
      <c r="AF59" s="706" t="s">
        <v>40</v>
      </c>
      <c r="AG59" s="543" t="s">
        <v>133</v>
      </c>
      <c r="AH59" s="543"/>
      <c r="AI59" s="542"/>
      <c r="AJ59" s="542"/>
      <c r="AK59" s="542"/>
      <c r="AL59" s="542"/>
      <c r="AM59" s="542"/>
      <c r="AN59" s="702" t="s">
        <v>134</v>
      </c>
      <c r="AO59" s="702"/>
      <c r="AP59" s="701"/>
      <c r="AQ59" s="701"/>
      <c r="AR59" s="701"/>
      <c r="AS59" s="701"/>
      <c r="AT59" s="701"/>
      <c r="AU59" s="98"/>
      <c r="AW59" s="131" t="str">
        <f>职业!CV50</f>
        <v/>
      </c>
      <c r="AX59" s="509"/>
      <c r="AY59" s="509"/>
      <c r="AZ59" s="509"/>
      <c r="BA59" s="509"/>
      <c r="BB59" s="509"/>
      <c r="BC59" s="517"/>
      <c r="BD59" s="517"/>
      <c r="BE59" s="517"/>
      <c r="BF59" s="517"/>
      <c r="BG59" s="517"/>
      <c r="BH59" s="517"/>
      <c r="BI59" s="517"/>
      <c r="BJ59" s="517"/>
      <c r="BK59" s="517"/>
      <c r="BL59" s="517"/>
      <c r="BM59" s="517"/>
      <c r="BN59" s="517"/>
      <c r="BO59" s="517"/>
      <c r="BP59" s="517"/>
      <c r="BQ59" s="517"/>
      <c r="BR59" s="517"/>
      <c r="BT59" s="503"/>
      <c r="BU59" s="504"/>
      <c r="BV59" s="504"/>
      <c r="BW59" s="504"/>
      <c r="BX59" s="504"/>
      <c r="BY59" s="504"/>
      <c r="BZ59" s="504"/>
      <c r="CA59" s="504"/>
      <c r="CB59" s="504"/>
      <c r="CC59" s="504"/>
      <c r="CD59" s="504"/>
      <c r="CE59" s="504"/>
      <c r="CF59" s="504"/>
      <c r="CG59" s="504"/>
      <c r="CH59" s="504"/>
      <c r="CI59" s="504"/>
      <c r="CJ59" s="504"/>
      <c r="CK59" s="504"/>
      <c r="CL59" s="504"/>
      <c r="CM59" s="504"/>
      <c r="CN59" s="504"/>
      <c r="CO59" s="505"/>
    </row>
    <row r="60" spans="2:93" ht="16.7" customHeight="1" x14ac:dyDescent="0.15">
      <c r="B60" s="431" t="s">
        <v>73</v>
      </c>
      <c r="C60" s="554" t="s">
        <v>2982</v>
      </c>
      <c r="D60" s="555"/>
      <c r="E60" s="555"/>
      <c r="F60" s="552"/>
      <c r="G60" s="552"/>
      <c r="H60" s="295" t="s">
        <v>75</v>
      </c>
      <c r="I60" s="533">
        <f>R18+F60+IF(B60="O",S3,(IF(B60="🅞",S3*2,IF(H39="O",INT(S3/2),0))))+X11</f>
        <v>0</v>
      </c>
      <c r="J60" s="533"/>
      <c r="L60" s="710">
        <f>SUM(数据表!BP27,数据表!BS27,数据表!BV27:BW31,数据表!BY27:BZ36,数据表!CB27:CC31)</f>
        <v>0</v>
      </c>
      <c r="M60" s="710"/>
      <c r="N60" s="710"/>
      <c r="O60" s="710"/>
      <c r="P60" s="710">
        <f>背包!AS3</f>
        <v>0</v>
      </c>
      <c r="Q60" s="710"/>
      <c r="R60" s="710"/>
      <c r="S60" s="710"/>
      <c r="T60" s="710">
        <f>背包!V27</f>
        <v>0</v>
      </c>
      <c r="U60" s="710"/>
      <c r="V60" s="710"/>
      <c r="W60" s="710"/>
      <c r="X60" s="709"/>
      <c r="Y60" s="540">
        <f>SUM(L60:W60)+T62+L62</f>
        <v>0</v>
      </c>
      <c r="Z60" s="540"/>
      <c r="AA60" s="540"/>
      <c r="AB60" s="540"/>
      <c r="AC60" s="540"/>
      <c r="AD60" s="540"/>
      <c r="AE60" s="540"/>
      <c r="AF60" s="706"/>
      <c r="AG60" s="541" t="s">
        <v>135</v>
      </c>
      <c r="AH60" s="541"/>
      <c r="AI60" s="708"/>
      <c r="AJ60" s="708"/>
      <c r="AK60" s="708"/>
      <c r="AL60" s="708"/>
      <c r="AM60" s="708"/>
      <c r="AN60" s="532" t="s">
        <v>136</v>
      </c>
      <c r="AO60" s="532"/>
      <c r="AP60" s="532"/>
      <c r="AQ60" s="532"/>
      <c r="AR60" s="532"/>
      <c r="AS60" s="532"/>
      <c r="AT60" s="532"/>
      <c r="AU60" s="98"/>
      <c r="AW60" s="132" t="str">
        <f>职业!CV51</f>
        <v/>
      </c>
      <c r="AX60" s="515"/>
      <c r="AY60" s="515"/>
      <c r="AZ60" s="515"/>
      <c r="BA60" s="515"/>
      <c r="BB60" s="515"/>
      <c r="BC60" s="516"/>
      <c r="BD60" s="516"/>
      <c r="BE60" s="516"/>
      <c r="BF60" s="516"/>
      <c r="BG60" s="516"/>
      <c r="BH60" s="516"/>
      <c r="BI60" s="516"/>
      <c r="BJ60" s="516"/>
      <c r="BK60" s="516"/>
      <c r="BL60" s="516"/>
      <c r="BM60" s="516"/>
      <c r="BN60" s="516"/>
      <c r="BO60" s="516"/>
      <c r="BP60" s="516"/>
      <c r="BQ60" s="516"/>
      <c r="BR60" s="516"/>
      <c r="BT60" s="506"/>
      <c r="BU60" s="507"/>
      <c r="BV60" s="507"/>
      <c r="BW60" s="507"/>
      <c r="BX60" s="507"/>
      <c r="BY60" s="507"/>
      <c r="BZ60" s="507"/>
      <c r="CA60" s="507"/>
      <c r="CB60" s="507"/>
      <c r="CC60" s="507"/>
      <c r="CD60" s="507"/>
      <c r="CE60" s="507"/>
      <c r="CF60" s="507"/>
      <c r="CG60" s="507"/>
      <c r="CH60" s="507"/>
      <c r="CI60" s="507"/>
      <c r="CJ60" s="507"/>
      <c r="CK60" s="507"/>
      <c r="CL60" s="507"/>
      <c r="CM60" s="507"/>
      <c r="CN60" s="507"/>
      <c r="CO60" s="508"/>
    </row>
    <row r="61" spans="2:93" ht="16.7" customHeight="1" x14ac:dyDescent="0.3">
      <c r="B61" s="431" t="s">
        <v>73</v>
      </c>
      <c r="C61" s="554" t="s">
        <v>137</v>
      </c>
      <c r="D61" s="555"/>
      <c r="E61" s="555"/>
      <c r="F61" s="552"/>
      <c r="G61" s="552"/>
      <c r="H61" s="295" t="s">
        <v>75</v>
      </c>
      <c r="I61" s="533">
        <f>R18+F61+IF(B61="O",S3,(IF(B61="🅞",S3*2,IF(H39="O",INT(S3/2),0))))+X11</f>
        <v>0</v>
      </c>
      <c r="J61" s="533"/>
      <c r="L61" s="532" t="s">
        <v>10764</v>
      </c>
      <c r="M61" s="532"/>
      <c r="N61" s="532"/>
      <c r="O61" s="532"/>
      <c r="P61" s="532" t="s">
        <v>139</v>
      </c>
      <c r="Q61" s="532"/>
      <c r="R61" s="532"/>
      <c r="S61" s="532"/>
      <c r="T61" s="532" t="s">
        <v>132</v>
      </c>
      <c r="U61" s="532"/>
      <c r="V61" s="532"/>
      <c r="W61" s="532"/>
      <c r="Y61" s="756" t="s">
        <v>138</v>
      </c>
      <c r="Z61" s="756"/>
      <c r="AA61" s="756"/>
      <c r="AB61" s="756"/>
      <c r="AC61" s="756"/>
      <c r="AD61" s="756"/>
      <c r="AE61" s="756"/>
      <c r="AG61" s="757" t="s">
        <v>140</v>
      </c>
      <c r="AH61" s="757"/>
      <c r="AI61" s="758"/>
      <c r="AJ61" s="758"/>
      <c r="AK61" s="758"/>
      <c r="AL61" s="758"/>
      <c r="AM61" s="758"/>
      <c r="AN61" s="533" t="str">
        <f>CONCATENATE(SUM(AP59*10+AI60/2+AI59+AI61/10+AI62/100),"GP")</f>
        <v>0GP</v>
      </c>
      <c r="AO61" s="533"/>
      <c r="AP61" s="533"/>
      <c r="AQ61" s="533"/>
      <c r="AR61" s="533"/>
      <c r="AS61" s="533"/>
      <c r="AT61" s="533"/>
      <c r="AU61" s="98"/>
      <c r="AW61" s="131" t="str">
        <f>职业!CV52</f>
        <v/>
      </c>
      <c r="AX61" s="509"/>
      <c r="AY61" s="509"/>
      <c r="AZ61" s="509"/>
      <c r="BA61" s="509"/>
      <c r="BB61" s="509"/>
      <c r="BC61" s="517"/>
      <c r="BD61" s="517"/>
      <c r="BE61" s="517"/>
      <c r="BF61" s="517"/>
      <c r="BG61" s="517"/>
      <c r="BH61" s="517"/>
      <c r="BI61" s="517"/>
      <c r="BJ61" s="517"/>
      <c r="BK61" s="517"/>
      <c r="BL61" s="517"/>
      <c r="BM61" s="517"/>
      <c r="BN61" s="517"/>
      <c r="BO61" s="517"/>
      <c r="BP61" s="517"/>
      <c r="BQ61" s="517"/>
      <c r="BR61" s="517"/>
      <c r="BT61" s="499" t="s">
        <v>10832</v>
      </c>
      <c r="BU61" s="499"/>
      <c r="BV61" s="499"/>
      <c r="BW61" s="499"/>
      <c r="BX61" s="499"/>
      <c r="BY61" s="499"/>
      <c r="BZ61" s="499"/>
      <c r="CA61" s="499"/>
      <c r="CB61" s="499"/>
      <c r="CC61" s="499"/>
      <c r="CD61" s="499"/>
      <c r="CE61" s="499"/>
      <c r="CF61" s="499"/>
      <c r="CG61" s="499"/>
      <c r="CH61" s="499"/>
      <c r="CI61" s="499"/>
      <c r="CJ61" s="499"/>
      <c r="CK61" s="499"/>
      <c r="CL61" s="499"/>
      <c r="CM61" s="499"/>
      <c r="CN61" s="499"/>
      <c r="CO61" s="499"/>
    </row>
    <row r="62" spans="2:93" ht="16.7" customHeight="1" x14ac:dyDescent="0.15">
      <c r="B62" s="432" t="s">
        <v>73</v>
      </c>
      <c r="C62" s="554" t="s">
        <v>141</v>
      </c>
      <c r="D62" s="555"/>
      <c r="E62" s="555"/>
      <c r="F62" s="552"/>
      <c r="G62" s="552"/>
      <c r="H62" s="295" t="s">
        <v>75</v>
      </c>
      <c r="I62" s="533">
        <f>R18+F62+IF(B62="O",S3,(IF(B62="🅞",S3*2,IF(H39="O",INT(S3/2),0))))+X11</f>
        <v>0</v>
      </c>
      <c r="J62" s="533"/>
      <c r="L62" s="710">
        <f>装备!AC34</f>
        <v>0</v>
      </c>
      <c r="M62" s="710"/>
      <c r="N62" s="710"/>
      <c r="O62" s="710"/>
      <c r="P62" s="710">
        <f>IF(背包!AV27="有",15,背包!BG48)</f>
        <v>0</v>
      </c>
      <c r="Q62" s="710"/>
      <c r="R62" s="710"/>
      <c r="S62" s="710"/>
      <c r="T62" s="710">
        <f>SUM(AI59:AM62,AP59)/50</f>
        <v>0</v>
      </c>
      <c r="U62" s="710"/>
      <c r="V62" s="710"/>
      <c r="W62" s="710"/>
      <c r="Y62" s="538">
        <f>F13*VLOOKUP(AR23,装备!S39:T44,2,FALSE)</f>
        <v>150</v>
      </c>
      <c r="Z62" s="538"/>
      <c r="AA62" s="538"/>
      <c r="AB62" s="538"/>
      <c r="AC62" s="538"/>
      <c r="AD62" s="538"/>
      <c r="AE62" s="538"/>
      <c r="AG62" s="545" t="s">
        <v>142</v>
      </c>
      <c r="AH62" s="545"/>
      <c r="AI62" s="544"/>
      <c r="AJ62" s="544"/>
      <c r="AK62" s="544"/>
      <c r="AL62" s="544"/>
      <c r="AM62" s="544"/>
      <c r="AN62" s="533"/>
      <c r="AO62" s="533"/>
      <c r="AP62" s="533"/>
      <c r="AQ62" s="533"/>
      <c r="AR62" s="533"/>
      <c r="AS62" s="533"/>
      <c r="AT62" s="533"/>
      <c r="AW62" s="132" t="str">
        <f>职业!CV53</f>
        <v/>
      </c>
      <c r="AX62" s="515"/>
      <c r="AY62" s="515"/>
      <c r="AZ62" s="515"/>
      <c r="BA62" s="515"/>
      <c r="BB62" s="515"/>
      <c r="BC62" s="516"/>
      <c r="BD62" s="516"/>
      <c r="BE62" s="516"/>
      <c r="BF62" s="516"/>
      <c r="BG62" s="516"/>
      <c r="BH62" s="516"/>
      <c r="BI62" s="516"/>
      <c r="BJ62" s="516"/>
      <c r="BK62" s="516"/>
      <c r="BL62" s="516"/>
      <c r="BM62" s="516"/>
      <c r="BN62" s="516"/>
      <c r="BO62" s="516"/>
      <c r="BP62" s="516"/>
      <c r="BQ62" s="516"/>
      <c r="BR62" s="516"/>
      <c r="BT62" s="500" t="str">
        <f>IFERROR(VLOOKUP($BX$48,魔宠!$A$3:$AD$21,29,FALSE),"")</f>
        <v/>
      </c>
      <c r="BU62" s="501"/>
      <c r="BV62" s="501"/>
      <c r="BW62" s="501"/>
      <c r="BX62" s="501"/>
      <c r="BY62" s="501"/>
      <c r="BZ62" s="501"/>
      <c r="CA62" s="501"/>
      <c r="CB62" s="501"/>
      <c r="CC62" s="501"/>
      <c r="CD62" s="501"/>
      <c r="CE62" s="501"/>
      <c r="CF62" s="501"/>
      <c r="CG62" s="501"/>
      <c r="CH62" s="501"/>
      <c r="CI62" s="501"/>
      <c r="CJ62" s="501"/>
      <c r="CK62" s="501"/>
      <c r="CL62" s="501"/>
      <c r="CM62" s="501"/>
      <c r="CN62" s="501"/>
      <c r="CO62" s="502"/>
    </row>
    <row r="63" spans="2:93" ht="16.7" customHeight="1" x14ac:dyDescent="0.15">
      <c r="AW63" s="131" t="str">
        <f>职业!CV54</f>
        <v/>
      </c>
      <c r="AX63" s="509"/>
      <c r="AY63" s="509"/>
      <c r="AZ63" s="509"/>
      <c r="BA63" s="509"/>
      <c r="BB63" s="509"/>
      <c r="BC63" s="517"/>
      <c r="BD63" s="517"/>
      <c r="BE63" s="517"/>
      <c r="BF63" s="517"/>
      <c r="BG63" s="517"/>
      <c r="BH63" s="517"/>
      <c r="BI63" s="517"/>
      <c r="BJ63" s="517"/>
      <c r="BK63" s="517"/>
      <c r="BL63" s="517"/>
      <c r="BM63" s="517"/>
      <c r="BN63" s="517"/>
      <c r="BO63" s="517"/>
      <c r="BP63" s="517"/>
      <c r="BQ63" s="517"/>
      <c r="BR63" s="517"/>
      <c r="BT63" s="503"/>
      <c r="BU63" s="504"/>
      <c r="BV63" s="504"/>
      <c r="BW63" s="504"/>
      <c r="BX63" s="504"/>
      <c r="BY63" s="504"/>
      <c r="BZ63" s="504"/>
      <c r="CA63" s="504"/>
      <c r="CB63" s="504"/>
      <c r="CC63" s="504"/>
      <c r="CD63" s="504"/>
      <c r="CE63" s="504"/>
      <c r="CF63" s="504"/>
      <c r="CG63" s="504"/>
      <c r="CH63" s="504"/>
      <c r="CI63" s="504"/>
      <c r="CJ63" s="504"/>
      <c r="CK63" s="504"/>
      <c r="CL63" s="504"/>
      <c r="CM63" s="504"/>
      <c r="CN63" s="504"/>
      <c r="CO63" s="505"/>
    </row>
    <row r="64" spans="2:93" ht="16.7" customHeight="1" x14ac:dyDescent="0.15">
      <c r="B64" s="539" t="s">
        <v>143</v>
      </c>
      <c r="C64" s="539"/>
      <c r="D64" s="539"/>
      <c r="E64" s="539"/>
      <c r="F64" s="539"/>
      <c r="G64" s="539"/>
      <c r="H64" s="539"/>
      <c r="I64" s="539"/>
      <c r="J64" s="539"/>
      <c r="K64" s="539"/>
      <c r="L64" s="539"/>
      <c r="M64" s="539"/>
      <c r="N64" s="539"/>
      <c r="P64" s="539" t="s">
        <v>144</v>
      </c>
      <c r="Q64" s="539"/>
      <c r="R64" s="539"/>
      <c r="S64" s="539"/>
      <c r="T64" s="539"/>
      <c r="U64" s="539"/>
      <c r="V64" s="539"/>
      <c r="W64" s="98"/>
      <c r="X64" s="539" t="s">
        <v>2996</v>
      </c>
      <c r="Y64" s="539"/>
      <c r="Z64" s="539"/>
      <c r="AA64" s="539"/>
      <c r="AB64" s="539"/>
      <c r="AC64" s="539"/>
      <c r="AD64" s="539"/>
      <c r="AE64" s="539"/>
      <c r="AF64" s="539"/>
      <c r="AG64" s="539"/>
      <c r="AH64" s="539"/>
      <c r="AI64" s="539"/>
      <c r="AJ64" s="539"/>
      <c r="AK64" s="539"/>
      <c r="AL64" s="539"/>
      <c r="AM64" s="539"/>
      <c r="AN64" s="539"/>
      <c r="AO64" s="539"/>
      <c r="AP64" s="539"/>
      <c r="AQ64" s="539"/>
      <c r="AR64" s="539"/>
      <c r="AS64" s="539"/>
      <c r="AT64" s="539"/>
      <c r="AW64" s="132" t="str">
        <f>职业!CV55</f>
        <v/>
      </c>
      <c r="AX64" s="515"/>
      <c r="AY64" s="515"/>
      <c r="AZ64" s="515"/>
      <c r="BA64" s="515"/>
      <c r="BB64" s="515"/>
      <c r="BC64" s="516"/>
      <c r="BD64" s="516"/>
      <c r="BE64" s="516"/>
      <c r="BF64" s="516"/>
      <c r="BG64" s="516"/>
      <c r="BH64" s="516"/>
      <c r="BI64" s="516"/>
      <c r="BJ64" s="516"/>
      <c r="BK64" s="516"/>
      <c r="BL64" s="516"/>
      <c r="BM64" s="516"/>
      <c r="BN64" s="516"/>
      <c r="BO64" s="516"/>
      <c r="BP64" s="516"/>
      <c r="BQ64" s="516"/>
      <c r="BR64" s="516"/>
      <c r="BT64" s="503"/>
      <c r="BU64" s="504"/>
      <c r="BV64" s="504"/>
      <c r="BW64" s="504"/>
      <c r="BX64" s="504"/>
      <c r="BY64" s="504"/>
      <c r="BZ64" s="504"/>
      <c r="CA64" s="504"/>
      <c r="CB64" s="504"/>
      <c r="CC64" s="504"/>
      <c r="CD64" s="504"/>
      <c r="CE64" s="504"/>
      <c r="CF64" s="504"/>
      <c r="CG64" s="504"/>
      <c r="CH64" s="504"/>
      <c r="CI64" s="504"/>
      <c r="CJ64" s="504"/>
      <c r="CK64" s="504"/>
      <c r="CL64" s="504"/>
      <c r="CM64" s="504"/>
      <c r="CN64" s="504"/>
      <c r="CO64" s="505"/>
    </row>
    <row r="65" spans="2:116" ht="16.7" customHeight="1" x14ac:dyDescent="0.3">
      <c r="B65" s="537" t="s">
        <v>145</v>
      </c>
      <c r="C65" s="537"/>
      <c r="D65" s="537"/>
      <c r="E65" s="499" t="s">
        <v>39</v>
      </c>
      <c r="F65" s="499"/>
      <c r="G65" s="537" t="s">
        <v>146</v>
      </c>
      <c r="H65" s="537"/>
      <c r="I65" s="499" t="s">
        <v>39</v>
      </c>
      <c r="J65" s="499"/>
      <c r="K65" s="499" t="s">
        <v>147</v>
      </c>
      <c r="L65" s="499"/>
      <c r="M65" s="499"/>
      <c r="N65" s="499"/>
      <c r="P65" s="284" t="s">
        <v>53</v>
      </c>
      <c r="Q65" s="537" t="s">
        <v>148</v>
      </c>
      <c r="R65" s="537"/>
      <c r="S65" s="537"/>
      <c r="T65" s="537"/>
      <c r="U65" s="537"/>
      <c r="V65" s="537"/>
      <c r="W65" s="294"/>
      <c r="X65" s="284" t="s">
        <v>53</v>
      </c>
      <c r="Y65" s="537" t="s">
        <v>148</v>
      </c>
      <c r="Z65" s="537"/>
      <c r="AA65" s="537"/>
      <c r="AB65" s="537"/>
      <c r="AC65" s="537"/>
      <c r="AD65" s="537"/>
      <c r="AE65" s="284"/>
      <c r="AF65" s="284" t="s">
        <v>53</v>
      </c>
      <c r="AG65" s="537" t="s">
        <v>148</v>
      </c>
      <c r="AH65" s="537"/>
      <c r="AI65" s="537"/>
      <c r="AJ65" s="537"/>
      <c r="AK65" s="537"/>
      <c r="AL65" s="537"/>
      <c r="AM65" s="284"/>
      <c r="AN65" s="284" t="s">
        <v>53</v>
      </c>
      <c r="AO65" s="537" t="s">
        <v>148</v>
      </c>
      <c r="AP65" s="537"/>
      <c r="AQ65" s="537"/>
      <c r="AR65" s="537"/>
      <c r="AS65" s="537"/>
      <c r="AT65" s="537"/>
      <c r="AW65" s="131" t="str">
        <f>职业!CV56</f>
        <v/>
      </c>
      <c r="AX65" s="509"/>
      <c r="AY65" s="509"/>
      <c r="AZ65" s="509"/>
      <c r="BA65" s="509"/>
      <c r="BB65" s="509"/>
      <c r="BC65" s="517"/>
      <c r="BD65" s="517"/>
      <c r="BE65" s="517"/>
      <c r="BF65" s="517"/>
      <c r="BG65" s="517"/>
      <c r="BH65" s="517"/>
      <c r="BI65" s="517"/>
      <c r="BJ65" s="517"/>
      <c r="BK65" s="517"/>
      <c r="BL65" s="517"/>
      <c r="BM65" s="517"/>
      <c r="BN65" s="517"/>
      <c r="BO65" s="517"/>
      <c r="BP65" s="517"/>
      <c r="BQ65" s="517"/>
      <c r="BR65" s="517"/>
      <c r="BT65" s="503"/>
      <c r="BU65" s="504"/>
      <c r="BV65" s="504"/>
      <c r="BW65" s="504"/>
      <c r="BX65" s="504"/>
      <c r="BY65" s="504"/>
      <c r="BZ65" s="504"/>
      <c r="CA65" s="504"/>
      <c r="CB65" s="504"/>
      <c r="CC65" s="504"/>
      <c r="CD65" s="504"/>
      <c r="CE65" s="504"/>
      <c r="CF65" s="504"/>
      <c r="CG65" s="504"/>
      <c r="CH65" s="504"/>
      <c r="CI65" s="504"/>
      <c r="CJ65" s="504"/>
      <c r="CK65" s="504"/>
      <c r="CL65" s="504"/>
      <c r="CM65" s="504"/>
      <c r="CN65" s="504"/>
      <c r="CO65" s="505"/>
    </row>
    <row r="66" spans="2:116" ht="16.7" customHeight="1" x14ac:dyDescent="0.3">
      <c r="B66" s="711" t="s">
        <v>78</v>
      </c>
      <c r="C66" s="711"/>
      <c r="D66" s="711"/>
      <c r="E66" s="640"/>
      <c r="F66" s="640"/>
      <c r="G66" s="533">
        <f>IFERROR(SUM(8+S3+E66+R16),"×")</f>
        <v>10</v>
      </c>
      <c r="H66" s="533"/>
      <c r="I66" s="640"/>
      <c r="J66" s="640"/>
      <c r="K66" s="712" t="str">
        <f>IFERROR(CONCATENATE("D20+",SUM(R16+S3+I66)),"x")</f>
        <v>D20+2</v>
      </c>
      <c r="L66" s="712"/>
      <c r="M66" s="712"/>
      <c r="N66" s="712"/>
      <c r="P66" s="468" t="str">
        <f>CONCATENATE(IFERROR(VLOOKUP(Q66,法术大全!$A:$Z,2,FALSE),""),IFERROR(IF(VLOOKUP(Q66,法术大全!$A:$Z,5,FALSE)="√"," ",""),""))</f>
        <v/>
      </c>
      <c r="Q66" s="546"/>
      <c r="R66" s="547"/>
      <c r="S66" s="547"/>
      <c r="T66" s="547"/>
      <c r="U66" s="547"/>
      <c r="V66" s="547"/>
      <c r="W66" s="98"/>
      <c r="X66" s="427" t="str">
        <f>CONCATENATE(IFERROR(VLOOKUP(Y66,法术大全!$A:$Z,2,FALSE),""),IFERROR(IF(VLOOKUP(Y66,法术大全!$A:$Z,5,FALSE)="√"," ",""),""))</f>
        <v/>
      </c>
      <c r="Y66" s="546"/>
      <c r="Z66" s="547"/>
      <c r="AA66" s="547"/>
      <c r="AB66" s="547"/>
      <c r="AC66" s="547"/>
      <c r="AD66" s="547"/>
      <c r="AE66" s="19"/>
      <c r="AF66" s="427" t="str">
        <f>CONCATENATE(IFERROR(VLOOKUP(AG66,法术大全!$A:$Z,2,FALSE),""),IFERROR(IF(VLOOKUP(AG66,法术大全!$A:$Z,5,FALSE)="√"," ",""),""))</f>
        <v/>
      </c>
      <c r="AG66" s="546"/>
      <c r="AH66" s="547"/>
      <c r="AI66" s="547"/>
      <c r="AJ66" s="547"/>
      <c r="AK66" s="547"/>
      <c r="AL66" s="547"/>
      <c r="AM66" s="19"/>
      <c r="AN66" s="427" t="str">
        <f>CONCATENATE(IFERROR(VLOOKUP(AO66,法术大全!$A:$Z,2,FALSE),""),IFERROR(IF(VLOOKUP(AO66,法术大全!$A:$Z,5,FALSE)="√"," ",""),""))</f>
        <v/>
      </c>
      <c r="AO66" s="546"/>
      <c r="AP66" s="547"/>
      <c r="AQ66" s="547"/>
      <c r="AR66" s="547"/>
      <c r="AS66" s="547"/>
      <c r="AT66" s="547"/>
      <c r="AW66" s="132" t="str">
        <f>职业!CV57</f>
        <v/>
      </c>
      <c r="AX66" s="515"/>
      <c r="AY66" s="515"/>
      <c r="AZ66" s="515"/>
      <c r="BA66" s="515"/>
      <c r="BB66" s="515"/>
      <c r="BC66" s="516"/>
      <c r="BD66" s="516"/>
      <c r="BE66" s="516"/>
      <c r="BF66" s="516"/>
      <c r="BG66" s="516"/>
      <c r="BH66" s="516"/>
      <c r="BI66" s="516"/>
      <c r="BJ66" s="516"/>
      <c r="BK66" s="516"/>
      <c r="BL66" s="516"/>
      <c r="BM66" s="516"/>
      <c r="BN66" s="516"/>
      <c r="BO66" s="516"/>
      <c r="BP66" s="516"/>
      <c r="BQ66" s="516"/>
      <c r="BR66" s="516"/>
      <c r="BT66" s="506"/>
      <c r="BU66" s="507"/>
      <c r="BV66" s="507"/>
      <c r="BW66" s="507"/>
      <c r="BX66" s="507"/>
      <c r="BY66" s="507"/>
      <c r="BZ66" s="507"/>
      <c r="CA66" s="507"/>
      <c r="CB66" s="507"/>
      <c r="CC66" s="507"/>
      <c r="CD66" s="507"/>
      <c r="CE66" s="507"/>
      <c r="CF66" s="507"/>
      <c r="CG66" s="507"/>
      <c r="CH66" s="507"/>
      <c r="CI66" s="507"/>
      <c r="CJ66" s="507"/>
      <c r="CK66" s="507"/>
      <c r="CL66" s="507"/>
      <c r="CM66" s="507"/>
      <c r="CN66" s="507"/>
      <c r="CO66" s="508"/>
    </row>
    <row r="67" spans="2:116" ht="16.7" customHeight="1" x14ac:dyDescent="0.3">
      <c r="B67" s="711" t="s">
        <v>79</v>
      </c>
      <c r="C67" s="711"/>
      <c r="D67" s="711"/>
      <c r="E67" s="640"/>
      <c r="F67" s="640"/>
      <c r="G67" s="533">
        <f>IFERROR(SUM(8+S3+E67+R17),"×")</f>
        <v>10</v>
      </c>
      <c r="H67" s="533"/>
      <c r="I67" s="640"/>
      <c r="J67" s="640"/>
      <c r="K67" s="712" t="str">
        <f>IFERROR(CONCATENATE("D20+",SUM(R17+S3+I67)),"x")</f>
        <v>D20+2</v>
      </c>
      <c r="L67" s="712"/>
      <c r="M67" s="712"/>
      <c r="N67" s="712"/>
      <c r="P67" s="468" t="str">
        <f>CONCATENATE(IFERROR(VLOOKUP(Q67,法术大全!$A:$Z,2,FALSE),""),IFERROR(IF(VLOOKUP(Q67,法术大全!$A:$Z,5,FALSE)="√"," ",""),""))</f>
        <v/>
      </c>
      <c r="Q67" s="546"/>
      <c r="R67" s="547"/>
      <c r="S67" s="547"/>
      <c r="T67" s="547"/>
      <c r="U67" s="547"/>
      <c r="V67" s="547"/>
      <c r="W67" s="98"/>
      <c r="X67" s="427" t="str">
        <f>CONCATENATE(IFERROR(VLOOKUP(Y67,法术大全!$A:$Z,2,FALSE),""),IFERROR(IF(VLOOKUP(Y67,法术大全!$A:$Z,5,FALSE)="√"," ",""),""))</f>
        <v/>
      </c>
      <c r="Y67" s="546"/>
      <c r="Z67" s="547"/>
      <c r="AA67" s="547"/>
      <c r="AB67" s="547"/>
      <c r="AC67" s="547"/>
      <c r="AD67" s="547"/>
      <c r="AE67" s="19"/>
      <c r="AF67" s="427" t="str">
        <f>CONCATENATE(IFERROR(VLOOKUP(AG67,法术大全!$A:$Z,2,FALSE),""),IFERROR(IF(VLOOKUP(AG67,法术大全!$A:$Z,5,FALSE)="√"," ",""),""))</f>
        <v/>
      </c>
      <c r="AG67" s="546"/>
      <c r="AH67" s="547"/>
      <c r="AI67" s="547"/>
      <c r="AJ67" s="547"/>
      <c r="AK67" s="547"/>
      <c r="AL67" s="547"/>
      <c r="AM67" s="19"/>
      <c r="AN67" s="427" t="str">
        <f>CONCATENATE(IFERROR(VLOOKUP(AO67,法术大全!$A:$Z,2,FALSE),""),IFERROR(IF(VLOOKUP(AO67,法术大全!$A:$Z,5,FALSE)="√"," ",""),""))</f>
        <v/>
      </c>
      <c r="AO67" s="546"/>
      <c r="AP67" s="547"/>
      <c r="AQ67" s="547"/>
      <c r="AR67" s="547"/>
      <c r="AS67" s="547"/>
      <c r="AT67" s="547"/>
      <c r="AW67" s="131" t="str">
        <f>职业!CV58</f>
        <v/>
      </c>
      <c r="AX67" s="509"/>
      <c r="AY67" s="509"/>
      <c r="AZ67" s="509"/>
      <c r="BA67" s="509"/>
      <c r="BB67" s="509"/>
      <c r="BC67" s="517"/>
      <c r="BD67" s="517"/>
      <c r="BE67" s="517"/>
      <c r="BF67" s="517"/>
      <c r="BG67" s="517"/>
      <c r="BH67" s="517"/>
      <c r="BI67" s="517"/>
      <c r="BJ67" s="517"/>
      <c r="BK67" s="517"/>
      <c r="BL67" s="517"/>
      <c r="BM67" s="517"/>
      <c r="BN67" s="517"/>
      <c r="BO67" s="517"/>
      <c r="BP67" s="517"/>
      <c r="BQ67" s="517"/>
      <c r="BR67" s="517"/>
      <c r="BT67" s="499" t="s">
        <v>2995</v>
      </c>
      <c r="BU67" s="499"/>
      <c r="BV67" s="499"/>
      <c r="BW67" s="499"/>
      <c r="BX67" s="499"/>
      <c r="BY67" s="499"/>
      <c r="BZ67" s="499"/>
      <c r="CA67" s="499"/>
      <c r="CB67" s="499"/>
      <c r="CC67" s="499"/>
      <c r="CD67" s="499"/>
      <c r="CE67" s="499"/>
      <c r="CF67" s="499"/>
      <c r="CG67" s="499"/>
      <c r="CH67" s="499"/>
      <c r="CI67" s="499"/>
      <c r="CJ67" s="499"/>
      <c r="CK67" s="499"/>
      <c r="CL67" s="499"/>
      <c r="CM67" s="499"/>
      <c r="CN67" s="499"/>
      <c r="CO67" s="499"/>
    </row>
    <row r="68" spans="2:116" ht="16.7" customHeight="1" x14ac:dyDescent="0.3">
      <c r="B68" s="711" t="s">
        <v>80</v>
      </c>
      <c r="C68" s="711"/>
      <c r="D68" s="711"/>
      <c r="E68" s="640"/>
      <c r="F68" s="640"/>
      <c r="G68" s="533">
        <f>IFERROR(SUM(8+S3+E68+R18),"×")</f>
        <v>10</v>
      </c>
      <c r="H68" s="533"/>
      <c r="I68" s="640"/>
      <c r="J68" s="640"/>
      <c r="K68" s="712" t="str">
        <f>IFERROR(CONCATENATE("D20+",SUM(R18+S3+I68)),"x")</f>
        <v>D20+2</v>
      </c>
      <c r="L68" s="712"/>
      <c r="M68" s="712"/>
      <c r="N68" s="712"/>
      <c r="P68" s="468" t="str">
        <f>CONCATENATE(IFERROR(VLOOKUP(Q68,法术大全!$A:$Z,2,FALSE),""),IFERROR(IF(VLOOKUP(Q68,法术大全!$A:$Z,5,FALSE)="√"," ",""),""))</f>
        <v/>
      </c>
      <c r="Q68" s="546"/>
      <c r="R68" s="547"/>
      <c r="S68" s="547"/>
      <c r="T68" s="547"/>
      <c r="U68" s="547"/>
      <c r="V68" s="547"/>
      <c r="W68" s="98"/>
      <c r="X68" s="427" t="str">
        <f>CONCATENATE(IFERROR(VLOOKUP(Y68,法术大全!$A:$Z,2,FALSE),""),IFERROR(IF(VLOOKUP(Y68,法术大全!$A:$Z,5,FALSE)="√"," ",""),""))</f>
        <v/>
      </c>
      <c r="Y68" s="546"/>
      <c r="Z68" s="547"/>
      <c r="AA68" s="547"/>
      <c r="AB68" s="547"/>
      <c r="AC68" s="547"/>
      <c r="AD68" s="547"/>
      <c r="AE68" s="19"/>
      <c r="AF68" s="427" t="str">
        <f>CONCATENATE(IFERROR(VLOOKUP(AG68,法术大全!$A:$Z,2,FALSE),""),IFERROR(IF(VLOOKUP(AG68,法术大全!$A:$Z,5,FALSE)="√"," ",""),""))</f>
        <v/>
      </c>
      <c r="AG68" s="546"/>
      <c r="AH68" s="547"/>
      <c r="AI68" s="547"/>
      <c r="AJ68" s="547"/>
      <c r="AK68" s="547"/>
      <c r="AL68" s="547"/>
      <c r="AM68" s="19"/>
      <c r="AN68" s="427" t="str">
        <f>CONCATENATE(IFERROR(VLOOKUP(AO68,法术大全!$A:$Z,2,FALSE),""),IFERROR(IF(VLOOKUP(AO68,法术大全!$A:$Z,5,FALSE)="√"," ",""),""))</f>
        <v/>
      </c>
      <c r="AO68" s="546"/>
      <c r="AP68" s="547"/>
      <c r="AQ68" s="547"/>
      <c r="AR68" s="547"/>
      <c r="AS68" s="547"/>
      <c r="AT68" s="547"/>
      <c r="AW68" s="132" t="str">
        <f>职业!CV59</f>
        <v/>
      </c>
      <c r="AX68" s="515"/>
      <c r="AY68" s="515"/>
      <c r="AZ68" s="515"/>
      <c r="BA68" s="515"/>
      <c r="BB68" s="515"/>
      <c r="BC68" s="516"/>
      <c r="BD68" s="516"/>
      <c r="BE68" s="516"/>
      <c r="BF68" s="516"/>
      <c r="BG68" s="516"/>
      <c r="BH68" s="516"/>
      <c r="BI68" s="516"/>
      <c r="BJ68" s="516"/>
      <c r="BK68" s="516"/>
      <c r="BL68" s="516"/>
      <c r="BM68" s="516"/>
      <c r="BN68" s="516"/>
      <c r="BO68" s="516"/>
      <c r="BP68" s="516"/>
      <c r="BQ68" s="516"/>
      <c r="BR68" s="516"/>
      <c r="BT68" s="500" t="str">
        <f>IFERROR(VLOOKUP($BX$48,魔宠!$A$3:$AD$21,30,FALSE),"")</f>
        <v/>
      </c>
      <c r="BU68" s="501"/>
      <c r="BV68" s="501"/>
      <c r="BW68" s="501"/>
      <c r="BX68" s="501"/>
      <c r="BY68" s="501"/>
      <c r="BZ68" s="501"/>
      <c r="CA68" s="501"/>
      <c r="CB68" s="501"/>
      <c r="CC68" s="501"/>
      <c r="CD68" s="501"/>
      <c r="CE68" s="501"/>
      <c r="CF68" s="501"/>
      <c r="CG68" s="501"/>
      <c r="CH68" s="501"/>
      <c r="CI68" s="501"/>
      <c r="CJ68" s="501"/>
      <c r="CK68" s="501"/>
      <c r="CL68" s="501"/>
      <c r="CM68" s="501"/>
      <c r="CN68" s="501"/>
      <c r="CO68" s="502"/>
    </row>
    <row r="69" spans="2:116" ht="16.7" customHeight="1" x14ac:dyDescent="0.3">
      <c r="B69" s="499" t="s">
        <v>150</v>
      </c>
      <c r="C69" s="499"/>
      <c r="D69" s="499"/>
      <c r="E69" s="499"/>
      <c r="F69" s="537" t="s">
        <v>151</v>
      </c>
      <c r="G69" s="537"/>
      <c r="H69" s="537"/>
      <c r="I69" s="537"/>
      <c r="J69" s="537"/>
      <c r="K69" s="537"/>
      <c r="L69" s="537"/>
      <c r="M69" s="537"/>
      <c r="N69" s="537"/>
      <c r="P69" s="468" t="str">
        <f>CONCATENATE(IFERROR(VLOOKUP(Q69,法术大全!$A:$Z,2,FALSE),""),IFERROR(IF(VLOOKUP(Q69,法术大全!$A:$Z,5,FALSE)="√"," ",""),""))</f>
        <v/>
      </c>
      <c r="Q69" s="546"/>
      <c r="R69" s="547"/>
      <c r="S69" s="547"/>
      <c r="T69" s="547"/>
      <c r="U69" s="547"/>
      <c r="V69" s="547"/>
      <c r="W69" s="98"/>
      <c r="X69" s="427" t="str">
        <f>CONCATENATE(IFERROR(VLOOKUP(Y69,法术大全!$A:$Z,2,FALSE),""),IFERROR(IF(VLOOKUP(Y69,法术大全!$A:$Z,5,FALSE)="√"," ",""),""))</f>
        <v/>
      </c>
      <c r="Y69" s="546"/>
      <c r="Z69" s="547"/>
      <c r="AA69" s="547"/>
      <c r="AB69" s="547"/>
      <c r="AC69" s="547"/>
      <c r="AD69" s="547"/>
      <c r="AE69" s="19"/>
      <c r="AF69" s="427" t="str">
        <f>CONCATENATE(IFERROR(VLOOKUP(AG69,法术大全!$A:$Z,2,FALSE),""),IFERROR(IF(VLOOKUP(AG69,法术大全!$A:$Z,5,FALSE)="√"," ",""),""))</f>
        <v/>
      </c>
      <c r="AG69" s="546"/>
      <c r="AH69" s="547"/>
      <c r="AI69" s="547"/>
      <c r="AJ69" s="547"/>
      <c r="AK69" s="547"/>
      <c r="AL69" s="547"/>
      <c r="AM69" s="19"/>
      <c r="AN69" s="427" t="str">
        <f>CONCATENATE(IFERROR(VLOOKUP(AO69,法术大全!$A:$Z,2,FALSE),""),IFERROR(IF(VLOOKUP(AO69,法术大全!$A:$Z,5,FALSE)="√"," ",""),""))</f>
        <v/>
      </c>
      <c r="AO69" s="546"/>
      <c r="AP69" s="547"/>
      <c r="AQ69" s="547"/>
      <c r="AR69" s="547"/>
      <c r="AS69" s="547"/>
      <c r="AT69" s="547"/>
      <c r="AW69" s="131" t="str">
        <f>职业!CV60</f>
        <v/>
      </c>
      <c r="AX69" s="509"/>
      <c r="AY69" s="509"/>
      <c r="AZ69" s="509"/>
      <c r="BA69" s="509"/>
      <c r="BB69" s="509"/>
      <c r="BC69" s="517"/>
      <c r="BD69" s="517"/>
      <c r="BE69" s="517"/>
      <c r="BF69" s="517"/>
      <c r="BG69" s="517"/>
      <c r="BH69" s="517"/>
      <c r="BI69" s="517"/>
      <c r="BJ69" s="517"/>
      <c r="BK69" s="517"/>
      <c r="BL69" s="517"/>
      <c r="BM69" s="517"/>
      <c r="BN69" s="517"/>
      <c r="BO69" s="517"/>
      <c r="BP69" s="517"/>
      <c r="BQ69" s="517"/>
      <c r="BR69" s="517"/>
      <c r="BT69" s="503"/>
      <c r="BU69" s="504"/>
      <c r="BV69" s="504"/>
      <c r="BW69" s="504"/>
      <c r="BX69" s="504"/>
      <c r="BY69" s="504"/>
      <c r="BZ69" s="504"/>
      <c r="CA69" s="504"/>
      <c r="CB69" s="504"/>
      <c r="CC69" s="504"/>
      <c r="CD69" s="504"/>
      <c r="CE69" s="504"/>
      <c r="CF69" s="504"/>
      <c r="CG69" s="504"/>
      <c r="CH69" s="504"/>
      <c r="CI69" s="504"/>
      <c r="CJ69" s="504"/>
      <c r="CK69" s="504"/>
      <c r="CL69" s="504"/>
      <c r="CM69" s="504"/>
      <c r="CN69" s="504"/>
      <c r="CO69" s="505"/>
    </row>
    <row r="70" spans="2:116" ht="16.7" customHeight="1" x14ac:dyDescent="0.3">
      <c r="B70" s="640"/>
      <c r="C70" s="640"/>
      <c r="D70" s="640"/>
      <c r="E70" s="640"/>
      <c r="F70" s="714" t="str">
        <f>数据表!P26</f>
        <v/>
      </c>
      <c r="G70" s="714"/>
      <c r="H70" s="714"/>
      <c r="I70" s="714"/>
      <c r="J70" s="714"/>
      <c r="K70" s="714"/>
      <c r="L70" s="714"/>
      <c r="M70" s="714"/>
      <c r="N70" s="714"/>
      <c r="P70" s="468" t="str">
        <f>CONCATENATE(IFERROR(VLOOKUP(Q70,法术大全!$A:$Z,2,FALSE),""),IFERROR(IF(VLOOKUP(Q70,法术大全!$A:$Z,5,FALSE)="√"," ",""),""))</f>
        <v/>
      </c>
      <c r="Q70" s="546"/>
      <c r="R70" s="547"/>
      <c r="S70" s="547"/>
      <c r="T70" s="547"/>
      <c r="U70" s="547"/>
      <c r="V70" s="547"/>
      <c r="W70" s="98"/>
      <c r="X70" s="427" t="str">
        <f>CONCATENATE(IFERROR(VLOOKUP(Y70,法术大全!$A:$Z,2,FALSE),""),IFERROR(IF(VLOOKUP(Y70,法术大全!$A:$Z,5,FALSE)="√"," ",""),""))</f>
        <v/>
      </c>
      <c r="Y70" s="546"/>
      <c r="Z70" s="547"/>
      <c r="AA70" s="547"/>
      <c r="AB70" s="547"/>
      <c r="AC70" s="547"/>
      <c r="AD70" s="547"/>
      <c r="AE70" s="19"/>
      <c r="AF70" s="427" t="str">
        <f>CONCATENATE(IFERROR(VLOOKUP(AG70,法术大全!$A:$Z,2,FALSE),""),IFERROR(IF(VLOOKUP(AG70,法术大全!$A:$Z,5,FALSE)="√"," ",""),""))</f>
        <v/>
      </c>
      <c r="AG70" s="546"/>
      <c r="AH70" s="547"/>
      <c r="AI70" s="547"/>
      <c r="AJ70" s="547"/>
      <c r="AK70" s="547"/>
      <c r="AL70" s="547"/>
      <c r="AM70" s="19"/>
      <c r="AN70" s="427" t="str">
        <f>CONCATENATE(IFERROR(VLOOKUP(AO70,法术大全!$A:$Z,2,FALSE),""),IFERROR(IF(VLOOKUP(AO70,法术大全!$A:$Z,5,FALSE)="√"," ",""),""))</f>
        <v/>
      </c>
      <c r="AO70" s="546"/>
      <c r="AP70" s="547"/>
      <c r="AQ70" s="547"/>
      <c r="AR70" s="547"/>
      <c r="AS70" s="547"/>
      <c r="AT70" s="547"/>
      <c r="AW70" s="132" t="str">
        <f>职业!CV61</f>
        <v/>
      </c>
      <c r="AX70" s="515"/>
      <c r="AY70" s="515"/>
      <c r="AZ70" s="515"/>
      <c r="BA70" s="515"/>
      <c r="BB70" s="515"/>
      <c r="BC70" s="516"/>
      <c r="BD70" s="516"/>
      <c r="BE70" s="516"/>
      <c r="BF70" s="516"/>
      <c r="BG70" s="516"/>
      <c r="BH70" s="516"/>
      <c r="BI70" s="516"/>
      <c r="BJ70" s="516"/>
      <c r="BK70" s="516"/>
      <c r="BL70" s="516"/>
      <c r="BM70" s="516"/>
      <c r="BN70" s="516"/>
      <c r="BO70" s="516"/>
      <c r="BP70" s="516"/>
      <c r="BQ70" s="516"/>
      <c r="BR70" s="516"/>
      <c r="BT70" s="503"/>
      <c r="BU70" s="504"/>
      <c r="BV70" s="504"/>
      <c r="BW70" s="504"/>
      <c r="BX70" s="504"/>
      <c r="BY70" s="504"/>
      <c r="BZ70" s="504"/>
      <c r="CA70" s="504"/>
      <c r="CB70" s="504"/>
      <c r="CC70" s="504"/>
      <c r="CD70" s="504"/>
      <c r="CE70" s="504"/>
      <c r="CF70" s="504"/>
      <c r="CG70" s="504"/>
      <c r="CH70" s="504"/>
      <c r="CI70" s="504"/>
      <c r="CJ70" s="504"/>
      <c r="CK70" s="504"/>
      <c r="CL70" s="504"/>
      <c r="CM70" s="504"/>
      <c r="CN70" s="504"/>
      <c r="CO70" s="505"/>
    </row>
    <row r="71" spans="2:116" ht="16.7" customHeight="1" x14ac:dyDescent="0.3">
      <c r="B71" s="537" t="s">
        <v>152</v>
      </c>
      <c r="C71" s="537"/>
      <c r="D71" s="537"/>
      <c r="E71" s="537" t="s">
        <v>153</v>
      </c>
      <c r="F71" s="537"/>
      <c r="G71" s="537"/>
      <c r="H71" s="537"/>
      <c r="I71" s="537"/>
      <c r="J71" s="537" t="s">
        <v>154</v>
      </c>
      <c r="K71" s="537"/>
      <c r="L71" s="537"/>
      <c r="P71" s="468" t="str">
        <f>CONCATENATE(IFERROR(VLOOKUP(Q71,法术大全!$A:$Z,2,FALSE),""),IFERROR(IF(VLOOKUP(Q71,法术大全!$A:$Z,5,FALSE)="√"," ",""),""))</f>
        <v/>
      </c>
      <c r="Q71" s="546"/>
      <c r="R71" s="547"/>
      <c r="S71" s="547"/>
      <c r="T71" s="547"/>
      <c r="U71" s="547"/>
      <c r="V71" s="547"/>
      <c r="W71" s="98"/>
      <c r="X71" s="427" t="str">
        <f>CONCATENATE(IFERROR(VLOOKUP(Y71,法术大全!$A:$Z,2,FALSE),""),IFERROR(IF(VLOOKUP(Y71,法术大全!$A:$Z,5,FALSE)="√"," ",""),""))</f>
        <v/>
      </c>
      <c r="Y71" s="546"/>
      <c r="Z71" s="547"/>
      <c r="AA71" s="547"/>
      <c r="AB71" s="547"/>
      <c r="AC71" s="547"/>
      <c r="AD71" s="547"/>
      <c r="AE71" s="19"/>
      <c r="AF71" s="427" t="str">
        <f>CONCATENATE(IFERROR(VLOOKUP(AG71,法术大全!$A:$Z,2,FALSE),""),IFERROR(IF(VLOOKUP(AG71,法术大全!$A:$Z,5,FALSE)="√"," ",""),""))</f>
        <v/>
      </c>
      <c r="AG71" s="546"/>
      <c r="AH71" s="547"/>
      <c r="AI71" s="547"/>
      <c r="AJ71" s="547"/>
      <c r="AK71" s="547"/>
      <c r="AL71" s="547"/>
      <c r="AM71" s="19"/>
      <c r="AN71" s="427" t="str">
        <f>CONCATENATE(IFERROR(VLOOKUP(AO71,法术大全!$A:$Z,2,FALSE),""),IFERROR(IF(VLOOKUP(AO71,法术大全!$A:$Z,5,FALSE)="√"," ",""),""))</f>
        <v/>
      </c>
      <c r="AO71" s="546"/>
      <c r="AP71" s="547"/>
      <c r="AQ71" s="547"/>
      <c r="AR71" s="547"/>
      <c r="AS71" s="547"/>
      <c r="AT71" s="547"/>
      <c r="AW71" s="131" t="str">
        <f>职业!CV62</f>
        <v/>
      </c>
      <c r="AX71" s="509"/>
      <c r="AY71" s="509"/>
      <c r="AZ71" s="509"/>
      <c r="BA71" s="509"/>
      <c r="BB71" s="509"/>
      <c r="BC71" s="517"/>
      <c r="BD71" s="517"/>
      <c r="BE71" s="517"/>
      <c r="BF71" s="517"/>
      <c r="BG71" s="517"/>
      <c r="BH71" s="517"/>
      <c r="BI71" s="517"/>
      <c r="BJ71" s="517"/>
      <c r="BK71" s="517"/>
      <c r="BL71" s="517"/>
      <c r="BM71" s="517"/>
      <c r="BN71" s="517"/>
      <c r="BO71" s="517"/>
      <c r="BP71" s="517"/>
      <c r="BQ71" s="517"/>
      <c r="BR71" s="517"/>
      <c r="BT71" s="503"/>
      <c r="BU71" s="504"/>
      <c r="BV71" s="504"/>
      <c r="BW71" s="504"/>
      <c r="BX71" s="504"/>
      <c r="BY71" s="504"/>
      <c r="BZ71" s="504"/>
      <c r="CA71" s="504"/>
      <c r="CB71" s="504"/>
      <c r="CC71" s="504"/>
      <c r="CD71" s="504"/>
      <c r="CE71" s="504"/>
      <c r="CF71" s="504"/>
      <c r="CG71" s="504"/>
      <c r="CH71" s="504"/>
      <c r="CI71" s="504"/>
      <c r="CJ71" s="504"/>
      <c r="CK71" s="504"/>
      <c r="CL71" s="504"/>
      <c r="CM71" s="504"/>
      <c r="CN71" s="504"/>
      <c r="CO71" s="505"/>
    </row>
    <row r="72" spans="2:116" ht="16.7" customHeight="1" x14ac:dyDescent="0.3">
      <c r="B72" s="660">
        <v>1</v>
      </c>
      <c r="C72" s="660"/>
      <c r="D72" s="660"/>
      <c r="E72" s="720"/>
      <c r="F72" s="721"/>
      <c r="G72" s="135" t="s">
        <v>88</v>
      </c>
      <c r="H72" s="718" t="str">
        <f>职业!AV1</f>
        <v/>
      </c>
      <c r="I72" s="719"/>
      <c r="J72" s="716">
        <v>2</v>
      </c>
      <c r="K72" s="716"/>
      <c r="L72" s="716"/>
      <c r="P72" s="468" t="str">
        <f>CONCATENATE(IFERROR(VLOOKUP(Q72,法术大全!$A:$Z,2,FALSE),""),IFERROR(IF(VLOOKUP(Q72,法术大全!$A:$Z,5,FALSE)="√"," ",""),""))</f>
        <v/>
      </c>
      <c r="Q72" s="546"/>
      <c r="R72" s="547"/>
      <c r="S72" s="547"/>
      <c r="T72" s="547"/>
      <c r="U72" s="547"/>
      <c r="V72" s="547"/>
      <c r="W72" s="98"/>
      <c r="X72" s="427" t="str">
        <f>CONCATENATE(IFERROR(VLOOKUP(Y72,法术大全!$A:$Z,2,FALSE),""),IFERROR(IF(VLOOKUP(Y72,法术大全!$A:$Z,5,FALSE)="√"," ",""),""))</f>
        <v/>
      </c>
      <c r="Y72" s="546"/>
      <c r="Z72" s="547"/>
      <c r="AA72" s="547"/>
      <c r="AB72" s="547"/>
      <c r="AC72" s="547"/>
      <c r="AD72" s="547"/>
      <c r="AE72" s="19"/>
      <c r="AF72" s="427" t="str">
        <f>CONCATENATE(IFERROR(VLOOKUP(AG72,法术大全!$A:$Z,2,FALSE),""),IFERROR(IF(VLOOKUP(AG72,法术大全!$A:$Z,5,FALSE)="√"," ",""),""))</f>
        <v/>
      </c>
      <c r="AG72" s="546"/>
      <c r="AH72" s="547"/>
      <c r="AI72" s="547"/>
      <c r="AJ72" s="547"/>
      <c r="AK72" s="547"/>
      <c r="AL72" s="547"/>
      <c r="AM72" s="19"/>
      <c r="AN72" s="427" t="str">
        <f>CONCATENATE(IFERROR(VLOOKUP(AO72,法术大全!$A:$Z,2,FALSE),""),IFERROR(IF(VLOOKUP(AO72,法术大全!$A:$Z,5,FALSE)="√"," ",""),""))</f>
        <v/>
      </c>
      <c r="AO72" s="546"/>
      <c r="AP72" s="547"/>
      <c r="AQ72" s="547"/>
      <c r="AR72" s="547"/>
      <c r="AS72" s="547"/>
      <c r="AT72" s="547"/>
      <c r="AW72" s="132" t="str">
        <f>职业!CV63</f>
        <v/>
      </c>
      <c r="AX72" s="515"/>
      <c r="AY72" s="515"/>
      <c r="AZ72" s="515"/>
      <c r="BA72" s="515"/>
      <c r="BB72" s="515"/>
      <c r="BC72" s="516"/>
      <c r="BD72" s="516"/>
      <c r="BE72" s="516"/>
      <c r="BF72" s="516"/>
      <c r="BG72" s="516"/>
      <c r="BH72" s="516"/>
      <c r="BI72" s="516"/>
      <c r="BJ72" s="516"/>
      <c r="BK72" s="516"/>
      <c r="BL72" s="516"/>
      <c r="BM72" s="516"/>
      <c r="BN72" s="516"/>
      <c r="BO72" s="516"/>
      <c r="BP72" s="516"/>
      <c r="BQ72" s="516"/>
      <c r="BR72" s="516"/>
      <c r="BT72" s="503"/>
      <c r="BU72" s="504"/>
      <c r="BV72" s="504"/>
      <c r="BW72" s="504"/>
      <c r="BX72" s="504"/>
      <c r="BY72" s="504"/>
      <c r="BZ72" s="504"/>
      <c r="CA72" s="504"/>
      <c r="CB72" s="504"/>
      <c r="CC72" s="504"/>
      <c r="CD72" s="504"/>
      <c r="CE72" s="504"/>
      <c r="CF72" s="504"/>
      <c r="CG72" s="504"/>
      <c r="CH72" s="504"/>
      <c r="CI72" s="504"/>
      <c r="CJ72" s="504"/>
      <c r="CK72" s="504"/>
      <c r="CL72" s="504"/>
      <c r="CM72" s="504"/>
      <c r="CN72" s="504"/>
      <c r="CO72" s="505"/>
    </row>
    <row r="73" spans="2:116" ht="16.7" customHeight="1" x14ac:dyDescent="0.3">
      <c r="B73" s="660">
        <v>2</v>
      </c>
      <c r="C73" s="660"/>
      <c r="D73" s="660"/>
      <c r="E73" s="720"/>
      <c r="F73" s="721"/>
      <c r="G73" s="135" t="s">
        <v>88</v>
      </c>
      <c r="H73" s="718" t="str">
        <f>职业!AV2</f>
        <v/>
      </c>
      <c r="I73" s="719"/>
      <c r="J73" s="716">
        <v>3</v>
      </c>
      <c r="K73" s="716"/>
      <c r="L73" s="716"/>
      <c r="P73" s="468" t="str">
        <f>CONCATENATE(IFERROR(VLOOKUP(Q73,法术大全!$A:$Z,2,FALSE),""),IFERROR(IF(VLOOKUP(Q73,法术大全!$A:$Z,5,FALSE)="√"," ",""),""))</f>
        <v/>
      </c>
      <c r="Q73" s="546"/>
      <c r="R73" s="547"/>
      <c r="S73" s="547"/>
      <c r="T73" s="547"/>
      <c r="U73" s="547"/>
      <c r="V73" s="547"/>
      <c r="W73" s="98"/>
      <c r="X73" s="427" t="str">
        <f>CONCATENATE(IFERROR(VLOOKUP(Y73,法术大全!$A:$Z,2,FALSE),""),IFERROR(IF(VLOOKUP(Y73,法术大全!$A:$Z,5,FALSE)="√"," ",""),""))</f>
        <v/>
      </c>
      <c r="Y73" s="546"/>
      <c r="Z73" s="547"/>
      <c r="AA73" s="547"/>
      <c r="AB73" s="547"/>
      <c r="AC73" s="547"/>
      <c r="AD73" s="547"/>
      <c r="AE73" s="19"/>
      <c r="AF73" s="427" t="str">
        <f>CONCATENATE(IFERROR(VLOOKUP(AG73,法术大全!$A:$Z,2,FALSE),""),IFERROR(IF(VLOOKUP(AG73,法术大全!$A:$Z,5,FALSE)="√"," ",""),""))</f>
        <v/>
      </c>
      <c r="AG73" s="546"/>
      <c r="AH73" s="547"/>
      <c r="AI73" s="547"/>
      <c r="AJ73" s="547"/>
      <c r="AK73" s="547"/>
      <c r="AL73" s="547"/>
      <c r="AM73" s="19"/>
      <c r="AN73" s="427" t="str">
        <f>CONCATENATE(IFERROR(VLOOKUP(AO73,法术大全!$A:$Z,2,FALSE),""),IFERROR(IF(VLOOKUP(AO73,法术大全!$A:$Z,5,FALSE)="√"," ",""),""))</f>
        <v/>
      </c>
      <c r="AO73" s="546"/>
      <c r="AP73" s="547"/>
      <c r="AQ73" s="547"/>
      <c r="AR73" s="547"/>
      <c r="AS73" s="547"/>
      <c r="AT73" s="547"/>
      <c r="AW73" s="131" t="str">
        <f>职业!CV64</f>
        <v/>
      </c>
      <c r="AX73" s="509"/>
      <c r="AY73" s="509"/>
      <c r="AZ73" s="509"/>
      <c r="BA73" s="509"/>
      <c r="BB73" s="509"/>
      <c r="BC73" s="517"/>
      <c r="BD73" s="517"/>
      <c r="BE73" s="517"/>
      <c r="BF73" s="517"/>
      <c r="BG73" s="517"/>
      <c r="BH73" s="517"/>
      <c r="BI73" s="517"/>
      <c r="BJ73" s="517"/>
      <c r="BK73" s="517"/>
      <c r="BL73" s="517"/>
      <c r="BM73" s="517"/>
      <c r="BN73" s="517"/>
      <c r="BO73" s="517"/>
      <c r="BP73" s="517"/>
      <c r="BQ73" s="517"/>
      <c r="BR73" s="517"/>
      <c r="BT73" s="503"/>
      <c r="BU73" s="504"/>
      <c r="BV73" s="504"/>
      <c r="BW73" s="504"/>
      <c r="BX73" s="504"/>
      <c r="BY73" s="504"/>
      <c r="BZ73" s="504"/>
      <c r="CA73" s="504"/>
      <c r="CB73" s="504"/>
      <c r="CC73" s="504"/>
      <c r="CD73" s="504"/>
      <c r="CE73" s="504"/>
      <c r="CF73" s="504"/>
      <c r="CG73" s="504"/>
      <c r="CH73" s="504"/>
      <c r="CI73" s="504"/>
      <c r="CJ73" s="504"/>
      <c r="CK73" s="504"/>
      <c r="CL73" s="504"/>
      <c r="CM73" s="504"/>
      <c r="CN73" s="504"/>
      <c r="CO73" s="505"/>
    </row>
    <row r="74" spans="2:116" ht="16.7" customHeight="1" x14ac:dyDescent="0.3">
      <c r="B74" s="660">
        <v>3</v>
      </c>
      <c r="C74" s="660"/>
      <c r="D74" s="660"/>
      <c r="E74" s="720"/>
      <c r="F74" s="721"/>
      <c r="G74" s="135" t="s">
        <v>88</v>
      </c>
      <c r="H74" s="718" t="str">
        <f>职业!AV3</f>
        <v/>
      </c>
      <c r="I74" s="719"/>
      <c r="J74" s="716">
        <v>5</v>
      </c>
      <c r="K74" s="716"/>
      <c r="L74" s="716"/>
      <c r="W74" s="98"/>
      <c r="Z74" s="98"/>
      <c r="AA74" s="98"/>
      <c r="AB74" s="98"/>
      <c r="AC74" s="98"/>
      <c r="AD74" s="98"/>
      <c r="AE74" s="19"/>
      <c r="AF74" s="427" t="str">
        <f>CONCATENATE(IFERROR(VLOOKUP(AG74,法术大全!$A:$Z,2,FALSE),""),IFERROR(IF(VLOOKUP(AG74,法术大全!$A:$Z,5,FALSE)="√"," ",""),""))</f>
        <v/>
      </c>
      <c r="AG74" s="546"/>
      <c r="AH74" s="547"/>
      <c r="AI74" s="547"/>
      <c r="AJ74" s="547"/>
      <c r="AK74" s="547"/>
      <c r="AL74" s="547"/>
      <c r="AM74" s="19"/>
      <c r="AN74" s="427" t="str">
        <f>CONCATENATE(IFERROR(VLOOKUP(AO74,法术大全!$A:$Z,2,FALSE),""),IFERROR(IF(VLOOKUP(AO74,法术大全!$A:$Z,5,FALSE)="√"," ",""),""))</f>
        <v/>
      </c>
      <c r="AO74" s="546"/>
      <c r="AP74" s="547"/>
      <c r="AQ74" s="547"/>
      <c r="AR74" s="547"/>
      <c r="AS74" s="547"/>
      <c r="AT74" s="547"/>
      <c r="AW74" s="132" t="str">
        <f>职业!CV65</f>
        <v/>
      </c>
      <c r="AX74" s="515"/>
      <c r="AY74" s="515"/>
      <c r="AZ74" s="515"/>
      <c r="BA74" s="515"/>
      <c r="BB74" s="515"/>
      <c r="BC74" s="516"/>
      <c r="BD74" s="516"/>
      <c r="BE74" s="516"/>
      <c r="BF74" s="516"/>
      <c r="BG74" s="516"/>
      <c r="BH74" s="516"/>
      <c r="BI74" s="516"/>
      <c r="BJ74" s="516"/>
      <c r="BK74" s="516"/>
      <c r="BL74" s="516"/>
      <c r="BM74" s="516"/>
      <c r="BN74" s="516"/>
      <c r="BO74" s="516"/>
      <c r="BP74" s="516"/>
      <c r="BQ74" s="516"/>
      <c r="BR74" s="516"/>
      <c r="BT74" s="503"/>
      <c r="BU74" s="504"/>
      <c r="BV74" s="504"/>
      <c r="BW74" s="504"/>
      <c r="BX74" s="504"/>
      <c r="BY74" s="504"/>
      <c r="BZ74" s="504"/>
      <c r="CA74" s="504"/>
      <c r="CB74" s="504"/>
      <c r="CC74" s="504"/>
      <c r="CD74" s="504"/>
      <c r="CE74" s="504"/>
      <c r="CF74" s="504"/>
      <c r="CG74" s="504"/>
      <c r="CH74" s="504"/>
      <c r="CI74" s="504"/>
      <c r="CJ74" s="504"/>
      <c r="CK74" s="504"/>
      <c r="CL74" s="504"/>
      <c r="CM74" s="504"/>
      <c r="CN74" s="504"/>
      <c r="CO74" s="505"/>
    </row>
    <row r="75" spans="2:116" ht="16.7" customHeight="1" x14ac:dyDescent="0.3">
      <c r="B75" s="660">
        <v>4</v>
      </c>
      <c r="C75" s="660"/>
      <c r="D75" s="660"/>
      <c r="E75" s="720"/>
      <c r="F75" s="721"/>
      <c r="G75" s="135" t="s">
        <v>88</v>
      </c>
      <c r="H75" s="718" t="str">
        <f>职业!AV4</f>
        <v/>
      </c>
      <c r="I75" s="719"/>
      <c r="J75" s="716">
        <v>6</v>
      </c>
      <c r="K75" s="716"/>
      <c r="L75" s="716"/>
      <c r="P75" s="539" t="s">
        <v>156</v>
      </c>
      <c r="Q75" s="539"/>
      <c r="R75" s="539"/>
      <c r="S75" s="539"/>
      <c r="T75" s="539"/>
      <c r="U75" s="539"/>
      <c r="V75" s="539"/>
      <c r="W75" s="539"/>
      <c r="X75" s="539"/>
      <c r="Y75" s="539"/>
      <c r="Z75" s="539"/>
      <c r="AA75" s="539"/>
      <c r="AB75" s="539"/>
      <c r="AC75" s="539"/>
      <c r="AD75" s="539"/>
      <c r="AE75" s="19"/>
      <c r="AF75" s="427" t="str">
        <f>CONCATENATE(IFERROR(VLOOKUP(AG75,法术大全!$A:$Z,2,FALSE),""),IFERROR(IF(VLOOKUP(AG75,法术大全!$A:$Z,5,FALSE)="√"," ",""),""))</f>
        <v/>
      </c>
      <c r="AG75" s="546"/>
      <c r="AH75" s="547"/>
      <c r="AI75" s="547"/>
      <c r="AJ75" s="547"/>
      <c r="AK75" s="547"/>
      <c r="AL75" s="547"/>
      <c r="AM75" s="19"/>
      <c r="AN75" s="427" t="str">
        <f>CONCATENATE(IFERROR(VLOOKUP(AO75,法术大全!$A:$Z,2,FALSE),""),IFERROR(IF(VLOOKUP(AO75,法术大全!$A:$Z,5,FALSE)="√"," ",""),""))</f>
        <v/>
      </c>
      <c r="AO75" s="546"/>
      <c r="AP75" s="547"/>
      <c r="AQ75" s="547"/>
      <c r="AR75" s="547"/>
      <c r="AS75" s="547"/>
      <c r="AT75" s="547"/>
      <c r="AW75" s="131" t="str">
        <f>职业!CV66</f>
        <v/>
      </c>
      <c r="AX75" s="509"/>
      <c r="AY75" s="509"/>
      <c r="AZ75" s="509"/>
      <c r="BA75" s="509"/>
      <c r="BB75" s="509"/>
      <c r="BC75" s="517"/>
      <c r="BD75" s="517"/>
      <c r="BE75" s="517"/>
      <c r="BF75" s="517"/>
      <c r="BG75" s="517"/>
      <c r="BH75" s="517"/>
      <c r="BI75" s="517"/>
      <c r="BJ75" s="517"/>
      <c r="BK75" s="517"/>
      <c r="BL75" s="517"/>
      <c r="BM75" s="517"/>
      <c r="BN75" s="517"/>
      <c r="BO75" s="517"/>
      <c r="BP75" s="517"/>
      <c r="BQ75" s="517"/>
      <c r="BR75" s="517"/>
      <c r="BT75" s="503"/>
      <c r="BU75" s="504"/>
      <c r="BV75" s="504"/>
      <c r="BW75" s="504"/>
      <c r="BX75" s="504"/>
      <c r="BY75" s="504"/>
      <c r="BZ75" s="504"/>
      <c r="CA75" s="504"/>
      <c r="CB75" s="504"/>
      <c r="CC75" s="504"/>
      <c r="CD75" s="504"/>
      <c r="CE75" s="504"/>
      <c r="CF75" s="504"/>
      <c r="CG75" s="504"/>
      <c r="CH75" s="504"/>
      <c r="CI75" s="504"/>
      <c r="CJ75" s="504"/>
      <c r="CK75" s="504"/>
      <c r="CL75" s="504"/>
      <c r="CM75" s="504"/>
      <c r="CN75" s="504"/>
      <c r="CO75" s="505"/>
    </row>
    <row r="76" spans="2:116" ht="16.7" customHeight="1" x14ac:dyDescent="0.3">
      <c r="B76" s="660">
        <v>5</v>
      </c>
      <c r="C76" s="660"/>
      <c r="D76" s="660"/>
      <c r="E76" s="720"/>
      <c r="F76" s="721"/>
      <c r="G76" s="135" t="s">
        <v>88</v>
      </c>
      <c r="H76" s="718" t="str">
        <f>职业!AV5</f>
        <v/>
      </c>
      <c r="I76" s="719"/>
      <c r="J76" s="716">
        <v>7</v>
      </c>
      <c r="K76" s="716"/>
      <c r="L76" s="716"/>
      <c r="P76" s="284" t="s">
        <v>53</v>
      </c>
      <c r="Q76" s="537" t="s">
        <v>148</v>
      </c>
      <c r="R76" s="537"/>
      <c r="S76" s="537"/>
      <c r="T76" s="537"/>
      <c r="U76" s="537"/>
      <c r="V76" s="537"/>
      <c r="W76" s="294"/>
      <c r="X76" s="284" t="s">
        <v>53</v>
      </c>
      <c r="Y76" s="537" t="s">
        <v>148</v>
      </c>
      <c r="Z76" s="537"/>
      <c r="AA76" s="537"/>
      <c r="AB76" s="537"/>
      <c r="AC76" s="537"/>
      <c r="AD76" s="537"/>
      <c r="AE76" s="19"/>
      <c r="AF76" s="427" t="str">
        <f>CONCATENATE(IFERROR(VLOOKUP(AG76,法术大全!$A:$Z,2,FALSE),""),IFERROR(IF(VLOOKUP(AG76,法术大全!$A:$Z,5,FALSE)="√"," ",""),""))</f>
        <v/>
      </c>
      <c r="AG76" s="546"/>
      <c r="AH76" s="547"/>
      <c r="AI76" s="547"/>
      <c r="AJ76" s="547"/>
      <c r="AK76" s="547"/>
      <c r="AL76" s="547"/>
      <c r="AM76" s="19"/>
      <c r="AN76" s="427" t="str">
        <f>CONCATENATE(IFERROR(VLOOKUP(AO76,法术大全!$A:$Z,2,FALSE),""),IFERROR(IF(VLOOKUP(AO76,法术大全!$A:$Z,5,FALSE)="√"," ",""),""))</f>
        <v/>
      </c>
      <c r="AO76" s="546"/>
      <c r="AP76" s="547"/>
      <c r="AQ76" s="547"/>
      <c r="AR76" s="547"/>
      <c r="AS76" s="547"/>
      <c r="AT76" s="547"/>
      <c r="AW76" s="132" t="str">
        <f>职业!CV67</f>
        <v/>
      </c>
      <c r="AX76" s="515"/>
      <c r="AY76" s="515"/>
      <c r="AZ76" s="515"/>
      <c r="BA76" s="515"/>
      <c r="BB76" s="515"/>
      <c r="BC76" s="516"/>
      <c r="BD76" s="516"/>
      <c r="BE76" s="516"/>
      <c r="BF76" s="516"/>
      <c r="BG76" s="516"/>
      <c r="BH76" s="516"/>
      <c r="BI76" s="516"/>
      <c r="BJ76" s="516"/>
      <c r="BK76" s="516"/>
      <c r="BL76" s="516"/>
      <c r="BM76" s="516"/>
      <c r="BN76" s="516"/>
      <c r="BO76" s="516"/>
      <c r="BP76" s="516"/>
      <c r="BQ76" s="516"/>
      <c r="BR76" s="516"/>
      <c r="BT76" s="503"/>
      <c r="BU76" s="504"/>
      <c r="BV76" s="504"/>
      <c r="BW76" s="504"/>
      <c r="BX76" s="504"/>
      <c r="BY76" s="504"/>
      <c r="BZ76" s="504"/>
      <c r="CA76" s="504"/>
      <c r="CB76" s="504"/>
      <c r="CC76" s="504"/>
      <c r="CD76" s="504"/>
      <c r="CE76" s="504"/>
      <c r="CF76" s="504"/>
      <c r="CG76" s="504"/>
      <c r="CH76" s="504"/>
      <c r="CI76" s="504"/>
      <c r="CJ76" s="504"/>
      <c r="CK76" s="504"/>
      <c r="CL76" s="504"/>
      <c r="CM76" s="504"/>
      <c r="CN76" s="504"/>
      <c r="CO76" s="505"/>
    </row>
    <row r="77" spans="2:116" ht="16.7" customHeight="1" x14ac:dyDescent="0.3">
      <c r="B77" s="660">
        <v>6</v>
      </c>
      <c r="C77" s="660"/>
      <c r="D77" s="660"/>
      <c r="E77" s="720"/>
      <c r="F77" s="721"/>
      <c r="G77" s="135" t="s">
        <v>88</v>
      </c>
      <c r="H77" s="718" t="str">
        <f>职业!AV6</f>
        <v/>
      </c>
      <c r="I77" s="719"/>
      <c r="J77" s="716">
        <v>9</v>
      </c>
      <c r="K77" s="716"/>
      <c r="L77" s="716"/>
      <c r="P77" s="427" t="str">
        <f>CONCATENATE(IFERROR(VLOOKUP(Q77,法术大全!$A:$Z,2,FALSE),""),IFERROR(IF(VLOOKUP(Q77,法术大全!$A:$Z,5,FALSE)="√"," ",""),""))</f>
        <v/>
      </c>
      <c r="Q77" s="546"/>
      <c r="R77" s="547"/>
      <c r="S77" s="547"/>
      <c r="T77" s="547"/>
      <c r="U77" s="547"/>
      <c r="V77" s="547"/>
      <c r="W77" s="98"/>
      <c r="X77" s="427" t="str">
        <f>CONCATENATE(IFERROR(VLOOKUP(Y77,法术大全!$A:$Z,2,FALSE),""),IFERROR(IF(VLOOKUP(Y77,法术大全!$A:$Z,5,FALSE)="√"," ",""),""))</f>
        <v/>
      </c>
      <c r="Y77" s="546"/>
      <c r="Z77" s="547"/>
      <c r="AA77" s="547"/>
      <c r="AB77" s="547"/>
      <c r="AC77" s="547"/>
      <c r="AD77" s="547"/>
      <c r="AE77" s="19"/>
      <c r="AF77" s="427" t="str">
        <f>CONCATENATE(IFERROR(VLOOKUP(AG77,法术大全!$A:$Z,2,FALSE),""),IFERROR(IF(VLOOKUP(AG77,法术大全!$A:$Z,5,FALSE)="√"," ",""),""))</f>
        <v/>
      </c>
      <c r="AG77" s="546"/>
      <c r="AH77" s="547"/>
      <c r="AI77" s="547"/>
      <c r="AJ77" s="547"/>
      <c r="AK77" s="547"/>
      <c r="AL77" s="547"/>
      <c r="AM77" s="19"/>
      <c r="AN77" s="427" t="str">
        <f>CONCATENATE(IFERROR(VLOOKUP(AO77,法术大全!$A:$Z,2,FALSE),""),IFERROR(IF(VLOOKUP(AO77,法术大全!$A:$Z,5,FALSE)="√"," ",""),""))</f>
        <v/>
      </c>
      <c r="AO77" s="546"/>
      <c r="AP77" s="547"/>
      <c r="AQ77" s="547"/>
      <c r="AR77" s="547"/>
      <c r="AS77" s="547"/>
      <c r="AT77" s="547"/>
      <c r="AW77" s="131" t="str">
        <f>职业!CV68</f>
        <v/>
      </c>
      <c r="AX77" s="509"/>
      <c r="AY77" s="509"/>
      <c r="AZ77" s="509"/>
      <c r="BA77" s="509"/>
      <c r="BB77" s="509"/>
      <c r="BC77" s="517"/>
      <c r="BD77" s="517"/>
      <c r="BE77" s="517"/>
      <c r="BF77" s="517"/>
      <c r="BG77" s="517"/>
      <c r="BH77" s="517"/>
      <c r="BI77" s="517"/>
      <c r="BJ77" s="517"/>
      <c r="BK77" s="517"/>
      <c r="BL77" s="517"/>
      <c r="BM77" s="517"/>
      <c r="BN77" s="517"/>
      <c r="BO77" s="517"/>
      <c r="BP77" s="517"/>
      <c r="BQ77" s="517"/>
      <c r="BR77" s="517"/>
      <c r="BT77" s="506"/>
      <c r="BU77" s="507"/>
      <c r="BV77" s="507"/>
      <c r="BW77" s="507"/>
      <c r="BX77" s="507"/>
      <c r="BY77" s="507"/>
      <c r="BZ77" s="507"/>
      <c r="CA77" s="507"/>
      <c r="CB77" s="507"/>
      <c r="CC77" s="507"/>
      <c r="CD77" s="507"/>
      <c r="CE77" s="507"/>
      <c r="CF77" s="507"/>
      <c r="CG77" s="507"/>
      <c r="CH77" s="507"/>
      <c r="CI77" s="507"/>
      <c r="CJ77" s="507"/>
      <c r="CK77" s="507"/>
      <c r="CL77" s="507"/>
      <c r="CM77" s="507"/>
      <c r="CN77" s="507"/>
      <c r="CO77" s="508"/>
    </row>
    <row r="78" spans="2:116" ht="16.7" customHeight="1" x14ac:dyDescent="0.3">
      <c r="B78" s="660">
        <v>7</v>
      </c>
      <c r="C78" s="660"/>
      <c r="D78" s="660"/>
      <c r="E78" s="720"/>
      <c r="F78" s="721"/>
      <c r="G78" s="135" t="s">
        <v>88</v>
      </c>
      <c r="H78" s="718" t="str">
        <f>职业!AV7</f>
        <v/>
      </c>
      <c r="I78" s="719"/>
      <c r="J78" s="716">
        <v>10</v>
      </c>
      <c r="K78" s="716"/>
      <c r="L78" s="716"/>
      <c r="P78" s="427" t="str">
        <f>CONCATENATE(IFERROR(VLOOKUP(Q78,法术大全!$A:$Z,2,FALSE),""),IFERROR(IF(VLOOKUP(Q78,法术大全!$A:$Z,5,FALSE)="√"," ",""),""))</f>
        <v/>
      </c>
      <c r="Q78" s="546"/>
      <c r="R78" s="547"/>
      <c r="S78" s="547"/>
      <c r="T78" s="547"/>
      <c r="U78" s="547"/>
      <c r="V78" s="547"/>
      <c r="W78" s="98"/>
      <c r="X78" s="427" t="str">
        <f>CONCATENATE(IFERROR(VLOOKUP(Y78,法术大全!$A:$Z,2,FALSE),""),IFERROR(IF(VLOOKUP(Y78,法术大全!$A:$Z,5,FALSE)="√"," ",""),""))</f>
        <v/>
      </c>
      <c r="Y78" s="546"/>
      <c r="Z78" s="547"/>
      <c r="AA78" s="547"/>
      <c r="AB78" s="547"/>
      <c r="AC78" s="547"/>
      <c r="AD78" s="547"/>
      <c r="AE78" s="19"/>
      <c r="AF78" s="427" t="str">
        <f>CONCATENATE(IFERROR(VLOOKUP(AG78,法术大全!$A:$Z,2,FALSE),""),IFERROR(IF(VLOOKUP(AG78,法术大全!$A:$Z,5,FALSE)="√"," ",""),""))</f>
        <v/>
      </c>
      <c r="AG78" s="546"/>
      <c r="AH78" s="547"/>
      <c r="AI78" s="547"/>
      <c r="AJ78" s="547"/>
      <c r="AK78" s="547"/>
      <c r="AL78" s="547"/>
      <c r="AM78" s="19"/>
      <c r="AN78" s="427" t="str">
        <f>CONCATENATE(IFERROR(VLOOKUP(AO78,法术大全!$A:$Z,2,FALSE),""),IFERROR(IF(VLOOKUP(AO78,法术大全!$A:$Z,5,FALSE)="√"," ",""),""))</f>
        <v/>
      </c>
      <c r="AO78" s="546"/>
      <c r="AP78" s="547"/>
      <c r="AQ78" s="547"/>
      <c r="AR78" s="547"/>
      <c r="AS78" s="547"/>
      <c r="AT78" s="547"/>
    </row>
    <row r="79" spans="2:116" ht="16.7" customHeight="1" x14ac:dyDescent="0.3">
      <c r="B79" s="660">
        <v>8</v>
      </c>
      <c r="C79" s="660"/>
      <c r="D79" s="660"/>
      <c r="E79" s="720"/>
      <c r="F79" s="721"/>
      <c r="G79" s="135" t="s">
        <v>88</v>
      </c>
      <c r="H79" s="718" t="str">
        <f>职业!AV8</f>
        <v/>
      </c>
      <c r="I79" s="719"/>
      <c r="J79" s="716">
        <v>11</v>
      </c>
      <c r="K79" s="716"/>
      <c r="L79" s="716"/>
      <c r="P79" s="427" t="str">
        <f>CONCATENATE(IFERROR(VLOOKUP(Q79,法术大全!$A:$Z,2,FALSE),""),IFERROR(IF(VLOOKUP(Q79,法术大全!$A:$Z,5,FALSE)="√"," ",""),""))</f>
        <v/>
      </c>
      <c r="Q79" s="546"/>
      <c r="R79" s="547"/>
      <c r="S79" s="547"/>
      <c r="T79" s="547"/>
      <c r="U79" s="547"/>
      <c r="V79" s="547"/>
      <c r="W79" s="98"/>
      <c r="X79" s="427" t="str">
        <f>CONCATENATE(IFERROR(VLOOKUP(Y79,法术大全!$A:$Z,2,FALSE),""),IFERROR(IF(VLOOKUP(Y79,法术大全!$A:$Z,5,FALSE)="√"," ",""),""))</f>
        <v/>
      </c>
      <c r="Y79" s="546"/>
      <c r="Z79" s="547"/>
      <c r="AA79" s="547"/>
      <c r="AB79" s="547"/>
      <c r="AC79" s="547"/>
      <c r="AD79" s="547"/>
      <c r="AE79" s="19"/>
      <c r="AF79" s="427" t="str">
        <f>CONCATENATE(IFERROR(VLOOKUP(AG79,法术大全!$A:$Z,2,FALSE),""),IFERROR(IF(VLOOKUP(AG79,法术大全!$A:$Z,5,FALSE)="√"," ",""),""))</f>
        <v/>
      </c>
      <c r="AG79" s="546"/>
      <c r="AH79" s="547"/>
      <c r="AI79" s="547"/>
      <c r="AJ79" s="547"/>
      <c r="AK79" s="547"/>
      <c r="AL79" s="547"/>
      <c r="AM79" s="19"/>
      <c r="AN79" s="427" t="str">
        <f>CONCATENATE(IFERROR(VLOOKUP(AO79,法术大全!$A:$Z,2,FALSE),""),IFERROR(IF(VLOOKUP(AO79,法术大全!$A:$Z,5,FALSE)="√"," ",""),""))</f>
        <v/>
      </c>
      <c r="AO79" s="546"/>
      <c r="AP79" s="547"/>
      <c r="AQ79" s="547"/>
      <c r="AR79" s="547"/>
      <c r="AS79" s="547"/>
      <c r="AT79" s="547"/>
      <c r="AW79" s="727"/>
      <c r="AX79" s="728"/>
      <c r="AY79" s="728"/>
      <c r="AZ79" s="728"/>
      <c r="BA79" s="728"/>
      <c r="BB79" s="728"/>
      <c r="BC79" s="728"/>
      <c r="BD79" s="728"/>
      <c r="BE79" s="728"/>
      <c r="BF79" s="728"/>
      <c r="BG79" s="728"/>
      <c r="BH79" s="728"/>
      <c r="BI79" s="728"/>
      <c r="BJ79" s="728"/>
      <c r="BK79" s="728"/>
      <c r="BL79" s="728" t="s">
        <v>157</v>
      </c>
      <c r="BM79" s="728"/>
      <c r="BN79" s="728"/>
      <c r="BO79" s="728"/>
      <c r="BP79" s="728"/>
      <c r="BQ79" s="728"/>
      <c r="BR79" s="728"/>
      <c r="BS79" s="728"/>
      <c r="BT79" s="728"/>
      <c r="BU79" s="728"/>
      <c r="BV79" s="728"/>
      <c r="BW79" s="728"/>
      <c r="BX79" s="728"/>
      <c r="BY79" s="728"/>
      <c r="BZ79" s="728"/>
      <c r="CA79" s="728"/>
      <c r="CB79" s="728"/>
      <c r="CC79" s="728"/>
      <c r="CD79" s="728"/>
      <c r="CE79" s="728"/>
      <c r="CF79" s="728"/>
      <c r="CG79" s="728"/>
      <c r="CH79" s="728"/>
      <c r="CI79" s="728"/>
      <c r="CJ79" s="728"/>
      <c r="CK79" s="728"/>
      <c r="CL79" s="728"/>
      <c r="CM79" s="728"/>
      <c r="CN79" s="728"/>
      <c r="CO79" s="729"/>
    </row>
    <row r="80" spans="2:116" ht="16.7" customHeight="1" x14ac:dyDescent="0.3">
      <c r="B80" s="660">
        <v>9</v>
      </c>
      <c r="C80" s="660"/>
      <c r="D80" s="660"/>
      <c r="E80" s="720"/>
      <c r="F80" s="721"/>
      <c r="G80" s="135" t="s">
        <v>88</v>
      </c>
      <c r="H80" s="718" t="str">
        <f>职业!AV9</f>
        <v/>
      </c>
      <c r="I80" s="719"/>
      <c r="J80" s="716">
        <v>13</v>
      </c>
      <c r="K80" s="716"/>
      <c r="L80" s="716"/>
      <c r="P80" s="427" t="str">
        <f>CONCATENATE(IFERROR(VLOOKUP(Q80,法术大全!$A:$Z,2,FALSE),""),IFERROR(IF(VLOOKUP(Q80,法术大全!$A:$Z,5,FALSE)="√"," ",""),""))</f>
        <v/>
      </c>
      <c r="Q80" s="546"/>
      <c r="R80" s="547"/>
      <c r="S80" s="547"/>
      <c r="T80" s="547"/>
      <c r="U80" s="547"/>
      <c r="V80" s="547"/>
      <c r="W80" s="98"/>
      <c r="X80" s="427" t="str">
        <f>CONCATENATE(IFERROR(VLOOKUP(Y80,法术大全!$A:$Z,2,FALSE),""),IFERROR(IF(VLOOKUP(Y80,法术大全!$A:$Z,5,FALSE)="√"," ",""),""))</f>
        <v/>
      </c>
      <c r="Y80" s="546"/>
      <c r="Z80" s="547"/>
      <c r="AA80" s="547"/>
      <c r="AB80" s="547"/>
      <c r="AC80" s="547"/>
      <c r="AD80" s="547"/>
      <c r="AE80" s="19"/>
      <c r="AF80" s="427" t="str">
        <f>CONCATENATE(IFERROR(VLOOKUP(AG80,法术大全!$A:$Z,2,FALSE),""),IFERROR(IF(VLOOKUP(AG80,法术大全!$A:$Z,5,FALSE)="√"," ",""),""))</f>
        <v/>
      </c>
      <c r="AG80" s="546"/>
      <c r="AH80" s="547"/>
      <c r="AI80" s="547"/>
      <c r="AJ80" s="547"/>
      <c r="AK80" s="547"/>
      <c r="AL80" s="547"/>
      <c r="AM80" s="19"/>
      <c r="AN80" s="427" t="str">
        <f>CONCATENATE(IFERROR(VLOOKUP(AO80,法术大全!$A:$Z,2,FALSE),""),IFERROR(IF(VLOOKUP(AO80,法术大全!$A:$Z,5,FALSE)="√"," ",""),""))</f>
        <v/>
      </c>
      <c r="AO80" s="546"/>
      <c r="AP80" s="547"/>
      <c r="AQ80" s="547"/>
      <c r="AR80" s="547"/>
      <c r="AS80" s="547"/>
      <c r="AT80" s="547"/>
      <c r="AW80" s="730"/>
      <c r="AX80" s="730"/>
      <c r="AY80" s="730"/>
      <c r="AZ80" s="730"/>
      <c r="BA80" s="730"/>
      <c r="BB80" s="730"/>
      <c r="BC80" s="730"/>
      <c r="BD80" s="730"/>
      <c r="BE80" s="730"/>
      <c r="BF80" s="730"/>
      <c r="BG80" s="730"/>
      <c r="BH80" s="730"/>
      <c r="BI80" s="730"/>
      <c r="BJ80" s="730"/>
      <c r="BK80" s="730"/>
      <c r="BL80" s="730"/>
      <c r="BM80" s="730"/>
      <c r="BN80" s="730"/>
      <c r="BO80" s="730"/>
      <c r="BP80" s="730"/>
      <c r="BQ80" s="730"/>
      <c r="BR80" s="730"/>
      <c r="BS80" s="730"/>
      <c r="BT80" s="730"/>
      <c r="BU80" s="730"/>
      <c r="BV80" s="730"/>
      <c r="BW80" s="730"/>
      <c r="BX80" s="730"/>
      <c r="BY80" s="730"/>
      <c r="BZ80" s="730"/>
      <c r="CA80" s="730"/>
      <c r="CB80" s="730"/>
      <c r="CC80" s="730"/>
      <c r="CD80" s="730"/>
      <c r="CE80" s="730"/>
      <c r="CF80" s="730"/>
      <c r="CG80" s="730"/>
      <c r="CH80" s="730"/>
      <c r="CI80" s="730"/>
      <c r="CJ80" s="730"/>
      <c r="CK80" s="730"/>
      <c r="CL80" s="730"/>
      <c r="CM80" s="730"/>
      <c r="CN80" s="730"/>
      <c r="CO80" s="730"/>
      <c r="CU80" s="488"/>
      <c r="CV80" s="489"/>
      <c r="CW80" s="489"/>
      <c r="CX80" s="489"/>
      <c r="CY80" s="489"/>
      <c r="CZ80" s="489"/>
      <c r="DA80" s="489"/>
      <c r="DB80" s="489"/>
      <c r="DC80" s="489"/>
      <c r="DD80" s="489"/>
      <c r="DE80" s="489"/>
      <c r="DF80" s="489"/>
      <c r="DG80" s="489"/>
      <c r="DH80" s="489"/>
      <c r="DI80" s="489"/>
      <c r="DJ80" s="489"/>
      <c r="DK80" s="489"/>
      <c r="DL80" s="490"/>
    </row>
    <row r="81" spans="2:116" ht="16.7" customHeight="1" x14ac:dyDescent="0.3">
      <c r="B81" s="660" t="s">
        <v>2989</v>
      </c>
      <c r="C81" s="660"/>
      <c r="D81" s="660"/>
      <c r="E81" s="660"/>
      <c r="F81" s="708"/>
      <c r="G81" s="717"/>
      <c r="H81" s="717"/>
      <c r="I81" s="135" t="s">
        <v>88</v>
      </c>
      <c r="J81" s="722">
        <f>职业!AR21</f>
        <v>0</v>
      </c>
      <c r="K81" s="722"/>
      <c r="L81" s="708"/>
      <c r="P81" s="427" t="str">
        <f>CONCATENATE(IFERROR(VLOOKUP(Q81,法术大全!$A:$Z,2,FALSE),""),IFERROR(IF(VLOOKUP(Q81,法术大全!$A:$Z,5,FALSE)="√"," ",""),""))</f>
        <v/>
      </c>
      <c r="Q81" s="546" t="s">
        <v>155</v>
      </c>
      <c r="R81" s="547"/>
      <c r="S81" s="547"/>
      <c r="T81" s="547"/>
      <c r="U81" s="547"/>
      <c r="V81" s="547"/>
      <c r="W81" s="98"/>
      <c r="X81" s="427" t="str">
        <f>CONCATENATE(IFERROR(VLOOKUP(Y81,法术大全!$A:$Z,2,FALSE),""),IFERROR(IF(VLOOKUP(Y81,法术大全!$A:$Z,5,FALSE)="√"," ",""),""))</f>
        <v/>
      </c>
      <c r="Y81" s="546"/>
      <c r="Z81" s="547"/>
      <c r="AA81" s="547"/>
      <c r="AB81" s="547"/>
      <c r="AC81" s="547"/>
      <c r="AD81" s="547"/>
      <c r="AE81" s="19"/>
      <c r="AF81" s="427" t="str">
        <f>CONCATENATE(IFERROR(VLOOKUP(AG81,法术大全!$A:$Z,2,FALSE),""),IFERROR(IF(VLOOKUP(AG81,法术大全!$A:$Z,5,FALSE)="√"," ",""),""))</f>
        <v/>
      </c>
      <c r="AG81" s="546"/>
      <c r="AH81" s="547"/>
      <c r="AI81" s="547"/>
      <c r="AJ81" s="547"/>
      <c r="AK81" s="547"/>
      <c r="AL81" s="547"/>
      <c r="AM81" s="19"/>
      <c r="AN81" s="427" t="str">
        <f>CONCATENATE(IFERROR(VLOOKUP(AO81,法术大全!$A:$Z,2,FALSE),""),IFERROR(IF(VLOOKUP(AO81,法术大全!$A:$Z,5,FALSE)="√"," ",""),""))</f>
        <v/>
      </c>
      <c r="AO81" s="546"/>
      <c r="AP81" s="547"/>
      <c r="AQ81" s="547"/>
      <c r="AR81" s="547"/>
      <c r="AS81" s="547"/>
      <c r="AT81" s="547"/>
      <c r="AW81" s="730"/>
      <c r="AX81" s="730"/>
      <c r="AY81" s="730"/>
      <c r="AZ81" s="730"/>
      <c r="BA81" s="730"/>
      <c r="BB81" s="730"/>
      <c r="BC81" s="730"/>
      <c r="BD81" s="730"/>
      <c r="BE81" s="730"/>
      <c r="BF81" s="730"/>
      <c r="BG81" s="730"/>
      <c r="BH81" s="730"/>
      <c r="BI81" s="730"/>
      <c r="BJ81" s="730"/>
      <c r="BK81" s="730"/>
      <c r="BL81" s="730"/>
      <c r="BM81" s="730"/>
      <c r="BN81" s="730"/>
      <c r="BO81" s="730"/>
      <c r="BP81" s="730"/>
      <c r="BQ81" s="730"/>
      <c r="BR81" s="730"/>
      <c r="BS81" s="730"/>
      <c r="BT81" s="730"/>
      <c r="BU81" s="730"/>
      <c r="BV81" s="730"/>
      <c r="BW81" s="730"/>
      <c r="BX81" s="730"/>
      <c r="BY81" s="730"/>
      <c r="BZ81" s="730"/>
      <c r="CA81" s="730"/>
      <c r="CB81" s="730"/>
      <c r="CC81" s="730"/>
      <c r="CD81" s="730"/>
      <c r="CE81" s="730"/>
      <c r="CF81" s="730"/>
      <c r="CG81" s="730"/>
      <c r="CH81" s="730"/>
      <c r="CI81" s="730"/>
      <c r="CJ81" s="730"/>
      <c r="CK81" s="730"/>
      <c r="CL81" s="730"/>
      <c r="CM81" s="730"/>
      <c r="CN81" s="730"/>
      <c r="CO81" s="730"/>
      <c r="CU81" s="491"/>
      <c r="CV81" s="492"/>
      <c r="CW81" s="492"/>
      <c r="CX81" s="492"/>
      <c r="CY81" s="492"/>
      <c r="CZ81" s="492"/>
      <c r="DA81" s="492"/>
      <c r="DB81" s="492"/>
      <c r="DC81" s="492"/>
      <c r="DD81" s="492"/>
      <c r="DE81" s="492"/>
      <c r="DF81" s="492"/>
      <c r="DG81" s="492"/>
      <c r="DH81" s="492"/>
      <c r="DI81" s="492"/>
      <c r="DJ81" s="492"/>
      <c r="DK81" s="492"/>
      <c r="DL81" s="493"/>
    </row>
    <row r="82" spans="2:116" ht="16.7" customHeight="1" x14ac:dyDescent="0.15">
      <c r="AW82" s="730"/>
      <c r="AX82" s="730"/>
      <c r="AY82" s="730"/>
      <c r="AZ82" s="730"/>
      <c r="BA82" s="730"/>
      <c r="BB82" s="730"/>
      <c r="BC82" s="730"/>
      <c r="BD82" s="730"/>
      <c r="BE82" s="730"/>
      <c r="BF82" s="730"/>
      <c r="BG82" s="730"/>
      <c r="BH82" s="730"/>
      <c r="BI82" s="730"/>
      <c r="BJ82" s="730"/>
      <c r="BK82" s="730"/>
      <c r="BL82" s="730"/>
      <c r="BM82" s="730"/>
      <c r="BN82" s="730"/>
      <c r="BO82" s="730"/>
      <c r="BP82" s="730"/>
      <c r="BQ82" s="730"/>
      <c r="BR82" s="730"/>
      <c r="BS82" s="730"/>
      <c r="BT82" s="730"/>
      <c r="BU82" s="730"/>
      <c r="BV82" s="730"/>
      <c r="BW82" s="730"/>
      <c r="BX82" s="730"/>
      <c r="BY82" s="730"/>
      <c r="BZ82" s="730"/>
      <c r="CA82" s="730"/>
      <c r="CB82" s="730"/>
      <c r="CC82" s="730"/>
      <c r="CD82" s="730"/>
      <c r="CE82" s="730"/>
      <c r="CF82" s="730"/>
      <c r="CG82" s="730"/>
      <c r="CH82" s="730"/>
      <c r="CI82" s="730"/>
      <c r="CJ82" s="730"/>
      <c r="CK82" s="730"/>
      <c r="CL82" s="730"/>
      <c r="CM82" s="730"/>
      <c r="CN82" s="730"/>
      <c r="CO82" s="730"/>
      <c r="CU82" s="491"/>
      <c r="CV82" s="492"/>
      <c r="CW82" s="492"/>
      <c r="CX82" s="492"/>
      <c r="CY82" s="492"/>
      <c r="CZ82" s="492"/>
      <c r="DA82" s="492"/>
      <c r="DB82" s="492"/>
      <c r="DC82" s="492"/>
      <c r="DD82" s="492"/>
      <c r="DE82" s="492"/>
      <c r="DF82" s="492"/>
      <c r="DG82" s="492"/>
      <c r="DH82" s="492"/>
      <c r="DI82" s="492"/>
      <c r="DJ82" s="492"/>
      <c r="DK82" s="492"/>
      <c r="DL82" s="493"/>
    </row>
    <row r="83" spans="2:116" ht="16.7" customHeight="1" x14ac:dyDescent="0.15">
      <c r="B83" s="518" t="s">
        <v>158</v>
      </c>
      <c r="C83" s="518"/>
      <c r="D83" s="518"/>
      <c r="E83" s="518"/>
      <c r="F83" s="518"/>
      <c r="G83" s="518"/>
      <c r="H83" s="518"/>
      <c r="I83" s="518"/>
      <c r="J83" s="518"/>
      <c r="K83" s="518"/>
      <c r="L83" s="518"/>
      <c r="M83" s="518"/>
      <c r="N83" s="518"/>
      <c r="O83" s="518"/>
      <c r="P83" s="518"/>
      <c r="R83" s="715" t="s">
        <v>159</v>
      </c>
      <c r="S83" s="715"/>
      <c r="T83" s="715"/>
      <c r="U83" s="715"/>
      <c r="V83" s="715"/>
      <c r="W83" s="715"/>
      <c r="X83" s="715"/>
      <c r="Y83" s="715"/>
      <c r="Z83" s="715"/>
      <c r="AA83" s="715"/>
      <c r="AB83" s="715"/>
      <c r="AC83" s="715"/>
      <c r="AD83" s="715"/>
      <c r="AE83" s="715"/>
      <c r="AF83" s="715"/>
      <c r="AG83" s="715"/>
      <c r="AH83" s="715"/>
      <c r="AI83" s="715"/>
      <c r="AJ83" s="715"/>
      <c r="AK83" s="715"/>
      <c r="AL83" s="715"/>
      <c r="AM83" s="715"/>
      <c r="AN83" s="715"/>
      <c r="AO83" s="715"/>
      <c r="AP83" s="715"/>
      <c r="AQ83" s="715"/>
      <c r="AR83" s="715"/>
      <c r="AS83" s="715"/>
      <c r="AT83" s="715"/>
      <c r="AW83" s="730"/>
      <c r="AX83" s="730"/>
      <c r="AY83" s="730"/>
      <c r="AZ83" s="730"/>
      <c r="BA83" s="730"/>
      <c r="BB83" s="730"/>
      <c r="BC83" s="730"/>
      <c r="BD83" s="730"/>
      <c r="BE83" s="730"/>
      <c r="BF83" s="730"/>
      <c r="BG83" s="730"/>
      <c r="BH83" s="730"/>
      <c r="BI83" s="730"/>
      <c r="BJ83" s="730"/>
      <c r="BK83" s="730"/>
      <c r="BL83" s="730"/>
      <c r="BM83" s="730"/>
      <c r="BN83" s="730"/>
      <c r="BO83" s="730"/>
      <c r="BP83" s="730"/>
      <c r="BQ83" s="730"/>
      <c r="BR83" s="730"/>
      <c r="BS83" s="730"/>
      <c r="BT83" s="730"/>
      <c r="BU83" s="730"/>
      <c r="BV83" s="730"/>
      <c r="BW83" s="730"/>
      <c r="BX83" s="730"/>
      <c r="BY83" s="730"/>
      <c r="BZ83" s="730"/>
      <c r="CA83" s="730"/>
      <c r="CB83" s="730"/>
      <c r="CC83" s="730"/>
      <c r="CD83" s="730"/>
      <c r="CE83" s="730"/>
      <c r="CF83" s="730"/>
      <c r="CG83" s="730"/>
      <c r="CH83" s="730"/>
      <c r="CI83" s="730"/>
      <c r="CJ83" s="730"/>
      <c r="CK83" s="730"/>
      <c r="CL83" s="730"/>
      <c r="CM83" s="730"/>
      <c r="CN83" s="730"/>
      <c r="CO83" s="730"/>
      <c r="CU83" s="491"/>
      <c r="CV83" s="492"/>
      <c r="CW83" s="492"/>
      <c r="CX83" s="492"/>
      <c r="CY83" s="492"/>
      <c r="CZ83" s="492"/>
      <c r="DA83" s="492"/>
      <c r="DB83" s="492"/>
      <c r="DC83" s="492"/>
      <c r="DD83" s="492"/>
      <c r="DE83" s="492"/>
      <c r="DF83" s="492"/>
      <c r="DG83" s="492"/>
      <c r="DH83" s="492"/>
      <c r="DI83" s="492"/>
      <c r="DJ83" s="492"/>
      <c r="DK83" s="492"/>
      <c r="DL83" s="493"/>
    </row>
    <row r="84" spans="2:116" ht="16.7" customHeight="1" x14ac:dyDescent="0.3">
      <c r="B84" s="499" t="s">
        <v>160</v>
      </c>
      <c r="C84" s="499"/>
      <c r="D84" s="499"/>
      <c r="E84" s="499"/>
      <c r="F84" s="499"/>
      <c r="G84" s="499"/>
      <c r="I84" s="499" t="s">
        <v>161</v>
      </c>
      <c r="J84" s="499"/>
      <c r="K84" s="499"/>
      <c r="L84" s="499"/>
      <c r="M84" s="499"/>
      <c r="N84" s="499"/>
      <c r="O84" s="499"/>
      <c r="P84" s="499"/>
      <c r="R84" s="724" t="str">
        <f>IFERROR(VLOOKUP(B85,法术大全!$A:$Z,13,FALSE),"")</f>
        <v/>
      </c>
      <c r="S84" s="724"/>
      <c r="T84" s="724"/>
      <c r="U84" s="724"/>
      <c r="V84" s="724"/>
      <c r="W84" s="724"/>
      <c r="X84" s="724"/>
      <c r="Y84" s="724"/>
      <c r="Z84" s="724"/>
      <c r="AA84" s="724"/>
      <c r="AB84" s="724"/>
      <c r="AC84" s="724"/>
      <c r="AD84" s="724"/>
      <c r="AE84" s="724"/>
      <c r="AF84" s="724"/>
      <c r="AG84" s="724"/>
      <c r="AH84" s="724"/>
      <c r="AI84" s="724"/>
      <c r="AJ84" s="724"/>
      <c r="AK84" s="724"/>
      <c r="AL84" s="724"/>
      <c r="AM84" s="724"/>
      <c r="AN84" s="724"/>
      <c r="AO84" s="724"/>
      <c r="AP84" s="724"/>
      <c r="AQ84" s="724"/>
      <c r="AR84" s="724"/>
      <c r="AS84" s="724"/>
      <c r="AT84" s="724"/>
      <c r="AW84" s="730"/>
      <c r="AX84" s="730"/>
      <c r="AY84" s="730"/>
      <c r="AZ84" s="730"/>
      <c r="BA84" s="730"/>
      <c r="BB84" s="730"/>
      <c r="BC84" s="730"/>
      <c r="BD84" s="730"/>
      <c r="BE84" s="730"/>
      <c r="BF84" s="730"/>
      <c r="BG84" s="730"/>
      <c r="BH84" s="730"/>
      <c r="BI84" s="730"/>
      <c r="BJ84" s="730"/>
      <c r="BK84" s="730"/>
      <c r="BL84" s="730"/>
      <c r="BM84" s="730"/>
      <c r="BN84" s="730"/>
      <c r="BO84" s="730"/>
      <c r="BP84" s="730"/>
      <c r="BQ84" s="730"/>
      <c r="BR84" s="730"/>
      <c r="BS84" s="730"/>
      <c r="BT84" s="730"/>
      <c r="BU84" s="730"/>
      <c r="BV84" s="730"/>
      <c r="BW84" s="730"/>
      <c r="BX84" s="730"/>
      <c r="BY84" s="730"/>
      <c r="BZ84" s="730"/>
      <c r="CA84" s="730"/>
      <c r="CB84" s="730"/>
      <c r="CC84" s="730"/>
      <c r="CD84" s="730"/>
      <c r="CE84" s="730"/>
      <c r="CF84" s="730"/>
      <c r="CG84" s="730"/>
      <c r="CH84" s="730"/>
      <c r="CI84" s="730"/>
      <c r="CJ84" s="730"/>
      <c r="CK84" s="730"/>
      <c r="CL84" s="730"/>
      <c r="CM84" s="730"/>
      <c r="CN84" s="730"/>
      <c r="CO84" s="730"/>
      <c r="CU84" s="491"/>
      <c r="CV84" s="492"/>
      <c r="CW84" s="492"/>
      <c r="CX84" s="492"/>
      <c r="CY84" s="492"/>
      <c r="CZ84" s="492"/>
      <c r="DA84" s="492"/>
      <c r="DB84" s="492"/>
      <c r="DC84" s="492"/>
      <c r="DD84" s="492"/>
      <c r="DE84" s="492"/>
      <c r="DF84" s="492"/>
      <c r="DG84" s="492"/>
      <c r="DH84" s="492"/>
      <c r="DI84" s="492"/>
      <c r="DJ84" s="492"/>
      <c r="DK84" s="492"/>
      <c r="DL84" s="493"/>
    </row>
    <row r="85" spans="2:116" ht="16.7" customHeight="1" x14ac:dyDescent="0.15">
      <c r="B85" s="547"/>
      <c r="C85" s="547"/>
      <c r="D85" s="547"/>
      <c r="E85" s="547"/>
      <c r="F85" s="547"/>
      <c r="G85" s="547"/>
      <c r="I85" s="675" t="str">
        <f>IFERROR(VLOOKUP(B85,法术大全!$A:$Z,7,FALSE),"")</f>
        <v/>
      </c>
      <c r="J85" s="675"/>
      <c r="K85" s="675"/>
      <c r="L85" s="675"/>
      <c r="M85" s="675"/>
      <c r="N85" s="675"/>
      <c r="O85" s="675"/>
      <c r="P85" s="675"/>
      <c r="R85" s="724"/>
      <c r="S85" s="724"/>
      <c r="T85" s="724"/>
      <c r="U85" s="724"/>
      <c r="V85" s="724"/>
      <c r="W85" s="724"/>
      <c r="X85" s="724"/>
      <c r="Y85" s="724"/>
      <c r="Z85" s="724"/>
      <c r="AA85" s="724"/>
      <c r="AB85" s="724"/>
      <c r="AC85" s="724"/>
      <c r="AD85" s="724"/>
      <c r="AE85" s="724"/>
      <c r="AF85" s="724"/>
      <c r="AG85" s="724"/>
      <c r="AH85" s="724"/>
      <c r="AI85" s="724"/>
      <c r="AJ85" s="724"/>
      <c r="AK85" s="724"/>
      <c r="AL85" s="724"/>
      <c r="AM85" s="724"/>
      <c r="AN85" s="724"/>
      <c r="AO85" s="724"/>
      <c r="AP85" s="724"/>
      <c r="AQ85" s="724"/>
      <c r="AR85" s="724"/>
      <c r="AS85" s="724"/>
      <c r="AT85" s="724"/>
      <c r="AW85" s="730"/>
      <c r="AX85" s="730"/>
      <c r="AY85" s="730"/>
      <c r="AZ85" s="730"/>
      <c r="BA85" s="730"/>
      <c r="BB85" s="730"/>
      <c r="BC85" s="730"/>
      <c r="BD85" s="730"/>
      <c r="BE85" s="730"/>
      <c r="BF85" s="730"/>
      <c r="BG85" s="730"/>
      <c r="BH85" s="730"/>
      <c r="BI85" s="730"/>
      <c r="BJ85" s="730"/>
      <c r="BK85" s="730"/>
      <c r="BL85" s="730"/>
      <c r="BM85" s="730"/>
      <c r="BN85" s="730"/>
      <c r="BO85" s="730"/>
      <c r="BP85" s="730"/>
      <c r="BQ85" s="730"/>
      <c r="BR85" s="730"/>
      <c r="BS85" s="730"/>
      <c r="BT85" s="730"/>
      <c r="BU85" s="730"/>
      <c r="BV85" s="730"/>
      <c r="BW85" s="730"/>
      <c r="BX85" s="730"/>
      <c r="BY85" s="730"/>
      <c r="BZ85" s="730"/>
      <c r="CA85" s="730"/>
      <c r="CB85" s="730"/>
      <c r="CC85" s="730"/>
      <c r="CD85" s="730"/>
      <c r="CE85" s="730"/>
      <c r="CF85" s="730"/>
      <c r="CG85" s="730"/>
      <c r="CH85" s="730"/>
      <c r="CI85" s="730"/>
      <c r="CJ85" s="730"/>
      <c r="CK85" s="730"/>
      <c r="CL85" s="730"/>
      <c r="CM85" s="730"/>
      <c r="CN85" s="730"/>
      <c r="CO85" s="730"/>
      <c r="CU85" s="491"/>
      <c r="CV85" s="492"/>
      <c r="CW85" s="492"/>
      <c r="CX85" s="492"/>
      <c r="CY85" s="492"/>
      <c r="CZ85" s="492"/>
      <c r="DA85" s="492"/>
      <c r="DB85" s="492"/>
      <c r="DC85" s="492"/>
      <c r="DD85" s="492"/>
      <c r="DE85" s="492"/>
      <c r="DF85" s="492"/>
      <c r="DG85" s="492"/>
      <c r="DH85" s="492"/>
      <c r="DI85" s="492"/>
      <c r="DJ85" s="492"/>
      <c r="DK85" s="492"/>
      <c r="DL85" s="493"/>
    </row>
    <row r="86" spans="2:116" ht="16.7" customHeight="1" x14ac:dyDescent="0.3">
      <c r="B86" s="499" t="s">
        <v>162</v>
      </c>
      <c r="C86" s="499"/>
      <c r="D86" s="499"/>
      <c r="E86" s="499"/>
      <c r="G86" s="499" t="s">
        <v>163</v>
      </c>
      <c r="H86" s="499"/>
      <c r="I86" s="499"/>
      <c r="J86" s="499"/>
      <c r="K86" s="4"/>
      <c r="L86" s="499" t="s">
        <v>164</v>
      </c>
      <c r="M86" s="499"/>
      <c r="N86" s="499"/>
      <c r="O86" s="499"/>
      <c r="P86" s="499"/>
      <c r="R86" s="724"/>
      <c r="S86" s="724"/>
      <c r="T86" s="724"/>
      <c r="U86" s="724"/>
      <c r="V86" s="724"/>
      <c r="W86" s="724"/>
      <c r="X86" s="724"/>
      <c r="Y86" s="724"/>
      <c r="Z86" s="724"/>
      <c r="AA86" s="724"/>
      <c r="AB86" s="724"/>
      <c r="AC86" s="724"/>
      <c r="AD86" s="724"/>
      <c r="AE86" s="724"/>
      <c r="AF86" s="724"/>
      <c r="AG86" s="724"/>
      <c r="AH86" s="724"/>
      <c r="AI86" s="724"/>
      <c r="AJ86" s="724"/>
      <c r="AK86" s="724"/>
      <c r="AL86" s="724"/>
      <c r="AM86" s="724"/>
      <c r="AN86" s="724"/>
      <c r="AO86" s="724"/>
      <c r="AP86" s="724"/>
      <c r="AQ86" s="724"/>
      <c r="AR86" s="724"/>
      <c r="AS86" s="724"/>
      <c r="AT86" s="724"/>
      <c r="AW86" s="730"/>
      <c r="AX86" s="730"/>
      <c r="AY86" s="730"/>
      <c r="AZ86" s="730"/>
      <c r="BA86" s="730"/>
      <c r="BB86" s="730"/>
      <c r="BC86" s="730"/>
      <c r="BD86" s="730"/>
      <c r="BE86" s="730"/>
      <c r="BF86" s="730"/>
      <c r="BG86" s="730"/>
      <c r="BH86" s="730"/>
      <c r="BI86" s="730"/>
      <c r="BJ86" s="730"/>
      <c r="BK86" s="730"/>
      <c r="BL86" s="730"/>
      <c r="BM86" s="730"/>
      <c r="BN86" s="730"/>
      <c r="BO86" s="730"/>
      <c r="BP86" s="730"/>
      <c r="BQ86" s="730"/>
      <c r="BR86" s="730"/>
      <c r="BS86" s="730"/>
      <c r="BT86" s="730"/>
      <c r="BU86" s="730"/>
      <c r="BV86" s="730"/>
      <c r="BW86" s="730"/>
      <c r="BX86" s="730"/>
      <c r="BY86" s="730"/>
      <c r="BZ86" s="730"/>
      <c r="CA86" s="730"/>
      <c r="CB86" s="730"/>
      <c r="CC86" s="730"/>
      <c r="CD86" s="730"/>
      <c r="CE86" s="730"/>
      <c r="CF86" s="730"/>
      <c r="CG86" s="730"/>
      <c r="CH86" s="730"/>
      <c r="CI86" s="730"/>
      <c r="CJ86" s="730"/>
      <c r="CK86" s="730"/>
      <c r="CL86" s="730"/>
      <c r="CM86" s="730"/>
      <c r="CN86" s="730"/>
      <c r="CO86" s="730"/>
      <c r="CU86" s="491"/>
      <c r="CV86" s="492"/>
      <c r="CW86" s="492"/>
      <c r="CX86" s="492"/>
      <c r="CY86" s="492"/>
      <c r="CZ86" s="492"/>
      <c r="DA86" s="492"/>
      <c r="DB86" s="492"/>
      <c r="DC86" s="492"/>
      <c r="DD86" s="492"/>
      <c r="DE86" s="492"/>
      <c r="DF86" s="492"/>
      <c r="DG86" s="492"/>
      <c r="DH86" s="492"/>
      <c r="DI86" s="492"/>
      <c r="DJ86" s="492"/>
      <c r="DK86" s="492"/>
      <c r="DL86" s="493"/>
    </row>
    <row r="87" spans="2:116" ht="16.7" customHeight="1" x14ac:dyDescent="0.15">
      <c r="B87" s="675" t="str">
        <f>IFERROR(VLOOKUP(B85,法术大全!$A:$Z,6,FALSE),"")</f>
        <v/>
      </c>
      <c r="C87" s="675"/>
      <c r="D87" s="675"/>
      <c r="E87" s="675"/>
      <c r="G87" s="675" t="str">
        <f>IFERROR(VLOOKUP(B85,法术大全!$A:$Z,3,FALSE),"")</f>
        <v/>
      </c>
      <c r="H87" s="675"/>
      <c r="I87" s="675"/>
      <c r="J87" s="675"/>
      <c r="K87" s="4"/>
      <c r="L87" s="675" t="str">
        <f>IFERROR(VLOOKUP(B85,法术大全!$A:$Z,12,FALSE),"")</f>
        <v/>
      </c>
      <c r="M87" s="675"/>
      <c r="N87" s="675"/>
      <c r="O87" s="675"/>
      <c r="P87" s="675"/>
      <c r="R87" s="724"/>
      <c r="S87" s="724"/>
      <c r="T87" s="724"/>
      <c r="U87" s="724"/>
      <c r="V87" s="724"/>
      <c r="W87" s="724"/>
      <c r="X87" s="724"/>
      <c r="Y87" s="724"/>
      <c r="Z87" s="724"/>
      <c r="AA87" s="724"/>
      <c r="AB87" s="724"/>
      <c r="AC87" s="724"/>
      <c r="AD87" s="724"/>
      <c r="AE87" s="724"/>
      <c r="AF87" s="724"/>
      <c r="AG87" s="724"/>
      <c r="AH87" s="724"/>
      <c r="AI87" s="724"/>
      <c r="AJ87" s="724"/>
      <c r="AK87" s="724"/>
      <c r="AL87" s="724"/>
      <c r="AM87" s="724"/>
      <c r="AN87" s="724"/>
      <c r="AO87" s="724"/>
      <c r="AP87" s="724"/>
      <c r="AQ87" s="724"/>
      <c r="AR87" s="724"/>
      <c r="AS87" s="724"/>
      <c r="AT87" s="724"/>
      <c r="AW87" s="730"/>
      <c r="AX87" s="730"/>
      <c r="AY87" s="730"/>
      <c r="AZ87" s="730"/>
      <c r="BA87" s="730"/>
      <c r="BB87" s="730"/>
      <c r="BC87" s="730"/>
      <c r="BD87" s="730"/>
      <c r="BE87" s="730"/>
      <c r="BF87" s="730"/>
      <c r="BG87" s="730"/>
      <c r="BH87" s="730"/>
      <c r="BI87" s="730"/>
      <c r="BJ87" s="730"/>
      <c r="BK87" s="730"/>
      <c r="BL87" s="730"/>
      <c r="BM87" s="730"/>
      <c r="BN87" s="730"/>
      <c r="BO87" s="730"/>
      <c r="BP87" s="730"/>
      <c r="BQ87" s="730"/>
      <c r="BR87" s="730"/>
      <c r="BS87" s="730"/>
      <c r="BT87" s="730"/>
      <c r="BU87" s="730"/>
      <c r="BV87" s="730"/>
      <c r="BW87" s="730"/>
      <c r="BX87" s="730"/>
      <c r="BY87" s="730"/>
      <c r="BZ87" s="730"/>
      <c r="CA87" s="730"/>
      <c r="CB87" s="730"/>
      <c r="CC87" s="730"/>
      <c r="CD87" s="730"/>
      <c r="CE87" s="730"/>
      <c r="CF87" s="730"/>
      <c r="CG87" s="730"/>
      <c r="CH87" s="730"/>
      <c r="CI87" s="730"/>
      <c r="CJ87" s="730"/>
      <c r="CK87" s="730"/>
      <c r="CL87" s="730"/>
      <c r="CM87" s="730"/>
      <c r="CN87" s="730"/>
      <c r="CO87" s="730"/>
      <c r="CU87" s="491"/>
      <c r="CV87" s="492"/>
      <c r="CW87" s="492"/>
      <c r="CX87" s="492"/>
      <c r="CY87" s="492"/>
      <c r="CZ87" s="492"/>
      <c r="DA87" s="492"/>
      <c r="DB87" s="492"/>
      <c r="DC87" s="492"/>
      <c r="DD87" s="492"/>
      <c r="DE87" s="492"/>
      <c r="DF87" s="492"/>
      <c r="DG87" s="492"/>
      <c r="DH87" s="492"/>
      <c r="DI87" s="492"/>
      <c r="DJ87" s="492"/>
      <c r="DK87" s="492"/>
      <c r="DL87" s="493"/>
    </row>
    <row r="88" spans="2:116" ht="16.7" customHeight="1" x14ac:dyDescent="0.3">
      <c r="B88" s="499" t="s">
        <v>165</v>
      </c>
      <c r="C88" s="499"/>
      <c r="D88" s="499"/>
      <c r="E88" s="499"/>
      <c r="F88" s="499"/>
      <c r="G88" s="725" t="str">
        <f>IF(B85="","",CONCATENATE(IF(VLOOKUP(B85,法术大全!$A:$Z,8,0)="V","语言（V）",""),IF(VLOOKUP(B85,法术大全!$A:$Z,9,0)="S","姿势（S）",""),IF(VLOOKUP(B85,法术大全!$A:$Z,10,0)="M","材料(M)","")))</f>
        <v/>
      </c>
      <c r="H88" s="725"/>
      <c r="I88" s="725"/>
      <c r="J88" s="725"/>
      <c r="K88" s="725"/>
      <c r="L88" s="725"/>
      <c r="M88" s="725"/>
      <c r="N88" s="725"/>
      <c r="O88" s="725"/>
      <c r="P88" s="725"/>
      <c r="R88" s="724"/>
      <c r="S88" s="724"/>
      <c r="T88" s="724"/>
      <c r="U88" s="724"/>
      <c r="V88" s="724"/>
      <c r="W88" s="724"/>
      <c r="X88" s="724"/>
      <c r="Y88" s="724"/>
      <c r="Z88" s="724"/>
      <c r="AA88" s="724"/>
      <c r="AB88" s="724"/>
      <c r="AC88" s="724"/>
      <c r="AD88" s="724"/>
      <c r="AE88" s="724"/>
      <c r="AF88" s="724"/>
      <c r="AG88" s="724"/>
      <c r="AH88" s="724"/>
      <c r="AI88" s="724"/>
      <c r="AJ88" s="724"/>
      <c r="AK88" s="724"/>
      <c r="AL88" s="724"/>
      <c r="AM88" s="724"/>
      <c r="AN88" s="724"/>
      <c r="AO88" s="724"/>
      <c r="AP88" s="724"/>
      <c r="AQ88" s="724"/>
      <c r="AR88" s="724"/>
      <c r="AS88" s="724"/>
      <c r="AT88" s="724"/>
      <c r="AW88" s="730"/>
      <c r="AX88" s="730"/>
      <c r="AY88" s="730"/>
      <c r="AZ88" s="730"/>
      <c r="BA88" s="730"/>
      <c r="BB88" s="730"/>
      <c r="BC88" s="730"/>
      <c r="BD88" s="730"/>
      <c r="BE88" s="730"/>
      <c r="BF88" s="730"/>
      <c r="BG88" s="730"/>
      <c r="BH88" s="730"/>
      <c r="BI88" s="730"/>
      <c r="BJ88" s="730"/>
      <c r="BK88" s="730"/>
      <c r="BL88" s="730"/>
      <c r="BM88" s="730"/>
      <c r="BN88" s="730"/>
      <c r="BO88" s="730"/>
      <c r="BP88" s="730"/>
      <c r="BQ88" s="730"/>
      <c r="BR88" s="730"/>
      <c r="BS88" s="730"/>
      <c r="BT88" s="730"/>
      <c r="BU88" s="730"/>
      <c r="BV88" s="730"/>
      <c r="BW88" s="730"/>
      <c r="BX88" s="730"/>
      <c r="BY88" s="730"/>
      <c r="BZ88" s="730"/>
      <c r="CA88" s="730"/>
      <c r="CB88" s="730"/>
      <c r="CC88" s="730"/>
      <c r="CD88" s="730"/>
      <c r="CE88" s="730"/>
      <c r="CF88" s="730"/>
      <c r="CG88" s="730"/>
      <c r="CH88" s="730"/>
      <c r="CI88" s="730"/>
      <c r="CJ88" s="730"/>
      <c r="CK88" s="730"/>
      <c r="CL88" s="730"/>
      <c r="CM88" s="730"/>
      <c r="CN88" s="730"/>
      <c r="CO88" s="730"/>
      <c r="CU88" s="491"/>
      <c r="CV88" s="492"/>
      <c r="CW88" s="492"/>
      <c r="CX88" s="492"/>
      <c r="CY88" s="492"/>
      <c r="CZ88" s="492"/>
      <c r="DA88" s="492"/>
      <c r="DB88" s="492"/>
      <c r="DC88" s="492"/>
      <c r="DD88" s="492"/>
      <c r="DE88" s="492"/>
      <c r="DF88" s="492"/>
      <c r="DG88" s="492"/>
      <c r="DH88" s="492"/>
      <c r="DI88" s="492"/>
      <c r="DJ88" s="492"/>
      <c r="DK88" s="492"/>
      <c r="DL88" s="493"/>
    </row>
    <row r="89" spans="2:116" ht="16.7" customHeight="1" x14ac:dyDescent="0.15">
      <c r="B89" s="723" t="str">
        <f>IFERROR(IF(VLOOKUP(B85,法术大全!$A:$Z,10,FALSE)="M",VLOOKUP(B85,法术大全!$A:$Z,11,FALSE),""),"")</f>
        <v/>
      </c>
      <c r="C89" s="723"/>
      <c r="D89" s="723"/>
      <c r="E89" s="723"/>
      <c r="F89" s="723"/>
      <c r="G89" s="723"/>
      <c r="H89" s="723"/>
      <c r="I89" s="723"/>
      <c r="J89" s="723"/>
      <c r="K89" s="723"/>
      <c r="L89" s="723"/>
      <c r="M89" s="723"/>
      <c r="N89" s="723"/>
      <c r="O89" s="723"/>
      <c r="P89" s="723"/>
      <c r="R89" s="724"/>
      <c r="S89" s="724"/>
      <c r="T89" s="724"/>
      <c r="U89" s="724"/>
      <c r="V89" s="724"/>
      <c r="W89" s="724"/>
      <c r="X89" s="724"/>
      <c r="Y89" s="724"/>
      <c r="Z89" s="724"/>
      <c r="AA89" s="724"/>
      <c r="AB89" s="724"/>
      <c r="AC89" s="724"/>
      <c r="AD89" s="724"/>
      <c r="AE89" s="724"/>
      <c r="AF89" s="724"/>
      <c r="AG89" s="724"/>
      <c r="AH89" s="724"/>
      <c r="AI89" s="724"/>
      <c r="AJ89" s="724"/>
      <c r="AK89" s="724"/>
      <c r="AL89" s="724"/>
      <c r="AM89" s="724"/>
      <c r="AN89" s="724"/>
      <c r="AO89" s="724"/>
      <c r="AP89" s="724"/>
      <c r="AQ89" s="724"/>
      <c r="AR89" s="724"/>
      <c r="AS89" s="724"/>
      <c r="AT89" s="724"/>
      <c r="AW89" s="730"/>
      <c r="AX89" s="730"/>
      <c r="AY89" s="730"/>
      <c r="AZ89" s="730"/>
      <c r="BA89" s="730"/>
      <c r="BB89" s="730"/>
      <c r="BC89" s="730"/>
      <c r="BD89" s="730"/>
      <c r="BE89" s="730"/>
      <c r="BF89" s="730"/>
      <c r="BG89" s="730"/>
      <c r="BH89" s="730"/>
      <c r="BI89" s="730"/>
      <c r="BJ89" s="730"/>
      <c r="BK89" s="730"/>
      <c r="BL89" s="730"/>
      <c r="BM89" s="730"/>
      <c r="BN89" s="730"/>
      <c r="BO89" s="730"/>
      <c r="BP89" s="730"/>
      <c r="BQ89" s="730"/>
      <c r="BR89" s="730"/>
      <c r="BS89" s="730"/>
      <c r="BT89" s="730"/>
      <c r="BU89" s="730"/>
      <c r="BV89" s="730"/>
      <c r="BW89" s="730"/>
      <c r="BX89" s="730"/>
      <c r="BY89" s="730"/>
      <c r="BZ89" s="730"/>
      <c r="CA89" s="730"/>
      <c r="CB89" s="730"/>
      <c r="CC89" s="730"/>
      <c r="CD89" s="730"/>
      <c r="CE89" s="730"/>
      <c r="CF89" s="730"/>
      <c r="CG89" s="730"/>
      <c r="CH89" s="730"/>
      <c r="CI89" s="730"/>
      <c r="CJ89" s="730"/>
      <c r="CK89" s="730"/>
      <c r="CL89" s="730"/>
      <c r="CM89" s="730"/>
      <c r="CN89" s="730"/>
      <c r="CO89" s="730"/>
      <c r="CU89" s="491"/>
      <c r="CV89" s="492"/>
      <c r="CW89" s="492"/>
      <c r="CX89" s="492"/>
      <c r="CY89" s="492"/>
      <c r="CZ89" s="492"/>
      <c r="DA89" s="492"/>
      <c r="DB89" s="492"/>
      <c r="DC89" s="492"/>
      <c r="DD89" s="492"/>
      <c r="DE89" s="492"/>
      <c r="DF89" s="492"/>
      <c r="DG89" s="492"/>
      <c r="DH89" s="492"/>
      <c r="DI89" s="492"/>
      <c r="DJ89" s="492"/>
      <c r="DK89" s="492"/>
      <c r="DL89" s="493"/>
    </row>
    <row r="90" spans="2:116" ht="16.7" customHeight="1" x14ac:dyDescent="0.15">
      <c r="B90" s="723"/>
      <c r="C90" s="723"/>
      <c r="D90" s="723"/>
      <c r="E90" s="723"/>
      <c r="F90" s="723"/>
      <c r="G90" s="723"/>
      <c r="H90" s="723"/>
      <c r="I90" s="723"/>
      <c r="J90" s="723"/>
      <c r="K90" s="723"/>
      <c r="L90" s="723"/>
      <c r="M90" s="723"/>
      <c r="N90" s="723"/>
      <c r="O90" s="723"/>
      <c r="P90" s="723"/>
      <c r="R90" s="724"/>
      <c r="S90" s="724"/>
      <c r="T90" s="724"/>
      <c r="U90" s="724"/>
      <c r="V90" s="724"/>
      <c r="W90" s="724"/>
      <c r="X90" s="724"/>
      <c r="Y90" s="724"/>
      <c r="Z90" s="724"/>
      <c r="AA90" s="724"/>
      <c r="AB90" s="724"/>
      <c r="AC90" s="724"/>
      <c r="AD90" s="724"/>
      <c r="AE90" s="724"/>
      <c r="AF90" s="724"/>
      <c r="AG90" s="724"/>
      <c r="AH90" s="724"/>
      <c r="AI90" s="724"/>
      <c r="AJ90" s="724"/>
      <c r="AK90" s="724"/>
      <c r="AL90" s="724"/>
      <c r="AM90" s="724"/>
      <c r="AN90" s="724"/>
      <c r="AO90" s="724"/>
      <c r="AP90" s="724"/>
      <c r="AQ90" s="724"/>
      <c r="AR90" s="724"/>
      <c r="AS90" s="724"/>
      <c r="AT90" s="724"/>
      <c r="AW90" s="730"/>
      <c r="AX90" s="730"/>
      <c r="AY90" s="730"/>
      <c r="AZ90" s="730"/>
      <c r="BA90" s="730"/>
      <c r="BB90" s="730"/>
      <c r="BC90" s="730"/>
      <c r="BD90" s="730"/>
      <c r="BE90" s="730"/>
      <c r="BF90" s="730"/>
      <c r="BG90" s="730"/>
      <c r="BH90" s="730"/>
      <c r="BI90" s="730"/>
      <c r="BJ90" s="730"/>
      <c r="BK90" s="730"/>
      <c r="BL90" s="730"/>
      <c r="BM90" s="730"/>
      <c r="BN90" s="730"/>
      <c r="BO90" s="730"/>
      <c r="BP90" s="730"/>
      <c r="BQ90" s="730"/>
      <c r="BR90" s="730"/>
      <c r="BS90" s="730"/>
      <c r="BT90" s="730"/>
      <c r="BU90" s="730"/>
      <c r="BV90" s="730"/>
      <c r="BW90" s="730"/>
      <c r="BX90" s="730"/>
      <c r="BY90" s="730"/>
      <c r="BZ90" s="730"/>
      <c r="CA90" s="730"/>
      <c r="CB90" s="730"/>
      <c r="CC90" s="730"/>
      <c r="CD90" s="730"/>
      <c r="CE90" s="730"/>
      <c r="CF90" s="730"/>
      <c r="CG90" s="730"/>
      <c r="CH90" s="730"/>
      <c r="CI90" s="730"/>
      <c r="CJ90" s="730"/>
      <c r="CK90" s="730"/>
      <c r="CL90" s="730"/>
      <c r="CM90" s="730"/>
      <c r="CN90" s="730"/>
      <c r="CO90" s="730"/>
      <c r="CU90" s="491"/>
      <c r="CV90" s="492"/>
      <c r="CW90" s="492"/>
      <c r="CX90" s="492"/>
      <c r="CY90" s="492"/>
      <c r="CZ90" s="492"/>
      <c r="DA90" s="492"/>
      <c r="DB90" s="492"/>
      <c r="DC90" s="492"/>
      <c r="DD90" s="492"/>
      <c r="DE90" s="492"/>
      <c r="DF90" s="492"/>
      <c r="DG90" s="492"/>
      <c r="DH90" s="492"/>
      <c r="DI90" s="492"/>
      <c r="DJ90" s="492"/>
      <c r="DK90" s="492"/>
      <c r="DL90" s="493"/>
    </row>
    <row r="91" spans="2:116" ht="16.7" customHeight="1" x14ac:dyDescent="0.3">
      <c r="B91" s="499" t="s">
        <v>166</v>
      </c>
      <c r="C91" s="499"/>
      <c r="D91" s="499"/>
      <c r="E91" s="499"/>
      <c r="F91" s="499"/>
      <c r="G91" s="499"/>
      <c r="H91" s="499"/>
      <c r="I91" s="499"/>
      <c r="J91" s="499"/>
      <c r="K91" s="499"/>
      <c r="L91" s="499"/>
      <c r="M91" s="499"/>
      <c r="N91" s="499"/>
      <c r="O91" s="499"/>
      <c r="P91" s="499"/>
      <c r="R91" s="724"/>
      <c r="S91" s="724"/>
      <c r="T91" s="724"/>
      <c r="U91" s="724"/>
      <c r="V91" s="724"/>
      <c r="W91" s="724"/>
      <c r="X91" s="724"/>
      <c r="Y91" s="724"/>
      <c r="Z91" s="724"/>
      <c r="AA91" s="724"/>
      <c r="AB91" s="724"/>
      <c r="AC91" s="724"/>
      <c r="AD91" s="724"/>
      <c r="AE91" s="724"/>
      <c r="AF91" s="724"/>
      <c r="AG91" s="724"/>
      <c r="AH91" s="724"/>
      <c r="AI91" s="724"/>
      <c r="AJ91" s="724"/>
      <c r="AK91" s="724"/>
      <c r="AL91" s="724"/>
      <c r="AM91" s="724"/>
      <c r="AN91" s="724"/>
      <c r="AO91" s="724"/>
      <c r="AP91" s="724"/>
      <c r="AQ91" s="724"/>
      <c r="AR91" s="724"/>
      <c r="AS91" s="724"/>
      <c r="AT91" s="724"/>
      <c r="AW91" s="730"/>
      <c r="AX91" s="730"/>
      <c r="AY91" s="730"/>
      <c r="AZ91" s="730"/>
      <c r="BA91" s="730"/>
      <c r="BB91" s="730"/>
      <c r="BC91" s="730"/>
      <c r="BD91" s="730"/>
      <c r="BE91" s="730"/>
      <c r="BF91" s="730"/>
      <c r="BG91" s="730"/>
      <c r="BH91" s="730"/>
      <c r="BI91" s="730"/>
      <c r="BJ91" s="730"/>
      <c r="BK91" s="730"/>
      <c r="BL91" s="730"/>
      <c r="BM91" s="730"/>
      <c r="BN91" s="730"/>
      <c r="BO91" s="730"/>
      <c r="BP91" s="730"/>
      <c r="BQ91" s="730"/>
      <c r="BR91" s="730"/>
      <c r="BS91" s="730"/>
      <c r="BT91" s="730"/>
      <c r="BU91" s="730"/>
      <c r="BV91" s="730"/>
      <c r="BW91" s="730"/>
      <c r="BX91" s="730"/>
      <c r="BY91" s="730"/>
      <c r="BZ91" s="730"/>
      <c r="CA91" s="730"/>
      <c r="CB91" s="730"/>
      <c r="CC91" s="730"/>
      <c r="CD91" s="730"/>
      <c r="CE91" s="730"/>
      <c r="CF91" s="730"/>
      <c r="CG91" s="730"/>
      <c r="CH91" s="730"/>
      <c r="CI91" s="730"/>
      <c r="CJ91" s="730"/>
      <c r="CK91" s="730"/>
      <c r="CL91" s="730"/>
      <c r="CM91" s="730"/>
      <c r="CN91" s="730"/>
      <c r="CO91" s="730"/>
      <c r="CU91" s="491"/>
      <c r="CV91" s="492"/>
      <c r="CW91" s="492"/>
      <c r="CX91" s="492"/>
      <c r="CY91" s="492"/>
      <c r="CZ91" s="492"/>
      <c r="DA91" s="492"/>
      <c r="DB91" s="492"/>
      <c r="DC91" s="492"/>
      <c r="DD91" s="492"/>
      <c r="DE91" s="492"/>
      <c r="DF91" s="492"/>
      <c r="DG91" s="492"/>
      <c r="DH91" s="492"/>
      <c r="DI91" s="492"/>
      <c r="DJ91" s="492"/>
      <c r="DK91" s="492"/>
      <c r="DL91" s="493"/>
    </row>
    <row r="92" spans="2:116" ht="16.7" customHeight="1" x14ac:dyDescent="0.15">
      <c r="B92" s="723" t="str">
        <f>IF(B85="","",CONCATENATE(
IF(VLOOKUP(B85,法术大全!$A:$Z,15,0)="√","吟游诗人 ",""),
IF(VLOOKUP(B85,法术大全!$A:$Z,16,0)="√","牧师 ",""),
IF(VLOOKUP(B85,法术大全!$A:$Z,17,0)="√","德鲁伊 ",""),
IF(VLOOKUP(B85,法术大全!$A:$Z,18,0)="√","圣武士 ",""),
IF(VLOOKUP(B85,法术大全!$A:$Z,19,0)="√","游侠 ",""),
IF(VLOOKUP(B85,法术大全!$A:$Z,20,0)="√","术士 ",""),
IF(VLOOKUP(B85,法术大全!$A:$Z,21,0)="√","魔契师 ",""),
IF(VLOOKUP(B85,法术大全!$A:$Z,22,0)="√","法师 ",""),
IF(VLOOKUP(B85,法术大全!$A:$Z,23,0)="√","奇械师 ",""),
IF(VLOOKUP(B85,法术大全!$A:$Z,24,0)="√","灵能使 ",""),
IF(VLOOKUP(B85,法术大全!$A:$Z,25,0)="√","药剂师 ","")))</f>
        <v/>
      </c>
      <c r="C92" s="723"/>
      <c r="D92" s="723"/>
      <c r="E92" s="723"/>
      <c r="F92" s="723"/>
      <c r="G92" s="723"/>
      <c r="H92" s="723"/>
      <c r="I92" s="723"/>
      <c r="J92" s="723"/>
      <c r="K92" s="723"/>
      <c r="L92" s="723"/>
      <c r="M92" s="723"/>
      <c r="N92" s="723"/>
      <c r="O92" s="723"/>
      <c r="P92" s="723"/>
      <c r="R92" s="724"/>
      <c r="S92" s="724"/>
      <c r="T92" s="724"/>
      <c r="U92" s="724"/>
      <c r="V92" s="724"/>
      <c r="W92" s="724"/>
      <c r="X92" s="724"/>
      <c r="Y92" s="724"/>
      <c r="Z92" s="724"/>
      <c r="AA92" s="724"/>
      <c r="AB92" s="724"/>
      <c r="AC92" s="724"/>
      <c r="AD92" s="724"/>
      <c r="AE92" s="724"/>
      <c r="AF92" s="724"/>
      <c r="AG92" s="724"/>
      <c r="AH92" s="724"/>
      <c r="AI92" s="724"/>
      <c r="AJ92" s="724"/>
      <c r="AK92" s="724"/>
      <c r="AL92" s="724"/>
      <c r="AM92" s="724"/>
      <c r="AN92" s="724"/>
      <c r="AO92" s="724"/>
      <c r="AP92" s="724"/>
      <c r="AQ92" s="724"/>
      <c r="AR92" s="724"/>
      <c r="AS92" s="724"/>
      <c r="AT92" s="724"/>
      <c r="AW92" s="730"/>
      <c r="AX92" s="730"/>
      <c r="AY92" s="730"/>
      <c r="AZ92" s="730"/>
      <c r="BA92" s="730"/>
      <c r="BB92" s="730"/>
      <c r="BC92" s="730"/>
      <c r="BD92" s="730"/>
      <c r="BE92" s="730"/>
      <c r="BF92" s="730"/>
      <c r="BG92" s="730"/>
      <c r="BH92" s="730"/>
      <c r="BI92" s="730"/>
      <c r="BJ92" s="730"/>
      <c r="BK92" s="730"/>
      <c r="BL92" s="730"/>
      <c r="BM92" s="730"/>
      <c r="BN92" s="730"/>
      <c r="BO92" s="730"/>
      <c r="BP92" s="730"/>
      <c r="BQ92" s="730"/>
      <c r="BR92" s="730"/>
      <c r="BS92" s="730"/>
      <c r="BT92" s="730"/>
      <c r="BU92" s="730"/>
      <c r="BV92" s="730"/>
      <c r="BW92" s="730"/>
      <c r="BX92" s="730"/>
      <c r="BY92" s="730"/>
      <c r="BZ92" s="730"/>
      <c r="CA92" s="730"/>
      <c r="CB92" s="730"/>
      <c r="CC92" s="730"/>
      <c r="CD92" s="730"/>
      <c r="CE92" s="730"/>
      <c r="CF92" s="730"/>
      <c r="CG92" s="730"/>
      <c r="CH92" s="730"/>
      <c r="CI92" s="730"/>
      <c r="CJ92" s="730"/>
      <c r="CK92" s="730"/>
      <c r="CL92" s="730"/>
      <c r="CM92" s="730"/>
      <c r="CN92" s="730"/>
      <c r="CO92" s="730"/>
      <c r="CU92" s="491"/>
      <c r="CV92" s="492"/>
      <c r="CW92" s="492"/>
      <c r="CX92" s="492"/>
      <c r="CY92" s="492"/>
      <c r="CZ92" s="492"/>
      <c r="DA92" s="492"/>
      <c r="DB92" s="492"/>
      <c r="DC92" s="492"/>
      <c r="DD92" s="492"/>
      <c r="DE92" s="492"/>
      <c r="DF92" s="492"/>
      <c r="DG92" s="492"/>
      <c r="DH92" s="492"/>
      <c r="DI92" s="492"/>
      <c r="DJ92" s="492"/>
      <c r="DK92" s="492"/>
      <c r="DL92" s="493"/>
    </row>
    <row r="93" spans="2:116" ht="16.7" customHeight="1" x14ac:dyDescent="0.15">
      <c r="B93" s="723"/>
      <c r="C93" s="723"/>
      <c r="D93" s="723"/>
      <c r="E93" s="723"/>
      <c r="F93" s="723"/>
      <c r="G93" s="723"/>
      <c r="H93" s="723"/>
      <c r="I93" s="723"/>
      <c r="J93" s="723"/>
      <c r="K93" s="723"/>
      <c r="L93" s="723"/>
      <c r="M93" s="723"/>
      <c r="N93" s="723"/>
      <c r="O93" s="723"/>
      <c r="P93" s="723"/>
      <c r="R93" s="724"/>
      <c r="S93" s="724"/>
      <c r="T93" s="724"/>
      <c r="U93" s="724"/>
      <c r="V93" s="724"/>
      <c r="W93" s="724"/>
      <c r="X93" s="724"/>
      <c r="Y93" s="724"/>
      <c r="Z93" s="724"/>
      <c r="AA93" s="724"/>
      <c r="AB93" s="724"/>
      <c r="AC93" s="724"/>
      <c r="AD93" s="724"/>
      <c r="AE93" s="724"/>
      <c r="AF93" s="724"/>
      <c r="AG93" s="724"/>
      <c r="AH93" s="724"/>
      <c r="AI93" s="724"/>
      <c r="AJ93" s="724"/>
      <c r="AK93" s="724"/>
      <c r="AL93" s="724"/>
      <c r="AM93" s="724"/>
      <c r="AN93" s="724"/>
      <c r="AO93" s="724"/>
      <c r="AP93" s="724"/>
      <c r="AQ93" s="724"/>
      <c r="AR93" s="724"/>
      <c r="AS93" s="724"/>
      <c r="AT93" s="724"/>
      <c r="AW93" s="730"/>
      <c r="AX93" s="730"/>
      <c r="AY93" s="730"/>
      <c r="AZ93" s="730"/>
      <c r="BA93" s="730"/>
      <c r="BB93" s="730"/>
      <c r="BC93" s="730"/>
      <c r="BD93" s="730"/>
      <c r="BE93" s="730"/>
      <c r="BF93" s="730"/>
      <c r="BG93" s="730"/>
      <c r="BH93" s="730"/>
      <c r="BI93" s="730"/>
      <c r="BJ93" s="730"/>
      <c r="BK93" s="730"/>
      <c r="BL93" s="730"/>
      <c r="BM93" s="730"/>
      <c r="BN93" s="730"/>
      <c r="BO93" s="730"/>
      <c r="BP93" s="730"/>
      <c r="BQ93" s="730"/>
      <c r="BR93" s="730"/>
      <c r="BS93" s="730"/>
      <c r="BT93" s="730"/>
      <c r="BU93" s="730"/>
      <c r="BV93" s="730"/>
      <c r="BW93" s="730"/>
      <c r="BX93" s="730"/>
      <c r="BY93" s="730"/>
      <c r="BZ93" s="730"/>
      <c r="CA93" s="730"/>
      <c r="CB93" s="730"/>
      <c r="CC93" s="730"/>
      <c r="CD93" s="730"/>
      <c r="CE93" s="730"/>
      <c r="CF93" s="730"/>
      <c r="CG93" s="730"/>
      <c r="CH93" s="730"/>
      <c r="CI93" s="730"/>
      <c r="CJ93" s="730"/>
      <c r="CK93" s="730"/>
      <c r="CL93" s="730"/>
      <c r="CM93" s="730"/>
      <c r="CN93" s="730"/>
      <c r="CO93" s="730"/>
      <c r="CU93" s="494"/>
      <c r="CV93" s="495"/>
      <c r="CW93" s="495"/>
      <c r="CX93" s="495"/>
      <c r="CY93" s="495"/>
      <c r="CZ93" s="495"/>
      <c r="DA93" s="495"/>
      <c r="DB93" s="495"/>
      <c r="DC93" s="495"/>
      <c r="DD93" s="495"/>
      <c r="DE93" s="495"/>
      <c r="DF93" s="495"/>
      <c r="DG93" s="495"/>
      <c r="DH93" s="495"/>
      <c r="DI93" s="495"/>
      <c r="DJ93" s="495"/>
      <c r="DK93" s="495"/>
      <c r="DL93" s="496"/>
    </row>
    <row r="95" spans="2:116" ht="16.7" customHeight="1" x14ac:dyDescent="0.15">
      <c r="AW95" s="98"/>
      <c r="AX95" s="98"/>
      <c r="AY95" s="98"/>
      <c r="AZ95" s="98"/>
      <c r="BA95" s="98"/>
      <c r="BB95" s="98"/>
      <c r="BC95" s="98"/>
      <c r="BD95" s="98"/>
      <c r="BE95" s="98"/>
      <c r="BF95" s="98"/>
      <c r="BG95" s="98"/>
      <c r="BH95" s="98"/>
      <c r="BI95" s="98"/>
      <c r="BJ95" s="98"/>
      <c r="BK95" s="98"/>
      <c r="BL95" s="98"/>
      <c r="BM95" s="98"/>
      <c r="BN95" s="98"/>
      <c r="BO95" s="98"/>
      <c r="BP95" s="98"/>
      <c r="BQ95" s="98"/>
      <c r="BR95" s="98"/>
      <c r="BS95" s="98"/>
    </row>
    <row r="96" spans="2:116" ht="16.7" customHeight="1" x14ac:dyDescent="0.15">
      <c r="AW96" s="98"/>
      <c r="AX96" s="98"/>
      <c r="AY96" s="98"/>
      <c r="AZ96" s="98"/>
      <c r="BA96" s="98"/>
      <c r="BB96" s="98"/>
      <c r="BC96" s="98"/>
      <c r="BD96" s="98"/>
      <c r="BE96" s="98"/>
      <c r="BF96" s="98"/>
      <c r="BG96" s="98"/>
      <c r="BH96" s="98"/>
      <c r="BI96" s="98"/>
      <c r="BJ96" s="98"/>
      <c r="BK96" s="98"/>
      <c r="BL96" s="98"/>
      <c r="BM96" s="98"/>
      <c r="BN96" s="98"/>
      <c r="BO96" s="98"/>
      <c r="BP96" s="98"/>
      <c r="BQ96" s="98"/>
      <c r="BR96" s="98"/>
      <c r="BS96" s="98"/>
    </row>
    <row r="97" spans="47:71" ht="16.7" customHeight="1" x14ac:dyDescent="0.15">
      <c r="AW97" s="98"/>
      <c r="AX97" s="98"/>
      <c r="AY97" s="98"/>
      <c r="AZ97" s="98"/>
      <c r="BA97" s="98"/>
      <c r="BB97" s="98"/>
      <c r="BC97" s="98"/>
      <c r="BD97" s="98"/>
      <c r="BE97" s="98"/>
      <c r="BF97" s="98"/>
      <c r="BG97" s="98"/>
      <c r="BH97" s="98"/>
      <c r="BI97" s="98"/>
      <c r="BJ97" s="98"/>
      <c r="BK97" s="98"/>
      <c r="BL97" s="98"/>
      <c r="BM97" s="98"/>
      <c r="BN97" s="98"/>
      <c r="BO97" s="98"/>
      <c r="BP97" s="98"/>
      <c r="BQ97" s="98"/>
      <c r="BR97" s="98"/>
      <c r="BS97" s="98"/>
    </row>
    <row r="98" spans="47:71" ht="16.7" customHeight="1" x14ac:dyDescent="0.15">
      <c r="AW98" s="98"/>
      <c r="AX98" s="98"/>
      <c r="AY98" s="98"/>
      <c r="AZ98" s="98"/>
      <c r="BA98" s="98"/>
      <c r="BB98" s="98"/>
      <c r="BC98" s="98"/>
      <c r="BD98" s="98"/>
      <c r="BE98" s="98"/>
      <c r="BF98" s="98"/>
      <c r="BG98" s="98"/>
      <c r="BH98" s="98"/>
      <c r="BI98" s="98"/>
      <c r="BJ98" s="98"/>
      <c r="BK98" s="98"/>
      <c r="BL98" s="98"/>
      <c r="BM98" s="98"/>
      <c r="BN98" s="98"/>
      <c r="BO98" s="98"/>
      <c r="BP98" s="98"/>
      <c r="BQ98" s="98"/>
      <c r="BR98" s="98"/>
      <c r="BS98" s="98"/>
    </row>
    <row r="99" spans="47:71" ht="16.7" customHeight="1" x14ac:dyDescent="0.15">
      <c r="AZ99" s="98"/>
      <c r="BA99" s="98"/>
      <c r="BB99" s="98"/>
      <c r="BC99" s="98"/>
      <c r="BD99" s="98"/>
      <c r="BE99" s="98"/>
      <c r="BF99" s="98"/>
      <c r="BG99" s="98"/>
      <c r="BH99" s="98"/>
      <c r="BI99" s="98"/>
      <c r="BJ99" s="98"/>
      <c r="BK99" s="98"/>
      <c r="BL99" s="98"/>
      <c r="BM99" s="98"/>
      <c r="BN99" s="98"/>
      <c r="BO99" s="98"/>
      <c r="BP99" s="98"/>
      <c r="BQ99" s="98"/>
      <c r="BR99" s="98"/>
      <c r="BS99" s="98"/>
    </row>
    <row r="101" spans="47:71" ht="16.7" customHeight="1" x14ac:dyDescent="0.15">
      <c r="AU101" s="98"/>
      <c r="AV101" s="98"/>
    </row>
  </sheetData>
  <sheetProtection sheet="1"/>
  <dataConsolidate/>
  <mergeCells count="958">
    <mergeCell ref="BC77:BR77"/>
    <mergeCell ref="W48:AT48"/>
    <mergeCell ref="W49:AT49"/>
    <mergeCell ref="W50:AT50"/>
    <mergeCell ref="W51:AT51"/>
    <mergeCell ref="AX57:BB57"/>
    <mergeCell ref="BC57:BR57"/>
    <mergeCell ref="AO66:AT66"/>
    <mergeCell ref="AO65:AT65"/>
    <mergeCell ref="AX58:BB58"/>
    <mergeCell ref="BC58:BR58"/>
    <mergeCell ref="AX59:BB59"/>
    <mergeCell ref="BC55:BR55"/>
    <mergeCell ref="AX55:BB55"/>
    <mergeCell ref="AO75:AT75"/>
    <mergeCell ref="AX77:BB77"/>
    <mergeCell ref="AO73:AT73"/>
    <mergeCell ref="AG67:AL67"/>
    <mergeCell ref="AG65:AL65"/>
    <mergeCell ref="Y65:AD65"/>
    <mergeCell ref="Y61:AE61"/>
    <mergeCell ref="AG61:AH61"/>
    <mergeCell ref="AI61:AM61"/>
    <mergeCell ref="AX73:BB73"/>
    <mergeCell ref="BC44:BR44"/>
    <mergeCell ref="BC41:BR41"/>
    <mergeCell ref="AB35:AC35"/>
    <mergeCell ref="AL35:AM35"/>
    <mergeCell ref="AH35:AK35"/>
    <mergeCell ref="AF35:AG35"/>
    <mergeCell ref="Z35:AA35"/>
    <mergeCell ref="AX45:BB45"/>
    <mergeCell ref="AX43:BB43"/>
    <mergeCell ref="AI40:AJ40"/>
    <mergeCell ref="V40:AD40"/>
    <mergeCell ref="AX36:BB36"/>
    <mergeCell ref="AD35:AE35"/>
    <mergeCell ref="AX37:BB37"/>
    <mergeCell ref="AL36:AM36"/>
    <mergeCell ref="AH36:AK36"/>
    <mergeCell ref="AF36:AG36"/>
    <mergeCell ref="Z36:AA36"/>
    <mergeCell ref="AB36:AC36"/>
    <mergeCell ref="AX35:BB35"/>
    <mergeCell ref="AH34:AK34"/>
    <mergeCell ref="M34:U34"/>
    <mergeCell ref="AD34:AE34"/>
    <mergeCell ref="AF33:AG33"/>
    <mergeCell ref="AE30:AJ30"/>
    <mergeCell ref="AK30:AO30"/>
    <mergeCell ref="AP34:AT34"/>
    <mergeCell ref="AL31:AM31"/>
    <mergeCell ref="AL32:AM32"/>
    <mergeCell ref="AB32:AC32"/>
    <mergeCell ref="AA30:AC30"/>
    <mergeCell ref="AB34:AC34"/>
    <mergeCell ref="AN34:AO34"/>
    <mergeCell ref="AF31:AG31"/>
    <mergeCell ref="AN31:AO31"/>
    <mergeCell ref="Z32:AA32"/>
    <mergeCell ref="AN33:AO33"/>
    <mergeCell ref="AH31:AK31"/>
    <mergeCell ref="AB33:AC33"/>
    <mergeCell ref="B20:Q20"/>
    <mergeCell ref="M18:N18"/>
    <mergeCell ref="B22:C22"/>
    <mergeCell ref="C18:E18"/>
    <mergeCell ref="F18:G18"/>
    <mergeCell ref="AF28:AI28"/>
    <mergeCell ref="AJ28:AM28"/>
    <mergeCell ref="AN28:AO28"/>
    <mergeCell ref="AS28:AT28"/>
    <mergeCell ref="AB28:AC28"/>
    <mergeCell ref="AQ28:AR28"/>
    <mergeCell ref="AD28:AE28"/>
    <mergeCell ref="O25:P25"/>
    <mergeCell ref="Q25:T25"/>
    <mergeCell ref="J26:K26"/>
    <mergeCell ref="M26:N26"/>
    <mergeCell ref="Q28:T28"/>
    <mergeCell ref="Q27:T27"/>
    <mergeCell ref="J24:K24"/>
    <mergeCell ref="P24:S24"/>
    <mergeCell ref="G24:H24"/>
    <mergeCell ref="AR24:AT24"/>
    <mergeCell ref="AO22:AQ22"/>
    <mergeCell ref="AO23:AQ23"/>
    <mergeCell ref="AR23:AT23"/>
    <mergeCell ref="AR22:AT22"/>
    <mergeCell ref="AD27:AE27"/>
    <mergeCell ref="AJ26:AM26"/>
    <mergeCell ref="AN26:AO26"/>
    <mergeCell ref="AS26:AT26"/>
    <mergeCell ref="AS25:AT25"/>
    <mergeCell ref="AF25:AI25"/>
    <mergeCell ref="AJ25:AM25"/>
    <mergeCell ref="AN25:AO25"/>
    <mergeCell ref="AS27:AT27"/>
    <mergeCell ref="AQ27:AR27"/>
    <mergeCell ref="AF27:AI27"/>
    <mergeCell ref="AJ27:AM27"/>
    <mergeCell ref="AQ26:AR26"/>
    <mergeCell ref="AN27:AO27"/>
    <mergeCell ref="AO24:AQ24"/>
    <mergeCell ref="BZ32:CO32"/>
    <mergeCell ref="BT33:BY33"/>
    <mergeCell ref="AE24:AN24"/>
    <mergeCell ref="AE22:AN22"/>
    <mergeCell ref="J27:K27"/>
    <mergeCell ref="M27:N27"/>
    <mergeCell ref="AE23:AN23"/>
    <mergeCell ref="AA23:AD23"/>
    <mergeCell ref="AA22:AD22"/>
    <mergeCell ref="AA24:AD24"/>
    <mergeCell ref="BC29:BR29"/>
    <mergeCell ref="BC30:BR30"/>
    <mergeCell ref="BC32:BR32"/>
    <mergeCell ref="AX29:BB29"/>
    <mergeCell ref="AS30:AT30"/>
    <mergeCell ref="X31:AA31"/>
    <mergeCell ref="AF32:AG32"/>
    <mergeCell ref="AB31:AE31"/>
    <mergeCell ref="X32:Y32"/>
    <mergeCell ref="AH32:AK32"/>
    <mergeCell ref="AH33:AK33"/>
    <mergeCell ref="BC22:BR22"/>
    <mergeCell ref="AP30:AR30"/>
    <mergeCell ref="AX30:BB30"/>
    <mergeCell ref="BZ25:CO25"/>
    <mergeCell ref="BZ26:CO26"/>
    <mergeCell ref="BU24:BY24"/>
    <mergeCell ref="BU25:BY25"/>
    <mergeCell ref="BZ29:CO29"/>
    <mergeCell ref="BZ28:CO28"/>
    <mergeCell ref="BZ21:CO21"/>
    <mergeCell ref="BT11:BY11"/>
    <mergeCell ref="BT7:BY7"/>
    <mergeCell ref="BT8:BY8"/>
    <mergeCell ref="BZ22:CO22"/>
    <mergeCell ref="BU19:BY19"/>
    <mergeCell ref="BT17:CO17"/>
    <mergeCell ref="BT12:BY12"/>
    <mergeCell ref="BZ12:CO12"/>
    <mergeCell ref="BZ10:CO10"/>
    <mergeCell ref="BZ24:CO24"/>
    <mergeCell ref="BZ11:CO11"/>
    <mergeCell ref="BZ8:CO8"/>
    <mergeCell ref="BZ9:CO9"/>
    <mergeCell ref="BZ7:CO7"/>
    <mergeCell ref="BZ19:CO19"/>
    <mergeCell ref="BZ20:CO20"/>
    <mergeCell ref="BZ18:CO18"/>
    <mergeCell ref="AO79:AT79"/>
    <mergeCell ref="AX66:BB66"/>
    <mergeCell ref="BC66:BR66"/>
    <mergeCell ref="AO77:AT77"/>
    <mergeCell ref="AO76:AT76"/>
    <mergeCell ref="AG74:AL74"/>
    <mergeCell ref="AO74:AT74"/>
    <mergeCell ref="AO67:AT67"/>
    <mergeCell ref="P75:AD75"/>
    <mergeCell ref="AG75:AL75"/>
    <mergeCell ref="Q73:V73"/>
    <mergeCell ref="Y73:AD73"/>
    <mergeCell ref="AG73:AL73"/>
    <mergeCell ref="AO72:AT72"/>
    <mergeCell ref="AO68:AT68"/>
    <mergeCell ref="Y69:AD69"/>
    <mergeCell ref="AG69:AL69"/>
    <mergeCell ref="AO69:AT69"/>
    <mergeCell ref="AG72:AL72"/>
    <mergeCell ref="Y67:AD67"/>
    <mergeCell ref="AG68:AL68"/>
    <mergeCell ref="Y66:AD66"/>
    <mergeCell ref="AG66:AL66"/>
    <mergeCell ref="BC72:BR72"/>
    <mergeCell ref="BZ36:CO36"/>
    <mergeCell ref="AX56:BB56"/>
    <mergeCell ref="BC56:BR56"/>
    <mergeCell ref="BC51:BR51"/>
    <mergeCell ref="AX52:BB52"/>
    <mergeCell ref="AW79:BK79"/>
    <mergeCell ref="BL79:BZ79"/>
    <mergeCell ref="CA79:CO79"/>
    <mergeCell ref="AW80:BK93"/>
    <mergeCell ref="BL80:BZ93"/>
    <mergeCell ref="CA80:CO93"/>
    <mergeCell ref="AX64:BB64"/>
    <mergeCell ref="BC64:BR64"/>
    <mergeCell ref="AX65:BB65"/>
    <mergeCell ref="BC65:BR65"/>
    <mergeCell ref="BT44:BY44"/>
    <mergeCell ref="BZ44:CO44"/>
    <mergeCell ref="BC45:BR45"/>
    <mergeCell ref="AX44:BB44"/>
    <mergeCell ref="BC46:BR46"/>
    <mergeCell ref="BC49:BR49"/>
    <mergeCell ref="BC50:BR50"/>
    <mergeCell ref="AX39:BB39"/>
    <mergeCell ref="AX41:BB41"/>
    <mergeCell ref="BZ35:CO35"/>
    <mergeCell ref="BT32:BY32"/>
    <mergeCell ref="BZ33:CO33"/>
    <mergeCell ref="AX68:BB68"/>
    <mergeCell ref="BC68:BR68"/>
    <mergeCell ref="BT38:CO38"/>
    <mergeCell ref="BT39:BY39"/>
    <mergeCell ref="BZ39:CO39"/>
    <mergeCell ref="BT40:BY40"/>
    <mergeCell ref="BZ40:CO40"/>
    <mergeCell ref="BT41:BY41"/>
    <mergeCell ref="BT42:BY42"/>
    <mergeCell ref="BZ41:CO41"/>
    <mergeCell ref="BZ42:CO42"/>
    <mergeCell ref="BT43:BY43"/>
    <mergeCell ref="BZ43:CO43"/>
    <mergeCell ref="AX67:BB67"/>
    <mergeCell ref="BC67:BR67"/>
    <mergeCell ref="BT36:BY36"/>
    <mergeCell ref="BC35:BR35"/>
    <mergeCell ref="BC36:BR36"/>
    <mergeCell ref="BC37:BR37"/>
    <mergeCell ref="AX40:BB40"/>
    <mergeCell ref="BC40:BR40"/>
    <mergeCell ref="B72:D72"/>
    <mergeCell ref="E72:F72"/>
    <mergeCell ref="H72:I72"/>
    <mergeCell ref="J72:L72"/>
    <mergeCell ref="Q72:V72"/>
    <mergeCell ref="Y72:AD72"/>
    <mergeCell ref="BT35:BY35"/>
    <mergeCell ref="BC52:BR52"/>
    <mergeCell ref="AX63:BB63"/>
    <mergeCell ref="BC63:BR63"/>
    <mergeCell ref="BC62:BR62"/>
    <mergeCell ref="AX62:BB62"/>
    <mergeCell ref="AX51:BB51"/>
    <mergeCell ref="AX53:BB53"/>
    <mergeCell ref="BC53:BR53"/>
    <mergeCell ref="AX54:BB54"/>
    <mergeCell ref="BC54:BR54"/>
    <mergeCell ref="BC61:BR61"/>
    <mergeCell ref="AX61:BB61"/>
    <mergeCell ref="BC59:BR59"/>
    <mergeCell ref="AX60:BB60"/>
    <mergeCell ref="BC60:BR60"/>
    <mergeCell ref="BC48:BR48"/>
    <mergeCell ref="AX48:BB48"/>
    <mergeCell ref="B73:D73"/>
    <mergeCell ref="E73:F73"/>
    <mergeCell ref="H73:I73"/>
    <mergeCell ref="J73:L73"/>
    <mergeCell ref="B75:D75"/>
    <mergeCell ref="E75:F75"/>
    <mergeCell ref="H75:I75"/>
    <mergeCell ref="J75:L75"/>
    <mergeCell ref="B74:D74"/>
    <mergeCell ref="E74:F74"/>
    <mergeCell ref="H74:I74"/>
    <mergeCell ref="J74:L74"/>
    <mergeCell ref="B89:P90"/>
    <mergeCell ref="R84:AT93"/>
    <mergeCell ref="B92:P93"/>
    <mergeCell ref="B85:G85"/>
    <mergeCell ref="I85:P85"/>
    <mergeCell ref="B87:E87"/>
    <mergeCell ref="G87:J87"/>
    <mergeCell ref="L87:P87"/>
    <mergeCell ref="B88:F88"/>
    <mergeCell ref="G88:P88"/>
    <mergeCell ref="B91:P91"/>
    <mergeCell ref="B84:G84"/>
    <mergeCell ref="I84:P84"/>
    <mergeCell ref="B86:E86"/>
    <mergeCell ref="G86:J86"/>
    <mergeCell ref="L86:P86"/>
    <mergeCell ref="B81:E81"/>
    <mergeCell ref="F81:H81"/>
    <mergeCell ref="Q81:V81"/>
    <mergeCell ref="H80:I80"/>
    <mergeCell ref="B78:D78"/>
    <mergeCell ref="E76:F76"/>
    <mergeCell ref="H76:I76"/>
    <mergeCell ref="J76:L76"/>
    <mergeCell ref="B79:D79"/>
    <mergeCell ref="E79:F79"/>
    <mergeCell ref="E78:F78"/>
    <mergeCell ref="H78:I78"/>
    <mergeCell ref="J78:L78"/>
    <mergeCell ref="H79:I79"/>
    <mergeCell ref="H77:I77"/>
    <mergeCell ref="B76:D76"/>
    <mergeCell ref="B77:D77"/>
    <mergeCell ref="E77:F77"/>
    <mergeCell ref="J81:L81"/>
    <mergeCell ref="J77:L77"/>
    <mergeCell ref="B80:D80"/>
    <mergeCell ref="E80:F80"/>
    <mergeCell ref="R83:AT83"/>
    <mergeCell ref="J79:L79"/>
    <mergeCell ref="Q79:V79"/>
    <mergeCell ref="Y79:AD79"/>
    <mergeCell ref="AG79:AL79"/>
    <mergeCell ref="AG77:AL77"/>
    <mergeCell ref="Q76:V76"/>
    <mergeCell ref="Y76:AD76"/>
    <mergeCell ref="AG78:AL78"/>
    <mergeCell ref="Q78:V78"/>
    <mergeCell ref="Y78:AD78"/>
    <mergeCell ref="Q77:V77"/>
    <mergeCell ref="Y77:AD77"/>
    <mergeCell ref="Y80:AD80"/>
    <mergeCell ref="AG80:AL80"/>
    <mergeCell ref="AG81:AL81"/>
    <mergeCell ref="Y81:AD81"/>
    <mergeCell ref="AO78:AT78"/>
    <mergeCell ref="AO80:AT80"/>
    <mergeCell ref="AO81:AT81"/>
    <mergeCell ref="J80:L80"/>
    <mergeCell ref="Q80:V80"/>
    <mergeCell ref="B83:P83"/>
    <mergeCell ref="AG76:AL76"/>
    <mergeCell ref="B71:D71"/>
    <mergeCell ref="E71:I71"/>
    <mergeCell ref="J71:L71"/>
    <mergeCell ref="Q71:V71"/>
    <mergeCell ref="Y71:AD71"/>
    <mergeCell ref="AG71:AL71"/>
    <mergeCell ref="AO71:AT71"/>
    <mergeCell ref="F70:N70"/>
    <mergeCell ref="B70:E70"/>
    <mergeCell ref="Q70:V70"/>
    <mergeCell ref="Y70:AD70"/>
    <mergeCell ref="AG70:AL70"/>
    <mergeCell ref="AO70:AT70"/>
    <mergeCell ref="B69:E69"/>
    <mergeCell ref="Q69:V69"/>
    <mergeCell ref="B68:D68"/>
    <mergeCell ref="E68:F68"/>
    <mergeCell ref="G68:H68"/>
    <mergeCell ref="I68:J68"/>
    <mergeCell ref="K68:N68"/>
    <mergeCell ref="Q68:V68"/>
    <mergeCell ref="Y68:AD68"/>
    <mergeCell ref="F69:N69"/>
    <mergeCell ref="T59:W59"/>
    <mergeCell ref="T61:W61"/>
    <mergeCell ref="I65:J65"/>
    <mergeCell ref="K65:N65"/>
    <mergeCell ref="C61:E61"/>
    <mergeCell ref="F61:G61"/>
    <mergeCell ref="P64:V64"/>
    <mergeCell ref="L61:O61"/>
    <mergeCell ref="I61:J61"/>
    <mergeCell ref="P61:S61"/>
    <mergeCell ref="P60:S60"/>
    <mergeCell ref="L60:O60"/>
    <mergeCell ref="E66:F66"/>
    <mergeCell ref="G66:H66"/>
    <mergeCell ref="C59:E59"/>
    <mergeCell ref="C60:E60"/>
    <mergeCell ref="F60:G60"/>
    <mergeCell ref="I60:J60"/>
    <mergeCell ref="F59:G59"/>
    <mergeCell ref="I66:J66"/>
    <mergeCell ref="K66:N66"/>
    <mergeCell ref="I59:J59"/>
    <mergeCell ref="L59:O59"/>
    <mergeCell ref="R55:T55"/>
    <mergeCell ref="R56:T56"/>
    <mergeCell ref="L53:P53"/>
    <mergeCell ref="R52:T52"/>
    <mergeCell ref="R53:T53"/>
    <mergeCell ref="L55:P55"/>
    <mergeCell ref="U56:AO56"/>
    <mergeCell ref="B67:D67"/>
    <mergeCell ref="E67:F67"/>
    <mergeCell ref="G67:H67"/>
    <mergeCell ref="I67:J67"/>
    <mergeCell ref="K67:N67"/>
    <mergeCell ref="P62:S62"/>
    <mergeCell ref="E65:F65"/>
    <mergeCell ref="G65:H65"/>
    <mergeCell ref="C62:E62"/>
    <mergeCell ref="F62:G62"/>
    <mergeCell ref="I62:J62"/>
    <mergeCell ref="Q67:V67"/>
    <mergeCell ref="B65:D65"/>
    <mergeCell ref="L62:O62"/>
    <mergeCell ref="B64:N64"/>
    <mergeCell ref="T62:W62"/>
    <mergeCell ref="B66:D66"/>
    <mergeCell ref="U51:V51"/>
    <mergeCell ref="AP59:AT59"/>
    <mergeCell ref="AN59:AO59"/>
    <mergeCell ref="U54:AO54"/>
    <mergeCell ref="AF59:AF60"/>
    <mergeCell ref="AP56:AQ56"/>
    <mergeCell ref="AS56:AT56"/>
    <mergeCell ref="AS53:AT53"/>
    <mergeCell ref="AP54:AQ54"/>
    <mergeCell ref="AS54:AT54"/>
    <mergeCell ref="AP55:AQ55"/>
    <mergeCell ref="AI60:AM60"/>
    <mergeCell ref="U53:AO53"/>
    <mergeCell ref="U52:AO52"/>
    <mergeCell ref="L58:AE58"/>
    <mergeCell ref="R51:T51"/>
    <mergeCell ref="AP52:AT52"/>
    <mergeCell ref="AP53:AQ53"/>
    <mergeCell ref="L51:O51"/>
    <mergeCell ref="L56:P56"/>
    <mergeCell ref="L57:P57"/>
    <mergeCell ref="Y59:AE59"/>
    <mergeCell ref="X59:X60"/>
    <mergeCell ref="T60:W60"/>
    <mergeCell ref="C51:E51"/>
    <mergeCell ref="C50:E50"/>
    <mergeCell ref="U44:V44"/>
    <mergeCell ref="BC42:BR42"/>
    <mergeCell ref="BC43:BR43"/>
    <mergeCell ref="BC39:BR39"/>
    <mergeCell ref="AX38:BB38"/>
    <mergeCell ref="BC38:BR38"/>
    <mergeCell ref="U45:V45"/>
    <mergeCell ref="AS40:AT40"/>
    <mergeCell ref="BC47:BR47"/>
    <mergeCell ref="AX42:BB42"/>
    <mergeCell ref="AX46:BB46"/>
    <mergeCell ref="L44:O44"/>
    <mergeCell ref="Q40:T40"/>
    <mergeCell ref="U46:V46"/>
    <mergeCell ref="L46:O46"/>
    <mergeCell ref="AQ40:AR40"/>
    <mergeCell ref="R47:T47"/>
    <mergeCell ref="L43:O43"/>
    <mergeCell ref="AS39:AT39"/>
    <mergeCell ref="AQ39:AR39"/>
    <mergeCell ref="H39:J39"/>
    <mergeCell ref="L39:N39"/>
    <mergeCell ref="H35:K35"/>
    <mergeCell ref="AN36:AO36"/>
    <mergeCell ref="F43:G43"/>
    <mergeCell ref="AP35:AT35"/>
    <mergeCell ref="AP36:AT36"/>
    <mergeCell ref="AN35:AO35"/>
    <mergeCell ref="I41:J41"/>
    <mergeCell ref="I40:J40"/>
    <mergeCell ref="V39:AD39"/>
    <mergeCell ref="B39:G39"/>
    <mergeCell ref="AH39:AJ39"/>
    <mergeCell ref="AF40:AG40"/>
    <mergeCell ref="AS38:AT38"/>
    <mergeCell ref="AM38:AR38"/>
    <mergeCell ref="C43:E43"/>
    <mergeCell ref="L38:AL38"/>
    <mergeCell ref="W43:AT43"/>
    <mergeCell ref="W42:AT42"/>
    <mergeCell ref="I43:J43"/>
    <mergeCell ref="U42:V42"/>
    <mergeCell ref="AL39:AN39"/>
    <mergeCell ref="L42:O42"/>
    <mergeCell ref="AF39:AG39"/>
    <mergeCell ref="M36:U36"/>
    <mergeCell ref="H34:K34"/>
    <mergeCell ref="AF34:AG34"/>
    <mergeCell ref="R39:S39"/>
    <mergeCell ref="X36:Y36"/>
    <mergeCell ref="R44:T44"/>
    <mergeCell ref="R45:T45"/>
    <mergeCell ref="B38:J38"/>
    <mergeCell ref="F41:G41"/>
    <mergeCell ref="D40:E40"/>
    <mergeCell ref="F40:G40"/>
    <mergeCell ref="C41:E41"/>
    <mergeCell ref="C45:E45"/>
    <mergeCell ref="F45:G45"/>
    <mergeCell ref="B34:E34"/>
    <mergeCell ref="B36:E36"/>
    <mergeCell ref="X35:Y35"/>
    <mergeCell ref="M35:U35"/>
    <mergeCell ref="U41:V41"/>
    <mergeCell ref="Z34:AA34"/>
    <mergeCell ref="B42:G42"/>
    <mergeCell ref="L45:O45"/>
    <mergeCell ref="H36:K36"/>
    <mergeCell ref="AD36:AE36"/>
    <mergeCell ref="B35:E35"/>
    <mergeCell ref="BT4:BY4"/>
    <mergeCell ref="BT5:BY5"/>
    <mergeCell ref="BC25:BR25"/>
    <mergeCell ref="BC20:BR20"/>
    <mergeCell ref="AX15:BB15"/>
    <mergeCell ref="AX23:BB23"/>
    <mergeCell ref="AX21:BB21"/>
    <mergeCell ref="BC23:BR23"/>
    <mergeCell ref="AX19:BB19"/>
    <mergeCell ref="BT14:BY14"/>
    <mergeCell ref="BT9:BY9"/>
    <mergeCell ref="BT13:BY13"/>
    <mergeCell ref="BU23:BY23"/>
    <mergeCell ref="AW9:BB9"/>
    <mergeCell ref="BU20:BY20"/>
    <mergeCell ref="BU22:BY22"/>
    <mergeCell ref="BU21:BY21"/>
    <mergeCell ref="BU18:BY18"/>
    <mergeCell ref="AX17:BB17"/>
    <mergeCell ref="BT10:BY10"/>
    <mergeCell ref="AX13:BB13"/>
    <mergeCell ref="AX12:BB12"/>
    <mergeCell ref="BC12:BR12"/>
    <mergeCell ref="AX7:AZ7"/>
    <mergeCell ref="B9:D9"/>
    <mergeCell ref="I8:N8"/>
    <mergeCell ref="R16:S16"/>
    <mergeCell ref="F16:G16"/>
    <mergeCell ref="I16:J16"/>
    <mergeCell ref="E8:H8"/>
    <mergeCell ref="M14:N14"/>
    <mergeCell ref="BZ2:CO2"/>
    <mergeCell ref="AX14:BB14"/>
    <mergeCell ref="BC14:BR14"/>
    <mergeCell ref="BZ6:CO6"/>
    <mergeCell ref="BT6:BY6"/>
    <mergeCell ref="I7:N7"/>
    <mergeCell ref="R8:S8"/>
    <mergeCell ref="T7:X7"/>
    <mergeCell ref="BT2:BY2"/>
    <mergeCell ref="BT3:BY3"/>
    <mergeCell ref="BZ3:CO3"/>
    <mergeCell ref="BP2:BQ2"/>
    <mergeCell ref="BZ4:CO4"/>
    <mergeCell ref="AX10:BB10"/>
    <mergeCell ref="BZ5:CO5"/>
    <mergeCell ref="BZ14:CO14"/>
    <mergeCell ref="BC13:BR13"/>
    <mergeCell ref="AB26:AC26"/>
    <mergeCell ref="AL34:AM34"/>
    <mergeCell ref="O14:P14"/>
    <mergeCell ref="R14:S14"/>
    <mergeCell ref="O18:P18"/>
    <mergeCell ref="O7:P7"/>
    <mergeCell ref="Q3:R4"/>
    <mergeCell ref="O9:P9"/>
    <mergeCell ref="R9:S9"/>
    <mergeCell ref="O8:P8"/>
    <mergeCell ref="X11:Y11"/>
    <mergeCell ref="R11:W11"/>
    <mergeCell ref="W12:X12"/>
    <mergeCell ref="W15:X15"/>
    <mergeCell ref="T14:U14"/>
    <mergeCell ref="O15:P15"/>
    <mergeCell ref="R15:S15"/>
    <mergeCell ref="O17:P17"/>
    <mergeCell ref="T16:U16"/>
    <mergeCell ref="W18:X18"/>
    <mergeCell ref="R7:S7"/>
    <mergeCell ref="T17:U17"/>
    <mergeCell ref="B11:Q11"/>
    <mergeCell ref="O12:P12"/>
    <mergeCell ref="BC33:BR33"/>
    <mergeCell ref="AX33:BB33"/>
    <mergeCell ref="X34:Y34"/>
    <mergeCell ref="AA21:AT21"/>
    <mergeCell ref="U23:V23"/>
    <mergeCell ref="G23:H23"/>
    <mergeCell ref="S21:T21"/>
    <mergeCell ref="W23:X23"/>
    <mergeCell ref="G22:H22"/>
    <mergeCell ref="V21:W21"/>
    <mergeCell ref="N31:T31"/>
    <mergeCell ref="T24:X24"/>
    <mergeCell ref="AD25:AE25"/>
    <mergeCell ref="Q26:T26"/>
    <mergeCell ref="U26:X26"/>
    <mergeCell ref="Y26:Z26"/>
    <mergeCell ref="U30:Z30"/>
    <mergeCell ref="G21:H21"/>
    <mergeCell ref="U28:X28"/>
    <mergeCell ref="Y28:Z28"/>
    <mergeCell ref="AF26:AI26"/>
    <mergeCell ref="AD26:AE26"/>
    <mergeCell ref="AB25:AC25"/>
    <mergeCell ref="AQ25:AR25"/>
    <mergeCell ref="BT34:BY34"/>
    <mergeCell ref="AX25:BB25"/>
    <mergeCell ref="AX31:BB31"/>
    <mergeCell ref="AX32:BB32"/>
    <mergeCell ref="BC21:BR21"/>
    <mergeCell ref="AX28:BB28"/>
    <mergeCell ref="BC28:BR28"/>
    <mergeCell ref="BC24:BR24"/>
    <mergeCell ref="BU27:BY27"/>
    <mergeCell ref="BT31:CO31"/>
    <mergeCell ref="BZ27:CO27"/>
    <mergeCell ref="BU26:BY26"/>
    <mergeCell ref="BU29:BY29"/>
    <mergeCell ref="BU28:BY28"/>
    <mergeCell ref="BC31:BR31"/>
    <mergeCell ref="BC34:BR34"/>
    <mergeCell ref="BZ34:CO34"/>
    <mergeCell ref="AX34:BB34"/>
    <mergeCell ref="AX27:BB27"/>
    <mergeCell ref="BC27:BR27"/>
    <mergeCell ref="AX24:BB24"/>
    <mergeCell ref="AX26:BB26"/>
    <mergeCell ref="BC26:BR26"/>
    <mergeCell ref="AX22:BB22"/>
    <mergeCell ref="BZ13:CO13"/>
    <mergeCell ref="BT15:BY15"/>
    <mergeCell ref="BZ15:CO15"/>
    <mergeCell ref="BZ23:CO23"/>
    <mergeCell ref="BC19:BR19"/>
    <mergeCell ref="AX20:BB20"/>
    <mergeCell ref="B7:D7"/>
    <mergeCell ref="BF7:BH7"/>
    <mergeCell ref="W4:X4"/>
    <mergeCell ref="E5:H5"/>
    <mergeCell ref="AW3:AW7"/>
    <mergeCell ref="H12:J12"/>
    <mergeCell ref="E6:H6"/>
    <mergeCell ref="I6:N6"/>
    <mergeCell ref="O6:P6"/>
    <mergeCell ref="B3:D3"/>
    <mergeCell ref="R6:S6"/>
    <mergeCell ref="T6:X6"/>
    <mergeCell ref="AX6:AZ6"/>
    <mergeCell ref="AZ3:BA3"/>
    <mergeCell ref="I5:N5"/>
    <mergeCell ref="O5:P5"/>
    <mergeCell ref="B6:D6"/>
    <mergeCell ref="T9:X9"/>
    <mergeCell ref="BJ1:BP1"/>
    <mergeCell ref="BQ1:BR1"/>
    <mergeCell ref="BL3:BM3"/>
    <mergeCell ref="BN3:BO3"/>
    <mergeCell ref="BP3:BQ3"/>
    <mergeCell ref="BL5:BM5"/>
    <mergeCell ref="BN5:BO5"/>
    <mergeCell ref="BP5:BQ5"/>
    <mergeCell ref="BC10:BR10"/>
    <mergeCell ref="BN2:BO2"/>
    <mergeCell ref="BF2:BG2"/>
    <mergeCell ref="BH2:BI2"/>
    <mergeCell ref="BD5:BE5"/>
    <mergeCell ref="BF5:BG5"/>
    <mergeCell ref="BI6:BQ7"/>
    <mergeCell ref="BB6:BD6"/>
    <mergeCell ref="BH3:BI3"/>
    <mergeCell ref="BL2:BM2"/>
    <mergeCell ref="BJ2:BK2"/>
    <mergeCell ref="BJ3:BK3"/>
    <mergeCell ref="BJ9:BR9"/>
    <mergeCell ref="BB7:BD7"/>
    <mergeCell ref="BH5:BI5"/>
    <mergeCell ref="BF6:BH6"/>
    <mergeCell ref="BT1:CO1"/>
    <mergeCell ref="A1:AU1"/>
    <mergeCell ref="E3:N3"/>
    <mergeCell ref="BB4:BC4"/>
    <mergeCell ref="AX5:AY5"/>
    <mergeCell ref="S3:U4"/>
    <mergeCell ref="W3:X3"/>
    <mergeCell ref="AX3:AY3"/>
    <mergeCell ref="B4:D4"/>
    <mergeCell ref="BB5:BC5"/>
    <mergeCell ref="E4:N4"/>
    <mergeCell ref="AW1:BI1"/>
    <mergeCell ref="AZ4:BA4"/>
    <mergeCell ref="BF3:BG3"/>
    <mergeCell ref="AZ2:BA2"/>
    <mergeCell ref="BB2:BC2"/>
    <mergeCell ref="BD2:BE2"/>
    <mergeCell ref="BB3:BC3"/>
    <mergeCell ref="BD3:BE3"/>
    <mergeCell ref="AA3:AT20"/>
    <mergeCell ref="E7:H7"/>
    <mergeCell ref="K12:L12"/>
    <mergeCell ref="C13:E13"/>
    <mergeCell ref="B8:D8"/>
    <mergeCell ref="AZ5:BA5"/>
    <mergeCell ref="AX2:AY2"/>
    <mergeCell ref="AX4:AY4"/>
    <mergeCell ref="BN4:BO4"/>
    <mergeCell ref="BJ4:BK4"/>
    <mergeCell ref="BP4:BQ4"/>
    <mergeCell ref="T12:U12"/>
    <mergeCell ref="BL4:BM4"/>
    <mergeCell ref="BD4:BE4"/>
    <mergeCell ref="BF4:BG4"/>
    <mergeCell ref="BH4:BI4"/>
    <mergeCell ref="BJ5:BK5"/>
    <mergeCell ref="BD9:BI9"/>
    <mergeCell ref="T8:X8"/>
    <mergeCell ref="AX11:BB11"/>
    <mergeCell ref="E9:N9"/>
    <mergeCell ref="F12:G12"/>
    <mergeCell ref="R17:S17"/>
    <mergeCell ref="O16:P16"/>
    <mergeCell ref="W13:X13"/>
    <mergeCell ref="R13:S13"/>
    <mergeCell ref="T13:U13"/>
    <mergeCell ref="O13:P13"/>
    <mergeCell ref="W14:X14"/>
    <mergeCell ref="M13:N13"/>
    <mergeCell ref="I15:J15"/>
    <mergeCell ref="C17:E17"/>
    <mergeCell ref="M17:N17"/>
    <mergeCell ref="I13:J13"/>
    <mergeCell ref="K13:L13"/>
    <mergeCell ref="F13:G13"/>
    <mergeCell ref="K15:L15"/>
    <mergeCell ref="M15:N15"/>
    <mergeCell ref="I17:J17"/>
    <mergeCell ref="Q12:S12"/>
    <mergeCell ref="M12:N12"/>
    <mergeCell ref="M16:N16"/>
    <mergeCell ref="C14:E14"/>
    <mergeCell ref="C16:E16"/>
    <mergeCell ref="BC15:BR15"/>
    <mergeCell ref="BC11:BR11"/>
    <mergeCell ref="AX16:BB16"/>
    <mergeCell ref="BC16:BR16"/>
    <mergeCell ref="BC17:BR17"/>
    <mergeCell ref="T15:U15"/>
    <mergeCell ref="X20:Y20"/>
    <mergeCell ref="L23:N23"/>
    <mergeCell ref="J23:K23"/>
    <mergeCell ref="I14:J14"/>
    <mergeCell ref="K14:L14"/>
    <mergeCell ref="I18:J18"/>
    <mergeCell ref="K18:L18"/>
    <mergeCell ref="K17:L17"/>
    <mergeCell ref="AX18:BB18"/>
    <mergeCell ref="BC18:BR18"/>
    <mergeCell ref="P23:Q23"/>
    <mergeCell ref="R20:W20"/>
    <mergeCell ref="R23:S23"/>
    <mergeCell ref="V22:X22"/>
    <mergeCell ref="W16:X16"/>
    <mergeCell ref="R18:S18"/>
    <mergeCell ref="T18:U18"/>
    <mergeCell ref="W17:X17"/>
    <mergeCell ref="C15:E15"/>
    <mergeCell ref="F15:G15"/>
    <mergeCell ref="F14:G14"/>
    <mergeCell ref="K16:L16"/>
    <mergeCell ref="F17:G17"/>
    <mergeCell ref="M33:U33"/>
    <mergeCell ref="M32:U32"/>
    <mergeCell ref="B31:D31"/>
    <mergeCell ref="D23:E23"/>
    <mergeCell ref="B32:E32"/>
    <mergeCell ref="B30:T30"/>
    <mergeCell ref="B24:C24"/>
    <mergeCell ref="J25:K25"/>
    <mergeCell ref="M25:N25"/>
    <mergeCell ref="F26:I26"/>
    <mergeCell ref="F27:I27"/>
    <mergeCell ref="L24:N24"/>
    <mergeCell ref="U25:X25"/>
    <mergeCell ref="D22:E22"/>
    <mergeCell ref="P22:Q22"/>
    <mergeCell ref="R22:T22"/>
    <mergeCell ref="O28:P28"/>
    <mergeCell ref="O27:P27"/>
    <mergeCell ref="O26:P26"/>
    <mergeCell ref="Y25:Z25"/>
    <mergeCell ref="Y27:Z27"/>
    <mergeCell ref="U27:X27"/>
    <mergeCell ref="AB27:AC27"/>
    <mergeCell ref="B23:C23"/>
    <mergeCell ref="AL33:AM33"/>
    <mergeCell ref="F28:I28"/>
    <mergeCell ref="F25:I25"/>
    <mergeCell ref="AP31:AT31"/>
    <mergeCell ref="AP32:AT32"/>
    <mergeCell ref="AP33:AT33"/>
    <mergeCell ref="B33:E33"/>
    <mergeCell ref="H32:K32"/>
    <mergeCell ref="H31:J31"/>
    <mergeCell ref="X33:Y33"/>
    <mergeCell ref="AD32:AE32"/>
    <mergeCell ref="B27:E27"/>
    <mergeCell ref="B28:E28"/>
    <mergeCell ref="J28:K28"/>
    <mergeCell ref="M28:N28"/>
    <mergeCell ref="B26:E26"/>
    <mergeCell ref="D24:E24"/>
    <mergeCell ref="B25:E25"/>
    <mergeCell ref="AN32:AO32"/>
    <mergeCell ref="H33:K33"/>
    <mergeCell ref="Z33:AA33"/>
    <mergeCell ref="AD33:AE33"/>
    <mergeCell ref="F51:G51"/>
    <mergeCell ref="I49:J49"/>
    <mergeCell ref="I50:J50"/>
    <mergeCell ref="I51:J51"/>
    <mergeCell ref="L41:N41"/>
    <mergeCell ref="F49:G49"/>
    <mergeCell ref="U43:V43"/>
    <mergeCell ref="R41:T41"/>
    <mergeCell ref="R42:T42"/>
    <mergeCell ref="U47:V47"/>
    <mergeCell ref="I45:J45"/>
    <mergeCell ref="R46:T46"/>
    <mergeCell ref="U49:V49"/>
    <mergeCell ref="L50:O50"/>
    <mergeCell ref="R43:T43"/>
    <mergeCell ref="L47:O47"/>
    <mergeCell ref="F50:G50"/>
    <mergeCell ref="B46:G46"/>
    <mergeCell ref="R49:T49"/>
    <mergeCell ref="R48:T48"/>
    <mergeCell ref="F48:G48"/>
    <mergeCell ref="I48:J48"/>
    <mergeCell ref="R50:T50"/>
    <mergeCell ref="L48:O48"/>
    <mergeCell ref="L40:O40"/>
    <mergeCell ref="AX49:BB49"/>
    <mergeCell ref="C48:E48"/>
    <mergeCell ref="C47:E47"/>
    <mergeCell ref="F47:G47"/>
    <mergeCell ref="I47:J47"/>
    <mergeCell ref="U48:V48"/>
    <mergeCell ref="AX47:BB47"/>
    <mergeCell ref="AX50:BB50"/>
    <mergeCell ref="C49:E49"/>
    <mergeCell ref="W41:AT41"/>
    <mergeCell ref="W44:AT44"/>
    <mergeCell ref="W45:AT45"/>
    <mergeCell ref="W46:AT46"/>
    <mergeCell ref="W47:AT47"/>
    <mergeCell ref="AL40:AO40"/>
    <mergeCell ref="C44:E44"/>
    <mergeCell ref="F44:G44"/>
    <mergeCell ref="I44:J44"/>
    <mergeCell ref="L49:O49"/>
    <mergeCell ref="U50:V50"/>
    <mergeCell ref="B52:G52"/>
    <mergeCell ref="F53:G53"/>
    <mergeCell ref="AS55:AT55"/>
    <mergeCell ref="C53:E53"/>
    <mergeCell ref="B58:G58"/>
    <mergeCell ref="F57:G57"/>
    <mergeCell ref="I54:J54"/>
    <mergeCell ref="I55:J55"/>
    <mergeCell ref="I57:J57"/>
    <mergeCell ref="I56:J56"/>
    <mergeCell ref="C57:E57"/>
    <mergeCell ref="C56:E56"/>
    <mergeCell ref="F56:G56"/>
    <mergeCell ref="C54:E54"/>
    <mergeCell ref="F54:G54"/>
    <mergeCell ref="F55:G55"/>
    <mergeCell ref="C55:E55"/>
    <mergeCell ref="I53:J53"/>
    <mergeCell ref="R57:T57"/>
    <mergeCell ref="U55:AO55"/>
    <mergeCell ref="AG58:AT58"/>
    <mergeCell ref="L54:P54"/>
    <mergeCell ref="L52:N52"/>
    <mergeCell ref="R54:T54"/>
    <mergeCell ref="BC70:BR70"/>
    <mergeCell ref="BC71:BR71"/>
    <mergeCell ref="BC73:BR73"/>
    <mergeCell ref="AX70:BB70"/>
    <mergeCell ref="AX69:BB69"/>
    <mergeCell ref="BC69:BR69"/>
    <mergeCell ref="AX71:BB71"/>
    <mergeCell ref="AX72:BB72"/>
    <mergeCell ref="AP57:AQ57"/>
    <mergeCell ref="AS57:AT57"/>
    <mergeCell ref="AN60:AT60"/>
    <mergeCell ref="AN61:AT62"/>
    <mergeCell ref="U57:AO57"/>
    <mergeCell ref="Q65:V65"/>
    <mergeCell ref="Y62:AE62"/>
    <mergeCell ref="X64:AT64"/>
    <mergeCell ref="Y60:AE60"/>
    <mergeCell ref="AG60:AH60"/>
    <mergeCell ref="AI59:AM59"/>
    <mergeCell ref="AG59:AH59"/>
    <mergeCell ref="AI62:AM62"/>
    <mergeCell ref="AG62:AH62"/>
    <mergeCell ref="Q66:V66"/>
    <mergeCell ref="P59:S59"/>
    <mergeCell ref="AX74:BB74"/>
    <mergeCell ref="BC74:BR74"/>
    <mergeCell ref="BC75:BR75"/>
    <mergeCell ref="BC76:BR76"/>
    <mergeCell ref="AX75:BB75"/>
    <mergeCell ref="AX76:BB76"/>
    <mergeCell ref="BT46:CO46"/>
    <mergeCell ref="BX47:CB47"/>
    <mergeCell ref="BX48:CB48"/>
    <mergeCell ref="BT49:BV49"/>
    <mergeCell ref="BT50:BV50"/>
    <mergeCell ref="BW49:BY49"/>
    <mergeCell ref="BW50:BY50"/>
    <mergeCell ref="CN47:CO47"/>
    <mergeCell ref="CN48:CO48"/>
    <mergeCell ref="BT48:BW48"/>
    <mergeCell ref="BT47:BW47"/>
    <mergeCell ref="BZ49:CC49"/>
    <mergeCell ref="BZ50:CC50"/>
    <mergeCell ref="CD47:CE47"/>
    <mergeCell ref="CD48:CE48"/>
    <mergeCell ref="CI48:CJ48"/>
    <mergeCell ref="CF47:CJ47"/>
    <mergeCell ref="CF48:CG48"/>
    <mergeCell ref="CL53:CM53"/>
    <mergeCell ref="CN53:CO53"/>
    <mergeCell ref="CF51:CG51"/>
    <mergeCell ref="CF52:CG52"/>
    <mergeCell ref="CJ51:CK51"/>
    <mergeCell ref="CJ52:CK52"/>
    <mergeCell ref="CK47:CL47"/>
    <mergeCell ref="CK48:CL48"/>
    <mergeCell ref="CD50:CO50"/>
    <mergeCell ref="CD49:CO49"/>
    <mergeCell ref="CL51:CM51"/>
    <mergeCell ref="CL52:CM52"/>
    <mergeCell ref="CN51:CO51"/>
    <mergeCell ref="CN52:CO52"/>
    <mergeCell ref="BT51:BU51"/>
    <mergeCell ref="BT52:BU52"/>
    <mergeCell ref="BV51:BW51"/>
    <mergeCell ref="BX51:BY51"/>
    <mergeCell ref="BX52:BY52"/>
    <mergeCell ref="CB51:CC51"/>
    <mergeCell ref="CB52:CC52"/>
    <mergeCell ref="CD51:CE51"/>
    <mergeCell ref="CD52:CE52"/>
    <mergeCell ref="CU80:DL93"/>
    <mergeCell ref="BV52:BW52"/>
    <mergeCell ref="BT55:CO55"/>
    <mergeCell ref="BT56:CO60"/>
    <mergeCell ref="BT61:CO61"/>
    <mergeCell ref="BT62:CO66"/>
    <mergeCell ref="BT67:CO67"/>
    <mergeCell ref="BT68:CO77"/>
    <mergeCell ref="BT54:BU54"/>
    <mergeCell ref="BV54:BW54"/>
    <mergeCell ref="BX54:BY54"/>
    <mergeCell ref="CB54:CC54"/>
    <mergeCell ref="CD54:CE54"/>
    <mergeCell ref="CF54:CG54"/>
    <mergeCell ref="CJ54:CK54"/>
    <mergeCell ref="CL54:CM54"/>
    <mergeCell ref="CN54:CO54"/>
    <mergeCell ref="BT53:BU53"/>
    <mergeCell ref="BV53:BW53"/>
    <mergeCell ref="BX53:BY53"/>
    <mergeCell ref="CB53:CC53"/>
    <mergeCell ref="CD53:CE53"/>
    <mergeCell ref="CF53:CG53"/>
    <mergeCell ref="CJ53:CK53"/>
  </mergeCells>
  <phoneticPr fontId="68" type="noConversion"/>
  <conditionalFormatting sqref="C41">
    <cfRule type="expression" dxfId="139" priority="483">
      <formula>$B$41="O"</formula>
    </cfRule>
    <cfRule type="expression" dxfId="138" priority="465">
      <formula>$B$41="🅞"</formula>
    </cfRule>
  </conditionalFormatting>
  <conditionalFormatting sqref="C13:E13">
    <cfRule type="expression" dxfId="137" priority="22">
      <formula>$B$13="O"</formula>
    </cfRule>
  </conditionalFormatting>
  <conditionalFormatting sqref="C14:E14">
    <cfRule type="expression" dxfId="136" priority="21">
      <formula>$B$14="O"</formula>
    </cfRule>
  </conditionalFormatting>
  <conditionalFormatting sqref="C15:E15">
    <cfRule type="expression" dxfId="135" priority="20">
      <formula>$B$15="O"</formula>
    </cfRule>
  </conditionalFormatting>
  <conditionalFormatting sqref="C16:E16">
    <cfRule type="expression" dxfId="134" priority="19">
      <formula>$B$16="O"</formula>
    </cfRule>
  </conditionalFormatting>
  <conditionalFormatting sqref="C17:E17">
    <cfRule type="expression" dxfId="133" priority="18">
      <formula>$B$17="O"</formula>
    </cfRule>
  </conditionalFormatting>
  <conditionalFormatting sqref="C18:E18">
    <cfRule type="expression" dxfId="132" priority="17">
      <formula>$B$18="O"</formula>
    </cfRule>
  </conditionalFormatting>
  <conditionalFormatting sqref="C43:E43">
    <cfRule type="expression" dxfId="131" priority="57">
      <formula>$B$43="O"</formula>
    </cfRule>
    <cfRule type="expression" dxfId="130" priority="40">
      <formula>$B$43="🅞"</formula>
    </cfRule>
  </conditionalFormatting>
  <conditionalFormatting sqref="C44:E44">
    <cfRule type="expression" dxfId="129" priority="56">
      <formula>$B$44="O"</formula>
    </cfRule>
    <cfRule type="expression" dxfId="128" priority="39">
      <formula>$B$44="🅞"</formula>
    </cfRule>
  </conditionalFormatting>
  <conditionalFormatting sqref="C45:E45">
    <cfRule type="expression" dxfId="127" priority="55">
      <formula>$B$45="O"</formula>
    </cfRule>
    <cfRule type="expression" dxfId="126" priority="38">
      <formula>$B$45="🅞"</formula>
    </cfRule>
  </conditionalFormatting>
  <conditionalFormatting sqref="C47:E47">
    <cfRule type="expression" dxfId="125" priority="54">
      <formula>$B$47="O"</formula>
    </cfRule>
    <cfRule type="expression" dxfId="124" priority="37">
      <formula>$B$47="🅞"</formula>
    </cfRule>
  </conditionalFormatting>
  <conditionalFormatting sqref="C48:E48">
    <cfRule type="expression" dxfId="123" priority="53">
      <formula>$B$48="O"</formula>
    </cfRule>
    <cfRule type="expression" dxfId="122" priority="36">
      <formula>$B$48="🅞"</formula>
    </cfRule>
  </conditionalFormatting>
  <conditionalFormatting sqref="C49:E49">
    <cfRule type="expression" dxfId="121" priority="35">
      <formula>$B$49="🅞"</formula>
    </cfRule>
    <cfRule type="expression" dxfId="120" priority="52">
      <formula>$B$49="O"</formula>
    </cfRule>
  </conditionalFormatting>
  <conditionalFormatting sqref="C50:E50">
    <cfRule type="expression" dxfId="119" priority="34">
      <formula>$B$50="🅞"</formula>
    </cfRule>
    <cfRule type="expression" dxfId="118" priority="51">
      <formula>$B$50="O"</formula>
    </cfRule>
  </conditionalFormatting>
  <conditionalFormatting sqref="C51:E51">
    <cfRule type="expression" dxfId="117" priority="33">
      <formula>$B$51="🅞"</formula>
    </cfRule>
    <cfRule type="expression" dxfId="116" priority="50">
      <formula>$B$51="O"</formula>
    </cfRule>
  </conditionalFormatting>
  <conditionalFormatting sqref="C53:E53">
    <cfRule type="expression" dxfId="115" priority="49">
      <formula>$B$53="O"</formula>
    </cfRule>
    <cfRule type="expression" dxfId="114" priority="32">
      <formula>$B$53="🅞"</formula>
    </cfRule>
  </conditionalFormatting>
  <conditionalFormatting sqref="C54:E54">
    <cfRule type="expression" dxfId="113" priority="48">
      <formula>$B$54="O"</formula>
    </cfRule>
    <cfRule type="expression" dxfId="112" priority="31">
      <formula>$B$54="🅞"</formula>
    </cfRule>
  </conditionalFormatting>
  <conditionalFormatting sqref="C55:E55">
    <cfRule type="expression" dxfId="111" priority="30">
      <formula>$B$55="🅞"</formula>
    </cfRule>
    <cfRule type="expression" dxfId="110" priority="47">
      <formula>$B$55="O"</formula>
    </cfRule>
  </conditionalFormatting>
  <conditionalFormatting sqref="C56:E56">
    <cfRule type="expression" dxfId="109" priority="29">
      <formula>$B$56="🅞"</formula>
    </cfRule>
    <cfRule type="expression" dxfId="108" priority="46">
      <formula>$B$56="O"</formula>
    </cfRule>
  </conditionalFormatting>
  <conditionalFormatting sqref="C57:E57">
    <cfRule type="expression" dxfId="107" priority="45">
      <formula>$B$57="O"</formula>
    </cfRule>
    <cfRule type="expression" dxfId="106" priority="27">
      <formula>$B$57="🅞"</formula>
    </cfRule>
  </conditionalFormatting>
  <conditionalFormatting sqref="C59:E59">
    <cfRule type="expression" dxfId="105" priority="44">
      <formula>$B$59="O"</formula>
    </cfRule>
    <cfRule type="expression" dxfId="104" priority="26">
      <formula>$B$59="🅞"</formula>
    </cfRule>
  </conditionalFormatting>
  <conditionalFormatting sqref="C60:E60">
    <cfRule type="expression" dxfId="103" priority="25">
      <formula>$B$60="🅞"</formula>
    </cfRule>
    <cfRule type="expression" dxfId="102" priority="43">
      <formula>$B$60="O"</formula>
    </cfRule>
  </conditionalFormatting>
  <conditionalFormatting sqref="C61:E61">
    <cfRule type="expression" dxfId="101" priority="24">
      <formula>$B$61="🅞"</formula>
    </cfRule>
    <cfRule type="expression" dxfId="100" priority="42">
      <formula>$B$61="O"</formula>
    </cfRule>
  </conditionalFormatting>
  <conditionalFormatting sqref="C62:E62">
    <cfRule type="expression" dxfId="99" priority="23">
      <formula>$B$62="🅞"</formula>
    </cfRule>
    <cfRule type="expression" dxfId="98" priority="41">
      <formula>$B$62="O"</formula>
    </cfRule>
  </conditionalFormatting>
  <conditionalFormatting sqref="P66:P73 X66:X73 AF66:AF81 AN66:AN81 P77:P81 X77:X81">
    <cfRule type="containsText" dxfId="97" priority="123" operator="containsText" text=" ">
      <formula>NOT(ISERROR(SEARCH(" ",P66)))</formula>
    </cfRule>
  </conditionalFormatting>
  <conditionalFormatting sqref="Q66:V73 Y66:AD73 AG66:AL81 AO66:AT81 Q77:V81 Y77:AD81 B85:G85">
    <cfRule type="containsText" dxfId="84" priority="2" operator="containsText" text="繁彩球">
      <formula>NOT(ISERROR(SEARCH("繁彩球",B66)))</formula>
    </cfRule>
    <cfRule type="beginsWith" dxfId="83" priority="359" operator="beginsWith" text="隐形术">
      <formula>LEFT(B66,LEN("隐形术"))="隐形术"</formula>
    </cfRule>
    <cfRule type="expression" dxfId="82" priority="122">
      <formula>COUNTIF($P$66:$AT$81, "识破隐形")&gt;0</formula>
    </cfRule>
    <cfRule type="containsText" dxfId="81" priority="1" operator="containsText" text="火球术">
      <formula>NOT(ISERROR(SEARCH("火球术",B66)))</formula>
    </cfRule>
  </conditionalFormatting>
  <conditionalFormatting sqref="Q77:V81 Y77:AD81 AO66:AT81 AG66:AL81 Y66:AD73 Q66:V73">
    <cfRule type="duplicateValues" dxfId="80" priority="6"/>
  </conditionalFormatting>
  <conditionalFormatting sqref="X66:X73 AF66:AF81 AN66:AN81">
    <cfRule type="containsText" dxfId="78" priority="252" operator="containsText" text=".">
      <formula>NOT(ISERROR(SEARCH(".",X66)))</formula>
    </cfRule>
  </conditionalFormatting>
  <conditionalFormatting sqref="AF32:AG36 AL32:AM36">
    <cfRule type="containsText" dxfId="64" priority="7" operator="containsText" text="强酸">
      <formula>NOT(ISERROR(SEARCH("强酸",AF32)))</formula>
    </cfRule>
    <cfRule type="containsText" dxfId="63" priority="8" operator="containsText" text="雷鸣">
      <formula>NOT(ISERROR(SEARCH("雷鸣",AF32)))</formula>
    </cfRule>
    <cfRule type="containsText" dxfId="62" priority="9" operator="containsText" text="心灵">
      <formula>NOT(ISERROR(SEARCH("心灵",AF32)))</formula>
    </cfRule>
    <cfRule type="containsText" dxfId="61" priority="10" operator="containsText" text="毒素">
      <formula>NOT(ISERROR(SEARCH("毒素",AF32)))</formula>
    </cfRule>
    <cfRule type="containsText" dxfId="60" priority="11" operator="containsText" text="暗蚀">
      <formula>NOT(ISERROR(SEARCH("暗蚀",AF32)))</formula>
    </cfRule>
    <cfRule type="containsText" dxfId="59" priority="15" operator="containsText" text="火焰">
      <formula>NOT(ISERROR(SEARCH("火焰",AF32)))</formula>
    </cfRule>
    <cfRule type="containsText" dxfId="58" priority="14" operator="containsText" text="闪电">
      <formula>NOT(ISERROR(SEARCH("闪电",AF32)))</formula>
    </cfRule>
    <cfRule type="containsText" dxfId="57" priority="13" operator="containsText" text="力场">
      <formula>NOT(ISERROR(SEARCH("力场",AF32)))</formula>
    </cfRule>
    <cfRule type="containsText" dxfId="56" priority="16" operator="containsText" text="冷冻">
      <formula>NOT(ISERROR(SEARCH("冷冻",AF32)))</formula>
    </cfRule>
    <cfRule type="containsText" dxfId="55" priority="12" operator="containsText" text="光耀">
      <formula>NOT(ISERROR(SEARCH("光耀",AF32)))</formula>
    </cfRule>
  </conditionalFormatting>
  <conditionalFormatting sqref="AX3:BQ3 AX5:BQ5">
    <cfRule type="expression" dxfId="22" priority="487">
      <formula>$BQ$1="是"</formula>
    </cfRule>
  </conditionalFormatting>
  <dataValidations xWindow="515" yWindow="737" count="18">
    <dataValidation type="list" allowBlank="1" showInputMessage="1" showErrorMessage="1" sqref="BQ1 X20 AS40:AT40" xr:uid="{39AF2132-BE96-4D5B-886B-EEEF4D3B8318}">
      <formula1>"是,否"</formula1>
    </dataValidation>
    <dataValidation type="list" allowBlank="1" showInputMessage="1" sqref="T8" xr:uid="{4A1B55C0-87AB-40EF-9A0B-C7D538B05E52}">
      <formula1>"守序善良,中立善良,混乱善良,守序中立,绝对中立,混乱中立,守序邪恶,中立邪恶,混乱邪恶,无阵营"</formula1>
    </dataValidation>
    <dataValidation type="list" allowBlank="1" showInputMessage="1" showErrorMessage="1" sqref="H39:J39" xr:uid="{DEEBC974-A005-415F-83D5-8FEB7ED7D287}">
      <formula1>"X,O"</formula1>
    </dataValidation>
    <dataValidation type="list" allowBlank="1" showInputMessage="1" showErrorMessage="1" sqref="L24 N24" xr:uid="{5A2D444B-EDED-4F4B-80BF-D5EE00384C35}">
      <formula1>"力量,敏捷,体质,智力,感知,魅力"</formula1>
    </dataValidation>
    <dataValidation type="list" allowBlank="1" showInputMessage="1" showErrorMessage="1" prompt="此选项不影响最下两栏武器的命中与伤害速查" sqref="AA30:AB30" xr:uid="{A5C5D486-C758-4A64-946D-FAB2BC7E45EB}">
      <formula1>"默认,力量,敏捷,体质,智力,感知,魅力"</formula1>
    </dataValidation>
    <dataValidation allowBlank="1" showInputMessage="1" showErrorMessage="1" prompt="由于部分武器仅具有命中或伤害加值，因此该处加值只会被攻击骰结算。_x000a_如需加上伤害骰加值可以直接修改伤害骰。_x000a_" sqref="L32:L36" xr:uid="{BD8F80C0-1F98-46A9-B15F-DB90B9E25AE0}"/>
    <dataValidation type="list" allowBlank="1" showInputMessage="1" prompt="X=无熟练_x000a_O=有熟练_x000a_🅞=双倍熟练" sqref="B59:B62 B43:B45 B47:B51 B53:B57 B41" xr:uid="{849EB3E9-04DF-4D81-8F8B-B50A58F1808E}">
      <formula1>"X,O,🅞"</formula1>
    </dataValidation>
    <dataValidation allowBlank="1" showInputMessage="1" showErrorMessage="1" prompt="在此处填上额外生命值成长数值，如专长，种族，职业特性等带来的每级生命值" sqref="AX7:AZ7" xr:uid="{787B0F87-9974-42DC-8ABE-EC207A23662D}"/>
    <dataValidation allowBlank="1" showInputMessage="1" showErrorMessage="1" prompt="在此处填上如援助术等效果所提供的最大生命值" sqref="BB7:BD7" xr:uid="{67F32AC1-A068-4FF1-8E3A-0930F50DD400}"/>
    <dataValidation type="list" allowBlank="1" showInputMessage="1" sqref="B13:B18 P40 AP40 F32:F36 W32:W36 P42:P51" xr:uid="{94D0C5CC-11CF-46B8-BDF7-0930A43EF291}">
      <formula1>"X,O"</formula1>
    </dataValidation>
    <dataValidation allowBlank="1" showInputMessage="1" showErrorMessage="1" prompt="金币是度量财富的标准单位_x000a_一枚钱币的重量大约有三分之一盎司，50枚钱币则大约有一磅沉。" sqref="AI59:AM59" xr:uid="{BD35893F-3703-43F5-A265-985EB3DE1BC9}"/>
    <dataValidation allowBlank="1" showInputMessage="1" showErrorMessage="1" prompt="一枚金银币价值五枚银币，即半枚金币" sqref="AI60:AM60" xr:uid="{6279F30B-5C49-44B4-8ABC-020A2B151845}"/>
    <dataValidation allowBlank="1" showInputMessage="1" showErrorMessage="1" prompt="十枚银币值一枚金币" sqref="AI61:AM61" xr:uid="{04D17A68-DEDB-4E4E-A6CC-1E1D1C5FF1DD}"/>
    <dataValidation allowBlank="1" showInputMessage="1" showErrorMessage="1" prompt="十枚铜币值一枚银币_x000a_一百枚铜币值一枚金币" sqref="AI62:AM62" xr:uid="{AA38BC5F-F67C-4F11-9665-6E8315A8C477}"/>
    <dataValidation allowBlank="1" showInputMessage="1" showErrorMessage="1" prompt="一枚铂金币价值十枚金币" sqref="AP59:AT59" xr:uid="{07BD58CC-39E1-402B-8FDD-BADFA825299A}"/>
    <dataValidation type="list" allowBlank="1" showInputMessage="1" showErrorMessage="1" sqref="BW50:BY50" xr:uid="{0CA48AC7-2DEF-4B09-A575-5ECA8AAD9472}">
      <formula1>"天族,妖精,邪魔"</formula1>
    </dataValidation>
    <dataValidation type="list" allowBlank="1" showInputMessage="1" sqref="AD26:AE28 O26:P28 AS26:AT28" xr:uid="{019A7EC8-47A4-412C-BB58-29F6A4D703BE}">
      <formula1>"长休,短休,皆有"</formula1>
    </dataValidation>
    <dataValidation type="list" allowBlank="1" showInputMessage="1" sqref="R42:T51" xr:uid="{6EAF0E13-5AC3-4ADC-800E-CAFD1D00A0F9}">
      <formula1>"普通,非普通,珍稀,极珍稀,传说,神器"</formula1>
    </dataValidation>
  </dataValidations>
  <printOptions horizontalCentered="1"/>
  <pageMargins left="0" right="0" top="0" bottom="0" header="0" footer="0"/>
  <pageSetup paperSize="9" scale="95" fitToHeight="0"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dataBar" priority="488" id="{57DA3C75-A861-4311-A9C1-D33A5B7916E4}">
            <x14:dataBar minLength="0" maxLength="100" direction="leftToRight">
              <x14:cfvo type="formula">
                <xm:f>数据表!$CI$23</xm:f>
              </x14:cfvo>
              <x14:cfvo type="formula">
                <xm:f>数据表!$CJ$23</xm:f>
              </x14:cfvo>
              <x14:fillColor rgb="FF00CC5B"/>
              <x14:negativeFillColor rgb="FFFF0000"/>
              <x14:axisColor rgb="FF000000"/>
            </x14:dataBar>
          </x14:cfRule>
          <xm:sqref>E9:J9</xm:sqref>
        </x14:conditionalFormatting>
        <x14:conditionalFormatting xmlns:xm="http://schemas.microsoft.com/office/excel/2006/main">
          <x14:cfRule type="expression" priority="120" id="{00000000-000E-0000-0100-00003D000000}">
            <xm:f>数据表!$I$3=1</xm:f>
            <x14:dxf>
              <fill>
                <gradientFill>
                  <stop position="0">
                    <color theme="0"/>
                  </stop>
                  <stop position="1">
                    <color rgb="FFDFECF7"/>
                  </stop>
                </gradientFill>
              </fill>
            </x14:dxf>
          </x14:cfRule>
          <xm:sqref>Q67</xm:sqref>
        </x14:conditionalFormatting>
        <x14:conditionalFormatting xmlns:xm="http://schemas.microsoft.com/office/excel/2006/main">
          <x14:cfRule type="expression" priority="119" id="{00000000-000E-0000-0100-00003C000000}">
            <xm:f>数据表!$I$4=1</xm:f>
            <x14:dxf>
              <fill>
                <gradientFill>
                  <stop position="0">
                    <color theme="0"/>
                  </stop>
                  <stop position="1">
                    <color rgb="FFDFECF7"/>
                  </stop>
                </gradientFill>
              </fill>
            </x14:dxf>
          </x14:cfRule>
          <xm:sqref>Q68</xm:sqref>
        </x14:conditionalFormatting>
        <x14:conditionalFormatting xmlns:xm="http://schemas.microsoft.com/office/excel/2006/main">
          <x14:cfRule type="expression" priority="118" id="{00000000-000E-0000-0100-00003B000000}">
            <xm:f>数据表!$I$5=1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117" id="{00000000-000E-0000-0100-00003A000000}">
            <xm:f>数据表!$I$6=1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116" id="{00000000-000E-0000-0100-000039000000}">
            <xm:f>数据表!$I$7=1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115" id="{00000000-000E-0000-0100-000038000000}">
            <xm:f>数据表!$I$8=1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14" id="{00000000-000E-0000-0100-000037000000}">
            <xm:f>数据表!$I$9=1</xm:f>
            <x14:dxf>
              <fill>
                <gradientFill>
                  <stop position="0">
                    <color theme="0"/>
                  </stop>
                  <stop position="1">
                    <color rgb="FFDFECF7"/>
                  </stop>
                </gradientFill>
              </fill>
            </x14:dxf>
          </x14:cfRule>
          <xm:sqref>Q73</xm:sqref>
        </x14:conditionalFormatting>
        <x14:conditionalFormatting xmlns:xm="http://schemas.microsoft.com/office/excel/2006/main">
          <x14:cfRule type="expression" priority="104" id="{00000000-000E-0000-0100-00002D000000}">
            <xm:f>数据表!$I$11=1</xm:f>
            <x14:dxf>
              <fill>
                <gradientFill>
                  <stop position="0">
                    <color theme="0"/>
                  </stop>
                  <stop position="1">
                    <color rgb="FFDFECF7"/>
                  </stop>
                </gradientFill>
              </fill>
            </x14:dxf>
          </x14:cfRule>
          <xm:sqref>Q78</xm:sqref>
        </x14:conditionalFormatting>
        <x14:conditionalFormatting xmlns:xm="http://schemas.microsoft.com/office/excel/2006/main">
          <x14:cfRule type="expression" priority="103" id="{00000000-000E-0000-0100-00002C000000}">
            <xm:f>数据表!$I$12=1</xm:f>
            <x14:dxf>
              <fill>
                <gradientFill>
                  <stop position="0">
                    <color theme="0"/>
                  </stop>
                  <stop position="1">
                    <color rgb="FFDFECF7"/>
                  </stop>
                </gradientFill>
              </fill>
            </x14:dxf>
          </x14:cfRule>
          <xm:sqref>Q79</xm:sqref>
        </x14:conditionalFormatting>
        <x14:conditionalFormatting xmlns:xm="http://schemas.microsoft.com/office/excel/2006/main">
          <x14:cfRule type="expression" priority="98" id="{00000000-000E-0000-0100-000027000000}">
            <xm:f>数据表!$I$13=1</xm:f>
            <x14:dxf>
              <fill>
                <gradientFill>
                  <stop position="0">
                    <color theme="0"/>
                  </stop>
                  <stop position="1">
                    <color rgb="FFDFECF7"/>
                  </stop>
                </gradientFill>
              </fill>
            </x14:dxf>
          </x14:cfRule>
          <xm:sqref>Q80</xm:sqref>
        </x14:conditionalFormatting>
        <x14:conditionalFormatting xmlns:xm="http://schemas.microsoft.com/office/excel/2006/main">
          <x14:cfRule type="expression" priority="97" id="{00000000-000E-0000-0100-000026000000}">
            <xm:f>数据表!$I$14=1</xm:f>
            <x14:dxf>
              <fill>
                <gradientFill>
                  <stop position="0">
                    <color theme="0"/>
                  </stop>
                  <stop position="1">
                    <color rgb="FFDFECF7"/>
                  </stop>
                </gradientFill>
              </fill>
            </x14:dxf>
          </x14:cfRule>
          <xm:sqref>Q81</xm:sqref>
        </x14:conditionalFormatting>
        <x14:conditionalFormatting xmlns:xm="http://schemas.microsoft.com/office/excel/2006/main">
          <x14:cfRule type="expression" priority="5" id="{00000000-000E-0000-0100-00003F000000}">
            <xm:f>数据表!$I$2=1</xm:f>
            <x14:dxf>
              <fill>
                <gradientFill>
                  <stop position="0">
                    <color theme="0"/>
                  </stop>
                  <stop position="1">
                    <color rgb="FFDFECF7"/>
                  </stop>
                </gradientFill>
              </fill>
            </x14:dxf>
          </x14:cfRule>
          <xm:sqref>Q66:V66</xm:sqref>
        </x14:conditionalFormatting>
        <x14:conditionalFormatting xmlns:xm="http://schemas.microsoft.com/office/excel/2006/main">
          <x14:cfRule type="expression" priority="105" id="{00000000-000E-0000-0100-00002E000000}">
            <xm:f>数据表!$I$10=1</xm:f>
            <x14:dxf>
              <fill>
                <gradientFill>
                  <stop position="0">
                    <color theme="0"/>
                  </stop>
                  <stop position="1">
                    <color rgb="FFDFECF7"/>
                  </stop>
                </gradientFill>
              </fill>
            </x14:dxf>
          </x14:cfRule>
          <xm:sqref>Q77:V81</xm:sqref>
        </x14:conditionalFormatting>
        <x14:conditionalFormatting xmlns:xm="http://schemas.microsoft.com/office/excel/2006/main">
          <x14:cfRule type="expression" priority="112" id="{00000000-000E-0000-0100-000035000000}">
            <xm:f>数据表!$I$21=1</xm:f>
            <x14:dxf>
              <fill>
                <gradientFill>
                  <stop position="0">
                    <color theme="0"/>
                  </stop>
                  <stop position="1">
                    <color rgb="FFDFECF7"/>
                  </stop>
                </gradientFill>
              </fill>
            </x14:dxf>
          </x14:cfRule>
          <xm:sqref>Y67</xm:sqref>
        </x14:conditionalFormatting>
        <x14:conditionalFormatting xmlns:xm="http://schemas.microsoft.com/office/excel/2006/main">
          <x14:cfRule type="expression" priority="111" id="{00000000-000E-0000-0100-000034000000}">
            <xm:f>数据表!$I$22=1</xm:f>
            <x14:dxf>
              <fill>
                <gradientFill>
                  <stop position="0">
                    <color theme="0"/>
                  </stop>
                  <stop position="1">
                    <color rgb="FFDFECF7"/>
                  </stop>
                </gradientFill>
              </fill>
            </x14:dxf>
          </x14:cfRule>
          <xm:sqref>Y68</xm:sqref>
        </x14:conditionalFormatting>
        <x14:conditionalFormatting xmlns:xm="http://schemas.microsoft.com/office/excel/2006/main">
          <x14:cfRule type="expression" priority="110" id="{00000000-000E-0000-0100-000033000000}">
            <xm:f>数据表!$I$23=1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109" id="{00000000-000E-0000-0100-000032000000}">
            <xm:f>数据表!$I$24=1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108" id="{00000000-000E-0000-0100-000031000000}">
            <xm:f>数据表!$I$25=1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107" id="{00000000-000E-0000-0100-000030000000}">
            <xm:f>数据表!$I$26=1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106" id="{00000000-000E-0000-0100-00002F000000}">
            <xm:f>数据表!$I$27=1</xm:f>
            <x14:dxf>
              <fill>
                <gradientFill>
                  <stop position="0">
                    <color theme="0"/>
                  </stop>
                  <stop position="1">
                    <color rgb="FFDFECF7"/>
                  </stop>
                </gradientFill>
              </fill>
            </x14:dxf>
          </x14:cfRule>
          <xm:sqref>Y73</xm:sqref>
        </x14:conditionalFormatting>
        <x14:conditionalFormatting xmlns:xm="http://schemas.microsoft.com/office/excel/2006/main">
          <x14:cfRule type="expression" priority="95" id="{00000000-000E-0000-0100-000024000000}">
            <xm:f>数据表!$I$16=1</xm:f>
            <x14:dxf>
              <fill>
                <gradientFill>
                  <stop position="0">
                    <color theme="0"/>
                  </stop>
                  <stop position="1">
                    <color rgb="FFDFECF7"/>
                  </stop>
                </gradientFill>
              </fill>
            </x14:dxf>
          </x14:cfRule>
          <xm:sqref>Y78</xm:sqref>
        </x14:conditionalFormatting>
        <x14:conditionalFormatting xmlns:xm="http://schemas.microsoft.com/office/excel/2006/main">
          <x14:cfRule type="expression" priority="94" id="{00000000-000E-0000-0100-000023000000}">
            <xm:f>数据表!$I$17=1</xm:f>
            <x14:dxf>
              <fill>
                <gradientFill>
                  <stop position="0">
                    <color theme="0"/>
                  </stop>
                  <stop position="1">
                    <color rgb="FFDFECF7"/>
                  </stop>
                </gradientFill>
              </fill>
            </x14:dxf>
          </x14:cfRule>
          <xm:sqref>Y79</xm:sqref>
        </x14:conditionalFormatting>
        <x14:conditionalFormatting xmlns:xm="http://schemas.microsoft.com/office/excel/2006/main">
          <x14:cfRule type="expression" priority="93" id="{00000000-000E-0000-0100-000022000000}">
            <xm:f>数据表!$I$18=1</xm:f>
            <x14:dxf>
              <fill>
                <gradientFill>
                  <stop position="0">
                    <color theme="0"/>
                  </stop>
                  <stop position="1">
                    <color rgb="FFDFECF7"/>
                  </stop>
                </gradientFill>
              </fill>
            </x14:dxf>
          </x14:cfRule>
          <xm:sqref>Y80</xm:sqref>
        </x14:conditionalFormatting>
        <x14:conditionalFormatting xmlns:xm="http://schemas.microsoft.com/office/excel/2006/main">
          <x14:cfRule type="expression" priority="92" id="{00000000-000E-0000-0100-000021000000}">
            <xm:f>数据表!$I$19=1</xm:f>
            <x14:dxf>
              <fill>
                <gradientFill>
                  <stop position="0">
                    <color theme="0"/>
                  </stop>
                  <stop position="1">
                    <color rgb="FFDFECF7"/>
                  </stop>
                </gradientFill>
              </fill>
            </x14:dxf>
          </x14:cfRule>
          <xm:sqref>Y81</xm:sqref>
        </x14:conditionalFormatting>
        <x14:conditionalFormatting xmlns:xm="http://schemas.microsoft.com/office/excel/2006/main">
          <x14:cfRule type="expression" priority="113" id="{00000000-000E-0000-0100-000036000000}">
            <xm:f>数据表!$I$20=1</xm:f>
            <x14:dxf>
              <fill>
                <gradientFill>
                  <stop position="0">
                    <color theme="0"/>
                  </stop>
                  <stop position="1">
                    <color rgb="FFDFECF7"/>
                  </stop>
                </gradientFill>
              </fill>
            </x14:dxf>
          </x14:cfRule>
          <xm:sqref>Y66:AD66</xm:sqref>
        </x14:conditionalFormatting>
        <x14:conditionalFormatting xmlns:xm="http://schemas.microsoft.com/office/excel/2006/main">
          <x14:cfRule type="expression" priority="96" id="{00000000-000E-0000-0100-000025000000}">
            <xm:f>数据表!$I$15=1</xm:f>
            <x14:dxf>
              <fill>
                <gradientFill>
                  <stop position="0">
                    <color theme="0"/>
                  </stop>
                  <stop position="1">
                    <color rgb="FFDFECF7"/>
                  </stop>
                </gradientFill>
              </fill>
            </x14:dxf>
          </x14:cfRule>
          <xm:sqref>Y77:AD77</xm:sqref>
        </x14:conditionalFormatting>
        <x14:conditionalFormatting xmlns:xm="http://schemas.microsoft.com/office/excel/2006/main">
          <x14:cfRule type="expression" priority="90" id="{00000000-000E-0000-0100-00001F000000}">
            <xm:f>数据表!$I$29=1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89" id="{00000000-000E-0000-0100-00001E000000}">
            <xm:f>数据表!$I$30=1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88" id="{00000000-000E-0000-0100-00001D000000}">
            <xm:f>数据表!$I$31=1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87" id="{00000000-000E-0000-0100-00001C000000}">
            <xm:f>数据表!$I$32=1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86" id="{00000000-000E-0000-0100-00001B000000}">
            <xm:f>数据表!$I$33=1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85" id="{00000000-000E-0000-0100-00001A000000}">
            <xm:f>数据表!$I$34=1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84" id="{00000000-000E-0000-0100-000019000000}">
            <xm:f>数据表!$I$35=1</xm:f>
            <x14:dxf>
              <fill>
                <gradientFill>
                  <stop position="0">
                    <color theme="0"/>
                  </stop>
                  <stop position="1">
                    <color rgb="FFDFECF7"/>
                  </stop>
                </gradientFill>
              </fill>
            </x14:dxf>
          </x14:cfRule>
          <xm:sqref>AG73</xm:sqref>
        </x14:conditionalFormatting>
        <x14:conditionalFormatting xmlns:xm="http://schemas.microsoft.com/office/excel/2006/main">
          <x14:cfRule type="expression" priority="83" id="{00000000-000E-0000-0100-000018000000}">
            <xm:f>数据表!$I$36=1</xm:f>
            <x14:dxf>
              <fill>
                <gradientFill>
                  <stop position="0">
                    <color theme="0"/>
                  </stop>
                  <stop position="1">
                    <color rgb="FFDFECF7"/>
                  </stop>
                </gradientFill>
              </fill>
            </x14:dxf>
          </x14:cfRule>
          <xm:sqref>AG74</xm:sqref>
        </x14:conditionalFormatting>
        <x14:conditionalFormatting xmlns:xm="http://schemas.microsoft.com/office/excel/2006/main">
          <x14:cfRule type="expression" priority="82" id="{00000000-000E-0000-0100-000017000000}">
            <xm:f>数据表!$I$37=1</xm:f>
            <x14:dxf>
              <fill>
                <gradientFill>
                  <stop position="0">
                    <color theme="0"/>
                  </stop>
                  <stop position="1">
                    <color rgb="FFDFECF7"/>
                  </stop>
                </gradientFill>
              </fill>
            </x14:dxf>
          </x14:cfRule>
          <xm:sqref>AG75</xm:sqref>
        </x14:conditionalFormatting>
        <x14:conditionalFormatting xmlns:xm="http://schemas.microsoft.com/office/excel/2006/main">
          <x14:cfRule type="expression" priority="81" id="{00000000-000E-0000-0100-000016000000}">
            <xm:f>数据表!$I$38=1</xm:f>
            <x14:dxf>
              <fill>
                <gradientFill>
                  <stop position="0">
                    <color theme="0"/>
                  </stop>
                  <stop position="1">
                    <color rgb="FFDFECF7"/>
                  </stop>
                </gradientFill>
              </fill>
            </x14:dxf>
          </x14:cfRule>
          <xm:sqref>AG76</xm:sqref>
        </x14:conditionalFormatting>
        <x14:conditionalFormatting xmlns:xm="http://schemas.microsoft.com/office/excel/2006/main">
          <x14:cfRule type="expression" priority="80" id="{00000000-000E-0000-0100-000015000000}">
            <xm:f>数据表!$I$39=1</xm:f>
            <x14:dxf>
              <fill>
                <gradientFill>
                  <stop position="0">
                    <color theme="0"/>
                  </stop>
                  <stop position="1">
                    <color rgb="FFDFECF7"/>
                  </stop>
                </gradientFill>
              </fill>
            </x14:dxf>
          </x14:cfRule>
          <xm:sqref>AG77</xm:sqref>
        </x14:conditionalFormatting>
        <x14:conditionalFormatting xmlns:xm="http://schemas.microsoft.com/office/excel/2006/main">
          <x14:cfRule type="expression" priority="79" id="{00000000-000E-0000-0100-000014000000}">
            <xm:f>数据表!$I$40=1</xm:f>
            <x14:dxf>
              <fill>
                <gradientFill>
                  <stop position="0">
                    <color theme="0"/>
                  </stop>
                  <stop position="1">
                    <color rgb="FFDFECF7"/>
                  </stop>
                </gradientFill>
              </fill>
            </x14:dxf>
          </x14:cfRule>
          <xm:sqref>AG78</xm:sqref>
        </x14:conditionalFormatting>
        <x14:conditionalFormatting xmlns:xm="http://schemas.microsoft.com/office/excel/2006/main">
          <x14:cfRule type="expression" priority="78" id="{00000000-000E-0000-0100-000013000000}">
            <xm:f>数据表!$I$41=1</xm:f>
            <x14:dxf>
              <fill>
                <gradientFill>
                  <stop position="0">
                    <color theme="0"/>
                  </stop>
                  <stop position="1">
                    <color rgb="FFDFECF7"/>
                  </stop>
                </gradientFill>
              </fill>
            </x14:dxf>
          </x14:cfRule>
          <xm:sqref>AG79</xm:sqref>
        </x14:conditionalFormatting>
        <x14:conditionalFormatting xmlns:xm="http://schemas.microsoft.com/office/excel/2006/main">
          <x14:cfRule type="expression" priority="77" id="{00000000-000E-0000-0100-000012000000}">
            <xm:f>数据表!$I$42=1</xm:f>
            <x14:dxf>
              <fill>
                <gradientFill>
                  <stop position="0">
                    <color theme="0"/>
                  </stop>
                  <stop position="1">
                    <color rgb="FFDFECF7"/>
                  </stop>
                </gradientFill>
              </fill>
            </x14:dxf>
          </x14:cfRule>
          <xm:sqref>AG80</xm:sqref>
        </x14:conditionalFormatting>
        <x14:conditionalFormatting xmlns:xm="http://schemas.microsoft.com/office/excel/2006/main">
          <x14:cfRule type="expression" priority="76" id="{00000000-000E-0000-0100-000011000000}">
            <xm:f>数据表!$I$43=1</xm:f>
            <x14:dxf>
              <fill>
                <gradientFill>
                  <stop position="0">
                    <color theme="0"/>
                  </stop>
                  <stop position="1">
                    <color rgb="FFDFECF7"/>
                  </stop>
                </gradientFill>
              </fill>
            </x14:dxf>
          </x14:cfRule>
          <xm:sqref>AG81</xm:sqref>
        </x14:conditionalFormatting>
        <x14:conditionalFormatting xmlns:xm="http://schemas.microsoft.com/office/excel/2006/main">
          <x14:cfRule type="expression" priority="91" id="{00000000-000E-0000-0100-000020000000}">
            <xm:f>数据表!$I$28=1</xm:f>
            <x14:dxf>
              <fill>
                <gradientFill>
                  <stop position="0">
                    <color theme="0"/>
                  </stop>
                  <stop position="1">
                    <color rgb="FFDFECF7"/>
                  </stop>
                </gradientFill>
              </fill>
            </x14:dxf>
          </x14:cfRule>
          <xm:sqref>AG66:AL66</xm:sqref>
        </x14:conditionalFormatting>
        <x14:conditionalFormatting xmlns:xm="http://schemas.microsoft.com/office/excel/2006/main">
          <x14:cfRule type="expression" priority="74" id="{00000000-000E-0000-0100-00000F000000}">
            <xm:f>数据表!$I$45=1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73" id="{00000000-000E-0000-0100-00000E000000}">
            <xm:f>数据表!$I$46=1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72" id="{00000000-000E-0000-0100-00000D000000}">
            <xm:f>数据表!$I$47=1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71" id="{00000000-000E-0000-0100-00000C000000}">
            <xm:f>数据表!$I$48=1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70" id="{00000000-000E-0000-0100-00000B000000}">
            <xm:f>数据表!$I$49=1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69" id="{00000000-000E-0000-0100-00000A000000}">
            <xm:f>数据表!$I$50=1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68" id="{00000000-000E-0000-0100-000009000000}">
            <xm:f>数据表!$I$51=1</xm:f>
            <x14:dxf>
              <fill>
                <gradientFill>
                  <stop position="0">
                    <color theme="0"/>
                  </stop>
                  <stop position="1">
                    <color rgb="FFDFECF7"/>
                  </stop>
                </gradientFill>
              </fill>
            </x14:dxf>
          </x14:cfRule>
          <xm:sqref>AO73</xm:sqref>
        </x14:conditionalFormatting>
        <x14:conditionalFormatting xmlns:xm="http://schemas.microsoft.com/office/excel/2006/main">
          <x14:cfRule type="expression" priority="67" id="{00000000-000E-0000-0100-000008000000}">
            <xm:f>数据表!$I$52=1</xm:f>
            <x14:dxf>
              <fill>
                <gradientFill>
                  <stop position="0">
                    <color theme="0"/>
                  </stop>
                  <stop position="1">
                    <color rgb="FFDFECF7"/>
                  </stop>
                </gradientFill>
              </fill>
            </x14:dxf>
          </x14:cfRule>
          <xm:sqref>AO74</xm:sqref>
        </x14:conditionalFormatting>
        <x14:conditionalFormatting xmlns:xm="http://schemas.microsoft.com/office/excel/2006/main">
          <x14:cfRule type="expression" priority="66" id="{00000000-000E-0000-0100-000007000000}">
            <xm:f>数据表!$I$53=1</xm:f>
            <x14:dxf>
              <fill>
                <gradientFill>
                  <stop position="0">
                    <color theme="0"/>
                  </stop>
                  <stop position="1">
                    <color rgb="FFDFECF7"/>
                  </stop>
                </gradientFill>
              </fill>
            </x14:dxf>
          </x14:cfRule>
          <xm:sqref>AO75</xm:sqref>
        </x14:conditionalFormatting>
        <x14:conditionalFormatting xmlns:xm="http://schemas.microsoft.com/office/excel/2006/main">
          <x14:cfRule type="expression" priority="65" id="{00000000-000E-0000-0100-000006000000}">
            <xm:f>数据表!$I$54=1</xm:f>
            <x14:dxf>
              <fill>
                <gradientFill>
                  <stop position="0">
                    <color theme="0"/>
                  </stop>
                  <stop position="1">
                    <color rgb="FFDFECF7"/>
                  </stop>
                </gradientFill>
              </fill>
            </x14:dxf>
          </x14:cfRule>
          <xm:sqref>AO76</xm:sqref>
        </x14:conditionalFormatting>
        <x14:conditionalFormatting xmlns:xm="http://schemas.microsoft.com/office/excel/2006/main">
          <x14:cfRule type="expression" priority="64" id="{00000000-000E-0000-0100-000005000000}">
            <xm:f>数据表!$I$55=1</xm:f>
            <x14:dxf>
              <fill>
                <gradientFill>
                  <stop position="0">
                    <color theme="0"/>
                  </stop>
                  <stop position="1">
                    <color rgb="FFDFECF7"/>
                  </stop>
                </gradientFill>
              </fill>
            </x14:dxf>
          </x14:cfRule>
          <xm:sqref>AO77</xm:sqref>
        </x14:conditionalFormatting>
        <x14:conditionalFormatting xmlns:xm="http://schemas.microsoft.com/office/excel/2006/main">
          <x14:cfRule type="expression" priority="63" id="{00000000-000E-0000-0100-000004000000}">
            <xm:f>数据表!$I$56=1</xm:f>
            <x14:dxf>
              <fill>
                <gradientFill>
                  <stop position="0">
                    <color theme="0"/>
                  </stop>
                  <stop position="1">
                    <color rgb="FFDFECF7"/>
                  </stop>
                </gradientFill>
              </fill>
            </x14:dxf>
          </x14:cfRule>
          <xm:sqref>AO78</xm:sqref>
        </x14:conditionalFormatting>
        <x14:conditionalFormatting xmlns:xm="http://schemas.microsoft.com/office/excel/2006/main">
          <x14:cfRule type="expression" priority="62" id="{00000000-000E-0000-0100-000003000000}">
            <xm:f>数据表!$I$57=1</xm:f>
            <x14:dxf>
              <fill>
                <gradientFill>
                  <stop position="0">
                    <color theme="0"/>
                  </stop>
                  <stop position="1">
                    <color rgb="FFDFECF7"/>
                  </stop>
                </gradientFill>
              </fill>
            </x14:dxf>
          </x14:cfRule>
          <xm:sqref>AO79</xm:sqref>
        </x14:conditionalFormatting>
        <x14:conditionalFormatting xmlns:xm="http://schemas.microsoft.com/office/excel/2006/main">
          <x14:cfRule type="expression" priority="61" id="{00000000-000E-0000-0100-000002000000}">
            <xm:f>数据表!$I$58=1</xm:f>
            <x14:dxf>
              <fill>
                <gradientFill>
                  <stop position="0">
                    <color theme="0"/>
                  </stop>
                  <stop position="1">
                    <color rgb="FFDFECF7"/>
                  </stop>
                </gradientFill>
              </fill>
            </x14:dxf>
          </x14:cfRule>
          <xm:sqref>AO80</xm:sqref>
        </x14:conditionalFormatting>
        <x14:conditionalFormatting xmlns:xm="http://schemas.microsoft.com/office/excel/2006/main">
          <x14:cfRule type="expression" priority="60" id="{00000000-000E-0000-0100-000001000000}">
            <xm:f>数据表!$I$59=1</xm:f>
            <x14:dxf>
              <fill>
                <gradientFill>
                  <stop position="0">
                    <color theme="0"/>
                  </stop>
                  <stop position="1">
                    <color rgb="FFDFECF7"/>
                  </stop>
                </gradientFill>
              </fill>
            </x14:dxf>
          </x14:cfRule>
          <xm:sqref>AO81</xm:sqref>
        </x14:conditionalFormatting>
        <x14:conditionalFormatting xmlns:xm="http://schemas.microsoft.com/office/excel/2006/main">
          <x14:cfRule type="expression" priority="75" id="{00000000-000E-0000-0100-000010000000}">
            <xm:f>数据表!$I$44=1</xm:f>
            <x14:dxf>
              <fill>
                <gradientFill>
                  <stop position="0">
                    <color theme="0"/>
                  </stop>
                  <stop position="1">
                    <color rgb="FFDFECF7"/>
                  </stop>
                </gradientFill>
              </fill>
            </x14:dxf>
          </x14:cfRule>
          <xm:sqref>AO66:AT66</xm:sqref>
        </x14:conditionalFormatting>
      </x14:conditionalFormattings>
    </ext>
    <ext xmlns:x14="http://schemas.microsoft.com/office/spreadsheetml/2009/9/main" uri="{CCE6A557-97BC-4b89-ADB6-D9C93CAAB3DF}">
      <x14:dataValidations xmlns:xm="http://schemas.microsoft.com/office/excel/2006/main" xWindow="515" yWindow="737" count="55">
        <x14:dataValidation type="list" allowBlank="1" showInputMessage="1" xr:uid="{D802F3DE-C05F-49B8-BAB1-34926A897A8C}">
          <x14:formula1>
            <xm:f>OFFSET(种族!$BS$2,,,SUMPRODUCT(N(LEN(种族!$BS$2:$BS$15)&gt;0)),)</xm:f>
          </x14:formula1>
          <xm:sqref>T7:X7</xm:sqref>
        </x14:dataValidation>
        <x14:dataValidation type="list" allowBlank="1" showInputMessage="1" xr:uid="{B590D609-B093-4D6F-93CA-82573AAEA597}">
          <x14:formula1>
            <xm:f>OFFSET(装备!$AG$3:$AG$90,,,SUMPRODUCT(N(LEN(装备!$AG$3:$AG$90)&gt;0)),)</xm:f>
          </x14:formula1>
          <xm:sqref>B32:E36</xm:sqref>
        </x14:dataValidation>
        <x14:dataValidation type="list" allowBlank="1" showInputMessage="1" xr:uid="{B80248F4-B532-4ACE-AAC0-44BA372EFE24}">
          <x14:formula1>
            <xm:f>种族!$CA$2</xm:f>
          </x14:formula1>
          <xm:sqref>BZ3:CO3</xm:sqref>
        </x14:dataValidation>
        <x14:dataValidation type="list" allowBlank="1" showInputMessage="1" xr:uid="{6C82EABE-A4EA-409E-98FF-9A617549A0B8}">
          <x14:formula1>
            <xm:f>种族!$CA$3</xm:f>
          </x14:formula1>
          <xm:sqref>BZ4:CO4</xm:sqref>
        </x14:dataValidation>
        <x14:dataValidation type="list" allowBlank="1" showInputMessage="1" xr:uid="{60E206A1-C442-4E52-B277-782DFBB09DBB}">
          <x14:formula1>
            <xm:f>种族!$CA$4</xm:f>
          </x14:formula1>
          <xm:sqref>BZ5:CO5</xm:sqref>
        </x14:dataValidation>
        <x14:dataValidation type="list" allowBlank="1" showInputMessage="1" xr:uid="{8A98191E-A9F5-4261-B674-C062A4C230D0}">
          <x14:formula1>
            <xm:f>种族!$CA$5</xm:f>
          </x14:formula1>
          <xm:sqref>BZ6:CO6</xm:sqref>
        </x14:dataValidation>
        <x14:dataValidation type="list" allowBlank="1" showInputMessage="1" xr:uid="{5AC3B878-8887-439F-99E0-3692622FE194}">
          <x14:formula1>
            <xm:f>种族!$CA$6</xm:f>
          </x14:formula1>
          <xm:sqref>BZ7:CO7</xm:sqref>
        </x14:dataValidation>
        <x14:dataValidation type="list" allowBlank="1" showInputMessage="1" xr:uid="{B00CFFA6-98C6-4F0C-B573-5A1BB162F542}">
          <x14:formula1>
            <xm:f>种族!$CA$7</xm:f>
          </x14:formula1>
          <xm:sqref>BZ8:CO8</xm:sqref>
        </x14:dataValidation>
        <x14:dataValidation type="list" allowBlank="1" showInputMessage="1" xr:uid="{26792AAA-6D12-4376-8801-F1EABCBDF583}">
          <x14:formula1>
            <xm:f>种族!$CA$8</xm:f>
          </x14:formula1>
          <xm:sqref>BZ9:CO9</xm:sqref>
        </x14:dataValidation>
        <x14:dataValidation type="list" allowBlank="1" showInputMessage="1" xr:uid="{5C738ED3-8467-4AEF-AED3-70D7E9663E25}">
          <x14:formula1>
            <xm:f>种族!$CA$9</xm:f>
          </x14:formula1>
          <xm:sqref>BZ10:CO10</xm:sqref>
        </x14:dataValidation>
        <x14:dataValidation type="list" allowBlank="1" showInputMessage="1" xr:uid="{6C1095B7-DD85-4992-8BA9-18B8FB67388C}">
          <x14:formula1>
            <xm:f>种族!$CA$10</xm:f>
          </x14:formula1>
          <xm:sqref>BZ11:CO11</xm:sqref>
        </x14:dataValidation>
        <x14:dataValidation type="list" allowBlank="1" showInputMessage="1" xr:uid="{E1690EF8-8570-4140-B044-78EA4144D5A4}">
          <x14:formula1>
            <xm:f>专长与据点!$I$4</xm:f>
          </x14:formula1>
          <xm:sqref>BZ33:CO33</xm:sqref>
        </x14:dataValidation>
        <x14:dataValidation type="list" allowBlank="1" showInputMessage="1" xr:uid="{B91CD39E-2F99-410C-A075-05594E3F3AC2}">
          <x14:formula1>
            <xm:f>专长与据点!$I$5</xm:f>
          </x14:formula1>
          <xm:sqref>BZ34:CO34</xm:sqref>
        </x14:dataValidation>
        <x14:dataValidation type="list" allowBlank="1" showInputMessage="1" xr:uid="{040119A1-4A13-4A88-A5C9-B69176BC1C66}">
          <x14:formula1>
            <xm:f>专长与据点!$I$6</xm:f>
          </x14:formula1>
          <xm:sqref>BZ35:CO35</xm:sqref>
        </x14:dataValidation>
        <x14:dataValidation type="list" allowBlank="1" showInputMessage="1" xr:uid="{92D9196C-D7D4-479C-89F6-95FB80FFD963}">
          <x14:formula1>
            <xm:f>OFFSET(种族!$BY$2,,,SUMPRODUCT(N(LEN(种族!$BY$2:$BY$17)&gt;0)),)</xm:f>
          </x14:formula1>
          <xm:sqref>BT3:BY15</xm:sqref>
        </x14:dataValidation>
        <x14:dataValidation type="list" allowBlank="1" showInputMessage="1" xr:uid="{2B0D1452-975E-49DF-A6F2-AACDA22830A0}">
          <x14:formula1>
            <xm:f>专长与据点!$D$4:$D$17</xm:f>
          </x14:formula1>
          <xm:sqref>BT33:BY35</xm:sqref>
        </x14:dataValidation>
        <x14:dataValidation type="list" allowBlank="1" showInputMessage="1" xr:uid="{074CC20C-CFAA-4E53-8019-FA7EFFF78793}">
          <x14:formula1>
            <xm:f>种族!$CA$11</xm:f>
          </x14:formula1>
          <xm:sqref>BZ12:CO12</xm:sqref>
        </x14:dataValidation>
        <x14:dataValidation type="list" allowBlank="1" showInputMessage="1" xr:uid="{E87D05A4-88B6-4F42-A82F-08981F709051}">
          <x14:formula1>
            <xm:f>种族!$CA$12</xm:f>
          </x14:formula1>
          <xm:sqref>BZ13:CO13</xm:sqref>
        </x14:dataValidation>
        <x14:dataValidation type="list" allowBlank="1" showInputMessage="1" xr:uid="{B3E165C2-7E78-4AA5-BD2C-C563ADB16AF8}">
          <x14:formula1>
            <xm:f>OFFSET(装备!$AZ$11:$AZ$50,,,SUMPRODUCT(N(LEN(装备!$AZ$11:$AZ$50)&gt;0)),)</xm:f>
          </x14:formula1>
          <xm:sqref>L40:O40</xm:sqref>
        </x14:dataValidation>
        <x14:dataValidation type="list" allowBlank="1" showInputMessage="1" xr:uid="{D90A6C98-EBBD-422F-8E12-E3EBFBC6D2C3}">
          <x14:formula1>
            <xm:f>OFFSET(数据表!$K$1:$K$59,,,SUMPRODUCT(N(LEN(数据表!$K$1:$K$59)&gt;0)))</xm:f>
          </x14:formula1>
          <xm:sqref>B85:G85</xm:sqref>
        </x14:dataValidation>
        <x14:dataValidation type="list" allowBlank="1" showInputMessage="1" xr:uid="{D0EBF088-CFD9-449F-AC09-6C7E8E39F73B}">
          <x14:formula1>
            <xm:f>OFFSET(数据表!$F$2:$F$301,,,SUMPRODUCT(N(LEN(数据表!$F$2:$F$301)&gt;0)),)</xm:f>
          </x14:formula1>
          <xm:sqref>Q66:V73 Q77:V81 Y66:AD73 Y77:AD81 AG66:AL81 AO66:AT81</xm:sqref>
        </x14:dataValidation>
        <x14:dataValidation type="list" allowBlank="1" showInputMessage="1" xr:uid="{934712FC-C0B8-4965-B76C-453E2156011F}">
          <x14:formula1>
            <xm:f>OFFSET(种族!$BQ$2:$BQ$120,,,SUMPRODUCT(N(LEN(种族!$BQ$2:$BQ$120)&gt;0)),)</xm:f>
          </x14:formula1>
          <xm:sqref>T6:X6</xm:sqref>
        </x14:dataValidation>
        <x14:dataValidation type="list" allowBlank="1" showInputMessage="1" xr:uid="{BE0BC7B9-6116-46D4-A1C0-2CC9DAE22A32}">
          <x14:formula1>
            <xm:f>OFFSET(职业!$AD$2,,,SUMPRODUCT(N(LEN(职业!$AD$2:$AD$24)&gt;0)),)</xm:f>
          </x14:formula1>
          <xm:sqref>I6:N6</xm:sqref>
        </x14:dataValidation>
        <x14:dataValidation type="list" allowBlank="1" showInputMessage="1" xr:uid="{ABC65044-2F0F-4BCA-9D3C-9E73E91844DC}">
          <x14:formula1>
            <xm:f>OFFSET(职业!$AG$2,,,SUMPRODUCT(N(LEN(职业!$AG$2:$AG$24)&gt;0)),)</xm:f>
          </x14:formula1>
          <xm:sqref>I7:N7</xm:sqref>
        </x14:dataValidation>
        <x14:dataValidation type="list" allowBlank="1" showInputMessage="1" xr:uid="{E84BCE5B-F43E-43AF-88B8-E434620B7FD9}">
          <x14:formula1>
            <xm:f>OFFSET(职业!$AJ$2,,,SUMPRODUCT(N(LEN(职业!$AJ$2:$AJ$24)&gt;0)),)</xm:f>
          </x14:formula1>
          <xm:sqref>I8:N8</xm:sqref>
        </x14:dataValidation>
        <x14:dataValidation type="list" allowBlank="1" showInputMessage="1" xr:uid="{6084B59B-927E-4246-BD60-110327379075}">
          <x14:formula1>
            <xm:f>OFFSET(职业!$AA$3:$AA$22,,,SUMPRODUCT(N(LEN(职业!$AA$3:$AA$22)&gt;0)),)</xm:f>
          </x14:formula1>
          <xm:sqref>E6:H8 AW9:BB9</xm:sqref>
        </x14:dataValidation>
        <x14:dataValidation type="list" allowBlank="1" showInputMessage="1" xr:uid="{9D76D354-CF7F-45D1-B56E-47D33CFA116A}">
          <x14:formula1>
            <xm:f>OFFSET(职业!$AM$2,,,SUMPRODUCT(N(LEN(职业!$AM$2:$AM$24)&gt;0)),)</xm:f>
          </x14:formula1>
          <xm:sqref>BD9:BI9</xm:sqref>
        </x14:dataValidation>
        <x14:dataValidation type="list" allowBlank="1" showInputMessage="1" xr:uid="{018AF768-BE00-4EE3-AE30-196638D46EFA}">
          <x14:formula1>
            <xm:f>种族!$CA$13</xm:f>
          </x14:formula1>
          <xm:sqref>BZ14:CO14</xm:sqref>
        </x14:dataValidation>
        <x14:dataValidation type="list" allowBlank="1" showInputMessage="1" xr:uid="{DC3E0A2A-9487-4F76-93E8-EF857F9F0CD2}">
          <x14:formula1>
            <xm:f>种族!$CA$14</xm:f>
          </x14:formula1>
          <xm:sqref>BZ15:CO15</xm:sqref>
        </x14:dataValidation>
        <x14:dataValidation type="list" allowBlank="1" showInputMessage="1" xr:uid="{DF0BCF68-BD75-4695-9F60-F15BC517855E}">
          <x14:formula1>
            <xm:f>专长与据点!$D$4:$D$15</xm:f>
          </x14:formula1>
          <xm:sqref>BT36:BY36</xm:sqref>
        </x14:dataValidation>
        <x14:dataValidation type="list" allowBlank="1" showInputMessage="1" xr:uid="{FCABADC0-5966-4AAC-B461-6C22D3C408A4}">
          <x14:formula1>
            <xm:f>专长与据点!$I$7</xm:f>
          </x14:formula1>
          <xm:sqref>BZ36:CO36</xm:sqref>
        </x14:dataValidation>
        <x14:dataValidation type="list" allowBlank="1" showInputMessage="1" xr:uid="{CD86FA20-A0DF-4F71-A19D-CF1E986A03D9}">
          <x14:formula1>
            <xm:f>数据表!$CI$3:$CI$22</xm:f>
          </x14:formula1>
          <xm:sqref>E9:N9</xm:sqref>
        </x14:dataValidation>
        <x14:dataValidation type="list" allowBlank="1" showInputMessage="1" xr:uid="{79914F69-62A5-42E6-80DE-9C48D89CAAFD}">
          <x14:formula1>
            <xm:f>数据表!$O$2:$O$19</xm:f>
          </x14:formula1>
          <xm:sqref>B70:E70</xm:sqref>
        </x14:dataValidation>
        <x14:dataValidation type="list" allowBlank="1" showInputMessage="1" xr:uid="{5E336931-E7BC-4A88-9C8A-D936CB140128}">
          <x14:formula1>
            <xm:f>OFFSET(专长与据点!$A:$A,,,SUMPRODUCT(N(LEN(专长与据点!$A:$A)&gt;0)),)</xm:f>
          </x14:formula1>
          <xm:sqref>BU19:BY29</xm:sqref>
        </x14:dataValidation>
        <x14:dataValidation type="list" allowBlank="1" showInputMessage="1" xr:uid="{2FF00FE8-54A4-451D-B7DB-354CC1355DD0}">
          <x14:formula1>
            <xm:f>装备!$V$19:$V$31</xm:f>
          </x14:formula1>
          <xm:sqref>AF32:AG36 AL32:AM36</xm:sqref>
        </x14:dataValidation>
        <x14:dataValidation type="list" allowBlank="1" showInputMessage="1" xr:uid="{ACB31863-022F-4328-B940-B66E6558E5D3}">
          <x14:formula1>
            <xm:f>装备!$Z$2:$Z$16</xm:f>
          </x14:formula1>
          <xm:sqref>AN32:AO36</xm:sqref>
        </x14:dataValidation>
        <x14:dataValidation type="list" allowBlank="1" showInputMessage="1" xr:uid="{B653A51D-1B5C-45E2-9718-F8C4B29ED7D6}">
          <x14:formula1>
            <xm:f>装备!$AF$6:$AF$29</xm:f>
          </x14:formula1>
          <xm:sqref>U42:V51</xm:sqref>
        </x14:dataValidation>
        <x14:dataValidation type="list" allowBlank="1" showInputMessage="1" xr:uid="{4127F68B-2776-4F3B-A2FB-D4934D7D3DFD}">
          <x14:formula1>
            <xm:f>装备!$AY$12</xm:f>
          </x14:formula1>
          <xm:sqref>V40:AD40</xm:sqref>
        </x14:dataValidation>
        <x14:dataValidation type="list" allowBlank="1" showInputMessage="1" xr:uid="{4619C0AA-C326-4E07-A506-2447CE9D7751}">
          <x14:formula1>
            <xm:f>装备!$AE$8:$AE$13</xm:f>
          </x14:formula1>
          <xm:sqref>R53:T57</xm:sqref>
        </x14:dataValidation>
        <x14:dataValidation type="list" allowBlank="1" showInputMessage="1" xr:uid="{9FFA3448-C677-49D0-94FF-057186AE9086}">
          <x14:formula1>
            <xm:f>装备!$V$34:$V$38</xm:f>
          </x14:formula1>
          <xm:sqref>AK30:AO30</xm:sqref>
        </x14:dataValidation>
        <x14:dataValidation type="list" allowBlank="1" showInputMessage="1" xr:uid="{7C5351E5-12F3-474C-B5B1-DB266088811A}">
          <x14:formula1>
            <xm:f>魔宠!$A$3:$A$21</xm:f>
          </x14:formula1>
          <xm:sqref>BX48:CB48</xm:sqref>
        </x14:dataValidation>
        <x14:dataValidation type="list" allowBlank="1" showInputMessage="1" xr:uid="{9502E8B0-1D8D-4D46-9432-3C46B00B8E3F}">
          <x14:formula1>
            <xm:f>装备!$AS$2</xm:f>
          </x14:formula1>
          <xm:sqref>M32:U32</xm:sqref>
        </x14:dataValidation>
        <x14:dataValidation type="list" allowBlank="1" showInputMessage="1" xr:uid="{D6EAE183-854C-43F7-81B9-E4F3A71B8275}">
          <x14:formula1>
            <xm:f>装备!$AS$3</xm:f>
          </x14:formula1>
          <xm:sqref>M33:U33</xm:sqref>
        </x14:dataValidation>
        <x14:dataValidation type="list" allowBlank="1" showInputMessage="1" xr:uid="{8FF5B8B0-5EB4-4A59-A1A2-7B52AB1B1034}">
          <x14:formula1>
            <xm:f>装备!$AS$4</xm:f>
          </x14:formula1>
          <xm:sqref>M34:U34</xm:sqref>
        </x14:dataValidation>
        <x14:dataValidation type="list" allowBlank="1" showInputMessage="1" xr:uid="{DBAE9BA5-5849-473A-A7C1-5EAF25EA91D1}">
          <x14:formula1>
            <xm:f>装备!$AS$5</xm:f>
          </x14:formula1>
          <xm:sqref>M35:U35</xm:sqref>
        </x14:dataValidation>
        <x14:dataValidation type="list" allowBlank="1" showInputMessage="1" xr:uid="{122A98FC-F1F7-4F4D-BDB0-287E13A87EB2}">
          <x14:formula1>
            <xm:f>装备!$AS$6</xm:f>
          </x14:formula1>
          <xm:sqref>M36:U36</xm:sqref>
        </x14:dataValidation>
        <x14:dataValidation type="list" allowBlank="1" showInputMessage="1" xr:uid="{6F536D88-4123-4024-AF7B-76949FA159CC}">
          <x14:formula1>
            <xm:f>装备!$AC$2</xm:f>
          </x14:formula1>
          <xm:sqref>AP32:AT32</xm:sqref>
        </x14:dataValidation>
        <x14:dataValidation type="list" allowBlank="1" showInputMessage="1" xr:uid="{051DF1DE-1152-4802-A21B-5178BF63F03F}">
          <x14:formula1>
            <xm:f>装备!$AC$3</xm:f>
          </x14:formula1>
          <xm:sqref>AP33:AT33</xm:sqref>
        </x14:dataValidation>
        <x14:dataValidation type="list" allowBlank="1" showInputMessage="1" xr:uid="{94D0C954-92FA-4952-9059-36FCA0856755}">
          <x14:formula1>
            <xm:f>装备!$AC$4</xm:f>
          </x14:formula1>
          <xm:sqref>AP34:AT34</xm:sqref>
        </x14:dataValidation>
        <x14:dataValidation type="list" allowBlank="1" showInputMessage="1" xr:uid="{A7EE0A15-EA1C-4B84-8533-8AD1C31A56F3}">
          <x14:formula1>
            <xm:f>装备!$AC$5</xm:f>
          </x14:formula1>
          <xm:sqref>AP35:AT35</xm:sqref>
        </x14:dataValidation>
        <x14:dataValidation type="list" allowBlank="1" showInputMessage="1" xr:uid="{A1C3F974-9DC1-4E2C-BBE7-C84318EAEB4E}">
          <x14:formula1>
            <xm:f>装备!$AC$6</xm:f>
          </x14:formula1>
          <xm:sqref>AP36:AT36</xm:sqref>
        </x14:dataValidation>
        <x14:dataValidation type="list" allowBlank="1" showInputMessage="1" xr:uid="{B03C57C6-9585-4274-8D93-E64BFBF1672E}">
          <x14:formula1>
            <xm:f>OFFSET(职业!$CU$2,,,SUMPRODUCT(N(LEN(职业!$CU$2:$CU$101)&gt;0)))</xm:f>
          </x14:formula1>
          <xm:sqref>AX11:BB77</xm:sqref>
        </x14:dataValidation>
        <x14:dataValidation type="list" allowBlank="1" xr:uid="{58139604-81D8-4CF3-9377-3953B809BAD0}">
          <x14:formula1>
            <xm:f>装备!$S$39:$S$44</xm:f>
          </x14:formula1>
          <xm:sqref>AR23</xm:sqref>
        </x14:dataValidation>
        <x14:dataValidation type="list" allowBlank="1" showInputMessage="1" xr:uid="{523594F3-076E-42BC-BBC3-EB2C20E56299}">
          <x14:formula1>
            <xm:f>职业!$CX2</xm:f>
          </x14:formula1>
          <xm:sqref>BC11:BR77</xm:sqref>
        </x14:dataValidation>
        <x14:dataValidation type="list" allowBlank="1" showInputMessage="1" xr:uid="{F3F40AC5-54D8-40C1-9373-BDFB24260F8A}">
          <x14:formula1>
            <xm:f>专长与据点!$G4</xm:f>
          </x14:formula1>
          <xm:sqref>BZ19:CO29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P363"/>
  <sheetViews>
    <sheetView topLeftCell="U19" zoomScale="70" zoomScaleNormal="70" workbookViewId="0">
      <selection activeCell="BP37" sqref="BP37"/>
    </sheetView>
  </sheetViews>
  <sheetFormatPr defaultColWidth="9" defaultRowHeight="16.5" customHeight="1" x14ac:dyDescent="0.15"/>
  <cols>
    <col min="1" max="1" width="3.75" style="68" customWidth="1"/>
    <col min="2" max="2" width="9.75" style="69" customWidth="1"/>
    <col min="3" max="4" width="3.75" style="69" customWidth="1"/>
    <col min="5" max="5" width="3.75" style="68" customWidth="1"/>
    <col min="6" max="6" width="9.75" style="69" customWidth="1"/>
    <col min="7" max="7" width="7.375" style="69" customWidth="1"/>
    <col min="8" max="8" width="9" style="69"/>
    <col min="9" max="10" width="3.75" style="69" customWidth="1"/>
    <col min="11" max="12" width="9" style="69"/>
    <col min="13" max="13" width="14.5" style="69" bestFit="1" customWidth="1"/>
    <col min="14" max="15" width="9" style="69"/>
    <col min="16" max="16" width="10.125" style="69" bestFit="1" customWidth="1"/>
    <col min="17" max="35" width="5.375" style="69" customWidth="1"/>
    <col min="36" max="36" width="6" style="69" bestFit="1" customWidth="1"/>
    <col min="37" max="37" width="5.375" style="129" customWidth="1"/>
    <col min="38" max="83" width="2.375" style="129" customWidth="1"/>
    <col min="84" max="84" width="9" style="69"/>
    <col min="86" max="16384" width="9" style="69"/>
  </cols>
  <sheetData>
    <row r="1" spans="1:94" ht="16.5" customHeight="1" x14ac:dyDescent="0.15">
      <c r="B1" s="69" t="s">
        <v>167</v>
      </c>
      <c r="C1" s="69" t="s">
        <v>168</v>
      </c>
      <c r="D1" s="69" t="s">
        <v>169</v>
      </c>
      <c r="E1" s="811" t="s">
        <v>170</v>
      </c>
      <c r="F1" s="811"/>
      <c r="I1" s="69" t="s">
        <v>171</v>
      </c>
      <c r="J1" s="69" t="s">
        <v>172</v>
      </c>
      <c r="K1" s="72" t="str" cm="1">
        <f t="array" ref="K1">IFERROR(INDEX($H$1:$H$68,SMALL(IF($H$2:$H$68&lt;&gt;"",ROW($H$2:$H$68),4^8),ROW(1:1)))&amp;"","")</f>
        <v/>
      </c>
      <c r="M1" s="77" t="s">
        <v>173</v>
      </c>
      <c r="O1" s="78"/>
      <c r="P1" s="79">
        <v>1</v>
      </c>
      <c r="Q1" s="79">
        <v>2</v>
      </c>
      <c r="R1" s="79">
        <v>3</v>
      </c>
      <c r="S1" s="79">
        <v>4</v>
      </c>
      <c r="T1" s="79">
        <v>5</v>
      </c>
      <c r="U1" s="79">
        <v>6</v>
      </c>
      <c r="V1" s="79">
        <v>7</v>
      </c>
      <c r="W1" s="79">
        <v>8</v>
      </c>
      <c r="X1" s="79">
        <v>9</v>
      </c>
      <c r="Y1" s="79">
        <v>10</v>
      </c>
      <c r="Z1" s="79">
        <v>11</v>
      </c>
      <c r="AA1" s="79">
        <v>12</v>
      </c>
      <c r="AB1" s="79">
        <v>13</v>
      </c>
      <c r="AC1" s="79">
        <v>14</v>
      </c>
      <c r="AD1" s="79">
        <v>15</v>
      </c>
      <c r="AE1" s="79">
        <v>16</v>
      </c>
      <c r="AF1" s="79">
        <v>17</v>
      </c>
      <c r="AG1" s="79">
        <v>18</v>
      </c>
      <c r="AH1" s="79">
        <v>19</v>
      </c>
      <c r="AI1" s="78">
        <v>20</v>
      </c>
      <c r="AJ1" s="399" t="s">
        <v>10556</v>
      </c>
      <c r="CI1" s="812" t="s">
        <v>63</v>
      </c>
      <c r="CJ1" s="812"/>
      <c r="CK1" s="79"/>
      <c r="CL1" s="79"/>
      <c r="CM1" s="79" t="s">
        <v>66</v>
      </c>
      <c r="CN1" s="79" t="s">
        <v>179</v>
      </c>
      <c r="CO1" s="79" t="s">
        <v>180</v>
      </c>
      <c r="CP1" s="79" t="s">
        <v>179</v>
      </c>
    </row>
    <row r="2" spans="1:94" ht="16.5" customHeight="1" x14ac:dyDescent="0.15">
      <c r="A2" s="68">
        <v>1</v>
      </c>
      <c r="B2" s="69" t="str">
        <f>IF(法术书!X3="","",法术书!X3)</f>
        <v/>
      </c>
      <c r="C2" s="69" t="str">
        <f>IFERROR(VLOOKUP(B2,法术大全!$A:$W,5,FALSE),"")</f>
        <v/>
      </c>
      <c r="D2" s="70" t="str">
        <f>IFERROR(VLOOKUP(B2,法术大全!$A:$W,4,FALSE),"")</f>
        <v/>
      </c>
      <c r="E2" s="68">
        <v>1</v>
      </c>
      <c r="F2" s="71" t="str" cm="1">
        <f t="array" ref="F2">IFERROR(INDEX($B$1:$B$301,SMALL(IF($B$1:$B$301&lt;&gt;"",ROW($B$1:$B$301),4^8),ROW(2:2)))&amp;"","")</f>
        <v/>
      </c>
      <c r="G2" s="72" t="s">
        <v>181</v>
      </c>
      <c r="H2" s="73" t="str">
        <f>IF(主要!Q66&lt;&gt;"",主要!Q66,"")</f>
        <v/>
      </c>
      <c r="I2" s="69">
        <f>IF(VLOOKUP(H2,法术大全!$A$3:$E$864,4,0)="√",1,0)</f>
        <v>0</v>
      </c>
      <c r="J2" s="69">
        <f>IF(VLOOKUP(H2,法术大全!$A$3:$E$864,5,0)="√",1,0)</f>
        <v>0</v>
      </c>
      <c r="K2" s="72" t="str" cm="1">
        <f t="array" ref="K2">IFERROR(INDEX($H$1:$H$68,SMALL(IF($H$2:$H$68&lt;&gt;"",ROW($H$2:$H$68),4^8),ROW(2:2)))&amp;"","")</f>
        <v/>
      </c>
      <c r="M2" s="80" t="s">
        <v>182</v>
      </c>
      <c r="O2" s="394" t="s">
        <v>183</v>
      </c>
      <c r="P2" s="81">
        <v>4</v>
      </c>
      <c r="Q2" s="81">
        <v>5</v>
      </c>
      <c r="R2" s="81">
        <v>6</v>
      </c>
      <c r="S2" s="81">
        <v>7</v>
      </c>
      <c r="T2" s="81">
        <v>9</v>
      </c>
      <c r="U2" s="81">
        <v>10</v>
      </c>
      <c r="V2" s="81">
        <v>11</v>
      </c>
      <c r="W2" s="81">
        <v>12</v>
      </c>
      <c r="X2" s="81">
        <v>14</v>
      </c>
      <c r="Y2" s="81">
        <v>15</v>
      </c>
      <c r="Z2" s="81">
        <v>16</v>
      </c>
      <c r="AA2" s="81">
        <v>16</v>
      </c>
      <c r="AB2" s="81">
        <v>17</v>
      </c>
      <c r="AC2" s="81">
        <v>17</v>
      </c>
      <c r="AD2" s="81">
        <v>18</v>
      </c>
      <c r="AE2" s="81">
        <v>18</v>
      </c>
      <c r="AF2" s="81">
        <v>19</v>
      </c>
      <c r="AG2" s="81">
        <v>20</v>
      </c>
      <c r="AH2" s="81">
        <v>21</v>
      </c>
      <c r="AI2" s="394">
        <v>22</v>
      </c>
      <c r="AJ2" s="81">
        <f>职业!$AZ$3</f>
        <v>0</v>
      </c>
      <c r="AK2" s="81"/>
      <c r="AL2" s="813" t="s">
        <v>157</v>
      </c>
      <c r="AM2" s="813"/>
      <c r="AN2" s="813"/>
      <c r="AO2" s="813"/>
      <c r="AP2" s="813"/>
      <c r="AQ2" s="813"/>
      <c r="AR2" s="813"/>
      <c r="AS2" s="813"/>
      <c r="AT2" s="813"/>
      <c r="AU2" s="813"/>
      <c r="AV2" s="813"/>
      <c r="AW2" s="813"/>
      <c r="AX2" s="813"/>
      <c r="AY2" s="813"/>
      <c r="AZ2" s="813"/>
      <c r="BA2" s="813"/>
      <c r="BB2" s="813"/>
      <c r="BC2" s="813"/>
      <c r="BD2" s="813"/>
      <c r="BE2" s="813"/>
      <c r="BF2" s="813"/>
      <c r="BG2" s="813"/>
      <c r="BP2" s="727" t="s">
        <v>157</v>
      </c>
      <c r="BQ2" s="728"/>
      <c r="BR2" s="728"/>
      <c r="BS2" s="728"/>
      <c r="BT2" s="728"/>
      <c r="BU2" s="728"/>
      <c r="BV2" s="728"/>
      <c r="BW2" s="728"/>
      <c r="BX2" s="728"/>
      <c r="BY2" s="728"/>
      <c r="BZ2" s="728"/>
      <c r="CA2" s="728"/>
      <c r="CB2" s="728"/>
      <c r="CC2" s="728"/>
      <c r="CD2" s="729"/>
      <c r="CI2" s="89" t="s">
        <v>191</v>
      </c>
      <c r="CJ2" s="90" t="s">
        <v>53</v>
      </c>
      <c r="CK2" s="91" t="s">
        <v>192</v>
      </c>
      <c r="CL2" s="69">
        <v>0</v>
      </c>
      <c r="CM2" s="91">
        <v>1</v>
      </c>
      <c r="CN2" s="69">
        <v>2</v>
      </c>
      <c r="CO2" s="92">
        <v>0</v>
      </c>
      <c r="CP2" s="70">
        <v>2</v>
      </c>
    </row>
    <row r="3" spans="1:94" ht="16.5" customHeight="1" x14ac:dyDescent="0.15">
      <c r="A3" s="68">
        <v>2</v>
      </c>
      <c r="B3" s="69" t="str">
        <f>IF(法术书!X4="","",法术书!X4)</f>
        <v/>
      </c>
      <c r="C3" s="69" t="str">
        <f>IFERROR(VLOOKUP(B3,法术大全!$A:$W,5,FALSE),"")</f>
        <v/>
      </c>
      <c r="D3" s="70" t="str">
        <f>IFERROR(VLOOKUP(B3,法术大全!$A:$W,4,FALSE),"")</f>
        <v/>
      </c>
      <c r="E3" s="68">
        <v>2</v>
      </c>
      <c r="F3" s="71" t="str" cm="1">
        <f t="array" ref="F3">IFERROR(INDEX($B$1:$B$301,SMALL(IF($B$1:$B$301&lt;&gt;"",ROW($B$1:$B$301),4^8),ROW(3:3)))&amp;"","")</f>
        <v/>
      </c>
      <c r="G3" s="72"/>
      <c r="H3" s="73" t="str">
        <f>IF(主要!Q67&lt;&gt;"",主要!Q67,"")</f>
        <v/>
      </c>
      <c r="I3" s="69">
        <f>IF(VLOOKUP(H3,法术大全!$A$3:$E$864,4,0)="√",1,0)</f>
        <v>0</v>
      </c>
      <c r="J3" s="69">
        <f>IF(VLOOKUP(H3,法术大全!$A$3:$E$864,5,0)="√",1,0)</f>
        <v>0</v>
      </c>
      <c r="K3" s="72" t="str" cm="1">
        <f t="array" ref="K3">IFERROR(INDEX($H$1:$H$68,SMALL(IF($H$2:$H$68&lt;&gt;"",ROW($H$2:$H$68),4^8),ROW(3:3)))&amp;"","")</f>
        <v/>
      </c>
      <c r="M3" s="80" t="s">
        <v>193</v>
      </c>
      <c r="O3" s="407" t="s">
        <v>194</v>
      </c>
      <c r="P3" s="408">
        <v>4</v>
      </c>
      <c r="Q3" s="408">
        <v>5</v>
      </c>
      <c r="R3" s="408">
        <v>6</v>
      </c>
      <c r="S3" s="408">
        <v>7</v>
      </c>
      <c r="T3" s="408">
        <v>9</v>
      </c>
      <c r="U3" s="408">
        <v>10</v>
      </c>
      <c r="V3" s="408">
        <v>11</v>
      </c>
      <c r="W3" s="408">
        <v>12</v>
      </c>
      <c r="X3" s="408">
        <v>14</v>
      </c>
      <c r="Y3" s="408">
        <v>15</v>
      </c>
      <c r="Z3" s="408">
        <v>16</v>
      </c>
      <c r="AA3" s="408">
        <v>16</v>
      </c>
      <c r="AB3" s="408">
        <v>17</v>
      </c>
      <c r="AC3" s="408">
        <v>17</v>
      </c>
      <c r="AD3" s="408">
        <v>18</v>
      </c>
      <c r="AE3" s="408">
        <v>18</v>
      </c>
      <c r="AF3" s="408">
        <v>19</v>
      </c>
      <c r="AG3" s="408">
        <v>20</v>
      </c>
      <c r="AH3" s="408">
        <v>21</v>
      </c>
      <c r="AI3" s="407">
        <v>22</v>
      </c>
      <c r="AJ3" s="408">
        <f>职业!$AZ$4</f>
        <v>0</v>
      </c>
      <c r="AK3" s="81"/>
      <c r="AL3" s="730"/>
      <c r="AM3" s="730"/>
      <c r="AN3" s="730"/>
      <c r="AO3" s="730"/>
      <c r="AP3" s="730"/>
      <c r="AQ3" s="730"/>
      <c r="AR3" s="730"/>
      <c r="AS3" s="730"/>
      <c r="AT3" s="730"/>
      <c r="AU3" s="730"/>
      <c r="AV3" s="730"/>
      <c r="AW3" s="730"/>
      <c r="AX3" s="730"/>
      <c r="AY3" s="730"/>
      <c r="AZ3" s="730"/>
      <c r="BA3" s="730"/>
      <c r="BB3" s="730"/>
      <c r="BC3" s="730"/>
      <c r="BD3" s="730"/>
      <c r="BE3" s="730"/>
      <c r="BF3" s="730"/>
      <c r="BG3" s="730"/>
      <c r="BP3" s="730"/>
      <c r="BQ3" s="730"/>
      <c r="BR3" s="730"/>
      <c r="BS3" s="730"/>
      <c r="BT3" s="730"/>
      <c r="BU3" s="730"/>
      <c r="BV3" s="730"/>
      <c r="BW3" s="730"/>
      <c r="BX3" s="730"/>
      <c r="BY3" s="730"/>
      <c r="BZ3" s="730"/>
      <c r="CA3" s="730"/>
      <c r="CB3" s="730"/>
      <c r="CC3" s="730"/>
      <c r="CD3" s="730"/>
      <c r="CI3" s="93">
        <v>0</v>
      </c>
      <c r="CJ3" s="94">
        <v>1</v>
      </c>
      <c r="CK3" s="69" t="s">
        <v>201</v>
      </c>
      <c r="CL3" s="69">
        <v>1</v>
      </c>
      <c r="CM3" s="91">
        <v>2</v>
      </c>
      <c r="CN3" s="69">
        <v>2</v>
      </c>
      <c r="CO3" s="92" t="s">
        <v>202</v>
      </c>
      <c r="CP3" s="70">
        <v>2</v>
      </c>
    </row>
    <row r="4" spans="1:94" ht="16.5" customHeight="1" x14ac:dyDescent="0.15">
      <c r="A4" s="68">
        <v>3</v>
      </c>
      <c r="B4" s="69" t="str">
        <f>IF(法术书!X5="","",法术书!X5)</f>
        <v/>
      </c>
      <c r="C4" s="69" t="str">
        <f>IFERROR(VLOOKUP(B4,法术大全!$A:$W,5,FALSE),"")</f>
        <v/>
      </c>
      <c r="D4" s="70" t="str">
        <f>IFERROR(VLOOKUP(B4,法术大全!$A:$W,4,FALSE),"")</f>
        <v/>
      </c>
      <c r="E4" s="68">
        <v>3</v>
      </c>
      <c r="F4" s="71" t="str" cm="1">
        <f t="array" ref="F4">IFERROR(INDEX($B$1:$B$301,SMALL(IF($B$1:$B$301&lt;&gt;"",ROW($B$1:$B$301),4^8),ROW(4:4)))&amp;"","")</f>
        <v/>
      </c>
      <c r="G4" s="72"/>
      <c r="H4" s="73" t="str">
        <f>IF(主要!Q68&lt;&gt;"",主要!Q68,"")</f>
        <v/>
      </c>
      <c r="I4" s="69">
        <f>IF(VLOOKUP(H4,法术大全!$A$3:$E$864,4,0)="√",1,0)</f>
        <v>0</v>
      </c>
      <c r="J4" s="69">
        <f>IF(VLOOKUP(H4,法术大全!$A$3:$E$864,5,0)="√",1,0)</f>
        <v>0</v>
      </c>
      <c r="K4" s="72" t="str" cm="1">
        <f t="array" ref="K4">IFERROR(INDEX($H$1:$H$68,SMALL(IF($H$2:$H$68&lt;&gt;"",ROW($H$2:$H$68),4^8),ROW(4:4)))&amp;"","")</f>
        <v/>
      </c>
      <c r="M4" s="80" t="s">
        <v>203</v>
      </c>
      <c r="O4" s="394" t="s">
        <v>204</v>
      </c>
      <c r="P4" s="81">
        <v>4</v>
      </c>
      <c r="Q4" s="81">
        <v>5</v>
      </c>
      <c r="R4" s="81">
        <v>6</v>
      </c>
      <c r="S4" s="81">
        <v>7</v>
      </c>
      <c r="T4" s="81">
        <v>9</v>
      </c>
      <c r="U4" s="81">
        <v>10</v>
      </c>
      <c r="V4" s="81">
        <v>11</v>
      </c>
      <c r="W4" s="81">
        <v>12</v>
      </c>
      <c r="X4" s="81">
        <v>14</v>
      </c>
      <c r="Y4" s="81">
        <v>15</v>
      </c>
      <c r="Z4" s="81">
        <v>16</v>
      </c>
      <c r="AA4" s="81">
        <v>16</v>
      </c>
      <c r="AB4" s="81">
        <v>17</v>
      </c>
      <c r="AC4" s="81">
        <v>17</v>
      </c>
      <c r="AD4" s="81">
        <v>18</v>
      </c>
      <c r="AE4" s="81">
        <v>18</v>
      </c>
      <c r="AF4" s="81">
        <v>19</v>
      </c>
      <c r="AG4" s="81">
        <v>20</v>
      </c>
      <c r="AH4" s="81">
        <v>21</v>
      </c>
      <c r="AI4" s="394">
        <v>22</v>
      </c>
      <c r="AJ4" s="81">
        <f>职业!$AZ$5</f>
        <v>0</v>
      </c>
      <c r="AK4" s="81"/>
      <c r="AL4" s="730"/>
      <c r="AM4" s="730"/>
      <c r="AN4" s="730"/>
      <c r="AO4" s="730"/>
      <c r="AP4" s="730"/>
      <c r="AQ4" s="730"/>
      <c r="AR4" s="730"/>
      <c r="AS4" s="730"/>
      <c r="AT4" s="730"/>
      <c r="AU4" s="730"/>
      <c r="AV4" s="730"/>
      <c r="AW4" s="730"/>
      <c r="AX4" s="730"/>
      <c r="AY4" s="730"/>
      <c r="AZ4" s="730"/>
      <c r="BA4" s="730"/>
      <c r="BB4" s="730"/>
      <c r="BC4" s="730"/>
      <c r="BD4" s="730"/>
      <c r="BE4" s="730"/>
      <c r="BF4" s="730"/>
      <c r="BG4" s="730"/>
      <c r="BP4" s="730"/>
      <c r="BQ4" s="730"/>
      <c r="BR4" s="730"/>
      <c r="BS4" s="730"/>
      <c r="BT4" s="730"/>
      <c r="BU4" s="730"/>
      <c r="BV4" s="730"/>
      <c r="BW4" s="730"/>
      <c r="BX4" s="730"/>
      <c r="BY4" s="730"/>
      <c r="BZ4" s="730"/>
      <c r="CA4" s="730"/>
      <c r="CB4" s="730"/>
      <c r="CC4" s="730"/>
      <c r="CD4" s="730"/>
      <c r="CI4" s="93">
        <v>300</v>
      </c>
      <c r="CJ4" s="94">
        <v>2</v>
      </c>
      <c r="CK4" s="69" t="s">
        <v>212</v>
      </c>
      <c r="CL4" s="69">
        <v>2</v>
      </c>
      <c r="CM4" s="91">
        <v>3</v>
      </c>
      <c r="CN4" s="69">
        <v>2</v>
      </c>
      <c r="CO4" s="92" t="s">
        <v>213</v>
      </c>
      <c r="CP4" s="70">
        <v>2</v>
      </c>
    </row>
    <row r="5" spans="1:94" ht="16.5" customHeight="1" x14ac:dyDescent="0.15">
      <c r="A5" s="68">
        <v>4</v>
      </c>
      <c r="B5" s="69" t="str">
        <f>IF(法术书!X6="","",法术书!X6)</f>
        <v/>
      </c>
      <c r="C5" s="69" t="str">
        <f>IFERROR(VLOOKUP(B5,法术大全!$A:$W,5,FALSE),"")</f>
        <v/>
      </c>
      <c r="D5" s="70" t="str">
        <f>IFERROR(VLOOKUP(B5,法术大全!$A:$W,4,FALSE),"")</f>
        <v/>
      </c>
      <c r="E5" s="68">
        <v>4</v>
      </c>
      <c r="F5" s="71" t="str" cm="1">
        <f t="array" ref="F5">IFERROR(INDEX($B$1:$B$301,SMALL(IF($B$1:$B$301&lt;&gt;"",ROW($B$1:$B$301),4^8),ROW(5:5)))&amp;"","")</f>
        <v/>
      </c>
      <c r="G5" s="72"/>
      <c r="H5" s="73" t="str">
        <f>IF(主要!Q69&lt;&gt;"",主要!Q69,"")</f>
        <v/>
      </c>
      <c r="I5" s="69">
        <f>IF(VLOOKUP(H5,法术大全!$A$3:$E$864,4,0)="√",1,0)</f>
        <v>0</v>
      </c>
      <c r="J5" s="69">
        <f>IF(VLOOKUP(H5,法术大全!$A$3:$E$864,5,0)="√",1,0)</f>
        <v>0</v>
      </c>
      <c r="K5" s="72" t="str" cm="1">
        <f t="array" ref="K5">IFERROR(INDEX($H$1:$H$68,SMALL(IF($H$2:$H$68&lt;&gt;"",ROW($H$2:$H$68),4^8),ROW(5:5)))&amp;"","")</f>
        <v/>
      </c>
      <c r="M5" s="80" t="s">
        <v>214</v>
      </c>
      <c r="O5" s="407" t="s">
        <v>215</v>
      </c>
      <c r="P5" s="408">
        <v>2</v>
      </c>
      <c r="Q5" s="409">
        <v>3</v>
      </c>
      <c r="R5" s="408">
        <v>4</v>
      </c>
      <c r="S5" s="409">
        <v>5</v>
      </c>
      <c r="T5" s="408">
        <v>6</v>
      </c>
      <c r="U5" s="409">
        <v>6</v>
      </c>
      <c r="V5" s="408">
        <v>7</v>
      </c>
      <c r="W5" s="409">
        <v>7</v>
      </c>
      <c r="X5" s="408">
        <v>9</v>
      </c>
      <c r="Y5" s="409">
        <v>9</v>
      </c>
      <c r="Z5" s="408">
        <v>10</v>
      </c>
      <c r="AA5" s="409">
        <v>10</v>
      </c>
      <c r="AB5" s="408">
        <v>11</v>
      </c>
      <c r="AC5" s="409">
        <v>11</v>
      </c>
      <c r="AD5" s="408">
        <v>12</v>
      </c>
      <c r="AE5" s="409">
        <v>12</v>
      </c>
      <c r="AF5" s="408">
        <v>14</v>
      </c>
      <c r="AG5" s="409">
        <v>14</v>
      </c>
      <c r="AH5" s="408">
        <v>15</v>
      </c>
      <c r="AI5" s="407">
        <v>15</v>
      </c>
      <c r="AJ5" s="408">
        <f>职业!$AZ$8</f>
        <v>0</v>
      </c>
      <c r="AK5" s="81"/>
      <c r="AL5" s="730"/>
      <c r="AM5" s="730"/>
      <c r="AN5" s="730"/>
      <c r="AO5" s="730"/>
      <c r="AP5" s="730"/>
      <c r="AQ5" s="730"/>
      <c r="AR5" s="730"/>
      <c r="AS5" s="730"/>
      <c r="AT5" s="730"/>
      <c r="AU5" s="730"/>
      <c r="AV5" s="730"/>
      <c r="AW5" s="730"/>
      <c r="AX5" s="730"/>
      <c r="AY5" s="730"/>
      <c r="AZ5" s="730"/>
      <c r="BA5" s="730"/>
      <c r="BB5" s="730"/>
      <c r="BC5" s="730"/>
      <c r="BD5" s="730"/>
      <c r="BE5" s="730"/>
      <c r="BF5" s="730"/>
      <c r="BG5" s="730"/>
      <c r="BP5" s="730"/>
      <c r="BQ5" s="730"/>
      <c r="BR5" s="730"/>
      <c r="BS5" s="730"/>
      <c r="BT5" s="730"/>
      <c r="BU5" s="730"/>
      <c r="BV5" s="730"/>
      <c r="BW5" s="730"/>
      <c r="BX5" s="730"/>
      <c r="BY5" s="730"/>
      <c r="BZ5" s="730"/>
      <c r="CA5" s="730"/>
      <c r="CB5" s="730"/>
      <c r="CC5" s="730"/>
      <c r="CD5" s="730"/>
      <c r="CI5" s="93">
        <v>900</v>
      </c>
      <c r="CJ5" s="94">
        <v>3</v>
      </c>
      <c r="CK5" s="69" t="s">
        <v>221</v>
      </c>
      <c r="CL5" s="69">
        <v>3</v>
      </c>
      <c r="CM5" s="91">
        <v>4</v>
      </c>
      <c r="CN5" s="69">
        <v>2</v>
      </c>
      <c r="CO5" s="92" t="s">
        <v>222</v>
      </c>
      <c r="CP5" s="70">
        <v>2</v>
      </c>
    </row>
    <row r="6" spans="1:94" ht="16.5" customHeight="1" x14ac:dyDescent="0.15">
      <c r="A6" s="68">
        <v>5</v>
      </c>
      <c r="B6" s="69" t="str">
        <f>IF(法术书!X7="","",法术书!X7)</f>
        <v/>
      </c>
      <c r="C6" s="69" t="str">
        <f>IFERROR(VLOOKUP(B6,法术大全!$A:$W,5,FALSE),"")</f>
        <v/>
      </c>
      <c r="D6" s="70" t="str">
        <f>IFERROR(VLOOKUP(B6,法术大全!$A:$W,4,FALSE),"")</f>
        <v/>
      </c>
      <c r="E6" s="68">
        <v>5</v>
      </c>
      <c r="F6" s="71" t="str" cm="1">
        <f t="array" ref="F6">IFERROR(INDEX($B$1:$B$301,SMALL(IF($B$1:$B$301&lt;&gt;"",ROW($B$1:$B$301),4^8),ROW(6:6)))&amp;"","")</f>
        <v/>
      </c>
      <c r="G6" s="72"/>
      <c r="H6" s="73" t="str">
        <f>IF(主要!Q70&lt;&gt;"",主要!Q70,"")</f>
        <v/>
      </c>
      <c r="I6" s="69">
        <f>IF(VLOOKUP(H6,法术大全!$A$3:$E$864,4,0)="√",1,0)</f>
        <v>0</v>
      </c>
      <c r="J6" s="69">
        <f>IF(VLOOKUP(H6,法术大全!$A$3:$E$864,5,0)="√",1,0)</f>
        <v>0</v>
      </c>
      <c r="K6" s="72" t="str" cm="1">
        <f t="array" ref="K6">IFERROR(INDEX($H$1:$H$68,SMALL(IF($H$2:$H$68&lt;&gt;"",ROW($H$2:$H$68),4^8),ROW(6:6)))&amp;"","")</f>
        <v/>
      </c>
      <c r="M6" s="80" t="s">
        <v>223</v>
      </c>
      <c r="O6" s="394" t="s">
        <v>224</v>
      </c>
      <c r="P6" s="81">
        <v>2</v>
      </c>
      <c r="Q6" s="81">
        <v>3</v>
      </c>
      <c r="R6" s="81">
        <v>4</v>
      </c>
      <c r="S6" s="81">
        <v>5</v>
      </c>
      <c r="T6" s="81">
        <v>6</v>
      </c>
      <c r="U6" s="81">
        <v>6</v>
      </c>
      <c r="V6" s="81">
        <v>7</v>
      </c>
      <c r="W6" s="81">
        <v>7</v>
      </c>
      <c r="X6" s="81">
        <v>9</v>
      </c>
      <c r="Y6" s="81">
        <v>9</v>
      </c>
      <c r="Z6" s="81">
        <v>10</v>
      </c>
      <c r="AA6" s="81">
        <v>10</v>
      </c>
      <c r="AB6" s="81">
        <v>11</v>
      </c>
      <c r="AC6" s="81">
        <v>11</v>
      </c>
      <c r="AD6" s="81">
        <v>12</v>
      </c>
      <c r="AE6" s="81">
        <v>12</v>
      </c>
      <c r="AF6" s="81">
        <v>14</v>
      </c>
      <c r="AG6" s="81">
        <v>14</v>
      </c>
      <c r="AH6" s="81">
        <v>15</v>
      </c>
      <c r="AI6" s="394">
        <v>15</v>
      </c>
      <c r="AJ6" s="81">
        <f>职业!$AZ$9</f>
        <v>0</v>
      </c>
      <c r="AK6" s="81"/>
      <c r="AL6" s="730"/>
      <c r="AM6" s="730"/>
      <c r="AN6" s="730"/>
      <c r="AO6" s="730"/>
      <c r="AP6" s="730"/>
      <c r="AQ6" s="730"/>
      <c r="AR6" s="730"/>
      <c r="AS6" s="730"/>
      <c r="AT6" s="730"/>
      <c r="AU6" s="730"/>
      <c r="AV6" s="730"/>
      <c r="AW6" s="730"/>
      <c r="AX6" s="730"/>
      <c r="AY6" s="730"/>
      <c r="AZ6" s="730"/>
      <c r="BA6" s="730"/>
      <c r="BB6" s="730"/>
      <c r="BC6" s="730"/>
      <c r="BD6" s="730"/>
      <c r="BE6" s="730"/>
      <c r="BF6" s="730"/>
      <c r="BG6" s="730"/>
      <c r="BP6" s="730"/>
      <c r="BQ6" s="730"/>
      <c r="BR6" s="730"/>
      <c r="BS6" s="730"/>
      <c r="BT6" s="730"/>
      <c r="BU6" s="730"/>
      <c r="BV6" s="730"/>
      <c r="BW6" s="730"/>
      <c r="BX6" s="730"/>
      <c r="BY6" s="730"/>
      <c r="BZ6" s="730"/>
      <c r="CA6" s="730"/>
      <c r="CB6" s="730"/>
      <c r="CC6" s="730"/>
      <c r="CD6" s="730"/>
      <c r="CI6" s="93">
        <f>CI5*CJ5</f>
        <v>2700</v>
      </c>
      <c r="CJ6" s="94">
        <v>4</v>
      </c>
      <c r="CK6" s="69" t="s">
        <v>232</v>
      </c>
      <c r="CL6" s="69">
        <v>4</v>
      </c>
      <c r="CM6" s="91">
        <v>5</v>
      </c>
      <c r="CN6" s="69">
        <v>3</v>
      </c>
      <c r="CO6" s="91">
        <v>1</v>
      </c>
      <c r="CP6" s="70">
        <v>2</v>
      </c>
    </row>
    <row r="7" spans="1:94" ht="16.5" customHeight="1" x14ac:dyDescent="0.15">
      <c r="A7" s="68">
        <v>6</v>
      </c>
      <c r="B7" s="69" t="str">
        <f>IF(法术书!X8="","",法术书!X8)</f>
        <v/>
      </c>
      <c r="C7" s="69" t="str">
        <f>IFERROR(VLOOKUP(B7,法术大全!$A:$W,5,FALSE),"")</f>
        <v/>
      </c>
      <c r="D7" s="70" t="str">
        <f>IFERROR(VLOOKUP(B7,法术大全!$A:$W,4,FALSE),"")</f>
        <v/>
      </c>
      <c r="E7" s="68">
        <v>6</v>
      </c>
      <c r="F7" s="71" t="str" cm="1">
        <f t="array" ref="F7">IFERROR(INDEX($B$1:$B$301,SMALL(IF($B$1:$B$301&lt;&gt;"",ROW($B$1:$B$301),4^8),ROW(7:7)))&amp;"","")</f>
        <v/>
      </c>
      <c r="G7" s="72"/>
      <c r="H7" s="73" t="str">
        <f>IF(主要!Q71&lt;&gt;"",主要!Q71,"")</f>
        <v/>
      </c>
      <c r="I7" s="69">
        <f>IF(VLOOKUP(H7,法术大全!$A$3:$E$864,4,0)="√",1,0)</f>
        <v>0</v>
      </c>
      <c r="J7" s="69">
        <f>IF(VLOOKUP(H7,法术大全!$A$3:$E$864,5,0)="√",1,0)</f>
        <v>0</v>
      </c>
      <c r="K7" s="72" t="str" cm="1">
        <f t="array" ref="K7">IFERROR(INDEX($H$1:$H$68,SMALL(IF($H$2:$H$68&lt;&gt;"",ROW($H$2:$H$68),4^8),ROW(7:7)))&amp;"","")</f>
        <v/>
      </c>
      <c r="M7" s="80" t="s">
        <v>233</v>
      </c>
      <c r="O7" s="407" t="s">
        <v>234</v>
      </c>
      <c r="P7" s="408">
        <v>2</v>
      </c>
      <c r="Q7" s="408">
        <v>4</v>
      </c>
      <c r="R7" s="408">
        <v>6</v>
      </c>
      <c r="S7" s="408">
        <v>7</v>
      </c>
      <c r="T7" s="408">
        <v>9</v>
      </c>
      <c r="U7" s="408">
        <v>10</v>
      </c>
      <c r="V7" s="408">
        <v>11</v>
      </c>
      <c r="W7" s="408">
        <v>12</v>
      </c>
      <c r="X7" s="408">
        <v>14</v>
      </c>
      <c r="Y7" s="408">
        <v>15</v>
      </c>
      <c r="Z7" s="408">
        <v>16</v>
      </c>
      <c r="AA7" s="408">
        <v>16</v>
      </c>
      <c r="AB7" s="408">
        <v>17</v>
      </c>
      <c r="AC7" s="408">
        <v>17</v>
      </c>
      <c r="AD7" s="408">
        <v>18</v>
      </c>
      <c r="AE7" s="408">
        <v>18</v>
      </c>
      <c r="AF7" s="408">
        <v>19</v>
      </c>
      <c r="AG7" s="408">
        <v>20</v>
      </c>
      <c r="AH7" s="408">
        <v>21</v>
      </c>
      <c r="AI7" s="407">
        <v>22</v>
      </c>
      <c r="AJ7" s="408">
        <f>职业!$AZ$11</f>
        <v>0</v>
      </c>
      <c r="AK7" s="81"/>
      <c r="AL7" s="730"/>
      <c r="AM7" s="730"/>
      <c r="AN7" s="730"/>
      <c r="AO7" s="730"/>
      <c r="AP7" s="730"/>
      <c r="AQ7" s="730"/>
      <c r="AR7" s="730"/>
      <c r="AS7" s="730"/>
      <c r="AT7" s="730"/>
      <c r="AU7" s="730"/>
      <c r="AV7" s="730"/>
      <c r="AW7" s="730"/>
      <c r="AX7" s="730"/>
      <c r="AY7" s="730"/>
      <c r="AZ7" s="730"/>
      <c r="BA7" s="730"/>
      <c r="BB7" s="730"/>
      <c r="BC7" s="730"/>
      <c r="BD7" s="730"/>
      <c r="BE7" s="730"/>
      <c r="BF7" s="730"/>
      <c r="BG7" s="730"/>
      <c r="BP7" s="730"/>
      <c r="BQ7" s="730"/>
      <c r="BR7" s="730"/>
      <c r="BS7" s="730"/>
      <c r="BT7" s="730"/>
      <c r="BU7" s="730"/>
      <c r="BV7" s="730"/>
      <c r="BW7" s="730"/>
      <c r="BX7" s="730"/>
      <c r="BY7" s="730"/>
      <c r="BZ7" s="730"/>
      <c r="CA7" s="730"/>
      <c r="CB7" s="730"/>
      <c r="CC7" s="730"/>
      <c r="CD7" s="730"/>
      <c r="CI7" s="91">
        <v>6500</v>
      </c>
      <c r="CJ7" s="70">
        <v>5</v>
      </c>
      <c r="CK7" s="69" t="s">
        <v>242</v>
      </c>
      <c r="CL7" s="69">
        <v>5</v>
      </c>
      <c r="CM7" s="91">
        <v>6</v>
      </c>
      <c r="CN7" s="69">
        <v>3</v>
      </c>
      <c r="CO7" s="91">
        <v>2</v>
      </c>
      <c r="CP7" s="70">
        <v>2</v>
      </c>
    </row>
    <row r="8" spans="1:94" ht="16.5" customHeight="1" x14ac:dyDescent="0.15">
      <c r="A8" s="68">
        <v>7</v>
      </c>
      <c r="B8" s="69" t="str">
        <f>IF(法术书!X9="","",法术书!X9)</f>
        <v/>
      </c>
      <c r="C8" s="69" t="str">
        <f>IFERROR(VLOOKUP(B8,法术大全!$A:$W,5,FALSE),"")</f>
        <v/>
      </c>
      <c r="D8" s="70" t="str">
        <f>IFERROR(VLOOKUP(B8,法术大全!$A:$W,4,FALSE),"")</f>
        <v/>
      </c>
      <c r="E8" s="68">
        <v>7</v>
      </c>
      <c r="F8" s="71" t="str" cm="1">
        <f t="array" ref="F8">IFERROR(INDEX($B$1:$B$301,SMALL(IF($B$1:$B$301&lt;&gt;"",ROW($B$1:$B$301),4^8),ROW(8:8)))&amp;"","")</f>
        <v/>
      </c>
      <c r="G8" s="72"/>
      <c r="H8" s="73" t="str">
        <f>IF(主要!Q72&lt;&gt;"",主要!Q72,"")</f>
        <v/>
      </c>
      <c r="I8" s="69">
        <f>IF(VLOOKUP(H8,法术大全!$A$3:$E$864,4,0)="√",1,0)</f>
        <v>0</v>
      </c>
      <c r="J8" s="69">
        <f>IF(VLOOKUP(H8,法术大全!$A$3:$E$864,5,0)="√",1,0)</f>
        <v>0</v>
      </c>
      <c r="K8" s="72" t="str" cm="1">
        <f t="array" ref="K8">IFERROR(INDEX($H$1:$H$68,SMALL(IF($H$2:$H$68&lt;&gt;"",ROW($H$2:$H$68),4^8),ROW(8:8)))&amp;"","")</f>
        <v/>
      </c>
      <c r="M8" s="80" t="s">
        <v>243</v>
      </c>
      <c r="O8" s="394" t="s">
        <v>244</v>
      </c>
      <c r="P8" s="81">
        <v>2</v>
      </c>
      <c r="Q8" s="81">
        <v>3</v>
      </c>
      <c r="R8" s="81">
        <v>4</v>
      </c>
      <c r="S8" s="81">
        <v>5</v>
      </c>
      <c r="T8" s="81">
        <v>6</v>
      </c>
      <c r="U8" s="81">
        <v>7</v>
      </c>
      <c r="V8" s="81">
        <v>8</v>
      </c>
      <c r="W8" s="81">
        <v>9</v>
      </c>
      <c r="X8" s="81">
        <v>10</v>
      </c>
      <c r="Y8" s="81">
        <v>10</v>
      </c>
      <c r="Z8" s="81">
        <v>11</v>
      </c>
      <c r="AA8" s="81">
        <v>11</v>
      </c>
      <c r="AB8" s="81">
        <v>12</v>
      </c>
      <c r="AC8" s="81">
        <v>12</v>
      </c>
      <c r="AD8" s="81">
        <v>13</v>
      </c>
      <c r="AE8" s="81">
        <v>13</v>
      </c>
      <c r="AF8" s="81">
        <v>14</v>
      </c>
      <c r="AG8" s="81">
        <v>14</v>
      </c>
      <c r="AH8" s="81">
        <v>15</v>
      </c>
      <c r="AI8" s="394">
        <v>15</v>
      </c>
      <c r="AJ8" s="81">
        <f>职业!$AZ$12</f>
        <v>0</v>
      </c>
      <c r="AK8" s="81"/>
      <c r="AL8" s="730"/>
      <c r="AM8" s="730"/>
      <c r="AN8" s="730"/>
      <c r="AO8" s="730"/>
      <c r="AP8" s="730"/>
      <c r="AQ8" s="730"/>
      <c r="AR8" s="730"/>
      <c r="AS8" s="730"/>
      <c r="AT8" s="730"/>
      <c r="AU8" s="730"/>
      <c r="AV8" s="730"/>
      <c r="AW8" s="730"/>
      <c r="AX8" s="730"/>
      <c r="AY8" s="730"/>
      <c r="AZ8" s="730"/>
      <c r="BA8" s="730"/>
      <c r="BB8" s="730"/>
      <c r="BC8" s="730"/>
      <c r="BD8" s="730"/>
      <c r="BE8" s="730"/>
      <c r="BF8" s="730"/>
      <c r="BG8" s="730"/>
      <c r="BP8" s="730"/>
      <c r="BQ8" s="730"/>
      <c r="BR8" s="730"/>
      <c r="BS8" s="730"/>
      <c r="BT8" s="730"/>
      <c r="BU8" s="730"/>
      <c r="BV8" s="730"/>
      <c r="BW8" s="730"/>
      <c r="BX8" s="730"/>
      <c r="BY8" s="730"/>
      <c r="BZ8" s="730"/>
      <c r="CA8" s="730"/>
      <c r="CB8" s="730"/>
      <c r="CC8" s="730"/>
      <c r="CD8" s="730"/>
      <c r="CI8" s="91">
        <v>14000</v>
      </c>
      <c r="CJ8" s="70">
        <v>6</v>
      </c>
      <c r="CK8" s="69" t="s">
        <v>250</v>
      </c>
      <c r="CL8" s="69">
        <v>6</v>
      </c>
      <c r="CM8" s="91">
        <v>7</v>
      </c>
      <c r="CN8" s="69">
        <v>3</v>
      </c>
      <c r="CO8" s="91">
        <v>3</v>
      </c>
      <c r="CP8" s="70">
        <v>2</v>
      </c>
    </row>
    <row r="9" spans="1:94" ht="16.5" customHeight="1" x14ac:dyDescent="0.15">
      <c r="A9" s="68">
        <v>8</v>
      </c>
      <c r="B9" s="69" t="str">
        <f>IF(法术书!X10="","",法术书!X10)</f>
        <v/>
      </c>
      <c r="C9" s="69" t="str">
        <f>IFERROR(VLOOKUP(B9,法术大全!$A:$W,5,FALSE),"")</f>
        <v/>
      </c>
      <c r="D9" s="70" t="str">
        <f>IFERROR(VLOOKUP(B9,法术大全!$A:$W,4,FALSE),"")</f>
        <v/>
      </c>
      <c r="E9" s="68">
        <v>8</v>
      </c>
      <c r="F9" s="71" t="str" cm="1">
        <f t="array" ref="F9">IFERROR(INDEX($B$1:$B$301,SMALL(IF($B$1:$B$301&lt;&gt;"",ROW($B$1:$B$301),4^8),ROW(9:9)))&amp;"","")</f>
        <v/>
      </c>
      <c r="G9" s="72"/>
      <c r="H9" s="73" t="str">
        <f>IF(主要!Q73&lt;&gt;"",主要!Q73,"")</f>
        <v/>
      </c>
      <c r="I9" s="69">
        <f>IF(VLOOKUP(H9,法术大全!$A$3:$E$864,4,0)="√",1,0)</f>
        <v>0</v>
      </c>
      <c r="J9" s="69">
        <f>IF(VLOOKUP(H9,法术大全!$A$3:$E$864,5,0)="√",1,0)</f>
        <v>0</v>
      </c>
      <c r="K9" s="72" t="str" cm="1">
        <f t="array" ref="K9">IFERROR(INDEX($H$1:$H$68,SMALL(IF($H$2:$H$68&lt;&gt;"",ROW($H$2:$H$68),4^8),ROW(9:9)))&amp;"","")</f>
        <v/>
      </c>
      <c r="M9" s="80" t="s">
        <v>251</v>
      </c>
      <c r="O9" s="407" t="s">
        <v>252</v>
      </c>
      <c r="P9" s="408">
        <v>4</v>
      </c>
      <c r="Q9" s="408">
        <v>5</v>
      </c>
      <c r="R9" s="408">
        <v>6</v>
      </c>
      <c r="S9" s="408">
        <v>7</v>
      </c>
      <c r="T9" s="408">
        <v>9</v>
      </c>
      <c r="U9" s="408">
        <v>10</v>
      </c>
      <c r="V9" s="408">
        <v>11</v>
      </c>
      <c r="W9" s="408">
        <v>12</v>
      </c>
      <c r="X9" s="408">
        <v>14</v>
      </c>
      <c r="Y9" s="408">
        <v>15</v>
      </c>
      <c r="Z9" s="408">
        <v>16</v>
      </c>
      <c r="AA9" s="408">
        <v>16</v>
      </c>
      <c r="AB9" s="408">
        <v>17</v>
      </c>
      <c r="AC9" s="408">
        <v>18</v>
      </c>
      <c r="AD9" s="408">
        <v>19</v>
      </c>
      <c r="AE9" s="408">
        <v>21</v>
      </c>
      <c r="AF9" s="408">
        <v>22</v>
      </c>
      <c r="AG9" s="408">
        <v>23</v>
      </c>
      <c r="AH9" s="408">
        <v>24</v>
      </c>
      <c r="AI9" s="407">
        <v>25</v>
      </c>
      <c r="AJ9" s="408">
        <f>职业!$AZ$13</f>
        <v>0</v>
      </c>
      <c r="AK9" s="81"/>
      <c r="AL9" s="730"/>
      <c r="AM9" s="730"/>
      <c r="AN9" s="730"/>
      <c r="AO9" s="730"/>
      <c r="AP9" s="730"/>
      <c r="AQ9" s="730"/>
      <c r="AR9" s="730"/>
      <c r="AS9" s="730"/>
      <c r="AT9" s="730"/>
      <c r="AU9" s="730"/>
      <c r="AV9" s="730"/>
      <c r="AW9" s="730"/>
      <c r="AX9" s="730"/>
      <c r="AY9" s="730"/>
      <c r="AZ9" s="730"/>
      <c r="BA9" s="730"/>
      <c r="BB9" s="730"/>
      <c r="BC9" s="730"/>
      <c r="BD9" s="730"/>
      <c r="BE9" s="730"/>
      <c r="BF9" s="730"/>
      <c r="BG9" s="730"/>
      <c r="BP9" s="730"/>
      <c r="BQ9" s="730"/>
      <c r="BR9" s="730"/>
      <c r="BS9" s="730"/>
      <c r="BT9" s="730"/>
      <c r="BU9" s="730"/>
      <c r="BV9" s="730"/>
      <c r="BW9" s="730"/>
      <c r="BX9" s="730"/>
      <c r="BY9" s="730"/>
      <c r="BZ9" s="730"/>
      <c r="CA9" s="730"/>
      <c r="CB9" s="730"/>
      <c r="CC9" s="730"/>
      <c r="CD9" s="730"/>
      <c r="CI9" s="91">
        <v>23000</v>
      </c>
      <c r="CJ9" s="70">
        <v>7</v>
      </c>
      <c r="CK9" s="69" t="s">
        <v>258</v>
      </c>
      <c r="CL9" s="69">
        <v>7</v>
      </c>
      <c r="CM9" s="91">
        <v>8</v>
      </c>
      <c r="CN9" s="69">
        <v>3</v>
      </c>
      <c r="CO9" s="91">
        <v>4</v>
      </c>
      <c r="CP9" s="70">
        <v>2</v>
      </c>
    </row>
    <row r="10" spans="1:94" ht="16.5" customHeight="1" x14ac:dyDescent="0.15">
      <c r="A10" s="68">
        <v>9</v>
      </c>
      <c r="B10" s="69" t="str">
        <f>IF(法术书!X11="","",法术书!X11)</f>
        <v/>
      </c>
      <c r="C10" s="69" t="str">
        <f>IFERROR(VLOOKUP(B10,法术大全!$A:$W,5,FALSE),"")</f>
        <v/>
      </c>
      <c r="D10" s="70" t="str">
        <f>IFERROR(VLOOKUP(B10,法术大全!$A:$W,4,FALSE),"")</f>
        <v/>
      </c>
      <c r="E10" s="68">
        <v>9</v>
      </c>
      <c r="F10" s="71" t="str" cm="1">
        <f t="array" ref="F10">IFERROR(INDEX($B$1:$B$301,SMALL(IF($B$1:$B$301&lt;&gt;"",ROW($B$1:$B$301),4^8),ROW(10:10)))&amp;"","")</f>
        <v/>
      </c>
      <c r="G10" s="72" t="s">
        <v>259</v>
      </c>
      <c r="H10" s="74" t="str">
        <f>IF(主要!Q77&lt;&gt;"",主要!Q77,"")</f>
        <v/>
      </c>
      <c r="I10" s="69">
        <f>IF(VLOOKUP(H10,法术大全!$A$3:$E$864,4,0)="√",1,0)</f>
        <v>0</v>
      </c>
      <c r="J10" s="69">
        <f>IF(VLOOKUP(H10,法术大全!$A$3:$E$864,5,0)="√",1,0)</f>
        <v>0</v>
      </c>
      <c r="K10" s="72" t="str" cm="1">
        <f t="array" ref="K10">IFERROR(INDEX($H$1:$H$68,SMALL(IF($H$2:$H$68&lt;&gt;"",ROW($H$2:$H$68),4^8),ROW(10:10)))&amp;"","")</f>
        <v/>
      </c>
      <c r="M10" s="80" t="s">
        <v>260</v>
      </c>
      <c r="O10" s="394" t="s">
        <v>2880</v>
      </c>
      <c r="P10" s="81">
        <v>2</v>
      </c>
      <c r="Q10" s="81">
        <v>3</v>
      </c>
      <c r="R10" s="81">
        <v>4</v>
      </c>
      <c r="S10" s="81">
        <v>5</v>
      </c>
      <c r="T10" s="81">
        <v>6</v>
      </c>
      <c r="U10" s="81">
        <v>6</v>
      </c>
      <c r="V10" s="81">
        <v>7</v>
      </c>
      <c r="W10" s="81">
        <v>7</v>
      </c>
      <c r="X10" s="81">
        <v>9</v>
      </c>
      <c r="Y10" s="81">
        <v>9</v>
      </c>
      <c r="Z10" s="81">
        <v>10</v>
      </c>
      <c r="AA10" s="81">
        <v>10</v>
      </c>
      <c r="AB10" s="81">
        <v>11</v>
      </c>
      <c r="AC10" s="81">
        <v>11</v>
      </c>
      <c r="AD10" s="81">
        <v>12</v>
      </c>
      <c r="AE10" s="81">
        <v>12</v>
      </c>
      <c r="AF10" s="81">
        <v>14</v>
      </c>
      <c r="AG10" s="81">
        <v>14</v>
      </c>
      <c r="AH10" s="81">
        <v>15</v>
      </c>
      <c r="AI10" s="394">
        <v>15</v>
      </c>
      <c r="AJ10" s="81">
        <f>职业!$AZ$14</f>
        <v>0</v>
      </c>
      <c r="AK10" s="81"/>
      <c r="AL10" s="730"/>
      <c r="AM10" s="730"/>
      <c r="AN10" s="730"/>
      <c r="AO10" s="730"/>
      <c r="AP10" s="730"/>
      <c r="AQ10" s="730"/>
      <c r="AR10" s="730"/>
      <c r="AS10" s="730"/>
      <c r="AT10" s="730"/>
      <c r="AU10" s="730"/>
      <c r="AV10" s="730"/>
      <c r="AW10" s="730"/>
      <c r="AX10" s="730"/>
      <c r="AY10" s="730"/>
      <c r="AZ10" s="730"/>
      <c r="BA10" s="730"/>
      <c r="BB10" s="730"/>
      <c r="BC10" s="730"/>
      <c r="BD10" s="730"/>
      <c r="BE10" s="730"/>
      <c r="BF10" s="730"/>
      <c r="BG10" s="730"/>
      <c r="BP10" s="730"/>
      <c r="BQ10" s="730"/>
      <c r="BR10" s="730"/>
      <c r="BS10" s="730"/>
      <c r="BT10" s="730"/>
      <c r="BU10" s="730"/>
      <c r="BV10" s="730"/>
      <c r="BW10" s="730"/>
      <c r="BX10" s="730"/>
      <c r="BY10" s="730"/>
      <c r="BZ10" s="730"/>
      <c r="CA10" s="730"/>
      <c r="CB10" s="730"/>
      <c r="CC10" s="730"/>
      <c r="CD10" s="730"/>
      <c r="CI10" s="91">
        <v>34000</v>
      </c>
      <c r="CJ10" s="70">
        <v>8</v>
      </c>
      <c r="CK10" s="69" t="s">
        <v>266</v>
      </c>
      <c r="CL10" s="69">
        <v>8</v>
      </c>
      <c r="CM10" s="91">
        <v>9</v>
      </c>
      <c r="CN10" s="69">
        <v>4</v>
      </c>
      <c r="CO10" s="91">
        <v>5</v>
      </c>
      <c r="CP10" s="70">
        <v>3</v>
      </c>
    </row>
    <row r="11" spans="1:94" ht="16.5" customHeight="1" x14ac:dyDescent="0.15">
      <c r="A11" s="68">
        <v>10</v>
      </c>
      <c r="B11" s="69" t="str">
        <f>IF(法术书!X12="","",法术书!X12)</f>
        <v/>
      </c>
      <c r="C11" s="69" t="str">
        <f>IFERROR(VLOOKUP(B11,法术大全!$A:$W,5,FALSE),"")</f>
        <v/>
      </c>
      <c r="D11" s="70" t="str">
        <f>IFERROR(VLOOKUP(B11,法术大全!$A:$W,4,FALSE),"")</f>
        <v/>
      </c>
      <c r="E11" s="68">
        <v>10</v>
      </c>
      <c r="F11" s="71" t="str" cm="1">
        <f t="array" ref="F11">IFERROR(INDEX($B$1:$B$301,SMALL(IF($B$1:$B$301&lt;&gt;"",ROW($B$1:$B$301),4^8),ROW(11:11)))&amp;"","")</f>
        <v/>
      </c>
      <c r="G11" s="72"/>
      <c r="H11" s="74" t="str">
        <f>IF(主要!Q78&lt;&gt;"",主要!Q78,"")</f>
        <v/>
      </c>
      <c r="I11" s="69">
        <f>IF(VLOOKUP(H11,法术大全!$A$3:$E$864,4,0)="√",1,0)</f>
        <v>0</v>
      </c>
      <c r="J11" s="69">
        <f>IF(VLOOKUP(H11,法术大全!$A$3:$E$864,5,0)="√",1,0)</f>
        <v>0</v>
      </c>
      <c r="K11" s="72" t="str" cm="1">
        <f t="array" ref="K11">IFERROR(INDEX($H$1:$H$68,SMALL(IF($H$2:$H$68&lt;&gt;"",ROW($H$2:$H$68),4^8),ROW(11:11)))&amp;"","")</f>
        <v/>
      </c>
      <c r="M11" s="80" t="s">
        <v>267</v>
      </c>
      <c r="O11" s="407" t="s">
        <v>5844</v>
      </c>
      <c r="P11" s="408">
        <f>职业!$AZ$17+主要!$R$16</f>
        <v>0</v>
      </c>
      <c r="Q11" s="408">
        <f>职业!$AZ$17+主要!$R$16</f>
        <v>0</v>
      </c>
      <c r="R11" s="408">
        <f>职业!$AZ$17+主要!$R$16</f>
        <v>0</v>
      </c>
      <c r="S11" s="408">
        <f>职业!$AZ$17+主要!$R$16</f>
        <v>0</v>
      </c>
      <c r="T11" s="408">
        <f>职业!$AZ$17+主要!$R$16</f>
        <v>0</v>
      </c>
      <c r="U11" s="408">
        <f>职业!$AZ$17+主要!$R$16</f>
        <v>0</v>
      </c>
      <c r="V11" s="408">
        <f>职业!$AZ$17+主要!$R$16</f>
        <v>0</v>
      </c>
      <c r="W11" s="408">
        <f>职业!$AZ$17+主要!$R$16</f>
        <v>0</v>
      </c>
      <c r="X11" s="408">
        <f>职业!$AZ$17+主要!$R$16</f>
        <v>0</v>
      </c>
      <c r="Y11" s="408">
        <f>职业!$AZ$17+主要!$R$16</f>
        <v>0</v>
      </c>
      <c r="Z11" s="408">
        <f>职业!$AZ$17+主要!$R$16</f>
        <v>0</v>
      </c>
      <c r="AA11" s="408">
        <f>职业!$AZ$17+主要!$R$16</f>
        <v>0</v>
      </c>
      <c r="AB11" s="408">
        <f>职业!$AZ$17+主要!$R$16</f>
        <v>0</v>
      </c>
      <c r="AC11" s="408">
        <f>职业!$AZ$17+主要!$R$16</f>
        <v>0</v>
      </c>
      <c r="AD11" s="408">
        <f>职业!$AZ$17+主要!$R$16</f>
        <v>0</v>
      </c>
      <c r="AE11" s="408">
        <f>职业!$AZ$17+主要!$R$16</f>
        <v>0</v>
      </c>
      <c r="AF11" s="408">
        <f>职业!$AZ$17+主要!$R$16</f>
        <v>0</v>
      </c>
      <c r="AG11" s="408">
        <f>职业!$AZ$17+主要!$R$16</f>
        <v>0</v>
      </c>
      <c r="AH11" s="408">
        <f>职业!$AZ$17+主要!$R$16</f>
        <v>0</v>
      </c>
      <c r="AI11" s="407">
        <f>职业!$AZ$17+主要!$R$16</f>
        <v>0</v>
      </c>
      <c r="AJ11" s="408">
        <f>职业!$AZ$17</f>
        <v>0</v>
      </c>
      <c r="AL11" s="730"/>
      <c r="AM11" s="730"/>
      <c r="AN11" s="730"/>
      <c r="AO11" s="730"/>
      <c r="AP11" s="730"/>
      <c r="AQ11" s="730"/>
      <c r="AR11" s="730"/>
      <c r="AS11" s="730"/>
      <c r="AT11" s="730"/>
      <c r="AU11" s="730"/>
      <c r="AV11" s="730"/>
      <c r="AW11" s="730"/>
      <c r="AX11" s="730"/>
      <c r="AY11" s="730"/>
      <c r="AZ11" s="730"/>
      <c r="BA11" s="730"/>
      <c r="BB11" s="730"/>
      <c r="BC11" s="730"/>
      <c r="BD11" s="730"/>
      <c r="BE11" s="730"/>
      <c r="BF11" s="730"/>
      <c r="BG11" s="730"/>
      <c r="BP11" s="730"/>
      <c r="BQ11" s="730"/>
      <c r="BR11" s="730"/>
      <c r="BS11" s="730"/>
      <c r="BT11" s="730"/>
      <c r="BU11" s="730"/>
      <c r="BV11" s="730"/>
      <c r="BW11" s="730"/>
      <c r="BX11" s="730"/>
      <c r="BY11" s="730"/>
      <c r="BZ11" s="730"/>
      <c r="CA11" s="730"/>
      <c r="CB11" s="730"/>
      <c r="CC11" s="730"/>
      <c r="CD11" s="730"/>
      <c r="CI11" s="91">
        <v>48000</v>
      </c>
      <c r="CJ11" s="70">
        <v>9</v>
      </c>
      <c r="CK11" s="79" t="s">
        <v>272</v>
      </c>
      <c r="CL11" s="79">
        <v>9</v>
      </c>
      <c r="CM11" s="91">
        <v>10</v>
      </c>
      <c r="CN11" s="69">
        <v>4</v>
      </c>
      <c r="CO11" s="91">
        <v>6</v>
      </c>
      <c r="CP11" s="70">
        <v>3</v>
      </c>
    </row>
    <row r="12" spans="1:94" ht="16.5" customHeight="1" x14ac:dyDescent="0.15">
      <c r="A12" s="68">
        <v>11</v>
      </c>
      <c r="B12" s="69" t="str">
        <f>IF(法术书!X13="","",法术书!X13)</f>
        <v/>
      </c>
      <c r="C12" s="69" t="str">
        <f>IFERROR(VLOOKUP(B12,法术大全!$A:$W,5,FALSE),"")</f>
        <v/>
      </c>
      <c r="D12" s="70" t="str">
        <f>IFERROR(VLOOKUP(B12,法术大全!$A:$W,4,FALSE),"")</f>
        <v/>
      </c>
      <c r="E12" s="68">
        <v>11</v>
      </c>
      <c r="F12" s="71" t="str" cm="1">
        <f t="array" ref="F12">IFERROR(INDEX($B$1:$B$301,SMALL(IF($B$1:$B$301&lt;&gt;"",ROW($B$1:$B$301),4^8),ROW(12:12)))&amp;"","")</f>
        <v/>
      </c>
      <c r="G12" s="72"/>
      <c r="H12" s="74" t="str">
        <f>IF(主要!Q79&lt;&gt;"",主要!Q79,"")</f>
        <v/>
      </c>
      <c r="I12" s="69">
        <f>IF(VLOOKUP(H12,法术大全!$A$3:$E$864,4,0)="√",1,0)</f>
        <v>0</v>
      </c>
      <c r="J12" s="69">
        <f>IF(VLOOKUP(H12,法术大全!$A$3:$E$864,5,0)="√",1,0)</f>
        <v>0</v>
      </c>
      <c r="K12" s="72" t="str" cm="1">
        <f t="array" ref="K12">IFERROR(INDEX($H$1:$H$68,SMALL(IF($H$2:$H$68&lt;&gt;"",ROW($H$2:$H$68),4^8),ROW(12:12)))&amp;"","")</f>
        <v/>
      </c>
      <c r="M12" s="80" t="s">
        <v>273</v>
      </c>
      <c r="O12" s="394" t="s">
        <v>2985</v>
      </c>
      <c r="P12" s="81">
        <v>4</v>
      </c>
      <c r="Q12" s="81">
        <v>5</v>
      </c>
      <c r="R12" s="81">
        <v>6</v>
      </c>
      <c r="S12" s="81">
        <v>7</v>
      </c>
      <c r="T12" s="81">
        <v>9</v>
      </c>
      <c r="U12" s="81">
        <v>10</v>
      </c>
      <c r="V12" s="81">
        <v>11</v>
      </c>
      <c r="W12" s="81">
        <v>12</v>
      </c>
      <c r="X12" s="81">
        <v>14</v>
      </c>
      <c r="Y12" s="81">
        <v>15</v>
      </c>
      <c r="Z12" s="81">
        <v>16</v>
      </c>
      <c r="AA12" s="81">
        <v>16</v>
      </c>
      <c r="AB12" s="81">
        <v>17</v>
      </c>
      <c r="AC12" s="81">
        <v>17</v>
      </c>
      <c r="AD12" s="81">
        <v>18</v>
      </c>
      <c r="AE12" s="81">
        <v>18</v>
      </c>
      <c r="AF12" s="81">
        <v>19</v>
      </c>
      <c r="AG12" s="81">
        <v>20</v>
      </c>
      <c r="AH12" s="81">
        <v>21</v>
      </c>
      <c r="AI12" s="394">
        <v>22</v>
      </c>
      <c r="AJ12" s="69">
        <f>职业!$AZ$15</f>
        <v>0</v>
      </c>
      <c r="AL12" s="730"/>
      <c r="AM12" s="730"/>
      <c r="AN12" s="730"/>
      <c r="AO12" s="730"/>
      <c r="AP12" s="730"/>
      <c r="AQ12" s="730"/>
      <c r="AR12" s="730"/>
      <c r="AS12" s="730"/>
      <c r="AT12" s="730"/>
      <c r="AU12" s="730"/>
      <c r="AV12" s="730"/>
      <c r="AW12" s="730"/>
      <c r="AX12" s="730"/>
      <c r="AY12" s="730"/>
      <c r="AZ12" s="730"/>
      <c r="BA12" s="730"/>
      <c r="BB12" s="730"/>
      <c r="BC12" s="730"/>
      <c r="BD12" s="730"/>
      <c r="BE12" s="730"/>
      <c r="BF12" s="730"/>
      <c r="BG12" s="730"/>
      <c r="BP12" s="730"/>
      <c r="BQ12" s="730"/>
      <c r="BR12" s="730"/>
      <c r="BS12" s="730"/>
      <c r="BT12" s="730"/>
      <c r="BU12" s="730"/>
      <c r="BV12" s="730"/>
      <c r="BW12" s="730"/>
      <c r="BX12" s="730"/>
      <c r="BY12" s="730"/>
      <c r="BZ12" s="730"/>
      <c r="CA12" s="730"/>
      <c r="CB12" s="730"/>
      <c r="CC12" s="730"/>
      <c r="CD12" s="730"/>
      <c r="CI12" s="91">
        <v>64000</v>
      </c>
      <c r="CJ12" s="70">
        <v>10</v>
      </c>
      <c r="CM12" s="91">
        <v>11</v>
      </c>
      <c r="CN12" s="69">
        <v>4</v>
      </c>
      <c r="CO12" s="91">
        <v>7</v>
      </c>
      <c r="CP12" s="70">
        <v>3</v>
      </c>
    </row>
    <row r="13" spans="1:94" ht="16.5" customHeight="1" x14ac:dyDescent="0.15">
      <c r="A13" s="68">
        <v>12</v>
      </c>
      <c r="B13" s="69" t="str">
        <f>IF(法术书!X14="","",法术书!X14)</f>
        <v/>
      </c>
      <c r="C13" s="69" t="str">
        <f>IFERROR(VLOOKUP(B13,法术大全!$A:$W,5,FALSE),"")</f>
        <v/>
      </c>
      <c r="D13" s="70" t="str">
        <f>IFERROR(VLOOKUP(B13,法术大全!$A:$W,4,FALSE),"")</f>
        <v/>
      </c>
      <c r="E13" s="68">
        <v>12</v>
      </c>
      <c r="F13" s="71" t="str" cm="1">
        <f t="array" ref="F13">IFERROR(INDEX($B$1:$B$301,SMALL(IF($B$1:$B$301&lt;&gt;"",ROW($B$1:$B$301),4^8),ROW(13:13)))&amp;"","")</f>
        <v/>
      </c>
      <c r="G13" s="72"/>
      <c r="H13" s="74" t="str">
        <f>IF(主要!Q80&lt;&gt;"",主要!Q80,"")</f>
        <v/>
      </c>
      <c r="I13" s="69">
        <f>IF(VLOOKUP(H13,法术大全!$A$3:$E$864,4,0)="√",1,0)</f>
        <v>0</v>
      </c>
      <c r="J13" s="69">
        <f>IF(VLOOKUP(H13,法术大全!$A$3:$E$864,5,0)="√",1,0)</f>
        <v>0</v>
      </c>
      <c r="K13" s="72" t="str" cm="1">
        <f t="array" ref="K13">IFERROR(INDEX($H$1:$H$68,SMALL(IF($H$2:$H$68&lt;&gt;"",ROW($H$2:$H$68),4^8),ROW(13:13)))&amp;"","")</f>
        <v/>
      </c>
      <c r="M13" s="80" t="s">
        <v>278</v>
      </c>
      <c r="O13" s="407" t="s">
        <v>10553</v>
      </c>
      <c r="P13" s="408">
        <v>0</v>
      </c>
      <c r="Q13" s="408">
        <v>0</v>
      </c>
      <c r="R13" s="408">
        <v>3</v>
      </c>
      <c r="S13" s="408">
        <v>4</v>
      </c>
      <c r="T13" s="408">
        <v>4</v>
      </c>
      <c r="U13" s="408">
        <v>4</v>
      </c>
      <c r="V13" s="408">
        <v>5</v>
      </c>
      <c r="W13" s="408">
        <v>6</v>
      </c>
      <c r="X13" s="408">
        <v>6</v>
      </c>
      <c r="Y13" s="408">
        <v>7</v>
      </c>
      <c r="Z13" s="408">
        <v>8</v>
      </c>
      <c r="AA13" s="408">
        <v>8</v>
      </c>
      <c r="AB13" s="408">
        <v>9</v>
      </c>
      <c r="AC13" s="408">
        <v>10</v>
      </c>
      <c r="AD13" s="408">
        <v>10</v>
      </c>
      <c r="AE13" s="408">
        <v>11</v>
      </c>
      <c r="AF13" s="408">
        <v>11</v>
      </c>
      <c r="AG13" s="408">
        <v>11</v>
      </c>
      <c r="AH13" s="408">
        <v>12</v>
      </c>
      <c r="AI13" s="407">
        <v>13</v>
      </c>
      <c r="AJ13" s="410">
        <f>职业!$BB$6</f>
        <v>0</v>
      </c>
      <c r="AL13" s="730"/>
      <c r="AM13" s="730"/>
      <c r="AN13" s="730"/>
      <c r="AO13" s="730"/>
      <c r="AP13" s="730"/>
      <c r="AQ13" s="730"/>
      <c r="AR13" s="730"/>
      <c r="AS13" s="730"/>
      <c r="AT13" s="730"/>
      <c r="AU13" s="730"/>
      <c r="AV13" s="730"/>
      <c r="AW13" s="730"/>
      <c r="AX13" s="730"/>
      <c r="AY13" s="730"/>
      <c r="AZ13" s="730"/>
      <c r="BA13" s="730"/>
      <c r="BB13" s="730"/>
      <c r="BC13" s="730"/>
      <c r="BD13" s="730"/>
      <c r="BE13" s="730"/>
      <c r="BF13" s="730"/>
      <c r="BG13" s="730"/>
      <c r="BP13" s="730"/>
      <c r="BQ13" s="730"/>
      <c r="BR13" s="730"/>
      <c r="BS13" s="730"/>
      <c r="BT13" s="730"/>
      <c r="BU13" s="730"/>
      <c r="BV13" s="730"/>
      <c r="BW13" s="730"/>
      <c r="BX13" s="730"/>
      <c r="BY13" s="730"/>
      <c r="BZ13" s="730"/>
      <c r="CA13" s="730"/>
      <c r="CB13" s="730"/>
      <c r="CC13" s="730"/>
      <c r="CD13" s="730"/>
      <c r="CI13" s="95">
        <v>85000</v>
      </c>
      <c r="CJ13" s="96">
        <v>11</v>
      </c>
      <c r="CM13" s="91">
        <v>12</v>
      </c>
      <c r="CN13" s="69">
        <v>4</v>
      </c>
      <c r="CO13" s="91">
        <v>8</v>
      </c>
      <c r="CP13" s="70">
        <v>3</v>
      </c>
    </row>
    <row r="14" spans="1:94" ht="16.5" customHeight="1" x14ac:dyDescent="0.15">
      <c r="A14" s="68">
        <v>13</v>
      </c>
      <c r="B14" s="69" t="str">
        <f>IF(法术书!X15="","",法术书!X15)</f>
        <v/>
      </c>
      <c r="C14" s="69" t="str">
        <f>IFERROR(VLOOKUP(B14,法术大全!$A:$W,5,FALSE),"")</f>
        <v/>
      </c>
      <c r="D14" s="70" t="str">
        <f>IFERROR(VLOOKUP(B14,法术大全!$A:$W,4,FALSE),"")</f>
        <v/>
      </c>
      <c r="E14" s="68">
        <v>13</v>
      </c>
      <c r="F14" s="71" t="str" cm="1">
        <f t="array" ref="F14">IFERROR(INDEX($B$1:$B$301,SMALL(IF($B$1:$B$301&lt;&gt;"",ROW($B$1:$B$301),4^8),ROW(14:14)))&amp;"","")</f>
        <v/>
      </c>
      <c r="G14" s="72"/>
      <c r="H14" s="74" t="str">
        <f>IF(主要!Q81&lt;&gt;"",主要!Q81,"")</f>
        <v/>
      </c>
      <c r="I14" s="69">
        <f>IF(VLOOKUP(H14,法术大全!$A$3:$E$864,4,0)="√",1,0)</f>
        <v>0</v>
      </c>
      <c r="J14" s="69">
        <f>IF(VLOOKUP(H14,法术大全!$A$3:$E$864,5,0)="√",1,0)</f>
        <v>0</v>
      </c>
      <c r="K14" s="72" t="str" cm="1">
        <f t="array" ref="K14">IFERROR(INDEX($H$1:$H$68,SMALL(IF($H$2:$H$68&lt;&gt;"",ROW($H$2:$H$68),4^8),ROW(14:14)))&amp;"","")</f>
        <v/>
      </c>
      <c r="M14" s="80" t="s">
        <v>283</v>
      </c>
      <c r="O14" s="394" t="s">
        <v>10554</v>
      </c>
      <c r="P14" s="81">
        <v>0</v>
      </c>
      <c r="Q14" s="81">
        <v>0</v>
      </c>
      <c r="R14" s="81">
        <v>3</v>
      </c>
      <c r="S14" s="81">
        <v>4</v>
      </c>
      <c r="T14" s="81">
        <v>4</v>
      </c>
      <c r="U14" s="81">
        <v>4</v>
      </c>
      <c r="V14" s="81">
        <v>5</v>
      </c>
      <c r="W14" s="81">
        <v>6</v>
      </c>
      <c r="X14" s="81">
        <v>6</v>
      </c>
      <c r="Y14" s="81">
        <v>7</v>
      </c>
      <c r="Z14" s="81">
        <v>8</v>
      </c>
      <c r="AA14" s="81">
        <v>8</v>
      </c>
      <c r="AB14" s="81">
        <v>9</v>
      </c>
      <c r="AC14" s="81">
        <v>10</v>
      </c>
      <c r="AD14" s="81">
        <v>10</v>
      </c>
      <c r="AE14" s="81">
        <v>11</v>
      </c>
      <c r="AF14" s="81">
        <v>11</v>
      </c>
      <c r="AG14" s="81">
        <v>11</v>
      </c>
      <c r="AH14" s="81">
        <v>12</v>
      </c>
      <c r="AI14" s="394">
        <v>13</v>
      </c>
      <c r="AJ14" s="69">
        <f>职业!$BB$7</f>
        <v>0</v>
      </c>
      <c r="BP14" s="730"/>
      <c r="BQ14" s="730"/>
      <c r="BR14" s="730"/>
      <c r="BS14" s="730"/>
      <c r="BT14" s="730"/>
      <c r="BU14" s="730"/>
      <c r="BV14" s="730"/>
      <c r="BW14" s="730"/>
      <c r="BX14" s="730"/>
      <c r="BY14" s="730"/>
      <c r="BZ14" s="730"/>
      <c r="CA14" s="730"/>
      <c r="CB14" s="730"/>
      <c r="CC14" s="730"/>
      <c r="CD14" s="730"/>
      <c r="CI14" s="95">
        <v>100000</v>
      </c>
      <c r="CJ14" s="96">
        <v>12</v>
      </c>
      <c r="CM14" s="91">
        <v>13</v>
      </c>
      <c r="CN14" s="69">
        <v>5</v>
      </c>
      <c r="CO14" s="91">
        <v>9</v>
      </c>
      <c r="CP14" s="70">
        <v>4</v>
      </c>
    </row>
    <row r="15" spans="1:94" ht="16.5" customHeight="1" x14ac:dyDescent="0.3">
      <c r="A15" s="68">
        <v>14</v>
      </c>
      <c r="B15" s="69" t="str">
        <f>IF(法术书!X16="","",法术书!X16)</f>
        <v/>
      </c>
      <c r="C15" s="69" t="str">
        <f>IFERROR(VLOOKUP(B15,法术大全!$A:$W,5,FALSE),"")</f>
        <v/>
      </c>
      <c r="D15" s="70" t="str">
        <f>IFERROR(VLOOKUP(B15,法术大全!$A:$W,4,FALSE),"")</f>
        <v/>
      </c>
      <c r="E15" s="68">
        <v>14</v>
      </c>
      <c r="F15" s="71" t="str" cm="1">
        <f t="array" ref="F15">IFERROR(INDEX($B$1:$B$301,SMALL(IF($B$1:$B$301&lt;&gt;"",ROW($B$1:$B$301),4^8),ROW(15:15)))&amp;"","")</f>
        <v/>
      </c>
      <c r="G15" s="72" t="s">
        <v>288</v>
      </c>
      <c r="H15" s="74" t="str">
        <f>IF(主要!Y77&lt;&gt;"",主要!Y77,"")</f>
        <v/>
      </c>
      <c r="I15" s="69">
        <f>IF(VLOOKUP(H15,法术大全!$A$3:$E$864,4,0)="√",1,0)</f>
        <v>0</v>
      </c>
      <c r="J15" s="69">
        <f>IF(VLOOKUP(H15,法术大全!$A$3:$E$864,5,0)="√",1,0)</f>
        <v>0</v>
      </c>
      <c r="K15" s="72" t="str" cm="1">
        <f t="array" ref="K15">IFERROR(INDEX($H$1:$H$68,SMALL(IF($H$2:$H$68&lt;&gt;"",ROW($H$2:$H$68),4^8),ROW(15:15)))&amp;"","")</f>
        <v/>
      </c>
      <c r="M15" s="80" t="s">
        <v>289</v>
      </c>
      <c r="O15" s="407" t="s">
        <v>7306</v>
      </c>
      <c r="P15" s="408">
        <v>0</v>
      </c>
      <c r="Q15" s="408">
        <v>0</v>
      </c>
      <c r="R15" s="408">
        <v>2</v>
      </c>
      <c r="S15" s="408">
        <v>2</v>
      </c>
      <c r="T15" s="408">
        <v>3</v>
      </c>
      <c r="U15" s="408">
        <v>3</v>
      </c>
      <c r="V15" s="408">
        <v>4</v>
      </c>
      <c r="W15" s="408">
        <v>4</v>
      </c>
      <c r="X15" s="408">
        <v>5</v>
      </c>
      <c r="Y15" s="408">
        <v>5</v>
      </c>
      <c r="Z15" s="408">
        <v>6</v>
      </c>
      <c r="AA15" s="408">
        <v>6</v>
      </c>
      <c r="AB15" s="408">
        <v>7</v>
      </c>
      <c r="AC15" s="408">
        <v>7</v>
      </c>
      <c r="AD15" s="408">
        <v>8</v>
      </c>
      <c r="AE15" s="408">
        <v>8</v>
      </c>
      <c r="AF15" s="408">
        <v>9</v>
      </c>
      <c r="AG15" s="408">
        <v>9</v>
      </c>
      <c r="AH15" s="408">
        <v>10</v>
      </c>
      <c r="AI15" s="407">
        <v>11</v>
      </c>
      <c r="AJ15" s="410">
        <f>职业!$AX$17</f>
        <v>0</v>
      </c>
      <c r="AO15" s="814" t="s">
        <v>8304</v>
      </c>
      <c r="AP15" s="814"/>
      <c r="AQ15" s="814"/>
      <c r="AR15" s="814"/>
      <c r="AS15" s="814"/>
      <c r="AT15" s="814"/>
      <c r="AX15" s="537" t="s">
        <v>10823</v>
      </c>
      <c r="AY15" s="537"/>
      <c r="AZ15" s="537" t="s">
        <v>2999</v>
      </c>
      <c r="BA15" s="537"/>
      <c r="BP15" s="730"/>
      <c r="BQ15" s="730"/>
      <c r="BR15" s="730"/>
      <c r="BS15" s="730"/>
      <c r="BT15" s="730"/>
      <c r="BU15" s="730"/>
      <c r="BV15" s="730"/>
      <c r="BW15" s="730"/>
      <c r="BX15" s="730"/>
      <c r="BY15" s="730"/>
      <c r="BZ15" s="730"/>
      <c r="CA15" s="730"/>
      <c r="CB15" s="730"/>
      <c r="CC15" s="730"/>
      <c r="CD15" s="730"/>
      <c r="CI15" s="95">
        <v>120000</v>
      </c>
      <c r="CJ15" s="96">
        <v>13</v>
      </c>
      <c r="CL15" s="69" t="s">
        <v>94</v>
      </c>
      <c r="CM15" s="91">
        <v>14</v>
      </c>
      <c r="CN15" s="69">
        <v>5</v>
      </c>
      <c r="CO15" s="91">
        <v>10</v>
      </c>
      <c r="CP15" s="70">
        <v>4</v>
      </c>
    </row>
    <row r="16" spans="1:94" ht="16.5" customHeight="1" x14ac:dyDescent="0.15">
      <c r="A16" s="68">
        <v>15</v>
      </c>
      <c r="B16" s="69" t="str">
        <f>IF(法术书!X17="","",法术书!X17)</f>
        <v/>
      </c>
      <c r="C16" s="69" t="str">
        <f>IFERROR(VLOOKUP(B16,法术大全!$A:$W,5,FALSE),"")</f>
        <v/>
      </c>
      <c r="D16" s="70" t="str">
        <f>IFERROR(VLOOKUP(B16,法术大全!$A:$W,4,FALSE),"")</f>
        <v/>
      </c>
      <c r="E16" s="68">
        <v>15</v>
      </c>
      <c r="F16" s="71" t="str" cm="1">
        <f t="array" ref="F16">IFERROR(INDEX($B$1:$B$301,SMALL(IF($B$1:$B$301&lt;&gt;"",ROW($B$1:$B$301),4^8),ROW(16:16)))&amp;"","")</f>
        <v/>
      </c>
      <c r="G16" s="72"/>
      <c r="H16" s="74" t="str">
        <f>IF(主要!Y78&lt;&gt;"",主要!Y78,"")</f>
        <v/>
      </c>
      <c r="I16" s="69">
        <f>IF(VLOOKUP(H16,法术大全!$A$3:$E$864,4,0)="√",1,0)</f>
        <v>0</v>
      </c>
      <c r="J16" s="69">
        <f>IF(VLOOKUP(H16,法术大全!$A$3:$E$864,5,0)="√",1,0)</f>
        <v>0</v>
      </c>
      <c r="K16" s="72" t="str" cm="1">
        <f t="array" ref="K16">IFERROR(INDEX($H$1:$H$68,SMALL(IF($H$2:$H$68&lt;&gt;"",ROW($H$2:$H$68),4^8),ROW(16:16)))&amp;"","")</f>
        <v/>
      </c>
      <c r="M16" s="80" t="s">
        <v>296</v>
      </c>
      <c r="O16" s="394" t="s">
        <v>10555</v>
      </c>
      <c r="P16" s="81">
        <v>0</v>
      </c>
      <c r="Q16" s="81">
        <v>0</v>
      </c>
      <c r="R16" s="81">
        <v>3</v>
      </c>
      <c r="S16" s="81">
        <v>4</v>
      </c>
      <c r="T16" s="81">
        <v>4</v>
      </c>
      <c r="U16" s="81">
        <v>4</v>
      </c>
      <c r="V16" s="81">
        <v>5</v>
      </c>
      <c r="W16" s="81">
        <v>6</v>
      </c>
      <c r="X16" s="81">
        <v>6</v>
      </c>
      <c r="Y16" s="81">
        <v>7</v>
      </c>
      <c r="Z16" s="81">
        <v>8</v>
      </c>
      <c r="AA16" s="81">
        <v>8</v>
      </c>
      <c r="AB16" s="81">
        <v>9</v>
      </c>
      <c r="AC16" s="81">
        <v>10</v>
      </c>
      <c r="AD16" s="81">
        <v>10</v>
      </c>
      <c r="AE16" s="81">
        <v>11</v>
      </c>
      <c r="AF16" s="81">
        <v>11</v>
      </c>
      <c r="AG16" s="81">
        <v>11</v>
      </c>
      <c r="AH16" s="81">
        <v>12</v>
      </c>
      <c r="AI16" s="394">
        <v>13</v>
      </c>
      <c r="AJ16" s="69">
        <f>职业!$BB$8</f>
        <v>0</v>
      </c>
      <c r="AO16" s="522"/>
      <c r="AP16" s="523"/>
      <c r="AQ16" s="523"/>
      <c r="AR16" s="523"/>
      <c r="AS16" s="523"/>
      <c r="AT16" s="524"/>
      <c r="AX16" s="815" t="s">
        <v>10963</v>
      </c>
      <c r="AY16" s="815"/>
      <c r="AZ16" s="816"/>
      <c r="BA16" s="816"/>
      <c r="BP16" s="730"/>
      <c r="BQ16" s="730"/>
      <c r="BR16" s="730"/>
      <c r="BS16" s="730"/>
      <c r="BT16" s="730"/>
      <c r="BU16" s="730"/>
      <c r="BV16" s="730"/>
      <c r="BW16" s="730"/>
      <c r="BX16" s="730"/>
      <c r="BY16" s="730"/>
      <c r="BZ16" s="730"/>
      <c r="CA16" s="730"/>
      <c r="CB16" s="730"/>
      <c r="CC16" s="730"/>
      <c r="CD16" s="730"/>
      <c r="CI16" s="95">
        <v>140000</v>
      </c>
      <c r="CJ16" s="96">
        <v>14</v>
      </c>
      <c r="CL16" s="69" t="s">
        <v>302</v>
      </c>
      <c r="CM16" s="91">
        <v>15</v>
      </c>
      <c r="CN16" s="69">
        <v>5</v>
      </c>
      <c r="CO16" s="91">
        <v>11</v>
      </c>
      <c r="CP16" s="70">
        <v>4</v>
      </c>
    </row>
    <row r="17" spans="1:94" ht="16.5" customHeight="1" x14ac:dyDescent="0.15">
      <c r="A17" s="68">
        <v>16</v>
      </c>
      <c r="B17" s="69" t="str">
        <f>IF(法术书!X18="","",法术书!X18)</f>
        <v/>
      </c>
      <c r="C17" s="69" t="str">
        <f>IFERROR(VLOOKUP(B17,法术大全!$A:$W,5,FALSE),"")</f>
        <v/>
      </c>
      <c r="D17" s="70" t="str">
        <f>IFERROR(VLOOKUP(B17,法术大全!$A:$W,4,FALSE),"")</f>
        <v/>
      </c>
      <c r="E17" s="68">
        <v>16</v>
      </c>
      <c r="F17" s="71" t="str" cm="1">
        <f t="array" ref="F17">IFERROR(INDEX($B$1:$B$301,SMALL(IF($B$1:$B$301&lt;&gt;"",ROW($B$1:$B$301),4^8),ROW(17:17)))&amp;"","")</f>
        <v/>
      </c>
      <c r="G17" s="72"/>
      <c r="H17" s="74" t="str">
        <f>IF(主要!Y79&lt;&gt;"",主要!Y79,"")</f>
        <v/>
      </c>
      <c r="I17" s="69">
        <f>IF(VLOOKUP(H17,法术大全!$A$3:$E$864,4,0)="√",1,0)</f>
        <v>0</v>
      </c>
      <c r="J17" s="69">
        <f>IF(VLOOKUP(H17,法术大全!$A$3:$E$864,5,0)="√",1,0)</f>
        <v>0</v>
      </c>
      <c r="K17" s="72" t="str" cm="1">
        <f t="array" ref="K17">IFERROR(INDEX($H$1:$H$68,SMALL(IF($H$2:$H$68&lt;&gt;"",ROW($H$2:$H$68),4^8),ROW(17:17)))&amp;"","")</f>
        <v/>
      </c>
      <c r="M17" s="80" t="s">
        <v>303</v>
      </c>
      <c r="O17" s="407" t="s">
        <v>7316</v>
      </c>
      <c r="P17" s="408">
        <v>0</v>
      </c>
      <c r="Q17" s="408">
        <v>0</v>
      </c>
      <c r="R17" s="408">
        <v>3</v>
      </c>
      <c r="S17" s="408">
        <v>4</v>
      </c>
      <c r="T17" s="408">
        <v>4</v>
      </c>
      <c r="U17" s="408">
        <v>4</v>
      </c>
      <c r="V17" s="408">
        <v>5</v>
      </c>
      <c r="W17" s="408">
        <v>6</v>
      </c>
      <c r="X17" s="408">
        <v>6</v>
      </c>
      <c r="Y17" s="408">
        <v>7</v>
      </c>
      <c r="Z17" s="408">
        <v>8</v>
      </c>
      <c r="AA17" s="408">
        <v>8</v>
      </c>
      <c r="AB17" s="408">
        <v>9</v>
      </c>
      <c r="AC17" s="408">
        <v>10</v>
      </c>
      <c r="AD17" s="408">
        <v>10</v>
      </c>
      <c r="AE17" s="408">
        <v>11</v>
      </c>
      <c r="AF17" s="408">
        <v>11</v>
      </c>
      <c r="AG17" s="408">
        <v>11</v>
      </c>
      <c r="AH17" s="408">
        <v>12</v>
      </c>
      <c r="AI17" s="407">
        <v>13</v>
      </c>
      <c r="AJ17" s="410">
        <f>职业!$BB$9</f>
        <v>0</v>
      </c>
      <c r="AX17" s="817" t="s">
        <v>10892</v>
      </c>
      <c r="AY17" s="817"/>
      <c r="AZ17" s="818"/>
      <c r="BA17" s="818"/>
      <c r="CI17" s="95">
        <v>165000</v>
      </c>
      <c r="CJ17" s="96">
        <v>15</v>
      </c>
      <c r="CL17" s="69" t="s">
        <v>309</v>
      </c>
      <c r="CM17" s="91">
        <v>16</v>
      </c>
      <c r="CN17" s="69">
        <v>5</v>
      </c>
      <c r="CO17" s="91">
        <v>12</v>
      </c>
      <c r="CP17" s="70">
        <v>4</v>
      </c>
    </row>
    <row r="18" spans="1:94" ht="16.5" customHeight="1" x14ac:dyDescent="0.15">
      <c r="A18" s="68">
        <v>17</v>
      </c>
      <c r="B18" s="69" t="str">
        <f>IF(法术书!X19="","",法术书!X19)</f>
        <v/>
      </c>
      <c r="C18" s="69" t="str">
        <f>IFERROR(VLOOKUP(B18,法术大全!$A:$W,5,FALSE),"")</f>
        <v/>
      </c>
      <c r="D18" s="70" t="str">
        <f>IFERROR(VLOOKUP(B18,法术大全!$A:$W,4,FALSE),"")</f>
        <v/>
      </c>
      <c r="E18" s="68">
        <v>17</v>
      </c>
      <c r="F18" s="71" t="str" cm="1">
        <f t="array" ref="F18">IFERROR(INDEX($B$1:$B$301,SMALL(IF($B$1:$B$301&lt;&gt;"",ROW($B$1:$B$301),4^8),ROW(18:18)))&amp;"","")</f>
        <v/>
      </c>
      <c r="G18" s="72"/>
      <c r="H18" s="74" t="str">
        <f>IF(主要!Y80&lt;&gt;"",主要!Y80,"")</f>
        <v/>
      </c>
      <c r="I18" s="69">
        <f>IF(VLOOKUP(H18,法术大全!$A$3:$E$864,4,0)="√",1,0)</f>
        <v>0</v>
      </c>
      <c r="J18" s="69">
        <f>IF(VLOOKUP(H18,法术大全!$A$3:$E$864,5,0)="√",1,0)</f>
        <v>0</v>
      </c>
      <c r="K18" s="72" t="str" cm="1">
        <f t="array" ref="K18">IFERROR(INDEX($H$1:$H$68,SMALL(IF($H$2:$H$68&lt;&gt;"",ROW($H$2:$H$68),4^8),ROW(18:18)))&amp;"","")</f>
        <v/>
      </c>
      <c r="M18" s="80" t="s">
        <v>310</v>
      </c>
      <c r="O18" s="394" t="s">
        <v>6314</v>
      </c>
      <c r="P18" s="81">
        <v>0</v>
      </c>
      <c r="Q18" s="81">
        <v>0</v>
      </c>
      <c r="R18" s="81">
        <v>3</v>
      </c>
      <c r="S18" s="81">
        <v>4</v>
      </c>
      <c r="T18" s="81">
        <v>4</v>
      </c>
      <c r="U18" s="81">
        <v>4</v>
      </c>
      <c r="V18" s="81">
        <v>5</v>
      </c>
      <c r="W18" s="81">
        <v>6</v>
      </c>
      <c r="X18" s="81">
        <v>6</v>
      </c>
      <c r="Y18" s="81">
        <v>7</v>
      </c>
      <c r="Z18" s="81">
        <v>8</v>
      </c>
      <c r="AA18" s="81">
        <v>8</v>
      </c>
      <c r="AB18" s="81">
        <v>9</v>
      </c>
      <c r="AC18" s="81">
        <v>10</v>
      </c>
      <c r="AD18" s="81">
        <v>10</v>
      </c>
      <c r="AE18" s="81">
        <v>11</v>
      </c>
      <c r="AF18" s="81">
        <v>11</v>
      </c>
      <c r="AG18" s="81">
        <v>11</v>
      </c>
      <c r="AH18" s="81">
        <v>12</v>
      </c>
      <c r="AI18" s="394">
        <v>13</v>
      </c>
      <c r="AJ18" s="69">
        <f>职业!$BB$10</f>
        <v>0</v>
      </c>
      <c r="AX18" s="800" t="s">
        <v>10964</v>
      </c>
      <c r="AY18" s="800"/>
      <c r="AZ18" s="819"/>
      <c r="BA18" s="820"/>
      <c r="CI18" s="95">
        <v>195000</v>
      </c>
      <c r="CJ18" s="96">
        <v>16</v>
      </c>
      <c r="CL18" s="69" t="s">
        <v>95</v>
      </c>
      <c r="CM18" s="91">
        <v>17</v>
      </c>
      <c r="CN18" s="69">
        <v>6</v>
      </c>
      <c r="CO18" s="91">
        <v>13</v>
      </c>
      <c r="CP18" s="70">
        <v>5</v>
      </c>
    </row>
    <row r="19" spans="1:94" ht="16.5" customHeight="1" x14ac:dyDescent="0.15">
      <c r="A19" s="68">
        <v>18</v>
      </c>
      <c r="B19" s="69" t="str">
        <f>IF(法术书!X20="","",法术书!X20)</f>
        <v/>
      </c>
      <c r="C19" s="69" t="str">
        <f>IFERROR(VLOOKUP(B19,法术大全!$A:$W,5,FALSE),"")</f>
        <v/>
      </c>
      <c r="D19" s="70" t="str">
        <f>IFERROR(VLOOKUP(B19,法术大全!$A:$W,4,FALSE),"")</f>
        <v/>
      </c>
      <c r="E19" s="68">
        <v>18</v>
      </c>
      <c r="F19" s="71" t="str" cm="1">
        <f t="array" ref="F19">IFERROR(INDEX($B$1:$B$301,SMALL(IF($B$1:$B$301&lt;&gt;"",ROW($B$1:$B$301),4^8),ROW(19:19)))&amp;"","")</f>
        <v/>
      </c>
      <c r="G19" s="72"/>
      <c r="H19" s="74" t="str">
        <f>IF(主要!Y81&lt;&gt;"",主要!Y81,"")</f>
        <v/>
      </c>
      <c r="I19" s="69">
        <f>IF(VLOOKUP(H19,法术大全!$A$3:$E$864,4,0)="√",1,0)</f>
        <v>0</v>
      </c>
      <c r="J19" s="69">
        <f>IF(VLOOKUP(H19,法术大全!$A$3:$E$864,5,0)="√",1,0)</f>
        <v>0</v>
      </c>
      <c r="K19" s="72" t="str" cm="1">
        <f t="array" ref="K19">IFERROR(INDEX($H$1:$H$68,SMALL(IF($H$2:$H$68&lt;&gt;"",ROW($H$2:$H$68),4^8),ROW(19:19)))&amp;"","")</f>
        <v/>
      </c>
      <c r="M19" s="80" t="s">
        <v>317</v>
      </c>
      <c r="O19" s="407" t="s">
        <v>10668</v>
      </c>
      <c r="P19" s="408">
        <v>0</v>
      </c>
      <c r="Q19" s="408">
        <v>0</v>
      </c>
      <c r="R19" s="408">
        <v>3</v>
      </c>
      <c r="S19" s="408">
        <v>4</v>
      </c>
      <c r="T19" s="408">
        <v>4</v>
      </c>
      <c r="U19" s="408">
        <v>4</v>
      </c>
      <c r="V19" s="408">
        <v>5</v>
      </c>
      <c r="W19" s="408">
        <v>6</v>
      </c>
      <c r="X19" s="408">
        <v>6</v>
      </c>
      <c r="Y19" s="408">
        <v>7</v>
      </c>
      <c r="Z19" s="408">
        <v>8</v>
      </c>
      <c r="AA19" s="408">
        <v>8</v>
      </c>
      <c r="AB19" s="408">
        <v>9</v>
      </c>
      <c r="AC19" s="408">
        <v>10</v>
      </c>
      <c r="AD19" s="408">
        <v>10</v>
      </c>
      <c r="AE19" s="408">
        <v>11</v>
      </c>
      <c r="AF19" s="408">
        <v>11</v>
      </c>
      <c r="AG19" s="408">
        <v>11</v>
      </c>
      <c r="AH19" s="408">
        <v>12</v>
      </c>
      <c r="AI19" s="407">
        <v>13</v>
      </c>
      <c r="AJ19" s="410">
        <f>职业!$BB$11</f>
        <v>0</v>
      </c>
      <c r="CI19" s="91">
        <v>225000</v>
      </c>
      <c r="CJ19" s="70">
        <v>17</v>
      </c>
      <c r="CL19" s="69" t="s">
        <v>323</v>
      </c>
      <c r="CM19" s="91">
        <v>18</v>
      </c>
      <c r="CN19" s="69">
        <v>6</v>
      </c>
      <c r="CO19" s="91">
        <v>14</v>
      </c>
      <c r="CP19" s="70">
        <v>5</v>
      </c>
    </row>
    <row r="20" spans="1:94" ht="16.5" customHeight="1" x14ac:dyDescent="0.15">
      <c r="A20" s="68">
        <v>19</v>
      </c>
      <c r="B20" s="69" t="str">
        <f>IF(法术书!X21="","",法术书!X21)</f>
        <v/>
      </c>
      <c r="C20" s="69" t="str">
        <f>IFERROR(VLOOKUP(B20,法术大全!$A:$W,5,FALSE),"")</f>
        <v/>
      </c>
      <c r="D20" s="70" t="str">
        <f>IFERROR(VLOOKUP(B20,法术大全!$A:$W,4,FALSE),"")</f>
        <v/>
      </c>
      <c r="E20" s="68">
        <v>19</v>
      </c>
      <c r="F20" s="71" t="str" cm="1">
        <f t="array" ref="F20">IFERROR(INDEX($B$1:$B$301,SMALL(IF($B$1:$B$301&lt;&gt;"",ROW($B$1:$B$301),4^8),ROW(20:20)))&amp;"","")</f>
        <v/>
      </c>
      <c r="G20" s="72" t="s">
        <v>324</v>
      </c>
      <c r="H20" s="75" t="str">
        <f>IF(主要!Y66&lt;&gt;"",主要!Y66,"")</f>
        <v/>
      </c>
      <c r="I20" s="69">
        <f>IF(VLOOKUP(H20,法术大全!$A$3:$E$864,4,0)="√",1,0)</f>
        <v>0</v>
      </c>
      <c r="J20" s="69">
        <f>IF(VLOOKUP(H20,法术大全!$A$3:$E$864,5,0)="√",1,0)</f>
        <v>0</v>
      </c>
      <c r="K20" s="72" t="str" cm="1">
        <f t="array" ref="K20">IFERROR(INDEX($H$1:$H$68,SMALL(IF($H$2:$H$68&lt;&gt;"",ROW($H$2:$H$68),4^8),ROW(20:20)))&amp;"","")</f>
        <v/>
      </c>
      <c r="M20" s="80" t="s">
        <v>325</v>
      </c>
      <c r="O20" s="81"/>
      <c r="P20" s="81"/>
      <c r="Q20" s="81"/>
      <c r="R20" s="81"/>
      <c r="S20" s="81"/>
      <c r="T20" s="81"/>
      <c r="U20" s="81"/>
      <c r="V20" s="81"/>
      <c r="W20" s="81"/>
      <c r="X20" s="81"/>
      <c r="Y20" s="81"/>
      <c r="Z20" s="81"/>
      <c r="AA20" s="81"/>
      <c r="AB20" s="81"/>
      <c r="AC20" s="81"/>
      <c r="AD20" s="81"/>
      <c r="AE20" s="81"/>
      <c r="AF20" s="81"/>
      <c r="AG20" s="81"/>
      <c r="AH20" s="81"/>
      <c r="AI20" s="81"/>
      <c r="CI20" s="91">
        <v>265000</v>
      </c>
      <c r="CJ20" s="70">
        <v>18</v>
      </c>
      <c r="CL20" s="69" t="s">
        <v>331</v>
      </c>
      <c r="CM20" s="91">
        <v>19</v>
      </c>
      <c r="CN20" s="69">
        <v>6</v>
      </c>
      <c r="CO20" s="91">
        <v>15</v>
      </c>
      <c r="CP20" s="70">
        <v>5</v>
      </c>
    </row>
    <row r="21" spans="1:94" ht="16.5" customHeight="1" x14ac:dyDescent="0.3">
      <c r="A21" s="68">
        <v>20</v>
      </c>
      <c r="B21" s="69" t="str">
        <f>IF(法术书!X22="","",法术书!X22)</f>
        <v/>
      </c>
      <c r="C21" s="69" t="str">
        <f>IFERROR(VLOOKUP(B21,法术大全!$A:$W,5,FALSE),"")</f>
        <v/>
      </c>
      <c r="D21" s="70" t="str">
        <f>IFERROR(VLOOKUP(B21,法术大全!$A:$W,4,FALSE),"")</f>
        <v/>
      </c>
      <c r="E21" s="68">
        <v>20</v>
      </c>
      <c r="F21" s="71" t="str" cm="1">
        <f t="array" ref="F21">IFERROR(INDEX($B$1:$B$301,SMALL(IF($B$1:$B$301&lt;&gt;"",ROW($B$1:$B$301),4^8),ROW(21:21)))&amp;"","")</f>
        <v/>
      </c>
      <c r="G21" s="72"/>
      <c r="H21" s="75" t="str">
        <f>IF(主要!Y67&lt;&gt;"",主要!Y67,"")</f>
        <v/>
      </c>
      <c r="I21" s="69">
        <f>IF(VLOOKUP(H21,法术大全!$A$3:$E$864,4,0)="√",1,0)</f>
        <v>0</v>
      </c>
      <c r="J21" s="69">
        <f>IF(VLOOKUP(H21,法术大全!$A$3:$E$864,5,0)="√",1,0)</f>
        <v>0</v>
      </c>
      <c r="K21" s="72" t="str" cm="1">
        <f t="array" ref="K21">IFERROR(INDEX($H$1:$H$68,SMALL(IF($H$2:$H$68&lt;&gt;"",ROW($H$2:$H$68),4^8),ROW(21:21)))&amp;"","")</f>
        <v/>
      </c>
      <c r="M21" s="80" t="s">
        <v>332</v>
      </c>
      <c r="O21" s="81"/>
      <c r="P21" s="81"/>
      <c r="Q21" s="81"/>
      <c r="R21" s="81"/>
      <c r="S21" s="81"/>
      <c r="T21" s="81"/>
      <c r="U21" s="81"/>
      <c r="V21" s="81"/>
      <c r="W21" s="81"/>
      <c r="X21" s="81"/>
      <c r="Y21" s="81"/>
      <c r="Z21" s="81"/>
      <c r="AA21" s="81"/>
      <c r="AB21" s="81"/>
      <c r="AC21" s="81"/>
      <c r="AD21" s="81"/>
      <c r="AE21" s="81"/>
      <c r="AF21" s="81"/>
      <c r="AG21" s="81"/>
      <c r="AH21" s="81"/>
      <c r="AI21" s="81"/>
      <c r="AL21" s="551" t="s">
        <v>127</v>
      </c>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I21" s="91">
        <v>305000</v>
      </c>
      <c r="CJ21" s="70">
        <v>19</v>
      </c>
      <c r="CL21" s="69" t="s">
        <v>338</v>
      </c>
      <c r="CM21" s="97">
        <v>20</v>
      </c>
      <c r="CN21" s="79">
        <v>6</v>
      </c>
      <c r="CO21" s="91">
        <v>16</v>
      </c>
      <c r="CP21" s="70">
        <v>5</v>
      </c>
    </row>
    <row r="22" spans="1:94" ht="16.5" customHeight="1" x14ac:dyDescent="0.15">
      <c r="A22" s="68">
        <v>21</v>
      </c>
      <c r="B22" s="69" t="str">
        <f>IF(法术书!X23="","",法术书!X23)</f>
        <v/>
      </c>
      <c r="C22" s="69" t="str">
        <f>IFERROR(VLOOKUP(B22,法术大全!$A:$W,5,FALSE),"")</f>
        <v/>
      </c>
      <c r="D22" s="70" t="str">
        <f>IFERROR(VLOOKUP(B22,法术大全!$A:$W,4,FALSE),"")</f>
        <v/>
      </c>
      <c r="E22" s="68">
        <v>21</v>
      </c>
      <c r="F22" s="71" t="str" cm="1">
        <f t="array" ref="F22">IFERROR(INDEX($B$1:$B$301,SMALL(IF($B$1:$B$301&lt;&gt;"",ROW($B$1:$B$301),4^8),ROW(22:22)))&amp;"","")</f>
        <v/>
      </c>
      <c r="G22" s="72"/>
      <c r="H22" s="75" t="str">
        <f>IF(主要!Y68&lt;&gt;"",主要!Y68,"")</f>
        <v/>
      </c>
      <c r="I22" s="69">
        <f>IF(VLOOKUP(H22,法术大全!$A$3:$E$864,4,0)="√",1,0)</f>
        <v>0</v>
      </c>
      <c r="J22" s="69">
        <f>IF(VLOOKUP(H22,法术大全!$A$3:$E$864,5,0)="√",1,0)</f>
        <v>0</v>
      </c>
      <c r="K22" s="72" t="str" cm="1">
        <f t="array" ref="K22">IFERROR(INDEX($H$1:$H$68,SMALL(IF($H$2:$H$68&lt;&gt;"",ROW($H$2:$H$68),4^8),ROW(22:22)))&amp;"","")</f>
        <v/>
      </c>
      <c r="M22" s="80" t="s">
        <v>339</v>
      </c>
      <c r="O22" s="395" t="s">
        <v>54</v>
      </c>
      <c r="P22" s="393">
        <f>主要!E6</f>
        <v>0</v>
      </c>
      <c r="Q22" s="396" t="str">
        <f>IFERROR(VLOOKUP(P22,$O$2:$AI$11,主要!O6+1,0),"")</f>
        <v/>
      </c>
      <c r="R22" s="81"/>
      <c r="S22" s="81"/>
      <c r="T22" s="81"/>
      <c r="U22" s="81"/>
      <c r="V22" s="81"/>
      <c r="W22" s="81"/>
      <c r="X22" s="81"/>
      <c r="Y22" s="81"/>
      <c r="Z22" s="81"/>
      <c r="AA22" s="81"/>
      <c r="AB22" s="81"/>
      <c r="AC22" s="81"/>
      <c r="AD22" s="81"/>
      <c r="AE22" s="81"/>
      <c r="AF22" s="81"/>
      <c r="AG22" s="81"/>
      <c r="AH22" s="81"/>
      <c r="AI22" s="81"/>
      <c r="AL22" s="545" t="s">
        <v>142</v>
      </c>
      <c r="AM22" s="545"/>
      <c r="AN22" s="544"/>
      <c r="AO22" s="544"/>
      <c r="AP22" s="544"/>
      <c r="AQ22" s="544"/>
      <c r="AR22" s="544"/>
      <c r="AS22" s="757" t="s">
        <v>140</v>
      </c>
      <c r="AT22" s="757"/>
      <c r="AU22" s="758"/>
      <c r="AV22" s="758"/>
      <c r="AW22" s="758"/>
      <c r="AX22" s="758"/>
      <c r="AY22" s="758"/>
      <c r="AZ22" s="541" t="s">
        <v>135</v>
      </c>
      <c r="BA22" s="541"/>
      <c r="BB22" s="708"/>
      <c r="BC22" s="708"/>
      <c r="BD22" s="708"/>
      <c r="BE22" s="708"/>
      <c r="BF22" s="708"/>
      <c r="BG22" s="543" t="s">
        <v>133</v>
      </c>
      <c r="BH22" s="543"/>
      <c r="BI22" s="542"/>
      <c r="BJ22" s="542"/>
      <c r="BK22" s="542"/>
      <c r="BL22" s="542"/>
      <c r="BM22" s="542"/>
      <c r="BN22" s="702" t="s">
        <v>134</v>
      </c>
      <c r="BO22" s="702"/>
      <c r="BP22" s="701"/>
      <c r="BQ22" s="701"/>
      <c r="BR22" s="701"/>
      <c r="BS22" s="701"/>
      <c r="BT22" s="701"/>
      <c r="BU22" s="532" t="s">
        <v>10945</v>
      </c>
      <c r="BV22" s="532"/>
      <c r="BW22" s="532"/>
      <c r="BX22" s="533" t="str">
        <f>CONCATENATE(SUM(BP22*10+BB22/2+BI22+AU22/10+AN22/100),"GP")</f>
        <v>0GP</v>
      </c>
      <c r="BY22" s="533"/>
      <c r="BZ22" s="533"/>
      <c r="CA22" s="533"/>
      <c r="CB22" s="533"/>
      <c r="CC22" s="533"/>
      <c r="CD22" s="533"/>
      <c r="CI22" s="97">
        <v>355000</v>
      </c>
      <c r="CJ22" s="78">
        <v>20</v>
      </c>
      <c r="CO22" s="91">
        <v>17</v>
      </c>
      <c r="CP22" s="70">
        <v>6</v>
      </c>
    </row>
    <row r="23" spans="1:94" ht="16.5" customHeight="1" x14ac:dyDescent="0.15">
      <c r="A23" s="68">
        <v>22</v>
      </c>
      <c r="B23" s="69" t="str">
        <f>IF(法术书!X24="","",法术书!X24)</f>
        <v/>
      </c>
      <c r="C23" s="69" t="str">
        <f>IFERROR(VLOOKUP(B23,法术大全!$A:$W,5,FALSE),"")</f>
        <v/>
      </c>
      <c r="D23" s="70" t="str">
        <f>IFERROR(VLOOKUP(B23,法术大全!$A:$W,4,FALSE),"")</f>
        <v/>
      </c>
      <c r="E23" s="68">
        <v>22</v>
      </c>
      <c r="F23" s="71" t="str" cm="1">
        <f t="array" ref="F23">IFERROR(INDEX($B$1:$B$301,SMALL(IF($B$1:$B$301&lt;&gt;"",ROW($B$1:$B$301),4^8),ROW(23:23)))&amp;"","")</f>
        <v/>
      </c>
      <c r="G23" s="72"/>
      <c r="H23" s="75" t="str">
        <f>IF(主要!Y69&lt;&gt;"",主要!Y69,"")</f>
        <v/>
      </c>
      <c r="I23" s="69">
        <f>IF(VLOOKUP(H23,法术大全!$A$3:$E$864,4,0)="√",1,0)</f>
        <v>0</v>
      </c>
      <c r="J23" s="69">
        <f>IF(VLOOKUP(H23,法术大全!$A$3:$E$864,5,0)="√",1,0)</f>
        <v>0</v>
      </c>
      <c r="K23" s="72" t="str" cm="1">
        <f t="array" ref="K23">IFERROR(INDEX($H$1:$H$68,SMALL(IF($H$2:$H$68&lt;&gt;"",ROW($H$2:$H$68),4^8),ROW(23:23)))&amp;"","")</f>
        <v/>
      </c>
      <c r="O23" s="91" t="s">
        <v>59</v>
      </c>
      <c r="P23" s="69">
        <f>主要!E7</f>
        <v>0</v>
      </c>
      <c r="Q23" s="70" t="str">
        <f>IFERROR(VLOOKUP(P23,$O$2:$AI$11,主要!O7+1,0),"")</f>
        <v/>
      </c>
      <c r="R23" s="81"/>
      <c r="S23" s="81"/>
      <c r="T23" s="81"/>
      <c r="U23" s="81"/>
      <c r="V23" s="81"/>
      <c r="W23" s="81"/>
      <c r="X23" s="81"/>
      <c r="Y23" s="81"/>
      <c r="Z23" s="81"/>
      <c r="AA23" s="81"/>
      <c r="AB23" s="81"/>
      <c r="AC23" s="81"/>
      <c r="AD23" s="81"/>
      <c r="AE23" s="81"/>
      <c r="AF23" s="81"/>
      <c r="AG23" s="81"/>
      <c r="AH23" s="81"/>
      <c r="AI23" s="81"/>
      <c r="CI23">
        <f>_xlfn.XLOOKUP(VLOOKUP(主要!E9,CI3:CJ22,2,TRUE), CJ3:CJ22, CI3:CI22, 0)</f>
        <v>0</v>
      </c>
      <c r="CJ23" s="69">
        <f>_xlfn.XLOOKUP(VLOOKUP(主要!E9,CI3:CJ22,2,TRUE)+1, CJ3:CJ22, CI3:CI22, 355000)</f>
        <v>300</v>
      </c>
      <c r="CO23" s="91">
        <v>18</v>
      </c>
      <c r="CP23" s="70">
        <v>6</v>
      </c>
    </row>
    <row r="24" spans="1:94" ht="16.5" customHeight="1" x14ac:dyDescent="0.15">
      <c r="A24" s="68">
        <v>23</v>
      </c>
      <c r="B24" s="69" t="str">
        <f>IF(法术书!X25="","",法术书!X25)</f>
        <v/>
      </c>
      <c r="C24" s="69" t="str">
        <f>IFERROR(VLOOKUP(B24,法术大全!$A:$W,5,FALSE),"")</f>
        <v/>
      </c>
      <c r="D24" s="70" t="str">
        <f>IFERROR(VLOOKUP(B24,法术大全!$A:$W,4,FALSE),"")</f>
        <v/>
      </c>
      <c r="E24" s="68">
        <v>23</v>
      </c>
      <c r="F24" s="71" t="str" cm="1">
        <f t="array" ref="F24">IFERROR(INDEX($B$1:$B$301,SMALL(IF($B$1:$B$301&lt;&gt;"",ROW($B$1:$B$301),4^8),ROW(24:24)))&amp;"","")</f>
        <v/>
      </c>
      <c r="G24" s="72"/>
      <c r="H24" s="75" t="str">
        <f>IF(主要!Y70&lt;&gt;"",主要!Y70,"")</f>
        <v/>
      </c>
      <c r="I24" s="69">
        <f>IF(VLOOKUP(H24,法术大全!$A$3:$E$864,4,0)="√",1,0)</f>
        <v>0</v>
      </c>
      <c r="J24" s="69">
        <f>IF(VLOOKUP(H24,法术大全!$A$3:$E$864,5,0)="√",1,0)</f>
        <v>0</v>
      </c>
      <c r="K24" s="72" t="str" cm="1">
        <f t="array" ref="K24">IFERROR(INDEX($H$1:$H$68,SMALL(IF($H$2:$H$68&lt;&gt;"",ROW($H$2:$H$68),4^8),ROW(24:24)))&amp;"","")</f>
        <v/>
      </c>
      <c r="O24" s="97" t="s">
        <v>61</v>
      </c>
      <c r="P24" s="79">
        <f>主要!E8</f>
        <v>0</v>
      </c>
      <c r="Q24" s="78" t="str">
        <f>IFERROR(VLOOKUP(P24,$O$2:$AI$11,主要!O8+1,0),"")</f>
        <v/>
      </c>
      <c r="R24" s="81"/>
      <c r="S24" s="81"/>
      <c r="T24" s="81"/>
      <c r="U24" s="81"/>
      <c r="V24" s="81"/>
      <c r="W24" s="81"/>
      <c r="X24" s="81"/>
      <c r="Y24" s="81"/>
      <c r="Z24" s="81"/>
      <c r="AA24" s="81"/>
      <c r="AB24" s="81"/>
      <c r="AC24" s="81"/>
      <c r="AD24" s="81"/>
      <c r="AE24" s="81"/>
      <c r="AF24" s="81"/>
      <c r="AG24" s="81"/>
      <c r="AH24" s="81"/>
      <c r="AI24" s="81"/>
      <c r="CO24" s="91">
        <v>19</v>
      </c>
      <c r="CP24" s="70">
        <v>6</v>
      </c>
    </row>
    <row r="25" spans="1:94" ht="16.5" customHeight="1" x14ac:dyDescent="0.15">
      <c r="A25" s="68">
        <v>24</v>
      </c>
      <c r="B25" s="69" t="str">
        <f>IF(法术书!X26="","",法术书!X26)</f>
        <v/>
      </c>
      <c r="C25" s="69" t="str">
        <f>IFERROR(VLOOKUP(B25,法术大全!$A:$W,5,FALSE),"")</f>
        <v/>
      </c>
      <c r="D25" s="70" t="str">
        <f>IFERROR(VLOOKUP(B25,法术大全!$A:$W,4,FALSE),"")</f>
        <v/>
      </c>
      <c r="E25" s="68">
        <v>24</v>
      </c>
      <c r="F25" s="71" t="str" cm="1">
        <f t="array" ref="F25">IFERROR(INDEX($B$1:$B$301,SMALL(IF($B$1:$B$301&lt;&gt;"",ROW($B$1:$B$301),4^8),ROW(25:25)))&amp;"","")</f>
        <v/>
      </c>
      <c r="G25" s="72"/>
      <c r="H25" s="75" t="str">
        <f>IF(主要!Y71&lt;&gt;"",主要!Y71,"")</f>
        <v/>
      </c>
      <c r="I25" s="69">
        <f>IF(VLOOKUP(H25,法术大全!$A$3:$E$864,4,0)="√",1,0)</f>
        <v>0</v>
      </c>
      <c r="J25" s="69">
        <f>IF(VLOOKUP(H25,法术大全!$A$3:$E$864,5,0)="√",1,0)</f>
        <v>0</v>
      </c>
      <c r="K25" s="72" t="str" cm="1">
        <f t="array" ref="K25">IFERROR(INDEX($H$1:$H$68,SMALL(IF($H$2:$H$68&lt;&gt;"",ROW($H$2:$H$68),4^8),ROW(25:25)))&amp;"","")</f>
        <v/>
      </c>
      <c r="O25" s="81"/>
      <c r="P25" s="81"/>
      <c r="Q25" s="81"/>
      <c r="R25" s="81"/>
      <c r="S25" s="81"/>
      <c r="T25" s="81"/>
      <c r="U25" s="81"/>
      <c r="V25" s="81"/>
      <c r="W25" s="81"/>
      <c r="X25" s="81"/>
      <c r="Y25" s="81"/>
      <c r="Z25" s="81"/>
      <c r="AA25" s="81"/>
      <c r="AB25" s="81"/>
      <c r="AC25" s="81"/>
      <c r="AD25" s="81"/>
      <c r="AE25" s="81"/>
      <c r="AF25" s="81"/>
      <c r="AG25" s="81"/>
      <c r="AH25" s="81"/>
      <c r="AI25" s="81"/>
      <c r="CO25" s="91">
        <v>20</v>
      </c>
      <c r="CP25" s="70">
        <v>6</v>
      </c>
    </row>
    <row r="26" spans="1:94" ht="16.5" customHeight="1" x14ac:dyDescent="0.3">
      <c r="A26" s="68">
        <v>25</v>
      </c>
      <c r="B26" s="69" t="str">
        <f>IF(法术书!X27="","",法术书!X27)</f>
        <v/>
      </c>
      <c r="C26" s="69" t="str">
        <f>IFERROR(VLOOKUP(B26,法术大全!$A:$W,5,FALSE),"")</f>
        <v/>
      </c>
      <c r="D26" s="70" t="str">
        <f>IFERROR(VLOOKUP(B26,法术大全!$A:$W,4,FALSE),"")</f>
        <v/>
      </c>
      <c r="E26" s="68">
        <v>25</v>
      </c>
      <c r="F26" s="71" t="str" cm="1">
        <f t="array" ref="F26">IFERROR(INDEX($B$1:$B$301,SMALL(IF($B$1:$B$301&lt;&gt;"",ROW($B$1:$B$301),4^8),ROW(26:26)))&amp;"","")</f>
        <v/>
      </c>
      <c r="G26" s="72"/>
      <c r="H26" s="75" t="str">
        <f>IF(主要!Y72&lt;&gt;"",主要!Y72,"")</f>
        <v/>
      </c>
      <c r="I26" s="69">
        <f>IF(VLOOKUP(H26,法术大全!$A$3:$E$864,4,0)="√",1,0)</f>
        <v>0</v>
      </c>
      <c r="J26" s="69">
        <f>IF(VLOOKUP(H26,法术大全!$A$3:$E$864,5,0)="√",1,0)</f>
        <v>0</v>
      </c>
      <c r="K26" s="72" t="str" cm="1">
        <f t="array" ref="K26">IFERROR(INDEX($H$1:$H$68,SMALL(IF($H$2:$H$68&lt;&gt;"",ROW($H$2:$H$68),4^8),ROW(26:26)))&amp;"","")</f>
        <v/>
      </c>
      <c r="O26" s="397" t="s">
        <v>2996</v>
      </c>
      <c r="P26" s="398" t="str">
        <f>IFERROR(VLOOKUP(主要!$B$70,$O$2:$AI$19,
IF(VLOOKUP(主要!$B$70,$O$2:$AJ$19,22,FALSE)=0,"",VLOOKUP(主要!$B$70,$O$2:$AJ$19,22,FALSE)+1),
FALSE),"")</f>
        <v/>
      </c>
      <c r="AL26" s="727" t="s">
        <v>2997</v>
      </c>
      <c r="AM26" s="728"/>
      <c r="AN26" s="728"/>
      <c r="AO26" s="728"/>
      <c r="AP26" s="728"/>
      <c r="AQ26" s="728"/>
      <c r="AR26" s="728"/>
      <c r="AS26" s="728"/>
      <c r="AT26" s="728"/>
      <c r="AU26" s="728"/>
      <c r="AV26" s="728"/>
      <c r="AW26" s="728"/>
      <c r="AX26" s="728"/>
      <c r="AY26" s="728"/>
      <c r="AZ26" s="728"/>
      <c r="BA26" s="728"/>
      <c r="BB26" s="728"/>
      <c r="BC26" s="728"/>
      <c r="BD26" s="728"/>
      <c r="BE26" s="728"/>
      <c r="BF26" s="728"/>
      <c r="BG26" s="729"/>
      <c r="BP26" s="537" t="s">
        <v>107</v>
      </c>
      <c r="BQ26" s="537"/>
      <c r="BS26" s="537" t="s">
        <v>107</v>
      </c>
      <c r="BT26" s="537"/>
      <c r="BV26" s="537" t="s">
        <v>107</v>
      </c>
      <c r="BW26" s="537"/>
      <c r="BY26" s="537" t="s">
        <v>107</v>
      </c>
      <c r="BZ26" s="537"/>
      <c r="CB26" s="537" t="s">
        <v>107</v>
      </c>
      <c r="CC26" s="537"/>
      <c r="CO26" s="91">
        <v>21</v>
      </c>
      <c r="CP26" s="70">
        <v>7</v>
      </c>
    </row>
    <row r="27" spans="1:94" ht="16.5" customHeight="1" x14ac:dyDescent="0.3">
      <c r="A27" s="68">
        <v>26</v>
      </c>
      <c r="B27" s="69" t="str">
        <f>IF(法术书!X28="","",法术书!X28)</f>
        <v/>
      </c>
      <c r="C27" s="69" t="str">
        <f>IFERROR(VLOOKUP(B27,法术大全!$A:$W,5,FALSE),"")</f>
        <v/>
      </c>
      <c r="D27" s="70" t="str">
        <f>IFERROR(VLOOKUP(B27,法术大全!$A:$W,4,FALSE),"")</f>
        <v/>
      </c>
      <c r="E27" s="68">
        <v>26</v>
      </c>
      <c r="F27" s="71" t="str" cm="1">
        <f t="array" ref="F27">IFERROR(INDEX($B$1:$B$301,SMALL(IF($B$1:$B$301&lt;&gt;"",ROW($B$1:$B$301),4^8),ROW(27:27)))&amp;"","")</f>
        <v/>
      </c>
      <c r="G27" s="72"/>
      <c r="H27" s="75" t="str">
        <f>IF(主要!Y73&lt;&gt;"",主要!Y73,"")</f>
        <v/>
      </c>
      <c r="I27" s="69">
        <f>IF(VLOOKUP(H27,法术大全!$A$3:$E$864,4,0)="√",1,0)</f>
        <v>0</v>
      </c>
      <c r="J27" s="69">
        <f>IF(VLOOKUP(H27,法术大全!$A$3:$E$864,5,0)="√",1,0)</f>
        <v>0</v>
      </c>
      <c r="K27" s="72" t="str" cm="1">
        <f t="array" ref="K27">IFERROR(INDEX($H$1:$H$68,SMALL(IF($H$2:$H$68&lt;&gt;"",ROW($H$2:$H$68),4^8),ROW(27:27)))&amp;"","")</f>
        <v/>
      </c>
      <c r="R27" s="69" t="str">
        <f>IFERROR(VLOOKUP(主要!$B$70,$O$2:$AI$19,
IF(VLOOKUP(主要!$B$70,职业!$AY$2:$AZ$20,2,FALSE)=0,"",VLOOKUP(主要!$B$70,职业!$AY$2:$AZ$20,2,FALSE)+1),
FALSE),"")</f>
        <v/>
      </c>
      <c r="AL27" s="565" t="s">
        <v>2998</v>
      </c>
      <c r="AM27" s="565"/>
      <c r="AN27" s="565"/>
      <c r="AO27" s="284"/>
      <c r="AP27" s="288"/>
      <c r="AQ27" s="294"/>
      <c r="AR27" s="537" t="s">
        <v>10805</v>
      </c>
      <c r="AS27" s="537"/>
      <c r="AT27" s="537"/>
      <c r="AU27" s="499" t="s">
        <v>6933</v>
      </c>
      <c r="AV27" s="499"/>
      <c r="AW27" s="551" t="s">
        <v>8308</v>
      </c>
      <c r="AX27" s="551"/>
      <c r="AY27" s="551"/>
      <c r="AZ27" s="551"/>
      <c r="BA27" s="551"/>
      <c r="BB27" s="551"/>
      <c r="BC27" s="551"/>
      <c r="BD27" s="551"/>
      <c r="BE27" s="551"/>
      <c r="BF27" s="551"/>
      <c r="BG27" s="551"/>
      <c r="BP27" s="809" t="str">
        <f>装备!AX12</f>
        <v/>
      </c>
      <c r="BQ27" s="809"/>
      <c r="BS27" s="809" t="str">
        <f>IF(主要!AS40="否","",6)</f>
        <v/>
      </c>
      <c r="BT27" s="809"/>
      <c r="BV27" s="809" t="str">
        <f>装备!AY2</f>
        <v/>
      </c>
      <c r="BW27" s="809"/>
      <c r="BY27" s="809"/>
      <c r="BZ27" s="809"/>
      <c r="CB27" s="809"/>
      <c r="CC27" s="809"/>
      <c r="CO27" s="91">
        <v>22</v>
      </c>
      <c r="CP27" s="70">
        <v>7</v>
      </c>
    </row>
    <row r="28" spans="1:94" ht="16.5" customHeight="1" x14ac:dyDescent="0.15">
      <c r="A28" s="68">
        <v>27</v>
      </c>
      <c r="B28" s="69" t="str">
        <f>IF(法术书!X29="","",法术书!X29)</f>
        <v/>
      </c>
      <c r="C28" s="69" t="str">
        <f>IFERROR(VLOOKUP(B28,法术大全!$A:$W,5,FALSE),"")</f>
        <v/>
      </c>
      <c r="D28" s="70" t="str">
        <f>IFERROR(VLOOKUP(B28,法术大全!$A:$W,4,FALSE),"")</f>
        <v/>
      </c>
      <c r="E28" s="68">
        <v>27</v>
      </c>
      <c r="F28" s="71" t="str" cm="1">
        <f t="array" ref="F28">IFERROR(INDEX($B$1:$B$301,SMALL(IF($B$1:$B$301&lt;&gt;"",ROW($B$1:$B$301),4^8),ROW(28:28)))&amp;"","")</f>
        <v/>
      </c>
      <c r="G28" s="72" t="s">
        <v>363</v>
      </c>
      <c r="H28" s="76" t="str">
        <f>IF(主要!AG66&lt;&gt;"",主要!AG66,"")</f>
        <v/>
      </c>
      <c r="I28" s="69">
        <f>IF(VLOOKUP(H28,法术大全!$A$3:$E$864,4,0)="√",1,0)</f>
        <v>0</v>
      </c>
      <c r="J28" s="69">
        <f>IF(VLOOKUP(H28,法术大全!$A$3:$E$864,5,0)="√",1,0)</f>
        <v>0</v>
      </c>
      <c r="K28" s="72" t="str" cm="1">
        <f t="array" ref="K28">IFERROR(INDEX($H$1:$H$68,SMALL(IF($H$2:$H$68&lt;&gt;"",ROW($H$2:$H$68),4^8),ROW(28:28)))&amp;"","")</f>
        <v/>
      </c>
      <c r="AL28" s="512"/>
      <c r="AM28" s="513"/>
      <c r="AN28" s="513"/>
      <c r="AO28" s="513"/>
      <c r="AP28" s="514"/>
      <c r="AQ28" s="295" t="s">
        <v>75</v>
      </c>
      <c r="AR28" s="556"/>
      <c r="AS28" s="557"/>
      <c r="AT28" s="558"/>
      <c r="AU28" s="552"/>
      <c r="AV28" s="571"/>
      <c r="AW28" s="560"/>
      <c r="AX28" s="560"/>
      <c r="AY28" s="560"/>
      <c r="AZ28" s="560"/>
      <c r="BA28" s="560"/>
      <c r="BB28" s="560"/>
      <c r="BC28" s="560"/>
      <c r="BD28" s="560"/>
      <c r="BE28" s="560"/>
      <c r="BF28" s="560"/>
      <c r="BG28" s="561"/>
      <c r="BV28" s="810" t="str">
        <f>装备!AY3</f>
        <v/>
      </c>
      <c r="BW28" s="810"/>
      <c r="BY28" s="810"/>
      <c r="BZ28" s="810"/>
      <c r="CB28" s="810"/>
      <c r="CC28" s="810"/>
      <c r="CO28" s="91">
        <v>23</v>
      </c>
      <c r="CP28" s="70">
        <v>7</v>
      </c>
    </row>
    <row r="29" spans="1:94" ht="16.5" customHeight="1" thickBot="1" x14ac:dyDescent="0.2">
      <c r="A29" s="68">
        <v>28</v>
      </c>
      <c r="B29" s="69" t="str">
        <f>IF(法术书!X30="","",法术书!X30)</f>
        <v/>
      </c>
      <c r="C29" s="69" t="str">
        <f>IFERROR(VLOOKUP(B29,法术大全!$A:$W,5,FALSE),"")</f>
        <v/>
      </c>
      <c r="D29" s="70" t="str">
        <f>IFERROR(VLOOKUP(B29,法术大全!$A:$W,4,FALSE),"")</f>
        <v/>
      </c>
      <c r="E29" s="68">
        <v>28</v>
      </c>
      <c r="F29" s="71" t="str" cm="1">
        <f t="array" ref="F29">IFERROR(INDEX($B$1:$B$301,SMALL(IF($B$1:$B$301&lt;&gt;"",ROW($B$1:$B$301),4^8),ROW(29:29)))&amp;"","")</f>
        <v/>
      </c>
      <c r="G29" s="72"/>
      <c r="H29" s="76" t="str">
        <f>IF(主要!AG67&lt;&gt;"",主要!AG67,"")</f>
        <v/>
      </c>
      <c r="I29" s="69">
        <f>IF(VLOOKUP(H29,法术大全!$A$3:$E$864,4,0)="√",1,0)</f>
        <v>0</v>
      </c>
      <c r="J29" s="69">
        <f>IF(VLOOKUP(H29,法术大全!$A$3:$E$864,5,0)="√",1,0)</f>
        <v>0</v>
      </c>
      <c r="K29" s="72" t="str" cm="1">
        <f t="array" ref="K29">IFERROR(INDEX($H$1:$H$68,SMALL(IF($H$2:$H$68&lt;&gt;"",ROW($H$2:$H$68),4^8),ROW(29:29)))&amp;"","")</f>
        <v/>
      </c>
      <c r="AL29" s="562"/>
      <c r="AM29" s="563"/>
      <c r="AN29" s="563"/>
      <c r="AO29" s="563"/>
      <c r="AP29" s="564"/>
      <c r="AQ29" s="295" t="s">
        <v>75</v>
      </c>
      <c r="AR29" s="566"/>
      <c r="AS29" s="567"/>
      <c r="AT29" s="568"/>
      <c r="AU29" s="579"/>
      <c r="AV29" s="586"/>
      <c r="AW29" s="574"/>
      <c r="AX29" s="704"/>
      <c r="AY29" s="704"/>
      <c r="AZ29" s="704"/>
      <c r="BA29" s="704"/>
      <c r="BB29" s="704"/>
      <c r="BC29" s="704"/>
      <c r="BD29" s="704"/>
      <c r="BE29" s="704"/>
      <c r="BF29" s="704"/>
      <c r="BG29" s="705"/>
      <c r="BV29" s="822" t="str">
        <f>装备!AY4</f>
        <v/>
      </c>
      <c r="BW29" s="822"/>
      <c r="BY29" s="809"/>
      <c r="BZ29" s="809"/>
      <c r="CB29" s="809"/>
      <c r="CC29" s="809"/>
      <c r="CO29" s="91">
        <v>24</v>
      </c>
      <c r="CP29" s="70">
        <v>7</v>
      </c>
    </row>
    <row r="30" spans="1:94" ht="16.5" customHeight="1" x14ac:dyDescent="0.15">
      <c r="A30" s="68">
        <v>29</v>
      </c>
      <c r="B30" s="69" t="str">
        <f>IF(法术书!X31="","",法术书!X31)</f>
        <v/>
      </c>
      <c r="C30" s="69" t="str">
        <f>IFERROR(VLOOKUP(B30,法术大全!$A:$W,5,FALSE),"")</f>
        <v/>
      </c>
      <c r="D30" s="70" t="str">
        <f>IFERROR(VLOOKUP(B30,法术大全!$A:$W,4,FALSE),"")</f>
        <v/>
      </c>
      <c r="E30" s="68">
        <v>29</v>
      </c>
      <c r="F30" s="71" t="str" cm="1">
        <f t="array" ref="F30">IFERROR(INDEX($B$1:$B$301,SMALL(IF($B$1:$B$301&lt;&gt;"",ROW($B$1:$B$301),4^8),ROW(30:30)))&amp;"","")</f>
        <v/>
      </c>
      <c r="G30" s="72"/>
      <c r="H30" s="76" t="str">
        <f>IF(主要!AG68&lt;&gt;"",主要!AG68,"")</f>
        <v/>
      </c>
      <c r="I30" s="69">
        <f>IF(VLOOKUP(H30,法术大全!$A$3:$E$864,4,0)="√",1,0)</f>
        <v>0</v>
      </c>
      <c r="J30" s="69">
        <f>IF(VLOOKUP(H30,法术大全!$A$3:$E$864,5,0)="√",1,0)</f>
        <v>0</v>
      </c>
      <c r="K30" s="72" t="str" cm="1">
        <f t="array" ref="K30">IFERROR(INDEX($H$1:$H$68,SMALL(IF($H$2:$H$68&lt;&gt;"",ROW($H$2:$H$68),4^8),ROW(30:30)))&amp;"","")</f>
        <v/>
      </c>
      <c r="AL30" s="512"/>
      <c r="AM30" s="513"/>
      <c r="AN30" s="513"/>
      <c r="AO30" s="513"/>
      <c r="AP30" s="514"/>
      <c r="AQ30" s="295" t="s">
        <v>75</v>
      </c>
      <c r="AR30" s="556"/>
      <c r="AS30" s="557"/>
      <c r="AT30" s="558"/>
      <c r="AU30" s="552"/>
      <c r="AV30" s="571"/>
      <c r="AW30" s="560"/>
      <c r="AX30" s="560"/>
      <c r="AY30" s="560"/>
      <c r="AZ30" s="560"/>
      <c r="BA30" s="560"/>
      <c r="BB30" s="560"/>
      <c r="BC30" s="560"/>
      <c r="BD30" s="560"/>
      <c r="BE30" s="560"/>
      <c r="BF30" s="560"/>
      <c r="BG30" s="561"/>
      <c r="BV30" s="823" t="str">
        <f>装备!AY5</f>
        <v/>
      </c>
      <c r="BW30" s="823"/>
      <c r="BY30" s="810"/>
      <c r="BZ30" s="810"/>
      <c r="CB30" s="810"/>
      <c r="CC30" s="810"/>
      <c r="CO30" s="91">
        <v>25</v>
      </c>
      <c r="CP30" s="70">
        <v>8</v>
      </c>
    </row>
    <row r="31" spans="1:94" ht="16.5" customHeight="1" x14ac:dyDescent="0.15">
      <c r="A31" s="68">
        <v>30</v>
      </c>
      <c r="B31" s="69" t="str">
        <f>IF(法术书!X32="","",法术书!X32)</f>
        <v/>
      </c>
      <c r="C31" s="69" t="str">
        <f>IFERROR(VLOOKUP(B31,法术大全!$A:$W,5,FALSE),"")</f>
        <v/>
      </c>
      <c r="D31" s="70" t="str">
        <f>IFERROR(VLOOKUP(B31,法术大全!$A:$W,4,FALSE),"")</f>
        <v/>
      </c>
      <c r="E31" s="68">
        <v>30</v>
      </c>
      <c r="F31" s="71" t="str" cm="1">
        <f t="array" ref="F31">IFERROR(INDEX($B$1:$B$301,SMALL(IF($B$1:$B$301&lt;&gt;"",ROW($B$1:$B$301),4^8),ROW(31:31)))&amp;"","")</f>
        <v/>
      </c>
      <c r="G31" s="72"/>
      <c r="H31" s="76" t="str">
        <f>IF(主要!AG69&lt;&gt;"",主要!AG69,"")</f>
        <v/>
      </c>
      <c r="I31" s="69">
        <f>IF(VLOOKUP(H31,法术大全!$A$3:$E$864,4,0)="√",1,0)</f>
        <v>0</v>
      </c>
      <c r="J31" s="69">
        <f>IF(VLOOKUP(H31,法术大全!$A$3:$E$864,5,0)="√",1,0)</f>
        <v>0</v>
      </c>
      <c r="K31" s="72" t="str" cm="1">
        <f t="array" ref="K31">IFERROR(INDEX($H$1:$H$68,SMALL(IF($H$2:$H$68&lt;&gt;"",ROW($H$2:$H$68),4^8),ROW(31:31)))&amp;"","")</f>
        <v/>
      </c>
      <c r="W31" s="482"/>
      <c r="X31" s="482"/>
      <c r="Y31" s="482"/>
      <c r="Z31" s="482"/>
      <c r="AL31" s="562"/>
      <c r="AM31" s="563"/>
      <c r="AN31" s="563"/>
      <c r="AO31" s="563"/>
      <c r="AP31" s="564"/>
      <c r="AQ31" s="295" t="s">
        <v>75</v>
      </c>
      <c r="AR31" s="566"/>
      <c r="AS31" s="567"/>
      <c r="AT31" s="568"/>
      <c r="AU31" s="579"/>
      <c r="AV31" s="586"/>
      <c r="AW31" s="574"/>
      <c r="AX31" s="704"/>
      <c r="AY31" s="704"/>
      <c r="AZ31" s="704"/>
      <c r="BA31" s="704"/>
      <c r="BB31" s="704"/>
      <c r="BC31" s="704"/>
      <c r="BD31" s="704"/>
      <c r="BE31" s="704"/>
      <c r="BF31" s="704"/>
      <c r="BG31" s="705"/>
      <c r="BV31" s="809" t="str">
        <f>装备!AY6</f>
        <v/>
      </c>
      <c r="BW31" s="809"/>
      <c r="BY31" s="809"/>
      <c r="BZ31" s="809"/>
      <c r="CB31" s="809"/>
      <c r="CC31" s="809"/>
      <c r="CO31" s="91">
        <v>26</v>
      </c>
      <c r="CP31" s="70">
        <v>8</v>
      </c>
    </row>
    <row r="32" spans="1:94" ht="16.5" customHeight="1" x14ac:dyDescent="0.15">
      <c r="A32" s="68">
        <v>31</v>
      </c>
      <c r="B32" s="69" t="str">
        <f>IF(法术书!X33="","",法术书!X33)</f>
        <v/>
      </c>
      <c r="C32" s="69" t="str">
        <f>IFERROR(VLOOKUP(B32,法术大全!$A:$W,5,FALSE),"")</f>
        <v/>
      </c>
      <c r="D32" s="70" t="str">
        <f>IFERROR(VLOOKUP(B32,法术大全!$A:$W,4,FALSE),"")</f>
        <v/>
      </c>
      <c r="E32" s="68">
        <v>31</v>
      </c>
      <c r="F32" s="71" t="str" cm="1">
        <f t="array" ref="F32">IFERROR(INDEX($B$1:$B$301,SMALL(IF($B$1:$B$301&lt;&gt;"",ROW($B$1:$B$301),4^8),ROW(32:32)))&amp;"","")</f>
        <v/>
      </c>
      <c r="G32" s="72"/>
      <c r="H32" s="76" t="str">
        <f>IF(主要!AG70&lt;&gt;"",主要!AG70,"")</f>
        <v/>
      </c>
      <c r="I32" s="69">
        <f>IF(VLOOKUP(H32,法术大全!$A$3:$E$864,4,0)="√",1,0)</f>
        <v>0</v>
      </c>
      <c r="J32" s="69">
        <f>IF(VLOOKUP(H32,法术大全!$A$3:$E$864,5,0)="√",1,0)</f>
        <v>0</v>
      </c>
      <c r="K32" s="72" t="str" cm="1">
        <f t="array" ref="K32">IFERROR(INDEX($H$1:$H$68,SMALL(IF($H$2:$H$68&lt;&gt;"",ROW($H$2:$H$68),4^8),ROW(32:32)))&amp;"","")</f>
        <v/>
      </c>
      <c r="V32" s="821" t="s">
        <v>10946</v>
      </c>
      <c r="W32" s="821"/>
      <c r="X32" s="821"/>
      <c r="Y32" s="821"/>
      <c r="Z32" s="821"/>
      <c r="AL32" s="512"/>
      <c r="AM32" s="513"/>
      <c r="AN32" s="513"/>
      <c r="AO32" s="513"/>
      <c r="AP32" s="514"/>
      <c r="AQ32" s="295" t="s">
        <v>75</v>
      </c>
      <c r="AR32" s="556"/>
      <c r="AS32" s="557"/>
      <c r="AT32" s="558"/>
      <c r="AU32" s="552"/>
      <c r="AV32" s="571"/>
      <c r="AW32" s="560"/>
      <c r="AX32" s="560"/>
      <c r="AY32" s="560"/>
      <c r="AZ32" s="560"/>
      <c r="BA32" s="560"/>
      <c r="BB32" s="560"/>
      <c r="BC32" s="560"/>
      <c r="BD32" s="560"/>
      <c r="BE32" s="560"/>
      <c r="BF32" s="560"/>
      <c r="BG32" s="561"/>
      <c r="BY32" s="810"/>
      <c r="BZ32" s="810"/>
      <c r="CO32" s="91">
        <v>27</v>
      </c>
      <c r="CP32" s="70">
        <v>8</v>
      </c>
    </row>
    <row r="33" spans="1:94" ht="16.5" customHeight="1" x14ac:dyDescent="0.3">
      <c r="A33" s="68">
        <v>32</v>
      </c>
      <c r="B33" s="69" t="str">
        <f>IF(法术书!X34="","",法术书!X34)</f>
        <v/>
      </c>
      <c r="C33" s="69" t="str">
        <f>IFERROR(VLOOKUP(B33,法术大全!$A:$W,5,FALSE),"")</f>
        <v/>
      </c>
      <c r="D33" s="70" t="str">
        <f>IFERROR(VLOOKUP(B33,法术大全!$A:$W,4,FALSE),"")</f>
        <v/>
      </c>
      <c r="E33" s="68">
        <v>32</v>
      </c>
      <c r="F33" s="71" t="str" cm="1">
        <f t="array" ref="F33">IFERROR(INDEX($B$1:$B$301,SMALL(IF($B$1:$B$301&lt;&gt;"",ROW($B$1:$B$301),4^8),ROW(33:33)))&amp;"","")</f>
        <v/>
      </c>
      <c r="G33" s="72"/>
      <c r="H33" s="76" t="str">
        <f>IF(主要!AG71&lt;&gt;"",主要!AG71,"")</f>
        <v/>
      </c>
      <c r="I33" s="69">
        <f>IF(VLOOKUP(H33,法术大全!$A$3:$E$864,4,0)="√",1,0)</f>
        <v>0</v>
      </c>
      <c r="J33" s="69">
        <f>IF(VLOOKUP(H33,法术大全!$A$3:$E$864,5,0)="√",1,0)</f>
        <v>0</v>
      </c>
      <c r="K33" s="72" t="str" cm="1">
        <f t="array" ref="K33">IFERROR(INDEX($H$1:$H$68,SMALL(IF($H$2:$H$68&lt;&gt;"",ROW($H$2:$H$68),4^8),ROW(33:33)))&amp;"","")</f>
        <v/>
      </c>
      <c r="W33" s="482" t="s">
        <v>10153</v>
      </c>
      <c r="X33" s="482" t="s">
        <v>10154</v>
      </c>
      <c r="Y33" s="482" t="s">
        <v>10155</v>
      </c>
      <c r="Z33" s="482" t="s">
        <v>10156</v>
      </c>
      <c r="AL33" s="565" t="s">
        <v>8309</v>
      </c>
      <c r="AM33" s="565"/>
      <c r="AN33" s="565"/>
      <c r="AO33" s="19"/>
      <c r="AP33" s="7"/>
      <c r="AQ33" s="98"/>
      <c r="AR33" s="537" t="s">
        <v>8308</v>
      </c>
      <c r="AS33" s="537"/>
      <c r="AT33" s="537"/>
      <c r="AU33" s="537"/>
      <c r="AV33" s="537"/>
      <c r="AW33" s="537"/>
      <c r="AX33" s="537"/>
      <c r="AY33" s="537"/>
      <c r="AZ33" s="537"/>
      <c r="BA33" s="537"/>
      <c r="BB33" s="537"/>
      <c r="BC33" s="537" t="s">
        <v>2999</v>
      </c>
      <c r="BD33" s="537"/>
      <c r="BE33" s="537"/>
      <c r="BF33" s="537"/>
      <c r="BG33" s="537"/>
      <c r="BP33" s="635" t="s">
        <v>10970</v>
      </c>
      <c r="BQ33" s="635"/>
      <c r="BR33" s="635"/>
      <c r="BS33" s="635"/>
      <c r="BT33" s="631" t="s">
        <v>545</v>
      </c>
      <c r="BU33" s="631"/>
      <c r="BY33" s="809"/>
      <c r="BZ33" s="809"/>
      <c r="CO33" s="91">
        <v>28</v>
      </c>
      <c r="CP33" s="70">
        <v>8</v>
      </c>
    </row>
    <row r="34" spans="1:94" ht="16.5" customHeight="1" x14ac:dyDescent="0.15">
      <c r="A34" s="68">
        <v>33</v>
      </c>
      <c r="B34" s="69" t="str">
        <f>IF(法术书!X35="","",法术书!X35)</f>
        <v/>
      </c>
      <c r="C34" s="69" t="str">
        <f>IFERROR(VLOOKUP(B34,法术大全!$A:$W,5,FALSE),"")</f>
        <v/>
      </c>
      <c r="D34" s="70" t="str">
        <f>IFERROR(VLOOKUP(B34,法术大全!$A:$W,4,FALSE),"")</f>
        <v/>
      </c>
      <c r="E34" s="68">
        <v>33</v>
      </c>
      <c r="F34" s="71" t="str" cm="1">
        <f t="array" ref="F34">IFERROR(INDEX($B$1:$B$301,SMALL(IF($B$1:$B$301&lt;&gt;"",ROW($B$1:$B$301),4^8),ROW(34:34)))&amp;"","")</f>
        <v/>
      </c>
      <c r="G34" s="72"/>
      <c r="H34" s="76" t="str">
        <f>IF(主要!AG72&lt;&gt;"",主要!AG72,"")</f>
        <v/>
      </c>
      <c r="I34" s="69">
        <f>IF(VLOOKUP(H34,法术大全!$A$3:$E$864,4,0)="√",1,0)</f>
        <v>0</v>
      </c>
      <c r="J34" s="69">
        <f>IF(VLOOKUP(H34,法术大全!$A$3:$E$864,5,0)="√",1,0)</f>
        <v>0</v>
      </c>
      <c r="K34" s="72" t="str" cm="1">
        <f t="array" ref="K34">IFERROR(INDEX($H$1:$H$68,SMALL(IF($H$2:$H$68&lt;&gt;"",ROW($H$2:$H$68),4^8),ROW(34:34)))&amp;"","")</f>
        <v/>
      </c>
      <c r="P34" s="105" t="s">
        <v>192</v>
      </c>
      <c r="Q34" s="105" t="s">
        <v>994</v>
      </c>
      <c r="R34" s="105" t="s">
        <v>941</v>
      </c>
      <c r="S34" s="105" t="s">
        <v>2472</v>
      </c>
      <c r="T34" s="105" t="s">
        <v>972</v>
      </c>
      <c r="V34" s="79"/>
      <c r="W34" s="79">
        <f>IF(自定义调整栏!$V$23=0,0,SUM($W$35:INDEX($W$35:$W$54,自定义调整栏!$V$23,1)))</f>
        <v>0</v>
      </c>
      <c r="X34" s="79">
        <f>IF(自定义调整栏!$X$23=0,0,SUM($X$35:INDEX($X$35:$X$54,自定义调整栏!$X$23,1)))</f>
        <v>0</v>
      </c>
      <c r="Y34" s="79">
        <f>IF(自定义调整栏!$Z$23=0,0,SUM($Y$35:INDEX($Y$35:$Y$54,自定义调整栏!$Z$23,1)))</f>
        <v>0</v>
      </c>
      <c r="Z34" s="79">
        <f>IF(自定义调整栏!$AB$23=0,0,SUM($Z$35:INDEX($Z$35:$Z$54,自定义调整栏!$AB$23,1)))</f>
        <v>0</v>
      </c>
      <c r="AB34" s="129"/>
      <c r="AC34" s="129"/>
      <c r="AL34" s="512"/>
      <c r="AM34" s="513"/>
      <c r="AN34" s="513"/>
      <c r="AO34" s="513"/>
      <c r="AP34" s="514"/>
      <c r="AQ34" s="295" t="s">
        <v>75</v>
      </c>
      <c r="AR34" s="534"/>
      <c r="AS34" s="535"/>
      <c r="AT34" s="535"/>
      <c r="AU34" s="535"/>
      <c r="AV34" s="535"/>
      <c r="AW34" s="535"/>
      <c r="AX34" s="535"/>
      <c r="AY34" s="535"/>
      <c r="AZ34" s="535"/>
      <c r="BA34" s="535"/>
      <c r="BB34" s="536"/>
      <c r="BC34" s="528"/>
      <c r="BD34" s="529"/>
      <c r="BE34" s="274" t="s">
        <v>88</v>
      </c>
      <c r="BF34" s="530"/>
      <c r="BG34" s="531"/>
      <c r="BY34" s="810"/>
      <c r="BZ34" s="810"/>
      <c r="CO34" s="91">
        <v>29</v>
      </c>
      <c r="CP34" s="70">
        <v>9</v>
      </c>
    </row>
    <row r="35" spans="1:94" ht="16.5" customHeight="1" x14ac:dyDescent="0.15">
      <c r="A35" s="68">
        <v>34</v>
      </c>
      <c r="B35" s="69" t="str">
        <f>IF(法术书!X36="","",法术书!X36)</f>
        <v/>
      </c>
      <c r="C35" s="69" t="str">
        <f>IFERROR(VLOOKUP(B35,法术大全!$A:$W,5,FALSE),"")</f>
        <v/>
      </c>
      <c r="D35" s="70" t="str">
        <f>IFERROR(VLOOKUP(B35,法术大全!$A:$W,4,FALSE),"")</f>
        <v/>
      </c>
      <c r="E35" s="68">
        <v>34</v>
      </c>
      <c r="F35" s="71" t="str" cm="1">
        <f t="array" ref="F35">IFERROR(INDEX($B$1:$B$301,SMALL(IF($B$1:$B$301&lt;&gt;"",ROW($B$1:$B$301),4^8),ROW(35:35)))&amp;"","")</f>
        <v/>
      </c>
      <c r="G35" s="72"/>
      <c r="H35" s="76" t="str">
        <f>IF(主要!AG73&lt;&gt;"",主要!AG73,"")</f>
        <v/>
      </c>
      <c r="I35" s="69">
        <f>IF(VLOOKUP(H35,法术大全!$A$3:$E$864,4,0)="√",1,0)</f>
        <v>0</v>
      </c>
      <c r="J35" s="69">
        <f>IF(VLOOKUP(H35,法术大全!$A$3:$E$864,5,0)="√",1,0)</f>
        <v>0</v>
      </c>
      <c r="K35" s="72" t="str" cm="1">
        <f t="array" ref="K35">IFERROR(INDEX($H$1:$H$68,SMALL(IF($H$2:$H$68&lt;&gt;"",ROW($H$2:$H$68),4^8),ROW(35:35)))&amp;"","")</f>
        <v/>
      </c>
      <c r="P35" s="105">
        <v>1</v>
      </c>
      <c r="Q35" s="105" t="s">
        <v>968</v>
      </c>
      <c r="R35" s="105" t="s">
        <v>1047</v>
      </c>
      <c r="S35" s="105" t="s">
        <v>978</v>
      </c>
      <c r="T35" s="105" t="s">
        <v>1032</v>
      </c>
      <c r="V35" s="69">
        <v>1</v>
      </c>
      <c r="W35" s="69">
        <f t="shared" ref="W35:W54" ca="1" si="0">RANDBETWEEN(1,6)</f>
        <v>1</v>
      </c>
      <c r="X35" s="69">
        <f t="shared" ref="X35:X54" ca="1" si="1">RANDBETWEEN(1,8)</f>
        <v>3</v>
      </c>
      <c r="Y35" s="69">
        <f t="shared" ref="Y35:Y54" ca="1" si="2">RANDBETWEEN(1,10)</f>
        <v>6</v>
      </c>
      <c r="Z35" s="69">
        <f t="shared" ref="Z35:Z54" ca="1" si="3">RANDBETWEEN(1,12)</f>
        <v>2</v>
      </c>
      <c r="AA35" s="482"/>
      <c r="AL35" s="562"/>
      <c r="AM35" s="563"/>
      <c r="AN35" s="563"/>
      <c r="AO35" s="563"/>
      <c r="AP35" s="564"/>
      <c r="AQ35" s="295" t="s">
        <v>75</v>
      </c>
      <c r="AR35" s="703"/>
      <c r="AS35" s="704"/>
      <c r="AT35" s="704"/>
      <c r="AU35" s="704"/>
      <c r="AV35" s="704"/>
      <c r="AW35" s="704"/>
      <c r="AX35" s="704"/>
      <c r="AY35" s="704"/>
      <c r="AZ35" s="704"/>
      <c r="BA35" s="704"/>
      <c r="BB35" s="705"/>
      <c r="BC35" s="589"/>
      <c r="BD35" s="590"/>
      <c r="BE35" s="275" t="s">
        <v>88</v>
      </c>
      <c r="BF35" s="593"/>
      <c r="BG35" s="707"/>
      <c r="BY35" s="809"/>
      <c r="BZ35" s="809"/>
      <c r="CO35" s="97">
        <v>30</v>
      </c>
      <c r="CP35" s="78">
        <v>9</v>
      </c>
    </row>
    <row r="36" spans="1:94" ht="16.5" customHeight="1" x14ac:dyDescent="0.15">
      <c r="A36" s="68">
        <v>35</v>
      </c>
      <c r="B36" s="69" t="str">
        <f>IF(法术书!X37="","",法术书!X37)</f>
        <v/>
      </c>
      <c r="C36" s="69" t="str">
        <f>IFERROR(VLOOKUP(B36,法术大全!$A:$W,5,FALSE),"")</f>
        <v/>
      </c>
      <c r="D36" s="70" t="str">
        <f>IFERROR(VLOOKUP(B36,法术大全!$A:$W,4,FALSE),"")</f>
        <v/>
      </c>
      <c r="E36" s="68">
        <v>35</v>
      </c>
      <c r="F36" s="71" t="str" cm="1">
        <f t="array" ref="F36">IFERROR(INDEX($B$1:$B$301,SMALL(IF($B$1:$B$301&lt;&gt;"",ROW($B$1:$B$301),4^8),ROW(36:36)))&amp;"","")</f>
        <v/>
      </c>
      <c r="G36" s="72"/>
      <c r="H36" s="76" t="str">
        <f>IF(主要!AG74&lt;&gt;"",主要!AG74,"")</f>
        <v/>
      </c>
      <c r="I36" s="69">
        <f>IF(VLOOKUP(H36,法术大全!$A$3:$E$864,4,0)="√",1,0)</f>
        <v>0</v>
      </c>
      <c r="J36" s="69">
        <f>IF(VLOOKUP(H36,法术大全!$A$3:$E$864,5,0)="√",1,0)</f>
        <v>0</v>
      </c>
      <c r="K36" s="72" t="str" cm="1">
        <f t="array" ref="K36">IFERROR(INDEX($H$1:$H$68,SMALL(IF($H$2:$H$68&lt;&gt;"",ROW($H$2:$H$68),4^8),ROW(36:36)))&amp;"","")</f>
        <v/>
      </c>
      <c r="P36" s="105">
        <v>2</v>
      </c>
      <c r="Q36" s="105" t="s">
        <v>977</v>
      </c>
      <c r="R36" s="105" t="s">
        <v>1020</v>
      </c>
      <c r="S36" s="105" t="s">
        <v>1071</v>
      </c>
      <c r="T36" s="105" t="s">
        <v>1020</v>
      </c>
      <c r="V36" s="69">
        <v>2</v>
      </c>
      <c r="W36" s="69">
        <f t="shared" ca="1" si="0"/>
        <v>2</v>
      </c>
      <c r="X36" s="69">
        <f t="shared" ca="1" si="1"/>
        <v>8</v>
      </c>
      <c r="Y36" s="69">
        <f t="shared" ca="1" si="2"/>
        <v>8</v>
      </c>
      <c r="Z36" s="69">
        <f t="shared" ca="1" si="3"/>
        <v>12</v>
      </c>
      <c r="AA36" s="482"/>
      <c r="AL36" s="512"/>
      <c r="AM36" s="513"/>
      <c r="AN36" s="513"/>
      <c r="AO36" s="513"/>
      <c r="AP36" s="514"/>
      <c r="AQ36" s="295" t="s">
        <v>75</v>
      </c>
      <c r="AR36" s="559"/>
      <c r="AS36" s="560"/>
      <c r="AT36" s="560"/>
      <c r="AU36" s="560"/>
      <c r="AV36" s="560"/>
      <c r="AW36" s="560"/>
      <c r="AX36" s="560"/>
      <c r="AY36" s="560"/>
      <c r="AZ36" s="560"/>
      <c r="BA36" s="560"/>
      <c r="BB36" s="561"/>
      <c r="BC36" s="529"/>
      <c r="BD36" s="673"/>
      <c r="BE36" s="274" t="s">
        <v>8310</v>
      </c>
      <c r="BF36" s="553"/>
      <c r="BG36" s="530"/>
      <c r="BY36" s="810"/>
      <c r="BZ36" s="810"/>
    </row>
    <row r="37" spans="1:94" ht="16.5" customHeight="1" x14ac:dyDescent="0.15">
      <c r="A37" s="68">
        <v>36</v>
      </c>
      <c r="B37" s="69" t="str">
        <f>IF(法术书!X38="","",法术书!X38)</f>
        <v/>
      </c>
      <c r="C37" s="69" t="str">
        <f>IFERROR(VLOOKUP(B37,法术大全!$A:$W,5,FALSE),"")</f>
        <v/>
      </c>
      <c r="D37" s="70" t="str">
        <f>IFERROR(VLOOKUP(B37,法术大全!$A:$W,4,FALSE),"")</f>
        <v/>
      </c>
      <c r="E37" s="68">
        <v>36</v>
      </c>
      <c r="F37" s="71" t="str" cm="1">
        <f t="array" ref="F37">IFERROR(INDEX($B$1:$B$301,SMALL(IF($B$1:$B$301&lt;&gt;"",ROW($B$1:$B$301),4^8),ROW(37:37)))&amp;"","")</f>
        <v/>
      </c>
      <c r="G37" s="72"/>
      <c r="H37" s="76" t="str">
        <f>IF(主要!AG75&lt;&gt;"",主要!AG75,"")</f>
        <v/>
      </c>
      <c r="I37" s="69">
        <f>IF(VLOOKUP(H37,法术大全!$A$3:$E$864,4,0)="√",1,0)</f>
        <v>0</v>
      </c>
      <c r="J37" s="69">
        <f>IF(VLOOKUP(H37,法术大全!$A$3:$E$864,5,0)="√",1,0)</f>
        <v>0</v>
      </c>
      <c r="K37" s="72" t="str" cm="1">
        <f t="array" ref="K37">IFERROR(INDEX($H$1:$H$68,SMALL(IF($H$2:$H$68&lt;&gt;"",ROW($H$2:$H$68),4^8),ROW(37:37)))&amp;"","")</f>
        <v/>
      </c>
      <c r="P37" s="105">
        <v>3</v>
      </c>
      <c r="Q37" s="105" t="s">
        <v>983</v>
      </c>
      <c r="R37" s="105" t="s">
        <v>1149</v>
      </c>
      <c r="S37" s="105" t="s">
        <v>709</v>
      </c>
      <c r="T37" s="105" t="s">
        <v>1048</v>
      </c>
      <c r="V37" s="69">
        <v>3</v>
      </c>
      <c r="W37" s="69">
        <f t="shared" ca="1" si="0"/>
        <v>4</v>
      </c>
      <c r="X37" s="69">
        <f t="shared" ca="1" si="1"/>
        <v>6</v>
      </c>
      <c r="Y37" s="69">
        <f t="shared" ca="1" si="2"/>
        <v>6</v>
      </c>
      <c r="Z37" s="69">
        <f t="shared" ca="1" si="3"/>
        <v>3</v>
      </c>
      <c r="AA37" s="482"/>
      <c r="AL37" s="562"/>
      <c r="AM37" s="563"/>
      <c r="AN37" s="563"/>
      <c r="AO37" s="563"/>
      <c r="AP37" s="564"/>
      <c r="AQ37" s="295" t="s">
        <v>75</v>
      </c>
      <c r="AR37" s="703"/>
      <c r="AS37" s="704"/>
      <c r="AT37" s="704"/>
      <c r="AU37" s="704"/>
      <c r="AV37" s="704"/>
      <c r="AW37" s="704"/>
      <c r="AX37" s="704"/>
      <c r="AY37" s="704"/>
      <c r="AZ37" s="704"/>
      <c r="BA37" s="704"/>
      <c r="BB37" s="705"/>
      <c r="BC37" s="589"/>
      <c r="BD37" s="590"/>
      <c r="BE37" s="275" t="s">
        <v>8310</v>
      </c>
      <c r="BF37" s="593"/>
      <c r="BG37" s="707"/>
    </row>
    <row r="38" spans="1:94" ht="16.5" customHeight="1" x14ac:dyDescent="0.15">
      <c r="A38" s="68">
        <v>37</v>
      </c>
      <c r="B38" s="69" t="str">
        <f>IF(法术书!X39="","",法术书!X39)</f>
        <v/>
      </c>
      <c r="C38" s="69" t="str">
        <f>IFERROR(VLOOKUP(B38,法术大全!$A:$W,5,FALSE),"")</f>
        <v/>
      </c>
      <c r="D38" s="70" t="str">
        <f>IFERROR(VLOOKUP(B38,法术大全!$A:$W,4,FALSE),"")</f>
        <v/>
      </c>
      <c r="E38" s="68">
        <v>37</v>
      </c>
      <c r="F38" s="71" t="str" cm="1">
        <f t="array" ref="F38">IFERROR(INDEX($B$1:$B$301,SMALL(IF($B$1:$B$301&lt;&gt;"",ROW($B$1:$B$301),4^8),ROW(38:38)))&amp;"","")</f>
        <v/>
      </c>
      <c r="G38" s="72"/>
      <c r="H38" s="76" t="str">
        <f>IF(主要!AG76&lt;&gt;"",主要!AG76,"")</f>
        <v/>
      </c>
      <c r="I38" s="69">
        <f>IF(VLOOKUP(H38,法术大全!$A$3:$E$864,4,0)="√",1,0)</f>
        <v>0</v>
      </c>
      <c r="J38" s="69">
        <f>IF(VLOOKUP(H38,法术大全!$A$3:$E$864,5,0)="√",1,0)</f>
        <v>0</v>
      </c>
      <c r="K38" s="72" t="str" cm="1">
        <f t="array" ref="K38">IFERROR(INDEX($H$1:$H$68,SMALL(IF($H$2:$H$68&lt;&gt;"",ROW($H$2:$H$68),4^8),ROW(38:38)))&amp;"","")</f>
        <v/>
      </c>
      <c r="P38" s="105">
        <v>4</v>
      </c>
      <c r="Q38" s="105" t="s">
        <v>1013</v>
      </c>
      <c r="R38" s="105" t="s">
        <v>1250</v>
      </c>
      <c r="S38" s="105" t="s">
        <v>969</v>
      </c>
      <c r="T38" s="105" t="s">
        <v>1016</v>
      </c>
      <c r="V38" s="69">
        <v>4</v>
      </c>
      <c r="W38" s="69">
        <f t="shared" ca="1" si="0"/>
        <v>4</v>
      </c>
      <c r="X38" s="69">
        <f t="shared" ca="1" si="1"/>
        <v>3</v>
      </c>
      <c r="Y38" s="69">
        <f t="shared" ca="1" si="2"/>
        <v>3</v>
      </c>
      <c r="Z38" s="69">
        <f t="shared" ca="1" si="3"/>
        <v>12</v>
      </c>
      <c r="AA38" s="482"/>
      <c r="AL38" s="512"/>
      <c r="AM38" s="513"/>
      <c r="AN38" s="513"/>
      <c r="AO38" s="513"/>
      <c r="AP38" s="514"/>
      <c r="AQ38" s="295" t="s">
        <v>75</v>
      </c>
      <c r="AR38" s="534"/>
      <c r="AS38" s="535"/>
      <c r="AT38" s="535"/>
      <c r="AU38" s="535"/>
      <c r="AV38" s="535"/>
      <c r="AW38" s="535"/>
      <c r="AX38" s="535"/>
      <c r="AY38" s="535"/>
      <c r="AZ38" s="535"/>
      <c r="BA38" s="535"/>
      <c r="BB38" s="536"/>
      <c r="BC38" s="528"/>
      <c r="BD38" s="529"/>
      <c r="BE38" s="274" t="s">
        <v>88</v>
      </c>
      <c r="BF38" s="530"/>
      <c r="BG38" s="531"/>
    </row>
    <row r="39" spans="1:94" ht="16.5" customHeight="1" x14ac:dyDescent="0.3">
      <c r="A39" s="68">
        <v>38</v>
      </c>
      <c r="B39" s="69" t="str">
        <f>IF(法术书!X40="","",法术书!X40)</f>
        <v/>
      </c>
      <c r="C39" s="69" t="str">
        <f>IFERROR(VLOOKUP(B39,法术大全!$A:$W,5,FALSE),"")</f>
        <v/>
      </c>
      <c r="D39" s="70" t="str">
        <f>IFERROR(VLOOKUP(B39,法术大全!$A:$W,4,FALSE),"")</f>
        <v/>
      </c>
      <c r="E39" s="68">
        <v>38</v>
      </c>
      <c r="F39" s="71" t="str" cm="1">
        <f t="array" ref="F39">IFERROR(INDEX($B$1:$B$301,SMALL(IF($B$1:$B$301&lt;&gt;"",ROW($B$1:$B$301),4^8),ROW(39:39)))&amp;"","")</f>
        <v/>
      </c>
      <c r="G39" s="72"/>
      <c r="H39" s="76" t="str">
        <f>IF(主要!AG77&lt;&gt;"",主要!AG77,"")</f>
        <v/>
      </c>
      <c r="I39" s="69">
        <f>IF(VLOOKUP(H39,法术大全!$A$3:$E$864,4,0)="√",1,0)</f>
        <v>0</v>
      </c>
      <c r="J39" s="69">
        <f>IF(VLOOKUP(H39,法术大全!$A$3:$E$864,5,0)="√",1,0)</f>
        <v>0</v>
      </c>
      <c r="K39" s="72" t="str" cm="1">
        <f t="array" ref="K39">IFERROR(INDEX($H$1:$H$68,SMALL(IF($H$2:$H$68&lt;&gt;"",ROW($H$2:$H$68),4^8),ROW(39:39)))&amp;"","")</f>
        <v/>
      </c>
      <c r="P39" s="105">
        <v>5</v>
      </c>
      <c r="Q39" s="105" t="s">
        <v>1019</v>
      </c>
      <c r="R39" s="105" t="s">
        <v>1048</v>
      </c>
      <c r="S39" s="105" t="s">
        <v>1134</v>
      </c>
      <c r="T39" s="105" t="s">
        <v>1104</v>
      </c>
      <c r="V39" s="69">
        <v>5</v>
      </c>
      <c r="W39" s="69">
        <f t="shared" ca="1" si="0"/>
        <v>5</v>
      </c>
      <c r="X39" s="69">
        <f t="shared" ca="1" si="1"/>
        <v>8</v>
      </c>
      <c r="Y39" s="69">
        <f t="shared" ca="1" si="2"/>
        <v>5</v>
      </c>
      <c r="Z39" s="69">
        <f t="shared" ca="1" si="3"/>
        <v>2</v>
      </c>
      <c r="AL39" s="565" t="s">
        <v>8309</v>
      </c>
      <c r="AM39" s="565"/>
      <c r="AN39" s="565"/>
      <c r="AO39" s="19"/>
      <c r="AP39" s="7"/>
      <c r="AQ39" s="98"/>
      <c r="AR39" s="537" t="s">
        <v>10805</v>
      </c>
      <c r="AS39" s="537"/>
      <c r="AT39" s="537"/>
      <c r="AU39" s="551" t="s">
        <v>8308</v>
      </c>
      <c r="AV39" s="551"/>
      <c r="AW39" s="551"/>
      <c r="AX39" s="551"/>
      <c r="AY39" s="551"/>
      <c r="AZ39" s="551"/>
      <c r="BA39" s="551"/>
      <c r="BB39" s="551"/>
      <c r="BC39" s="551"/>
      <c r="BD39" s="551"/>
      <c r="BE39" s="551"/>
      <c r="BF39" s="537" t="s">
        <v>2999</v>
      </c>
      <c r="BG39" s="537"/>
      <c r="BH39" s="537"/>
      <c r="BI39" s="537"/>
      <c r="BJ39" s="537"/>
    </row>
    <row r="40" spans="1:94" ht="16.5" customHeight="1" x14ac:dyDescent="0.15">
      <c r="A40" s="68">
        <v>39</v>
      </c>
      <c r="B40" s="69" t="str">
        <f>IF(法术书!X41="","",法术书!X41)</f>
        <v/>
      </c>
      <c r="C40" s="69" t="str">
        <f>IFERROR(VLOOKUP(B40,法术大全!$A:$W,5,FALSE),"")</f>
        <v/>
      </c>
      <c r="D40" s="70" t="str">
        <f>IFERROR(VLOOKUP(B40,法术大全!$A:$W,4,FALSE),"")</f>
        <v/>
      </c>
      <c r="E40" s="68">
        <v>39</v>
      </c>
      <c r="F40" s="71" t="str" cm="1">
        <f t="array" ref="F40">IFERROR(INDEX($B$1:$B$301,SMALL(IF($B$1:$B$301&lt;&gt;"",ROW($B$1:$B$301),4^8),ROW(40:40)))&amp;"","")</f>
        <v/>
      </c>
      <c r="H40" s="76" t="str">
        <f>IF(主要!AG78&lt;&gt;"",主要!AG78,"")</f>
        <v/>
      </c>
      <c r="I40" s="69">
        <f>IF(VLOOKUP(H40,法术大全!$A$3:$E$864,4,0)="√",1,0)</f>
        <v>0</v>
      </c>
      <c r="J40" s="69">
        <f>IF(VLOOKUP(H40,法术大全!$A$3:$E$864,5,0)="√",1,0)</f>
        <v>0</v>
      </c>
      <c r="K40" s="72" t="str" cm="1">
        <f t="array" ref="K40">IFERROR(INDEX($H$1:$H$68,SMALL(IF($H$2:$H$68&lt;&gt;"",ROW($H$2:$H$68),4^8),ROW(40:40)))&amp;"","")</f>
        <v/>
      </c>
      <c r="P40" s="105">
        <v>6</v>
      </c>
      <c r="Q40" s="105" t="s">
        <v>2976</v>
      </c>
      <c r="R40" s="105" t="s">
        <v>1016</v>
      </c>
      <c r="S40" s="105" t="s">
        <v>988</v>
      </c>
      <c r="T40" s="105" t="s">
        <v>1109</v>
      </c>
      <c r="V40" s="69">
        <v>6</v>
      </c>
      <c r="W40" s="69">
        <f t="shared" ca="1" si="0"/>
        <v>2</v>
      </c>
      <c r="X40" s="69">
        <f t="shared" ca="1" si="1"/>
        <v>4</v>
      </c>
      <c r="Y40" s="69">
        <f t="shared" ca="1" si="2"/>
        <v>2</v>
      </c>
      <c r="Z40" s="69">
        <f t="shared" ca="1" si="3"/>
        <v>9</v>
      </c>
      <c r="AL40" s="512"/>
      <c r="AM40" s="513"/>
      <c r="AN40" s="513"/>
      <c r="AO40" s="513"/>
      <c r="AP40" s="514"/>
      <c r="AQ40" s="295" t="s">
        <v>75</v>
      </c>
      <c r="AR40" s="556"/>
      <c r="AS40" s="557"/>
      <c r="AT40" s="558"/>
      <c r="AU40" s="534"/>
      <c r="AV40" s="535"/>
      <c r="AW40" s="535"/>
      <c r="AX40" s="535"/>
      <c r="AY40" s="535"/>
      <c r="AZ40" s="535"/>
      <c r="BA40" s="535"/>
      <c r="BB40" s="535"/>
      <c r="BC40" s="535"/>
      <c r="BD40" s="535"/>
      <c r="BE40" s="536"/>
      <c r="BF40" s="528"/>
      <c r="BG40" s="529"/>
      <c r="BH40" s="274" t="s">
        <v>88</v>
      </c>
      <c r="BI40" s="530"/>
      <c r="BJ40" s="531"/>
    </row>
    <row r="41" spans="1:94" ht="16.5" customHeight="1" x14ac:dyDescent="0.15">
      <c r="A41" s="68">
        <v>40</v>
      </c>
      <c r="B41" s="69" t="str">
        <f>IF(法术书!X42="","",法术书!X42)</f>
        <v/>
      </c>
      <c r="C41" s="69" t="str">
        <f>IFERROR(VLOOKUP(B41,法术大全!$A:$W,5,FALSE),"")</f>
        <v/>
      </c>
      <c r="D41" s="70" t="str">
        <f>IFERROR(VLOOKUP(B41,法术大全!$A:$W,4,FALSE),"")</f>
        <v/>
      </c>
      <c r="E41" s="68">
        <v>40</v>
      </c>
      <c r="F41" s="71" t="str" cm="1">
        <f t="array" ref="F41">IFERROR(INDEX($B$1:$B$301,SMALL(IF($B$1:$B$301&lt;&gt;"",ROW($B$1:$B$301),4^8),ROW(41:41)))&amp;"","")</f>
        <v/>
      </c>
      <c r="H41" s="76" t="str">
        <f>IF(主要!AG79&lt;&gt;"",主要!AG79,"")</f>
        <v/>
      </c>
      <c r="I41" s="69">
        <f>IF(VLOOKUP(H41,法术大全!$A$3:$E$864,4,0)="√",1,0)</f>
        <v>0</v>
      </c>
      <c r="J41" s="69">
        <f>IF(VLOOKUP(H41,法术大全!$A$3:$E$864,5,0)="√",1,0)</f>
        <v>0</v>
      </c>
      <c r="K41" s="72" t="str" cm="1">
        <f t="array" ref="K41">IFERROR(INDEX($H$1:$H$68,SMALL(IF($H$2:$H$68&lt;&gt;"",ROW($H$2:$H$68),4^8),ROW(41:41)))&amp;"","")</f>
        <v/>
      </c>
      <c r="P41" s="105">
        <v>7</v>
      </c>
      <c r="Q41" s="105" t="s">
        <v>987</v>
      </c>
      <c r="R41" s="105" t="s">
        <v>1104</v>
      </c>
      <c r="S41" s="105" t="s">
        <v>1541</v>
      </c>
      <c r="T41" s="105" t="s">
        <v>2860</v>
      </c>
      <c r="V41" s="69">
        <v>7</v>
      </c>
      <c r="W41" s="69">
        <f t="shared" ca="1" si="0"/>
        <v>1</v>
      </c>
      <c r="X41" s="69">
        <f t="shared" ca="1" si="1"/>
        <v>2</v>
      </c>
      <c r="Y41" s="69">
        <f t="shared" ca="1" si="2"/>
        <v>7</v>
      </c>
      <c r="Z41" s="69">
        <f t="shared" ca="1" si="3"/>
        <v>7</v>
      </c>
      <c r="AL41" s="562"/>
      <c r="AM41" s="563"/>
      <c r="AN41" s="563"/>
      <c r="AO41" s="563"/>
      <c r="AP41" s="564"/>
      <c r="AQ41" s="295" t="s">
        <v>75</v>
      </c>
      <c r="AR41" s="566"/>
      <c r="AS41" s="567"/>
      <c r="AT41" s="568"/>
      <c r="AU41" s="703"/>
      <c r="AV41" s="704"/>
      <c r="AW41" s="704"/>
      <c r="AX41" s="704"/>
      <c r="AY41" s="704"/>
      <c r="AZ41" s="704"/>
      <c r="BA41" s="704"/>
      <c r="BB41" s="704"/>
      <c r="BC41" s="704"/>
      <c r="BD41" s="704"/>
      <c r="BE41" s="705"/>
      <c r="BF41" s="589"/>
      <c r="BG41" s="590"/>
      <c r="BH41" s="275" t="s">
        <v>88</v>
      </c>
      <c r="BI41" s="593"/>
      <c r="BJ41" s="707"/>
    </row>
    <row r="42" spans="1:94" ht="16.5" customHeight="1" x14ac:dyDescent="0.15">
      <c r="A42" s="68">
        <v>41</v>
      </c>
      <c r="B42" s="69" t="str">
        <f>IF(法术书!X43="","",法术书!X43)</f>
        <v/>
      </c>
      <c r="C42" s="69" t="str">
        <f>IFERROR(VLOOKUP(B42,法术大全!$A:$W,5,FALSE),"")</f>
        <v/>
      </c>
      <c r="D42" s="70" t="str">
        <f>IFERROR(VLOOKUP(B42,法术大全!$A:$W,4,FALSE),"")</f>
        <v/>
      </c>
      <c r="E42" s="68">
        <v>41</v>
      </c>
      <c r="F42" s="71" t="str" cm="1">
        <f t="array" ref="F42">IFERROR(INDEX($B$1:$B$301,SMALL(IF($B$1:$B$301&lt;&gt;"",ROW($B$1:$B$301),4^8),ROW(42:42)))&amp;"","")</f>
        <v/>
      </c>
      <c r="H42" s="76" t="str">
        <f>IF(主要!AG80&lt;&gt;"",主要!AG80,"")</f>
        <v/>
      </c>
      <c r="I42" s="69">
        <f>IF(VLOOKUP(H42,法术大全!$A$3:$E$864,4,0)="√",1,0)</f>
        <v>0</v>
      </c>
      <c r="J42" s="69">
        <f>IF(VLOOKUP(H42,法术大全!$A$3:$E$864,5,0)="√",1,0)</f>
        <v>0</v>
      </c>
      <c r="K42" s="72" t="str" cm="1">
        <f t="array" ref="K42">IFERROR(INDEX($H$1:$H$68,SMALL(IF($H$2:$H$68&lt;&gt;"",ROW($H$2:$H$68),4^8),ROW(42:42)))&amp;"","")</f>
        <v/>
      </c>
      <c r="P42" s="105">
        <v>8</v>
      </c>
      <c r="Q42" s="105"/>
      <c r="R42" s="105"/>
      <c r="S42" s="105" t="s">
        <v>1793</v>
      </c>
      <c r="T42" s="105" t="s">
        <v>979</v>
      </c>
      <c r="V42" s="69">
        <v>8</v>
      </c>
      <c r="W42" s="69">
        <f t="shared" ca="1" si="0"/>
        <v>2</v>
      </c>
      <c r="X42" s="69">
        <f t="shared" ca="1" si="1"/>
        <v>6</v>
      </c>
      <c r="Y42" s="69">
        <f t="shared" ca="1" si="2"/>
        <v>5</v>
      </c>
      <c r="Z42" s="69">
        <f t="shared" ca="1" si="3"/>
        <v>11</v>
      </c>
      <c r="AL42" s="512"/>
      <c r="AM42" s="513"/>
      <c r="AN42" s="513"/>
      <c r="AO42" s="513"/>
      <c r="AP42" s="514"/>
      <c r="AQ42" s="295" t="s">
        <v>75</v>
      </c>
      <c r="AR42" s="556"/>
      <c r="AS42" s="557"/>
      <c r="AT42" s="558"/>
      <c r="AU42" s="559"/>
      <c r="AV42" s="560"/>
      <c r="AW42" s="560"/>
      <c r="AX42" s="560"/>
      <c r="AY42" s="560"/>
      <c r="AZ42" s="560"/>
      <c r="BA42" s="560"/>
      <c r="BB42" s="560"/>
      <c r="BC42" s="560"/>
      <c r="BD42" s="560"/>
      <c r="BE42" s="561"/>
      <c r="BF42" s="529"/>
      <c r="BG42" s="673"/>
      <c r="BH42" s="274" t="s">
        <v>8310</v>
      </c>
      <c r="BI42" s="553"/>
      <c r="BJ42" s="530"/>
    </row>
    <row r="43" spans="1:94" ht="16.5" customHeight="1" x14ac:dyDescent="0.15">
      <c r="A43" s="68">
        <v>42</v>
      </c>
      <c r="B43" s="69" t="str">
        <f>IF(法术书!X44="","",法术书!X44)</f>
        <v/>
      </c>
      <c r="C43" s="69" t="str">
        <f>IFERROR(VLOOKUP(B43,法术大全!$A:$W,5,FALSE),"")</f>
        <v/>
      </c>
      <c r="D43" s="70" t="str">
        <f>IFERROR(VLOOKUP(B43,法术大全!$A:$W,4,FALSE),"")</f>
        <v/>
      </c>
      <c r="E43" s="68">
        <v>42</v>
      </c>
      <c r="F43" s="71" t="str" cm="1">
        <f t="array" ref="F43">IFERROR(INDEX($B$1:$B$301,SMALL(IF($B$1:$B$301&lt;&gt;"",ROW($B$1:$B$301),4^8),ROW(43:43)))&amp;"","")</f>
        <v/>
      </c>
      <c r="H43" s="76" t="str">
        <f>IF(主要!AG81&lt;&gt;"",主要!AG81,"")</f>
        <v/>
      </c>
      <c r="I43" s="69">
        <f>IF(VLOOKUP(H43,法术大全!$A$3:$E$864,4,0)="√",1,0)</f>
        <v>0</v>
      </c>
      <c r="J43" s="69">
        <f>IF(VLOOKUP(H43,法术大全!$A$3:$E$864,5,0)="√",1,0)</f>
        <v>0</v>
      </c>
      <c r="K43" s="72" t="str" cm="1">
        <f t="array" ref="K43">IFERROR(INDEX($H$1:$H$68,SMALL(IF($H$2:$H$68&lt;&gt;"",ROW($H$2:$H$68),4^8),ROW(43:43)))&amp;"","")</f>
        <v/>
      </c>
      <c r="P43" s="105">
        <v>9</v>
      </c>
      <c r="Q43" s="105"/>
      <c r="R43" s="105"/>
      <c r="S43" s="105" t="s">
        <v>2443</v>
      </c>
      <c r="T43" s="105" t="s">
        <v>1161</v>
      </c>
      <c r="V43" s="69">
        <v>9</v>
      </c>
      <c r="W43" s="69">
        <f t="shared" ca="1" si="0"/>
        <v>6</v>
      </c>
      <c r="X43" s="69">
        <f t="shared" ca="1" si="1"/>
        <v>8</v>
      </c>
      <c r="Y43" s="69">
        <f t="shared" ca="1" si="2"/>
        <v>1</v>
      </c>
      <c r="Z43" s="69">
        <f t="shared" ca="1" si="3"/>
        <v>1</v>
      </c>
      <c r="AL43" s="562"/>
      <c r="AM43" s="563"/>
      <c r="AN43" s="563"/>
      <c r="AO43" s="563"/>
      <c r="AP43" s="564"/>
      <c r="AQ43" s="295" t="s">
        <v>75</v>
      </c>
      <c r="AR43" s="566"/>
      <c r="AS43" s="567"/>
      <c r="AT43" s="568"/>
      <c r="AU43" s="703"/>
      <c r="AV43" s="704"/>
      <c r="AW43" s="704"/>
      <c r="AX43" s="704"/>
      <c r="AY43" s="704"/>
      <c r="AZ43" s="704"/>
      <c r="BA43" s="704"/>
      <c r="BB43" s="704"/>
      <c r="BC43" s="704"/>
      <c r="BD43" s="704"/>
      <c r="BE43" s="705"/>
      <c r="BF43" s="589"/>
      <c r="BG43" s="590"/>
      <c r="BH43" s="275" t="s">
        <v>8310</v>
      </c>
      <c r="BI43" s="593"/>
      <c r="BJ43" s="707"/>
    </row>
    <row r="44" spans="1:94" ht="16.5" customHeight="1" x14ac:dyDescent="0.15">
      <c r="A44" s="68">
        <v>43</v>
      </c>
      <c r="B44" s="69" t="str">
        <f>IF(法术书!X45="","",法术书!X45)</f>
        <v/>
      </c>
      <c r="C44" s="69" t="str">
        <f>IFERROR(VLOOKUP(B44,法术大全!$A:$W,5,FALSE),"")</f>
        <v/>
      </c>
      <c r="D44" s="70" t="str">
        <f>IFERROR(VLOOKUP(B44,法术大全!$A:$W,4,FALSE),"")</f>
        <v/>
      </c>
      <c r="E44" s="68">
        <v>43</v>
      </c>
      <c r="F44" s="71" t="str" cm="1">
        <f t="array" ref="F44">IFERROR(INDEX($B$1:$B$301,SMALL(IF($B$1:$B$301&lt;&gt;"",ROW($B$1:$B$301),4^8),ROW(44:44)))&amp;"","")</f>
        <v/>
      </c>
      <c r="G44" s="69" t="s">
        <v>414</v>
      </c>
      <c r="H44" s="75" t="str">
        <f>IF(主要!AO66&lt;&gt;"",主要!AO66,"")</f>
        <v/>
      </c>
      <c r="I44" s="69">
        <f>IF(VLOOKUP(H44,法术大全!$A$3:$E$864,4,0)="√",1,0)</f>
        <v>0</v>
      </c>
      <c r="J44" s="69">
        <f>IF(VLOOKUP(H44,法术大全!$A$3:$E$864,5,0)="√",1,0)</f>
        <v>0</v>
      </c>
      <c r="K44" s="72" t="str" cm="1">
        <f t="array" ref="K44">IFERROR(INDEX($H$1:$H$68,SMALL(IF($H$2:$H$68&lt;&gt;"",ROW($H$2:$H$68),4^8),ROW(44:44)))&amp;"","")</f>
        <v/>
      </c>
      <c r="P44" s="105"/>
      <c r="Q44" s="105"/>
      <c r="R44" s="105"/>
      <c r="S44" s="105" t="s">
        <v>2861</v>
      </c>
      <c r="T44" s="105" t="s">
        <v>1211</v>
      </c>
      <c r="V44" s="69">
        <v>10</v>
      </c>
      <c r="W44" s="69">
        <f t="shared" ca="1" si="0"/>
        <v>4</v>
      </c>
      <c r="X44" s="69">
        <f t="shared" ca="1" si="1"/>
        <v>4</v>
      </c>
      <c r="Y44" s="69">
        <f t="shared" ca="1" si="2"/>
        <v>5</v>
      </c>
      <c r="Z44" s="69">
        <f t="shared" ca="1" si="3"/>
        <v>6</v>
      </c>
    </row>
    <row r="45" spans="1:94" ht="16.5" customHeight="1" x14ac:dyDescent="0.15">
      <c r="A45" s="68">
        <v>44</v>
      </c>
      <c r="B45" s="69" t="str">
        <f>IF(法术书!X46="","",法术书!X46)</f>
        <v/>
      </c>
      <c r="C45" s="69" t="str">
        <f>IFERROR(VLOOKUP(B45,法术大全!$A:$W,5,FALSE),"")</f>
        <v/>
      </c>
      <c r="D45" s="70" t="str">
        <f>IFERROR(VLOOKUP(B45,法术大全!$A:$W,4,FALSE),"")</f>
        <v/>
      </c>
      <c r="E45" s="68">
        <v>44</v>
      </c>
      <c r="F45" s="71" t="str" cm="1">
        <f t="array" ref="F45">IFERROR(INDEX($B$1:$B$301,SMALL(IF($B$1:$B$301&lt;&gt;"",ROW($B$1:$B$301),4^8),ROW(45:45)))&amp;"","")</f>
        <v/>
      </c>
      <c r="H45" s="75" t="str">
        <f>IF(主要!AO67&lt;&gt;"",主要!AO67,"")</f>
        <v/>
      </c>
      <c r="I45" s="69">
        <f>IF(VLOOKUP(H45,法术大全!$A$3:$E$864,4,0)="√",1,0)</f>
        <v>0</v>
      </c>
      <c r="J45" s="69">
        <f>IF(VLOOKUP(H45,法术大全!$A$3:$E$864,5,0)="√",1,0)</f>
        <v>0</v>
      </c>
      <c r="K45" s="72" t="str" cm="1">
        <f t="array" ref="K45">IFERROR(INDEX($H$1:$H$68,SMALL(IF($H$2:$H$68&lt;&gt;"",ROW($H$2:$H$68),4^8),ROW(45:45)))&amp;"","")</f>
        <v/>
      </c>
      <c r="P45" s="105"/>
      <c r="Q45" s="105"/>
      <c r="R45" s="105"/>
      <c r="S45" s="105" t="s">
        <v>2862</v>
      </c>
      <c r="T45" s="105" t="s">
        <v>1256</v>
      </c>
      <c r="V45" s="69">
        <v>11</v>
      </c>
      <c r="W45" s="69">
        <f t="shared" ca="1" si="0"/>
        <v>6</v>
      </c>
      <c r="X45" s="69">
        <f t="shared" ca="1" si="1"/>
        <v>5</v>
      </c>
      <c r="Y45" s="69">
        <f t="shared" ca="1" si="2"/>
        <v>10</v>
      </c>
      <c r="Z45" s="69">
        <f t="shared" ca="1" si="3"/>
        <v>1</v>
      </c>
    </row>
    <row r="46" spans="1:94" ht="16.5" customHeight="1" x14ac:dyDescent="0.15">
      <c r="A46" s="68">
        <v>45</v>
      </c>
      <c r="B46" s="69" t="str">
        <f>IF(法术书!X47="","",法术书!X47)</f>
        <v/>
      </c>
      <c r="C46" s="69" t="str">
        <f>IFERROR(VLOOKUP(B46,法术大全!$A:$W,5,FALSE),"")</f>
        <v/>
      </c>
      <c r="D46" s="70" t="str">
        <f>IFERROR(VLOOKUP(B46,法术大全!$A:$W,4,FALSE),"")</f>
        <v/>
      </c>
      <c r="E46" s="68">
        <v>45</v>
      </c>
      <c r="F46" s="71" t="str" cm="1">
        <f t="array" ref="F46">IFERROR(INDEX($B$1:$B$301,SMALL(IF($B$1:$B$301&lt;&gt;"",ROW($B$1:$B$301),4^8),ROW(46:46)))&amp;"","")</f>
        <v/>
      </c>
      <c r="H46" s="75" t="str">
        <f>IF(主要!AO68&lt;&gt;"",主要!AO68,"")</f>
        <v/>
      </c>
      <c r="I46" s="69">
        <f>IF(VLOOKUP(H46,法术大全!$A$3:$E$864,4,0)="√",1,0)</f>
        <v>0</v>
      </c>
      <c r="J46" s="69">
        <f>IF(VLOOKUP(H46,法术大全!$A$3:$E$864,5,0)="√",1,0)</f>
        <v>0</v>
      </c>
      <c r="K46" s="72" t="str" cm="1">
        <f t="array" ref="K46">IFERROR(INDEX($H$1:$H$68,SMALL(IF($H$2:$H$68&lt;&gt;"",ROW($H$2:$H$68),4^8),ROW(46:46)))&amp;"","")</f>
        <v/>
      </c>
      <c r="P46" s="105"/>
      <c r="Q46" s="105"/>
      <c r="R46" s="105"/>
      <c r="S46" s="105" t="s">
        <v>2771</v>
      </c>
      <c r="T46" s="105" t="s">
        <v>1951</v>
      </c>
      <c r="V46" s="69">
        <v>12</v>
      </c>
      <c r="W46" s="69">
        <f t="shared" ca="1" si="0"/>
        <v>5</v>
      </c>
      <c r="X46" s="69">
        <f t="shared" ca="1" si="1"/>
        <v>5</v>
      </c>
      <c r="Y46" s="69">
        <f t="shared" ca="1" si="2"/>
        <v>3</v>
      </c>
      <c r="Z46" s="69">
        <f t="shared" ca="1" si="3"/>
        <v>3</v>
      </c>
    </row>
    <row r="47" spans="1:94" ht="16.5" customHeight="1" x14ac:dyDescent="0.15">
      <c r="A47" s="68">
        <v>46</v>
      </c>
      <c r="B47" s="69" t="str">
        <f>IF(法术书!X48="","",法术书!X48)</f>
        <v/>
      </c>
      <c r="C47" s="69" t="str">
        <f>IFERROR(VLOOKUP(B47,法术大全!$A:$W,5,FALSE),"")</f>
        <v/>
      </c>
      <c r="D47" s="70" t="str">
        <f>IFERROR(VLOOKUP(B47,法术大全!$A:$W,4,FALSE),"")</f>
        <v/>
      </c>
      <c r="E47" s="68">
        <v>46</v>
      </c>
      <c r="F47" s="71" t="str" cm="1">
        <f t="array" ref="F47">IFERROR(INDEX($B$1:$B$301,SMALL(IF($B$1:$B$301&lt;&gt;"",ROW($B$1:$B$301),4^8),ROW(47:47)))&amp;"","")</f>
        <v/>
      </c>
      <c r="H47" s="75" t="str">
        <f>IF(主要!AO69&lt;&gt;"",主要!AO69,"")</f>
        <v/>
      </c>
      <c r="I47" s="69">
        <f>IF(VLOOKUP(H47,法术大全!$A$3:$E$864,4,0)="√",1,0)</f>
        <v>0</v>
      </c>
      <c r="J47" s="69">
        <f>IF(VLOOKUP(H47,法术大全!$A$3:$E$864,5,0)="√",1,0)</f>
        <v>0</v>
      </c>
      <c r="K47" s="72" t="str" cm="1">
        <f t="array" ref="K47">IFERROR(INDEX($H$1:$H$68,SMALL(IF($H$2:$H$68&lt;&gt;"",ROW($H$2:$H$68),4^8),ROW(47:47)))&amp;"","")</f>
        <v/>
      </c>
      <c r="P47" s="105"/>
      <c r="Q47" s="105"/>
      <c r="R47" s="105"/>
      <c r="S47" s="105" t="s">
        <v>2411</v>
      </c>
      <c r="T47" s="105" t="s">
        <v>1978</v>
      </c>
      <c r="V47" s="69">
        <v>13</v>
      </c>
      <c r="W47" s="69">
        <f t="shared" ca="1" si="0"/>
        <v>5</v>
      </c>
      <c r="X47" s="69">
        <f t="shared" ca="1" si="1"/>
        <v>5</v>
      </c>
      <c r="Y47" s="69">
        <f t="shared" ca="1" si="2"/>
        <v>6</v>
      </c>
      <c r="Z47" s="69">
        <f t="shared" ca="1" si="3"/>
        <v>10</v>
      </c>
    </row>
    <row r="48" spans="1:94" ht="16.5" customHeight="1" x14ac:dyDescent="0.15">
      <c r="A48" s="68">
        <v>47</v>
      </c>
      <c r="B48" s="69" t="str">
        <f>IF(法术书!X49="","",法术书!X49)</f>
        <v/>
      </c>
      <c r="C48" s="69" t="str">
        <f>IFERROR(VLOOKUP(B48,法术大全!$A:$W,5,FALSE),"")</f>
        <v/>
      </c>
      <c r="D48" s="70" t="str">
        <f>IFERROR(VLOOKUP(B48,法术大全!$A:$W,4,FALSE),"")</f>
        <v/>
      </c>
      <c r="E48" s="68">
        <v>47</v>
      </c>
      <c r="F48" s="71" t="str" cm="1">
        <f t="array" ref="F48">IFERROR(INDEX($B$1:$B$301,SMALL(IF($B$1:$B$301&lt;&gt;"",ROW($B$1:$B$301),4^8),ROW(48:48)))&amp;"","")</f>
        <v/>
      </c>
      <c r="H48" s="75" t="str">
        <f>IF(主要!AO70&lt;&gt;"",主要!AO70,"")</f>
        <v/>
      </c>
      <c r="I48" s="69">
        <f>IF(VLOOKUP(H48,法术大全!$A$3:$E$864,4,0)="√",1,0)</f>
        <v>0</v>
      </c>
      <c r="J48" s="69">
        <f>IF(VLOOKUP(H48,法术大全!$A$3:$E$864,5,0)="√",1,0)</f>
        <v>0</v>
      </c>
      <c r="K48" s="72" t="str" cm="1">
        <f t="array" ref="K48">IFERROR(INDEX($H$1:$H$68,SMALL(IF($H$2:$H$68&lt;&gt;"",ROW($H$2:$H$68),4^8),ROW(48:48)))&amp;"","")</f>
        <v/>
      </c>
      <c r="P48" s="105"/>
      <c r="Q48" s="105"/>
      <c r="R48" s="105"/>
      <c r="S48" s="105" t="s">
        <v>1591</v>
      </c>
      <c r="T48" s="105" t="s">
        <v>1956</v>
      </c>
      <c r="V48" s="69">
        <v>14</v>
      </c>
      <c r="W48" s="69">
        <f t="shared" ca="1" si="0"/>
        <v>2</v>
      </c>
      <c r="X48" s="69">
        <f t="shared" ca="1" si="1"/>
        <v>5</v>
      </c>
      <c r="Y48" s="69">
        <f t="shared" ca="1" si="2"/>
        <v>2</v>
      </c>
      <c r="Z48" s="69">
        <f t="shared" ca="1" si="3"/>
        <v>3</v>
      </c>
    </row>
    <row r="49" spans="1:70" ht="16.5" customHeight="1" x14ac:dyDescent="0.15">
      <c r="A49" s="68">
        <v>48</v>
      </c>
      <c r="B49" s="69" t="str">
        <f>IF(法术书!X50="","",法术书!X50)</f>
        <v/>
      </c>
      <c r="C49" s="69" t="str">
        <f>IFERROR(VLOOKUP(B49,法术大全!$A:$W,5,FALSE),"")</f>
        <v/>
      </c>
      <c r="D49" s="70" t="str">
        <f>IFERROR(VLOOKUP(B49,法术大全!$A:$W,4,FALSE),"")</f>
        <v/>
      </c>
      <c r="E49" s="68">
        <v>48</v>
      </c>
      <c r="F49" s="71" t="str" cm="1">
        <f t="array" ref="F49">IFERROR(INDEX($B$1:$B$301,SMALL(IF($B$1:$B$301&lt;&gt;"",ROW($B$1:$B$301),4^8),ROW(49:49)))&amp;"","")</f>
        <v/>
      </c>
      <c r="H49" s="75" t="str">
        <f>IF(主要!AO71&lt;&gt;"",主要!AO71,"")</f>
        <v/>
      </c>
      <c r="I49" s="69">
        <f>IF(VLOOKUP(H49,法术大全!$A$3:$E$864,4,0)="√",1,0)</f>
        <v>0</v>
      </c>
      <c r="J49" s="69">
        <f>IF(VLOOKUP(H49,法术大全!$A$3:$E$864,5,0)="√",1,0)</f>
        <v>0</v>
      </c>
      <c r="K49" s="72" t="str" cm="1">
        <f t="array" ref="K49">IFERROR(INDEX($H$1:$H$68,SMALL(IF($H$2:$H$68&lt;&gt;"",ROW($H$2:$H$68),4^8),ROW(49:49)))&amp;"","")</f>
        <v/>
      </c>
      <c r="P49" s="105"/>
      <c r="Q49" s="105"/>
      <c r="R49" s="105"/>
      <c r="S49" s="105" t="s">
        <v>2541</v>
      </c>
      <c r="T49" s="105" t="s">
        <v>1350</v>
      </c>
      <c r="V49" s="69">
        <v>15</v>
      </c>
      <c r="W49" s="69">
        <f t="shared" ca="1" si="0"/>
        <v>3</v>
      </c>
      <c r="X49" s="69">
        <f t="shared" ca="1" si="1"/>
        <v>5</v>
      </c>
      <c r="Y49" s="69">
        <f t="shared" ca="1" si="2"/>
        <v>3</v>
      </c>
      <c r="Z49" s="69">
        <f t="shared" ca="1" si="3"/>
        <v>4</v>
      </c>
    </row>
    <row r="50" spans="1:70" ht="16.5" customHeight="1" x14ac:dyDescent="0.15">
      <c r="A50" s="68">
        <v>49</v>
      </c>
      <c r="B50" s="69" t="str">
        <f>IF(法术书!X51="","",法术书!X51)</f>
        <v/>
      </c>
      <c r="C50" s="69" t="str">
        <f>IFERROR(VLOOKUP(B50,法术大全!$A:$W,5,FALSE),"")</f>
        <v/>
      </c>
      <c r="D50" s="70" t="str">
        <f>IFERROR(VLOOKUP(B50,法术大全!$A:$W,4,FALSE),"")</f>
        <v/>
      </c>
      <c r="E50" s="68">
        <v>49</v>
      </c>
      <c r="F50" s="71" t="str" cm="1">
        <f t="array" ref="F50">IFERROR(INDEX($B$1:$B$301,SMALL(IF($B$1:$B$301&lt;&gt;"",ROW($B$1:$B$301),4^8),ROW(50:50)))&amp;"","")</f>
        <v/>
      </c>
      <c r="H50" s="75" t="str">
        <f>IF(主要!AO72&lt;&gt;"",主要!AO72,"")</f>
        <v/>
      </c>
      <c r="I50" s="69">
        <f>IF(VLOOKUP(H50,法术大全!$A$3:$E$864,4,0)="√",1,0)</f>
        <v>0</v>
      </c>
      <c r="J50" s="69">
        <f>IF(VLOOKUP(H50,法术大全!$A$3:$E$864,5,0)="√",1,0)</f>
        <v>0</v>
      </c>
      <c r="K50" s="72" t="str" cm="1">
        <f t="array" ref="K50">IFERROR(INDEX($H$1:$H$68,SMALL(IF($H$2:$H$68&lt;&gt;"",ROW($H$2:$H$68),4^8),ROW(50:50)))&amp;"","")</f>
        <v/>
      </c>
      <c r="P50" s="105"/>
      <c r="Q50" s="105"/>
      <c r="R50" s="105"/>
      <c r="S50" s="105" t="s">
        <v>1956</v>
      </c>
      <c r="T50" s="105" t="s">
        <v>2863</v>
      </c>
      <c r="V50" s="69">
        <v>16</v>
      </c>
      <c r="W50" s="69">
        <f t="shared" ca="1" si="0"/>
        <v>6</v>
      </c>
      <c r="X50" s="69">
        <f t="shared" ca="1" si="1"/>
        <v>1</v>
      </c>
      <c r="Y50" s="69">
        <f t="shared" ca="1" si="2"/>
        <v>4</v>
      </c>
      <c r="Z50" s="69">
        <f t="shared" ca="1" si="3"/>
        <v>4</v>
      </c>
    </row>
    <row r="51" spans="1:70" ht="16.5" customHeight="1" x14ac:dyDescent="0.15">
      <c r="A51" s="68">
        <v>50</v>
      </c>
      <c r="B51" s="69" t="str">
        <f>IF(法术书!X52="","",法术书!X52)</f>
        <v/>
      </c>
      <c r="C51" s="69" t="str">
        <f>IFERROR(VLOOKUP(B51,法术大全!$A:$W,5,FALSE),"")</f>
        <v/>
      </c>
      <c r="D51" s="70" t="str">
        <f>IFERROR(VLOOKUP(B51,法术大全!$A:$W,4,FALSE),"")</f>
        <v/>
      </c>
      <c r="E51" s="68">
        <v>50</v>
      </c>
      <c r="F51" s="71" t="str" cm="1">
        <f t="array" ref="F51">IFERROR(INDEX($B$1:$B$301,SMALL(IF($B$1:$B$301&lt;&gt;"",ROW($B$1:$B$301),4^8),ROW(51:51)))&amp;"","")</f>
        <v/>
      </c>
      <c r="H51" s="75" t="str">
        <f>IF(主要!AO73&lt;&gt;"",主要!AO73,"")</f>
        <v/>
      </c>
      <c r="I51" s="69">
        <f>IF(VLOOKUP(H51,法术大全!$A$3:$E$864,4,0)="√",1,0)</f>
        <v>0</v>
      </c>
      <c r="J51" s="69">
        <f>IF(VLOOKUP(H51,法术大全!$A$3:$E$864,5,0)="√",1,0)</f>
        <v>0</v>
      </c>
      <c r="K51" s="72" t="str" cm="1">
        <f t="array" ref="K51">IFERROR(INDEX($H$1:$H$68,SMALL(IF($H$2:$H$68&lt;&gt;"",ROW($H$2:$H$68),4^8),ROW(51:51)))&amp;"","")</f>
        <v/>
      </c>
      <c r="P51" s="105"/>
      <c r="Q51" s="105"/>
      <c r="R51" s="105"/>
      <c r="S51" s="105"/>
      <c r="T51" s="105" t="s">
        <v>2864</v>
      </c>
      <c r="V51" s="69">
        <v>17</v>
      </c>
      <c r="W51" s="69">
        <f t="shared" ca="1" si="0"/>
        <v>2</v>
      </c>
      <c r="X51" s="69">
        <f t="shared" ca="1" si="1"/>
        <v>6</v>
      </c>
      <c r="Y51" s="69">
        <f t="shared" ca="1" si="2"/>
        <v>4</v>
      </c>
      <c r="Z51" s="69">
        <f t="shared" ca="1" si="3"/>
        <v>9</v>
      </c>
    </row>
    <row r="52" spans="1:70" ht="16.5" customHeight="1" x14ac:dyDescent="0.15">
      <c r="A52" s="68">
        <v>51</v>
      </c>
      <c r="B52" s="69" t="str">
        <f>IF(法术书!AC3="","",法术书!AC3)</f>
        <v/>
      </c>
      <c r="C52" s="69" t="str">
        <f>IFERROR(VLOOKUP(B52,法术大全!$A:$W,5,FALSE),"")</f>
        <v/>
      </c>
      <c r="D52" s="70" t="str">
        <f>IFERROR(VLOOKUP(B52,法术大全!$A:$W,4,FALSE),"")</f>
        <v/>
      </c>
      <c r="E52" s="68">
        <v>51</v>
      </c>
      <c r="F52" s="71" t="str" cm="1">
        <f t="array" ref="F52">IFERROR(INDEX($B$1:$B$301,SMALL(IF($B$1:$B$301&lt;&gt;"",ROW($B$1:$B$301),4^8),ROW(52:52)))&amp;"","")</f>
        <v/>
      </c>
      <c r="H52" s="75" t="str">
        <f>IF(主要!AO74&lt;&gt;"",主要!AO74,"")</f>
        <v/>
      </c>
      <c r="I52" s="69">
        <f>IF(VLOOKUP(H52,法术大全!$A$3:$E$864,4,0)="√",1,0)</f>
        <v>0</v>
      </c>
      <c r="J52" s="69">
        <f>IF(VLOOKUP(H52,法术大全!$A$3:$E$864,5,0)="√",1,0)</f>
        <v>0</v>
      </c>
      <c r="K52" s="72" t="str" cm="1">
        <f t="array" ref="K52">IFERROR(INDEX($H$1:$H$68,SMALL(IF($H$2:$H$68&lt;&gt;"",ROW($H$2:$H$68),4^8),ROW(52:52)))&amp;"","")</f>
        <v/>
      </c>
      <c r="V52" s="69">
        <v>18</v>
      </c>
      <c r="W52" s="69">
        <f t="shared" ca="1" si="0"/>
        <v>1</v>
      </c>
      <c r="X52" s="69">
        <f t="shared" ca="1" si="1"/>
        <v>1</v>
      </c>
      <c r="Y52" s="69">
        <f t="shared" ca="1" si="2"/>
        <v>6</v>
      </c>
      <c r="Z52" s="69">
        <f t="shared" ca="1" si="3"/>
        <v>2</v>
      </c>
    </row>
    <row r="53" spans="1:70" ht="16.5" customHeight="1" x14ac:dyDescent="0.15">
      <c r="A53" s="68">
        <v>52</v>
      </c>
      <c r="B53" s="69" t="str">
        <f>IF(法术书!AC4="","",法术书!AC4)</f>
        <v/>
      </c>
      <c r="C53" s="69" t="str">
        <f>IFERROR(VLOOKUP(B53,法术大全!$A:$W,5,FALSE),"")</f>
        <v/>
      </c>
      <c r="D53" s="70" t="str">
        <f>IFERROR(VLOOKUP(B53,法术大全!$A:$W,4,FALSE),"")</f>
        <v/>
      </c>
      <c r="E53" s="68">
        <v>52</v>
      </c>
      <c r="F53" s="71" t="str" cm="1">
        <f t="array" ref="F53">IFERROR(INDEX($B$1:$B$301,SMALL(IF($B$1:$B$301&lt;&gt;"",ROW($B$1:$B$301),4^8),ROW(53:53)))&amp;"","")</f>
        <v/>
      </c>
      <c r="H53" s="75" t="str">
        <f>IF(主要!AO75&lt;&gt;"",主要!AO75,"")</f>
        <v/>
      </c>
      <c r="I53" s="69">
        <f>IF(VLOOKUP(H53,法术大全!$A$3:$E$864,4,0)="√",1,0)</f>
        <v>0</v>
      </c>
      <c r="J53" s="69">
        <f>IF(VLOOKUP(H53,法术大全!$A$3:$E$864,5,0)="√",1,0)</f>
        <v>0</v>
      </c>
      <c r="K53" s="72" t="str" cm="1">
        <f t="array" ref="K53">IFERROR(INDEX($H$1:$H$68,SMALL(IF($H$2:$H$68&lt;&gt;"",ROW($H$2:$H$68),4^8),ROW(53:53)))&amp;"","")</f>
        <v/>
      </c>
      <c r="V53" s="69">
        <v>19</v>
      </c>
      <c r="W53" s="69">
        <f t="shared" ca="1" si="0"/>
        <v>3</v>
      </c>
      <c r="X53" s="69">
        <f t="shared" ca="1" si="1"/>
        <v>3</v>
      </c>
      <c r="Y53" s="69">
        <f t="shared" ca="1" si="2"/>
        <v>8</v>
      </c>
      <c r="Z53" s="69">
        <f t="shared" ca="1" si="3"/>
        <v>9</v>
      </c>
    </row>
    <row r="54" spans="1:70" ht="16.5" customHeight="1" x14ac:dyDescent="0.15">
      <c r="A54" s="68">
        <v>53</v>
      </c>
      <c r="B54" s="69" t="str">
        <f>IF(法术书!AC5="","",法术书!AC5)</f>
        <v/>
      </c>
      <c r="C54" s="69" t="str">
        <f>IFERROR(VLOOKUP(B54,法术大全!$A:$W,5,FALSE),"")</f>
        <v/>
      </c>
      <c r="D54" s="70" t="str">
        <f>IFERROR(VLOOKUP(B54,法术大全!$A:$W,4,FALSE),"")</f>
        <v/>
      </c>
      <c r="E54" s="68">
        <v>53</v>
      </c>
      <c r="F54" s="71" t="str" cm="1">
        <f t="array" ref="F54">IFERROR(INDEX($B$1:$B$301,SMALL(IF($B$1:$B$301&lt;&gt;"",ROW($B$1:$B$301),4^8),ROW(54:54)))&amp;"","")</f>
        <v/>
      </c>
      <c r="H54" s="75" t="str">
        <f>IF(主要!AO76&lt;&gt;"",主要!AO76,"")</f>
        <v/>
      </c>
      <c r="I54" s="69">
        <f>IF(VLOOKUP(H54,法术大全!$A$3:$E$864,4,0)="√",1,0)</f>
        <v>0</v>
      </c>
      <c r="J54" s="69">
        <f>IF(VLOOKUP(H54,法术大全!$A$3:$E$864,5,0)="√",1,0)</f>
        <v>0</v>
      </c>
      <c r="K54" s="72" t="str" cm="1">
        <f t="array" ref="K54">IFERROR(INDEX($H$1:$H$68,SMALL(IF($H$2:$H$68&lt;&gt;"",ROW($H$2:$H$68),4^8),ROW(54:54)))&amp;"","")</f>
        <v/>
      </c>
      <c r="V54" s="69">
        <v>20</v>
      </c>
      <c r="W54" s="69">
        <f t="shared" ca="1" si="0"/>
        <v>4</v>
      </c>
      <c r="X54" s="69">
        <f t="shared" ca="1" si="1"/>
        <v>5</v>
      </c>
      <c r="Y54" s="69">
        <f t="shared" ca="1" si="2"/>
        <v>2</v>
      </c>
      <c r="Z54" s="69">
        <f t="shared" ca="1" si="3"/>
        <v>12</v>
      </c>
    </row>
    <row r="55" spans="1:70" ht="16.5" customHeight="1" x14ac:dyDescent="0.15">
      <c r="A55" s="68">
        <v>54</v>
      </c>
      <c r="B55" s="69" t="str">
        <f>IF(法术书!AC6="","",法术书!AC6)</f>
        <v/>
      </c>
      <c r="C55" s="69" t="str">
        <f>IFERROR(VLOOKUP(B55,法术大全!$A:$W,5,FALSE),"")</f>
        <v/>
      </c>
      <c r="D55" s="70" t="str">
        <f>IFERROR(VLOOKUP(B55,法术大全!$A:$W,4,FALSE),"")</f>
        <v/>
      </c>
      <c r="E55" s="68">
        <v>54</v>
      </c>
      <c r="F55" s="71" t="str" cm="1">
        <f t="array" ref="F55">IFERROR(INDEX($B$1:$B$301,SMALL(IF($B$1:$B$301&lt;&gt;"",ROW($B$1:$B$301),4^8),ROW(55:55)))&amp;"","")</f>
        <v/>
      </c>
      <c r="H55" s="75" t="str">
        <f>IF(主要!AO77&lt;&gt;"",主要!AO77,"")</f>
        <v/>
      </c>
      <c r="I55" s="69">
        <f>IF(VLOOKUP(H55,法术大全!$A$3:$E$864,4,0)="√",1,0)</f>
        <v>0</v>
      </c>
      <c r="J55" s="69">
        <f>IF(VLOOKUP(H55,法术大全!$A$3:$E$864,5,0)="√",1,0)</f>
        <v>0</v>
      </c>
      <c r="K55" s="72" t="str" cm="1">
        <f t="array" ref="K55">IFERROR(INDEX($H$1:$H$68,SMALL(IF($H$2:$H$68&lt;&gt;"",ROW($H$2:$H$68),4^8),ROW(55:55)))&amp;"","")</f>
        <v/>
      </c>
    </row>
    <row r="56" spans="1:70" ht="16.5" customHeight="1" x14ac:dyDescent="0.15">
      <c r="A56" s="68">
        <v>55</v>
      </c>
      <c r="B56" s="69" t="str">
        <f>IF(法术书!AC7="","",法术书!AC7)</f>
        <v/>
      </c>
      <c r="C56" s="69" t="str">
        <f>IFERROR(VLOOKUP(B56,法术大全!$A:$W,5,FALSE),"")</f>
        <v/>
      </c>
      <c r="D56" s="70" t="str">
        <f>IFERROR(VLOOKUP(B56,法术大全!$A:$W,4,FALSE),"")</f>
        <v/>
      </c>
      <c r="E56" s="68">
        <v>55</v>
      </c>
      <c r="F56" s="71" t="str" cm="1">
        <f t="array" ref="F56">IFERROR(INDEX($B$1:$B$301,SMALL(IF($B$1:$B$301&lt;&gt;"",ROW($B$1:$B$301),4^8),ROW(56:56)))&amp;"","")</f>
        <v/>
      </c>
      <c r="H56" s="75" t="str">
        <f>IF(主要!AO78&lt;&gt;"",主要!AO78,"")</f>
        <v/>
      </c>
      <c r="I56" s="69">
        <f>IF(VLOOKUP(H56,法术大全!$A$3:$E$864,4,0)="√",1,0)</f>
        <v>0</v>
      </c>
      <c r="J56" s="69">
        <f>IF(VLOOKUP(H56,法术大全!$A$3:$E$864,5,0)="√",1,0)</f>
        <v>0</v>
      </c>
      <c r="K56" s="72" t="str" cm="1">
        <f t="array" ref="K56">IFERROR(INDEX($H$1:$H$68,SMALL(IF($H$2:$H$68&lt;&gt;"",ROW($H$2:$H$68),4^8),ROW(56:56)))&amp;"","")</f>
        <v/>
      </c>
    </row>
    <row r="57" spans="1:70" ht="16.5" customHeight="1" x14ac:dyDescent="0.15">
      <c r="A57" s="68">
        <v>56</v>
      </c>
      <c r="B57" s="69" t="str">
        <f>IF(法术书!AC8="","",法术书!AC8)</f>
        <v/>
      </c>
      <c r="C57" s="69" t="str">
        <f>IFERROR(VLOOKUP(B57,法术大全!$A:$W,5,FALSE),"")</f>
        <v/>
      </c>
      <c r="D57" s="70" t="str">
        <f>IFERROR(VLOOKUP(B57,法术大全!$A:$W,4,FALSE),"")</f>
        <v/>
      </c>
      <c r="E57" s="68">
        <v>56</v>
      </c>
      <c r="F57" s="71" t="str" cm="1">
        <f t="array" ref="F57">IFERROR(INDEX($B$1:$B$301,SMALL(IF($B$1:$B$301&lt;&gt;"",ROW($B$1:$B$301),4^8),ROW(57:57)))&amp;"","")</f>
        <v/>
      </c>
      <c r="H57" s="75" t="str">
        <f>IF(主要!AO79&lt;&gt;"",主要!AO79,"")</f>
        <v/>
      </c>
      <c r="I57" s="69">
        <f>IF(VLOOKUP(H57,法术大全!$A$3:$E$864,4,0)="√",1,0)</f>
        <v>0</v>
      </c>
      <c r="J57" s="69">
        <f>IF(VLOOKUP(H57,法术大全!$A$3:$E$864,5,0)="√",1,0)</f>
        <v>0</v>
      </c>
      <c r="K57" s="72" t="str" cm="1">
        <f t="array" ref="K57">IFERROR(INDEX($H$1:$H$68,SMALL(IF($H$2:$H$68&lt;&gt;"",ROW($H$2:$H$68),4^8),ROW(57:57)))&amp;"","")</f>
        <v/>
      </c>
    </row>
    <row r="58" spans="1:70" ht="16.5" customHeight="1" x14ac:dyDescent="0.15">
      <c r="A58" s="68">
        <v>57</v>
      </c>
      <c r="B58" s="69" t="str">
        <f>IF(法术书!AC9="","",法术书!AC9)</f>
        <v/>
      </c>
      <c r="C58" s="69" t="str">
        <f>IFERROR(VLOOKUP(B58,法术大全!$A:$W,5,FALSE),"")</f>
        <v/>
      </c>
      <c r="D58" s="70" t="str">
        <f>IFERROR(VLOOKUP(B58,法术大全!$A:$W,4,FALSE),"")</f>
        <v/>
      </c>
      <c r="E58" s="68">
        <v>57</v>
      </c>
      <c r="F58" s="71" t="str" cm="1">
        <f t="array" ref="F58">IFERROR(INDEX($B$1:$B$301,SMALL(IF($B$1:$B$301&lt;&gt;"",ROW($B$1:$B$301),4^8),ROW(58:58)))&amp;"","")</f>
        <v/>
      </c>
      <c r="H58" s="75" t="str">
        <f>IF(主要!AO80&lt;&gt;"",主要!AO80,"")</f>
        <v/>
      </c>
      <c r="I58" s="69">
        <f>IF(VLOOKUP(H58,法术大全!$A$3:$E$864,4,0)="√",1,0)</f>
        <v>0</v>
      </c>
      <c r="J58" s="69">
        <f>IF(VLOOKUP(H58,法术大全!$A$3:$E$864,5,0)="√",1,0)</f>
        <v>0</v>
      </c>
      <c r="K58" s="72" t="str" cm="1">
        <f t="array" ref="K58">IFERROR(INDEX($H$1:$H$68,SMALL(IF($H$2:$H$68&lt;&gt;"",ROW($H$2:$H$68),4^8),ROW(58:58)))&amp;"","")</f>
        <v/>
      </c>
    </row>
    <row r="59" spans="1:70" ht="16.5" customHeight="1" x14ac:dyDescent="0.15">
      <c r="A59" s="68">
        <v>58</v>
      </c>
      <c r="B59" s="69" t="str">
        <f>IF(法术书!AC10="","",法术书!AC10)</f>
        <v/>
      </c>
      <c r="C59" s="69" t="str">
        <f>IFERROR(VLOOKUP(B59,法术大全!$A:$W,5,FALSE),"")</f>
        <v/>
      </c>
      <c r="D59" s="70" t="str">
        <f>IFERROR(VLOOKUP(B59,法术大全!$A:$W,4,FALSE),"")</f>
        <v/>
      </c>
      <c r="E59" s="68">
        <v>58</v>
      </c>
      <c r="F59" s="71" t="str" cm="1">
        <f t="array" ref="F59">IFERROR(INDEX($B$1:$B$301,SMALL(IF($B$1:$B$301&lt;&gt;"",ROW($B$1:$B$301),4^8),ROW(59:59)))&amp;"","")</f>
        <v/>
      </c>
      <c r="H59" s="75" t="str">
        <f>IF(主要!AO81&lt;&gt;"",主要!AO81,"")</f>
        <v/>
      </c>
      <c r="I59" s="69">
        <f>IF(VLOOKUP(H59,法术大全!$A$3:$E$864,4,0)="√",1,0)</f>
        <v>0</v>
      </c>
      <c r="J59" s="69">
        <f>IF(VLOOKUP(H59,法术大全!$A$3:$E$864,5,0)="√",1,0)</f>
        <v>0</v>
      </c>
      <c r="K59" s="72" t="str" cm="1">
        <f t="array" ref="K59">IFERROR(INDEX($H$1:$H$68,SMALL(IF($H$2:$H$68&lt;&gt;"",ROW($H$2:$H$68),4^8),ROW(59:59)))&amp;"","")</f>
        <v/>
      </c>
    </row>
    <row r="60" spans="1:70" ht="16.5" customHeight="1" x14ac:dyDescent="0.15">
      <c r="A60" s="68">
        <v>59</v>
      </c>
      <c r="B60" s="69" t="str">
        <f>IF(法术书!AC11="","",法术书!AC11)</f>
        <v/>
      </c>
      <c r="C60" s="69" t="str">
        <f>IFERROR(VLOOKUP(B60,法术大全!$A:$W,5,FALSE),"")</f>
        <v/>
      </c>
      <c r="D60" s="70" t="str">
        <f>IFERROR(VLOOKUP(B60,法术大全!$A:$W,4,FALSE),"")</f>
        <v/>
      </c>
      <c r="E60" s="68">
        <v>59</v>
      </c>
      <c r="F60" s="71" t="str" cm="1">
        <f t="array" ref="F60">IFERROR(INDEX($B$1:$B$301,SMALL(IF($B$1:$B$301&lt;&gt;"",ROW($B$1:$B$301),4^8),ROW(60:60)))&amp;"","")</f>
        <v/>
      </c>
    </row>
    <row r="61" spans="1:70" ht="16.5" customHeight="1" x14ac:dyDescent="0.15">
      <c r="A61" s="68">
        <v>60</v>
      </c>
      <c r="B61" s="69" t="str">
        <f>IF(法术书!AC12="","",法术书!AC12)</f>
        <v/>
      </c>
      <c r="C61" s="69" t="str">
        <f>IFERROR(VLOOKUP(B61,法术大全!$A:$W,5,FALSE),"")</f>
        <v/>
      </c>
      <c r="D61" s="70" t="str">
        <f>IFERROR(VLOOKUP(B61,法术大全!$A:$W,4,FALSE),"")</f>
        <v/>
      </c>
      <c r="E61" s="68">
        <v>60</v>
      </c>
      <c r="F61" s="71" t="str" cm="1">
        <f t="array" ref="F61">IFERROR(INDEX($B$1:$B$301,SMALL(IF($B$1:$B$301&lt;&gt;"",ROW($B$1:$B$301),4^8),ROW(61:61)))&amp;"","")</f>
        <v/>
      </c>
    </row>
    <row r="62" spans="1:70" ht="16.5" customHeight="1" x14ac:dyDescent="0.15">
      <c r="A62" s="68">
        <v>61</v>
      </c>
      <c r="B62" s="69" t="str">
        <f>IF(法术书!AC13="","",法术书!AC13)</f>
        <v/>
      </c>
      <c r="C62" s="69" t="str">
        <f>IFERROR(VLOOKUP(B62,法术大全!$A:$W,5,FALSE),"")</f>
        <v/>
      </c>
      <c r="D62" s="70" t="str">
        <f>IFERROR(VLOOKUP(B62,法术大全!$A:$W,4,FALSE),"")</f>
        <v/>
      </c>
      <c r="E62" s="68">
        <v>61</v>
      </c>
      <c r="F62" s="71" t="str" cm="1">
        <f t="array" ref="F62">IFERROR(INDEX($B$1:$B$301,SMALL(IF($B$1:$B$301&lt;&gt;"",ROW($B$1:$B$301),4^8),ROW(62:62)))&amp;"","")</f>
        <v/>
      </c>
    </row>
    <row r="63" spans="1:70" ht="16.5" customHeight="1" x14ac:dyDescent="0.15">
      <c r="A63" s="68">
        <v>62</v>
      </c>
      <c r="B63" s="69" t="str">
        <f>IF(法术书!AC14="","",法术书!AC14)</f>
        <v/>
      </c>
      <c r="C63" s="69" t="str">
        <f>IFERROR(VLOOKUP(B63,法术大全!$A:$W,5,FALSE),"")</f>
        <v/>
      </c>
      <c r="D63" s="70" t="str">
        <f>IFERROR(VLOOKUP(B63,法术大全!$A:$W,4,FALSE),"")</f>
        <v/>
      </c>
      <c r="E63" s="68">
        <v>62</v>
      </c>
      <c r="F63" s="71" t="str" cm="1">
        <f t="array" ref="F63">IFERROR(INDEX($B$1:$B$301,SMALL(IF($B$1:$B$301&lt;&gt;"",ROW($B$1:$B$301),4^8),ROW(63:63)))&amp;"","")</f>
        <v/>
      </c>
      <c r="BJ63" s="660" t="s">
        <v>65</v>
      </c>
      <c r="BK63" s="660"/>
      <c r="BL63" s="660"/>
      <c r="BM63" s="660"/>
      <c r="BN63" s="660"/>
      <c r="BO63" s="660"/>
      <c r="BP63" s="660"/>
      <c r="BQ63" s="660"/>
      <c r="BR63" s="660"/>
    </row>
    <row r="64" spans="1:70" ht="16.5" customHeight="1" x14ac:dyDescent="0.15">
      <c r="A64" s="68">
        <v>63</v>
      </c>
      <c r="B64" s="69" t="str">
        <f>IF(法术书!AC15="","",法术书!AC15)</f>
        <v/>
      </c>
      <c r="C64" s="69" t="str">
        <f>IFERROR(VLOOKUP(B64,法术大全!$A:$W,5,FALSE),"")</f>
        <v/>
      </c>
      <c r="D64" s="70" t="str">
        <f>IFERROR(VLOOKUP(B64,法术大全!$A:$W,4,FALSE),"")</f>
        <v/>
      </c>
      <c r="E64" s="68">
        <v>63</v>
      </c>
      <c r="F64" s="71" t="str" cm="1">
        <f t="array" ref="F64">IFERROR(INDEX($B$1:$B$301,SMALL(IF($B$1:$B$301&lt;&gt;"",ROW($B$1:$B$301),4^8),ROW(64:64)))&amp;"","")</f>
        <v/>
      </c>
    </row>
    <row r="65" spans="1:83" ht="16.5" customHeight="1" x14ac:dyDescent="0.15">
      <c r="A65" s="68">
        <v>64</v>
      </c>
      <c r="B65" s="69" t="str">
        <f>IF(法术书!AC16="","",法术书!AC16)</f>
        <v/>
      </c>
      <c r="C65" s="69" t="str">
        <f>IFERROR(VLOOKUP(B65,法术大全!$A:$W,5,FALSE),"")</f>
        <v/>
      </c>
      <c r="D65" s="70" t="str">
        <f>IFERROR(VLOOKUP(B65,法术大全!$A:$W,4,FALSE),"")</f>
        <v/>
      </c>
      <c r="E65" s="68">
        <v>64</v>
      </c>
      <c r="F65" s="71" t="str" cm="1">
        <f t="array" ref="F65">IFERROR(INDEX($B$1:$B$301,SMALL(IF($B$1:$B$301&lt;&gt;"",ROW($B$1:$B$301),4^8),ROW(65:65)))&amp;"","")</f>
        <v/>
      </c>
    </row>
    <row r="66" spans="1:83" ht="16.5" customHeight="1" x14ac:dyDescent="0.15">
      <c r="A66" s="68">
        <v>65</v>
      </c>
      <c r="B66" s="69" t="str">
        <f>IF(法术书!AC17="","",法术书!AC17)</f>
        <v/>
      </c>
      <c r="C66" s="69" t="str">
        <f>IFERROR(VLOOKUP(B66,法术大全!$A:$W,5,FALSE),"")</f>
        <v/>
      </c>
      <c r="D66" s="70" t="str">
        <f>IFERROR(VLOOKUP(B66,法术大全!$A:$W,4,FALSE),"")</f>
        <v/>
      </c>
      <c r="E66" s="68">
        <v>65</v>
      </c>
      <c r="F66" s="71" t="str" cm="1">
        <f t="array" ref="F66">IFERROR(INDEX($B$1:$B$301,SMALL(IF($B$1:$B$301&lt;&gt;"",ROW($B$1:$B$301),4^8),ROW(66:66)))&amp;"","")</f>
        <v/>
      </c>
    </row>
    <row r="67" spans="1:83" ht="16.5" customHeight="1" x14ac:dyDescent="0.15">
      <c r="A67" s="68">
        <v>66</v>
      </c>
      <c r="B67" s="69" t="str">
        <f>IF(法术书!AC18="","",法术书!AC18)</f>
        <v/>
      </c>
      <c r="C67" s="69" t="str">
        <f>IFERROR(VLOOKUP(B67,法术大全!$A:$W,5,FALSE),"")</f>
        <v/>
      </c>
      <c r="D67" s="70" t="str">
        <f>IFERROR(VLOOKUP(B67,法术大全!$A:$W,4,FALSE),"")</f>
        <v/>
      </c>
      <c r="E67" s="68">
        <v>66</v>
      </c>
      <c r="F67" s="71" t="str" cm="1">
        <f t="array" ref="F67">IFERROR(INDEX($B$1:$B$301,SMALL(IF($B$1:$B$301&lt;&gt;"",ROW($B$1:$B$301),4^8),ROW(67:67)))&amp;"","")</f>
        <v/>
      </c>
    </row>
    <row r="68" spans="1:83" ht="16.5" customHeight="1" x14ac:dyDescent="0.15">
      <c r="A68" s="68">
        <v>67</v>
      </c>
      <c r="B68" s="69" t="str">
        <f>IF(法术书!AC19="","",法术书!AC19)</f>
        <v/>
      </c>
      <c r="C68" s="69" t="str">
        <f>IFERROR(VLOOKUP(B68,法术大全!$A:$W,5,FALSE),"")</f>
        <v/>
      </c>
      <c r="D68" s="70" t="str">
        <f>IFERROR(VLOOKUP(B68,法术大全!$A:$W,4,FALSE),"")</f>
        <v/>
      </c>
      <c r="E68" s="68">
        <v>67</v>
      </c>
      <c r="F68" s="71" t="str" cm="1">
        <f t="array" ref="F68">IFERROR(INDEX($B$1:$B$301,SMALL(IF($B$1:$B$301&lt;&gt;"",ROW($B$1:$B$301),4^8),ROW(68:68)))&amp;"","")</f>
        <v/>
      </c>
      <c r="BJ68" s="132" t="str">
        <f>职业!CV69</f>
        <v/>
      </c>
      <c r="BK68" s="515"/>
      <c r="BL68" s="515"/>
      <c r="BM68" s="515"/>
      <c r="BN68" s="515"/>
      <c r="BO68" s="515"/>
      <c r="BP68" s="516"/>
      <c r="BQ68" s="516"/>
      <c r="BR68" s="516"/>
      <c r="BS68" s="516"/>
      <c r="BT68" s="516"/>
      <c r="BU68" s="516"/>
      <c r="BV68" s="516"/>
      <c r="BW68" s="516"/>
      <c r="BX68" s="516"/>
      <c r="BY68" s="516"/>
      <c r="BZ68" s="516"/>
      <c r="CA68" s="516"/>
      <c r="CB68" s="516"/>
      <c r="CC68" s="516"/>
      <c r="CD68" s="516"/>
      <c r="CE68" s="516"/>
    </row>
    <row r="69" spans="1:83" ht="16.5" customHeight="1" x14ac:dyDescent="0.15">
      <c r="A69" s="68">
        <v>68</v>
      </c>
      <c r="B69" s="69" t="str">
        <f>IF(法术书!AC20="","",法术书!AC20)</f>
        <v/>
      </c>
      <c r="C69" s="69" t="str">
        <f>IFERROR(VLOOKUP(B69,法术大全!$A:$W,5,FALSE),"")</f>
        <v/>
      </c>
      <c r="D69" s="70" t="str">
        <f>IFERROR(VLOOKUP(B69,法术大全!$A:$W,4,FALSE),"")</f>
        <v/>
      </c>
      <c r="E69" s="68">
        <v>68</v>
      </c>
      <c r="F69" s="71" t="str" cm="1">
        <f t="array" ref="F69">IFERROR(INDEX($B$1:$B$301,SMALL(IF($B$1:$B$301&lt;&gt;"",ROW($B$1:$B$301),4^8),ROW(69:69)))&amp;"","")</f>
        <v/>
      </c>
      <c r="BJ69" s="131" t="str">
        <f>职业!CV70</f>
        <v/>
      </c>
      <c r="BK69" s="509"/>
      <c r="BL69" s="509"/>
      <c r="BM69" s="509"/>
      <c r="BN69" s="509"/>
      <c r="BO69" s="509"/>
      <c r="BP69" s="517"/>
      <c r="BQ69" s="517"/>
      <c r="BR69" s="517"/>
      <c r="BS69" s="517"/>
      <c r="BT69" s="517"/>
      <c r="BU69" s="517"/>
      <c r="BV69" s="517"/>
      <c r="BW69" s="517"/>
      <c r="BX69" s="517"/>
      <c r="BY69" s="517"/>
      <c r="BZ69" s="517"/>
      <c r="CA69" s="517"/>
      <c r="CB69" s="517"/>
      <c r="CC69" s="517"/>
      <c r="CD69" s="517"/>
      <c r="CE69" s="517"/>
    </row>
    <row r="70" spans="1:83" ht="16.5" customHeight="1" x14ac:dyDescent="0.15">
      <c r="A70" s="68">
        <v>69</v>
      </c>
      <c r="B70" s="69" t="str">
        <f>IF(法术书!AC21="","",法术书!AC21)</f>
        <v/>
      </c>
      <c r="C70" s="69" t="str">
        <f>IFERROR(VLOOKUP(B70,法术大全!$A:$W,5,FALSE),"")</f>
        <v/>
      </c>
      <c r="D70" s="70" t="str">
        <f>IFERROR(VLOOKUP(B70,法术大全!$A:$W,4,FALSE),"")</f>
        <v/>
      </c>
      <c r="E70" s="68">
        <v>69</v>
      </c>
      <c r="F70" s="71" t="str" cm="1">
        <f t="array" ref="F70">IFERROR(INDEX($B$1:$B$301,SMALL(IF($B$1:$B$301&lt;&gt;"",ROW($B$1:$B$301),4^8),ROW(70:70)))&amp;"","")</f>
        <v/>
      </c>
      <c r="BJ70" s="132" t="str">
        <f>职业!CV71</f>
        <v/>
      </c>
      <c r="BK70" s="515"/>
      <c r="BL70" s="515"/>
      <c r="BM70" s="515"/>
      <c r="BN70" s="515"/>
      <c r="BO70" s="515"/>
      <c r="BP70" s="516"/>
      <c r="BQ70" s="516"/>
      <c r="BR70" s="516"/>
      <c r="BS70" s="516"/>
      <c r="BT70" s="516"/>
      <c r="BU70" s="516"/>
      <c r="BV70" s="516"/>
      <c r="BW70" s="516"/>
      <c r="BX70" s="516"/>
      <c r="BY70" s="516"/>
      <c r="BZ70" s="516"/>
      <c r="CA70" s="516"/>
      <c r="CB70" s="516"/>
      <c r="CC70" s="516"/>
      <c r="CD70" s="516"/>
      <c r="CE70" s="516"/>
    </row>
    <row r="71" spans="1:83" ht="16.5" customHeight="1" x14ac:dyDescent="0.15">
      <c r="A71" s="68">
        <v>70</v>
      </c>
      <c r="B71" s="69" t="str">
        <f>IF(法术书!AC22="","",法术书!AC22)</f>
        <v/>
      </c>
      <c r="C71" s="69" t="str">
        <f>IFERROR(VLOOKUP(B71,法术大全!$A:$W,5,FALSE),"")</f>
        <v/>
      </c>
      <c r="D71" s="70" t="str">
        <f>IFERROR(VLOOKUP(B71,法术大全!$A:$W,4,FALSE),"")</f>
        <v/>
      </c>
      <c r="E71" s="68">
        <v>70</v>
      </c>
      <c r="F71" s="71" t="str" cm="1">
        <f t="array" ref="F71">IFERROR(INDEX($B$1:$B$301,SMALL(IF($B$1:$B$301&lt;&gt;"",ROW($B$1:$B$301),4^8),ROW(71:71)))&amp;"","")</f>
        <v/>
      </c>
      <c r="BJ71" s="131" t="str">
        <f>职业!CV72</f>
        <v/>
      </c>
      <c r="BK71" s="509"/>
      <c r="BL71" s="509"/>
      <c r="BM71" s="509"/>
      <c r="BN71" s="509"/>
      <c r="BO71" s="509"/>
      <c r="BP71" s="517"/>
      <c r="BQ71" s="517"/>
      <c r="BR71" s="517"/>
      <c r="BS71" s="517"/>
      <c r="BT71" s="517"/>
      <c r="BU71" s="517"/>
      <c r="BV71" s="517"/>
      <c r="BW71" s="517"/>
      <c r="BX71" s="517"/>
      <c r="BY71" s="517"/>
      <c r="BZ71" s="517"/>
      <c r="CA71" s="517"/>
      <c r="CB71" s="517"/>
      <c r="CC71" s="517"/>
      <c r="CD71" s="517"/>
      <c r="CE71" s="517"/>
    </row>
    <row r="72" spans="1:83" ht="16.5" customHeight="1" x14ac:dyDescent="0.15">
      <c r="A72" s="68">
        <v>71</v>
      </c>
      <c r="B72" s="69" t="str">
        <f>IF(法术书!AC23="","",法术书!AC23)</f>
        <v/>
      </c>
      <c r="C72" s="69" t="str">
        <f>IFERROR(VLOOKUP(B72,法术大全!$A:$W,5,FALSE),"")</f>
        <v/>
      </c>
      <c r="D72" s="70" t="str">
        <f>IFERROR(VLOOKUP(B72,法术大全!$A:$W,4,FALSE),"")</f>
        <v/>
      </c>
      <c r="E72" s="68">
        <v>71</v>
      </c>
      <c r="F72" s="71" t="str" cm="1">
        <f t="array" ref="F72">IFERROR(INDEX($B$1:$B$301,SMALL(IF($B$1:$B$301&lt;&gt;"",ROW($B$1:$B$301),4^8),ROW(72:72)))&amp;"","")</f>
        <v/>
      </c>
      <c r="BJ72" s="132" t="str">
        <f>职业!CV73</f>
        <v/>
      </c>
      <c r="BK72" s="515"/>
      <c r="BL72" s="515"/>
      <c r="BM72" s="515"/>
      <c r="BN72" s="515"/>
      <c r="BO72" s="515"/>
      <c r="BP72" s="516"/>
      <c r="BQ72" s="516"/>
      <c r="BR72" s="516"/>
      <c r="BS72" s="516"/>
      <c r="BT72" s="516"/>
      <c r="BU72" s="516"/>
      <c r="BV72" s="516"/>
      <c r="BW72" s="516"/>
      <c r="BX72" s="516"/>
      <c r="BY72" s="516"/>
      <c r="BZ72" s="516"/>
      <c r="CA72" s="516"/>
      <c r="CB72" s="516"/>
      <c r="CC72" s="516"/>
      <c r="CD72" s="516"/>
      <c r="CE72" s="516"/>
    </row>
    <row r="73" spans="1:83" ht="16.5" customHeight="1" x14ac:dyDescent="0.15">
      <c r="A73" s="68">
        <v>72</v>
      </c>
      <c r="B73" s="69" t="str">
        <f>IF(法术书!AC24="","",法术书!AC24)</f>
        <v/>
      </c>
      <c r="C73" s="69" t="str">
        <f>IFERROR(VLOOKUP(B73,法术大全!$A:$W,5,FALSE),"")</f>
        <v/>
      </c>
      <c r="D73" s="70" t="str">
        <f>IFERROR(VLOOKUP(B73,法术大全!$A:$W,4,FALSE),"")</f>
        <v/>
      </c>
      <c r="E73" s="68">
        <v>72</v>
      </c>
      <c r="F73" s="71" t="str" cm="1">
        <f t="array" ref="F73">IFERROR(INDEX($B$1:$B$301,SMALL(IF($B$1:$B$301&lt;&gt;"",ROW($B$1:$B$301),4^8),ROW(73:73)))&amp;"","")</f>
        <v/>
      </c>
      <c r="BJ73" s="131" t="str">
        <f>职业!CV74</f>
        <v/>
      </c>
      <c r="BK73" s="509"/>
      <c r="BL73" s="509"/>
      <c r="BM73" s="509"/>
      <c r="BN73" s="509"/>
      <c r="BO73" s="509"/>
      <c r="BP73" s="517"/>
      <c r="BQ73" s="517"/>
      <c r="BR73" s="517"/>
      <c r="BS73" s="517"/>
      <c r="BT73" s="517"/>
      <c r="BU73" s="517"/>
      <c r="BV73" s="517"/>
      <c r="BW73" s="517"/>
      <c r="BX73" s="517"/>
      <c r="BY73" s="517"/>
      <c r="BZ73" s="517"/>
      <c r="CA73" s="517"/>
      <c r="CB73" s="517"/>
      <c r="CC73" s="517"/>
      <c r="CD73" s="517"/>
      <c r="CE73" s="517"/>
    </row>
    <row r="74" spans="1:83" ht="16.5" customHeight="1" x14ac:dyDescent="0.15">
      <c r="A74" s="68">
        <v>73</v>
      </c>
      <c r="B74" s="69" t="str">
        <f>IF(法术书!AC25="","",法术书!AC25)</f>
        <v/>
      </c>
      <c r="C74" s="69" t="str">
        <f>IFERROR(VLOOKUP(B74,法术大全!$A:$W,5,FALSE),"")</f>
        <v/>
      </c>
      <c r="D74" s="70" t="str">
        <f>IFERROR(VLOOKUP(B74,法术大全!$A:$W,4,FALSE),"")</f>
        <v/>
      </c>
      <c r="E74" s="68">
        <v>73</v>
      </c>
      <c r="F74" s="71" t="str" cm="1">
        <f t="array" ref="F74">IFERROR(INDEX($B$1:$B$301,SMALL(IF($B$1:$B$301&lt;&gt;"",ROW($B$1:$B$301),4^8),ROW(74:74)))&amp;"","")</f>
        <v/>
      </c>
      <c r="BJ74" s="132" t="str">
        <f>职业!CV75</f>
        <v/>
      </c>
      <c r="BK74" s="515"/>
      <c r="BL74" s="515"/>
      <c r="BM74" s="515"/>
      <c r="BN74" s="515"/>
      <c r="BO74" s="515"/>
      <c r="BP74" s="516"/>
      <c r="BQ74" s="516"/>
      <c r="BR74" s="516"/>
      <c r="BS74" s="516"/>
      <c r="BT74" s="516"/>
      <c r="BU74" s="516"/>
      <c r="BV74" s="516"/>
      <c r="BW74" s="516"/>
      <c r="BX74" s="516"/>
      <c r="BY74" s="516"/>
      <c r="BZ74" s="516"/>
      <c r="CA74" s="516"/>
      <c r="CB74" s="516"/>
      <c r="CC74" s="516"/>
      <c r="CD74" s="516"/>
      <c r="CE74" s="516"/>
    </row>
    <row r="75" spans="1:83" ht="16.5" customHeight="1" x14ac:dyDescent="0.15">
      <c r="A75" s="68">
        <v>74</v>
      </c>
      <c r="B75" s="69" t="str">
        <f>IF(法术书!AC26="","",法术书!AC26)</f>
        <v/>
      </c>
      <c r="C75" s="69" t="str">
        <f>IFERROR(VLOOKUP(B75,法术大全!$A:$W,5,FALSE),"")</f>
        <v/>
      </c>
      <c r="D75" s="70" t="str">
        <f>IFERROR(VLOOKUP(B75,法术大全!$A:$W,4,FALSE),"")</f>
        <v/>
      </c>
      <c r="E75" s="68">
        <v>74</v>
      </c>
      <c r="F75" s="71" t="str" cm="1">
        <f t="array" ref="F75">IFERROR(INDEX($B$1:$B$301,SMALL(IF($B$1:$B$301&lt;&gt;"",ROW($B$1:$B$301),4^8),ROW(75:75)))&amp;"","")</f>
        <v/>
      </c>
      <c r="BJ75" s="131" t="str">
        <f>职业!CV76</f>
        <v/>
      </c>
      <c r="BK75" s="509"/>
      <c r="BL75" s="509"/>
      <c r="BM75" s="509"/>
      <c r="BN75" s="509"/>
      <c r="BO75" s="509"/>
      <c r="BP75" s="517"/>
      <c r="BQ75" s="517"/>
      <c r="BR75" s="517"/>
      <c r="BS75" s="517"/>
      <c r="BT75" s="517"/>
      <c r="BU75" s="517"/>
      <c r="BV75" s="517"/>
      <c r="BW75" s="517"/>
      <c r="BX75" s="517"/>
      <c r="BY75" s="517"/>
      <c r="BZ75" s="517"/>
      <c r="CA75" s="517"/>
      <c r="CB75" s="517"/>
      <c r="CC75" s="517"/>
      <c r="CD75" s="517"/>
      <c r="CE75" s="517"/>
    </row>
    <row r="76" spans="1:83" ht="16.5" customHeight="1" x14ac:dyDescent="0.15">
      <c r="A76" s="68">
        <v>75</v>
      </c>
      <c r="B76" s="69" t="str">
        <f>IF(法术书!AC27="","",法术书!AC27)</f>
        <v/>
      </c>
      <c r="C76" s="69" t="str">
        <f>IFERROR(VLOOKUP(B76,法术大全!$A:$W,5,FALSE),"")</f>
        <v/>
      </c>
      <c r="D76" s="70" t="str">
        <f>IFERROR(VLOOKUP(B76,法术大全!$A:$W,4,FALSE),"")</f>
        <v/>
      </c>
      <c r="E76" s="68">
        <v>75</v>
      </c>
      <c r="F76" s="71" t="str" cm="1">
        <f t="array" ref="F76">IFERROR(INDEX($B$1:$B$301,SMALL(IF($B$1:$B$301&lt;&gt;"",ROW($B$1:$B$301),4^8),ROW(76:76)))&amp;"","")</f>
        <v/>
      </c>
      <c r="BJ76" s="132" t="str">
        <f>职业!CV77</f>
        <v/>
      </c>
      <c r="BK76" s="515"/>
      <c r="BL76" s="515"/>
      <c r="BM76" s="515"/>
      <c r="BN76" s="515"/>
      <c r="BO76" s="515"/>
      <c r="BP76" s="516"/>
      <c r="BQ76" s="516"/>
      <c r="BR76" s="516"/>
      <c r="BS76" s="516"/>
      <c r="BT76" s="516"/>
      <c r="BU76" s="516"/>
      <c r="BV76" s="516"/>
      <c r="BW76" s="516"/>
      <c r="BX76" s="516"/>
      <c r="BY76" s="516"/>
      <c r="BZ76" s="516"/>
      <c r="CA76" s="516"/>
      <c r="CB76" s="516"/>
      <c r="CC76" s="516"/>
      <c r="CD76" s="516"/>
      <c r="CE76" s="516"/>
    </row>
    <row r="77" spans="1:83" ht="16.5" customHeight="1" x14ac:dyDescent="0.15">
      <c r="A77" s="68">
        <v>76</v>
      </c>
      <c r="B77" s="69" t="str">
        <f>IF(法术书!AC28="","",法术书!AC28)</f>
        <v/>
      </c>
      <c r="C77" s="69" t="str">
        <f>IFERROR(VLOOKUP(B77,法术大全!$A:$W,5,FALSE),"")</f>
        <v/>
      </c>
      <c r="D77" s="70" t="str">
        <f>IFERROR(VLOOKUP(B77,法术大全!$A:$W,4,FALSE),"")</f>
        <v/>
      </c>
      <c r="E77" s="68">
        <v>76</v>
      </c>
      <c r="F77" s="71" t="str" cm="1">
        <f t="array" ref="F77">IFERROR(INDEX($B$1:$B$301,SMALL(IF($B$1:$B$301&lt;&gt;"",ROW($B$1:$B$301),4^8),ROW(77:77)))&amp;"","")</f>
        <v/>
      </c>
      <c r="BJ77" s="131" t="str">
        <f>职业!CV78</f>
        <v/>
      </c>
      <c r="BK77" s="509"/>
      <c r="BL77" s="509"/>
      <c r="BM77" s="509"/>
      <c r="BN77" s="509"/>
      <c r="BO77" s="509"/>
      <c r="BP77" s="517"/>
      <c r="BQ77" s="517"/>
      <c r="BR77" s="517"/>
      <c r="BS77" s="517"/>
      <c r="BT77" s="517"/>
      <c r="BU77" s="517"/>
      <c r="BV77" s="517"/>
      <c r="BW77" s="517"/>
      <c r="BX77" s="517"/>
      <c r="BY77" s="517"/>
      <c r="BZ77" s="517"/>
      <c r="CA77" s="517"/>
      <c r="CB77" s="517"/>
      <c r="CC77" s="517"/>
      <c r="CD77" s="517"/>
      <c r="CE77" s="517"/>
    </row>
    <row r="78" spans="1:83" ht="16.5" customHeight="1" x14ac:dyDescent="0.15">
      <c r="A78" s="68">
        <v>77</v>
      </c>
      <c r="B78" s="69" t="str">
        <f>IF(法术书!AC29="","",法术书!AC29)</f>
        <v/>
      </c>
      <c r="C78" s="69" t="str">
        <f>IFERROR(VLOOKUP(B78,法术大全!$A:$W,5,FALSE),"")</f>
        <v/>
      </c>
      <c r="D78" s="70" t="str">
        <f>IFERROR(VLOOKUP(B78,法术大全!$A:$W,4,FALSE),"")</f>
        <v/>
      </c>
      <c r="E78" s="68">
        <v>77</v>
      </c>
      <c r="F78" s="71" t="str" cm="1">
        <f t="array" ref="F78">IFERROR(INDEX($B$1:$B$301,SMALL(IF($B$1:$B$301&lt;&gt;"",ROW($B$1:$B$301),4^8),ROW(78:78)))&amp;"","")</f>
        <v/>
      </c>
      <c r="BJ78" s="132" t="str">
        <f>职业!CV79</f>
        <v/>
      </c>
      <c r="BK78" s="515"/>
      <c r="BL78" s="515"/>
      <c r="BM78" s="515"/>
      <c r="BN78" s="515"/>
      <c r="BO78" s="515"/>
      <c r="BP78" s="516"/>
      <c r="BQ78" s="516"/>
      <c r="BR78" s="516"/>
      <c r="BS78" s="516"/>
      <c r="BT78" s="516"/>
      <c r="BU78" s="516"/>
      <c r="BV78" s="516"/>
      <c r="BW78" s="516"/>
      <c r="BX78" s="516"/>
      <c r="BY78" s="516"/>
      <c r="BZ78" s="516"/>
      <c r="CA78" s="516"/>
      <c r="CB78" s="516"/>
      <c r="CC78" s="516"/>
      <c r="CD78" s="516"/>
      <c r="CE78" s="516"/>
    </row>
    <row r="79" spans="1:83" ht="16.5" customHeight="1" x14ac:dyDescent="0.15">
      <c r="A79" s="68">
        <v>78</v>
      </c>
      <c r="B79" s="69" t="str">
        <f>IF(法术书!AC30="","",法术书!AC30)</f>
        <v/>
      </c>
      <c r="C79" s="69" t="str">
        <f>IFERROR(VLOOKUP(B79,法术大全!$A:$W,5,FALSE),"")</f>
        <v/>
      </c>
      <c r="D79" s="70" t="str">
        <f>IFERROR(VLOOKUP(B79,法术大全!$A:$W,4,FALSE),"")</f>
        <v/>
      </c>
      <c r="E79" s="68">
        <v>78</v>
      </c>
      <c r="F79" s="71" t="str" cm="1">
        <f t="array" ref="F79">IFERROR(INDEX($B$1:$B$301,SMALL(IF($B$1:$B$301&lt;&gt;"",ROW($B$1:$B$301),4^8),ROW(79:79)))&amp;"","")</f>
        <v/>
      </c>
      <c r="BJ79" s="131" t="str">
        <f>职业!CV80</f>
        <v/>
      </c>
      <c r="BK79" s="509"/>
      <c r="BL79" s="509"/>
      <c r="BM79" s="509"/>
      <c r="BN79" s="509"/>
      <c r="BO79" s="509"/>
      <c r="BP79" s="517"/>
      <c r="BQ79" s="517"/>
      <c r="BR79" s="517"/>
      <c r="BS79" s="517"/>
      <c r="BT79" s="517"/>
      <c r="BU79" s="517"/>
      <c r="BV79" s="517"/>
      <c r="BW79" s="517"/>
      <c r="BX79" s="517"/>
      <c r="BY79" s="517"/>
      <c r="BZ79" s="517"/>
      <c r="CA79" s="517"/>
      <c r="CB79" s="517"/>
      <c r="CC79" s="517"/>
      <c r="CD79" s="517"/>
      <c r="CE79" s="517"/>
    </row>
    <row r="80" spans="1:83" ht="16.5" customHeight="1" x14ac:dyDescent="0.15">
      <c r="A80" s="68">
        <v>79</v>
      </c>
      <c r="B80" s="69" t="str">
        <f>IF(法术书!AC31="","",法术书!AC31)</f>
        <v/>
      </c>
      <c r="C80" s="69" t="str">
        <f>IFERROR(VLOOKUP(B80,法术大全!$A:$W,5,FALSE),"")</f>
        <v/>
      </c>
      <c r="D80" s="70" t="str">
        <f>IFERROR(VLOOKUP(B80,法术大全!$A:$W,4,FALSE),"")</f>
        <v/>
      </c>
      <c r="E80" s="68">
        <v>79</v>
      </c>
      <c r="F80" s="71" t="str" cm="1">
        <f t="array" ref="F80">IFERROR(INDEX($B$1:$B$301,SMALL(IF($B$1:$B$301&lt;&gt;"",ROW($B$1:$B$301),4^8),ROW(80:80)))&amp;"","")</f>
        <v/>
      </c>
      <c r="BJ80" s="132" t="str">
        <f>职业!CV81</f>
        <v/>
      </c>
      <c r="BK80" s="515"/>
      <c r="BL80" s="515"/>
      <c r="BM80" s="515"/>
      <c r="BN80" s="515"/>
      <c r="BO80" s="515"/>
      <c r="BP80" s="516"/>
      <c r="BQ80" s="516"/>
      <c r="BR80" s="516"/>
      <c r="BS80" s="516"/>
      <c r="BT80" s="516"/>
      <c r="BU80" s="516"/>
      <c r="BV80" s="516"/>
      <c r="BW80" s="516"/>
      <c r="BX80" s="516"/>
      <c r="BY80" s="516"/>
      <c r="BZ80" s="516"/>
      <c r="CA80" s="516"/>
      <c r="CB80" s="516"/>
      <c r="CC80" s="516"/>
      <c r="CD80" s="516"/>
      <c r="CE80" s="516"/>
    </row>
    <row r="81" spans="1:6" ht="16.5" customHeight="1" x14ac:dyDescent="0.15">
      <c r="A81" s="68">
        <v>80</v>
      </c>
      <c r="B81" s="69" t="str">
        <f>IF(法术书!AC32="","",法术书!AC32)</f>
        <v/>
      </c>
      <c r="C81" s="69" t="str">
        <f>IFERROR(VLOOKUP(B81,法术大全!$A:$W,5,FALSE),"")</f>
        <v/>
      </c>
      <c r="D81" s="70" t="str">
        <f>IFERROR(VLOOKUP(B81,法术大全!$A:$W,4,FALSE),"")</f>
        <v/>
      </c>
      <c r="E81" s="68">
        <v>80</v>
      </c>
      <c r="F81" s="71" t="str" cm="1">
        <f t="array" ref="F81">IFERROR(INDEX($B$1:$B$301,SMALL(IF($B$1:$B$301&lt;&gt;"",ROW($B$1:$B$301),4^8),ROW(81:81)))&amp;"","")</f>
        <v/>
      </c>
    </row>
    <row r="82" spans="1:6" ht="16.5" customHeight="1" x14ac:dyDescent="0.15">
      <c r="A82" s="68">
        <v>81</v>
      </c>
      <c r="B82" s="69" t="str">
        <f>IF(法术书!AC33="","",法术书!AC33)</f>
        <v/>
      </c>
      <c r="C82" s="69" t="str">
        <f>IFERROR(VLOOKUP(B82,法术大全!$A:$W,5,FALSE),"")</f>
        <v/>
      </c>
      <c r="D82" s="70" t="str">
        <f>IFERROR(VLOOKUP(B82,法术大全!$A:$W,4,FALSE),"")</f>
        <v/>
      </c>
      <c r="E82" s="68">
        <v>81</v>
      </c>
      <c r="F82" s="71" t="str" cm="1">
        <f t="array" ref="F82">IFERROR(INDEX($B$1:$B$301,SMALL(IF($B$1:$B$301&lt;&gt;"",ROW($B$1:$B$301),4^8),ROW(82:82)))&amp;"","")</f>
        <v/>
      </c>
    </row>
    <row r="83" spans="1:6" ht="16.5" customHeight="1" x14ac:dyDescent="0.15">
      <c r="A83" s="68">
        <v>82</v>
      </c>
      <c r="B83" s="69" t="str">
        <f>IF(法术书!AC34="","",法术书!AC34)</f>
        <v/>
      </c>
      <c r="C83" s="69" t="str">
        <f>IFERROR(VLOOKUP(B83,法术大全!$A:$W,5,FALSE),"")</f>
        <v/>
      </c>
      <c r="D83" s="70" t="str">
        <f>IFERROR(VLOOKUP(B83,法术大全!$A:$W,4,FALSE),"")</f>
        <v/>
      </c>
      <c r="E83" s="68">
        <v>82</v>
      </c>
      <c r="F83" s="71" t="str" cm="1">
        <f t="array" ref="F83">IFERROR(INDEX($B$1:$B$301,SMALL(IF($B$1:$B$301&lt;&gt;"",ROW($B$1:$B$301),4^8),ROW(83:83)))&amp;"","")</f>
        <v/>
      </c>
    </row>
    <row r="84" spans="1:6" ht="16.5" customHeight="1" x14ac:dyDescent="0.15">
      <c r="A84" s="68">
        <v>83</v>
      </c>
      <c r="B84" s="69" t="str">
        <f>IF(法术书!AC35="","",法术书!AC35)</f>
        <v/>
      </c>
      <c r="C84" s="69" t="str">
        <f>IFERROR(VLOOKUP(B84,法术大全!$A:$W,5,FALSE),"")</f>
        <v/>
      </c>
      <c r="D84" s="70" t="str">
        <f>IFERROR(VLOOKUP(B84,法术大全!$A:$W,4,FALSE),"")</f>
        <v/>
      </c>
      <c r="E84" s="68">
        <v>83</v>
      </c>
      <c r="F84" s="71" t="str" cm="1">
        <f t="array" ref="F84">IFERROR(INDEX($B$1:$B$301,SMALL(IF($B$1:$B$301&lt;&gt;"",ROW($B$1:$B$301),4^8),ROW(84:84)))&amp;"","")</f>
        <v/>
      </c>
    </row>
    <row r="85" spans="1:6" ht="16.5" customHeight="1" x14ac:dyDescent="0.15">
      <c r="A85" s="68">
        <v>84</v>
      </c>
      <c r="B85" s="69" t="str">
        <f>IF(法术书!AC36="","",法术书!AC36)</f>
        <v/>
      </c>
      <c r="C85" s="69" t="str">
        <f>IFERROR(VLOOKUP(B85,法术大全!$A:$W,5,FALSE),"")</f>
        <v/>
      </c>
      <c r="D85" s="70" t="str">
        <f>IFERROR(VLOOKUP(B85,法术大全!$A:$W,4,FALSE),"")</f>
        <v/>
      </c>
      <c r="E85" s="68">
        <v>84</v>
      </c>
      <c r="F85" s="71" t="str" cm="1">
        <f t="array" ref="F85">IFERROR(INDEX($B$1:$B$301,SMALL(IF($B$1:$B$301&lt;&gt;"",ROW($B$1:$B$301),4^8),ROW(85:85)))&amp;"","")</f>
        <v/>
      </c>
    </row>
    <row r="86" spans="1:6" ht="16.5" customHeight="1" x14ac:dyDescent="0.15">
      <c r="A86" s="68">
        <v>85</v>
      </c>
      <c r="B86" s="69" t="str">
        <f>IF(法术书!AC37="","",法术书!AC37)</f>
        <v/>
      </c>
      <c r="C86" s="69" t="str">
        <f>IFERROR(VLOOKUP(B86,法术大全!$A:$W,5,FALSE),"")</f>
        <v/>
      </c>
      <c r="D86" s="70" t="str">
        <f>IFERROR(VLOOKUP(B86,法术大全!$A:$W,4,FALSE),"")</f>
        <v/>
      </c>
      <c r="E86" s="68">
        <v>85</v>
      </c>
      <c r="F86" s="71" t="str" cm="1">
        <f t="array" ref="F86">IFERROR(INDEX($B$1:$B$301,SMALL(IF($B$1:$B$301&lt;&gt;"",ROW($B$1:$B$301),4^8),ROW(86:86)))&amp;"","")</f>
        <v/>
      </c>
    </row>
    <row r="87" spans="1:6" ht="16.5" customHeight="1" x14ac:dyDescent="0.15">
      <c r="A87" s="68">
        <v>86</v>
      </c>
      <c r="B87" s="69" t="str">
        <f>IF(法术书!AC38="","",法术书!AC38)</f>
        <v/>
      </c>
      <c r="C87" s="69" t="str">
        <f>IFERROR(VLOOKUP(B87,法术大全!$A:$W,5,FALSE),"")</f>
        <v/>
      </c>
      <c r="D87" s="70" t="str">
        <f>IFERROR(VLOOKUP(B87,法术大全!$A:$W,4,FALSE),"")</f>
        <v/>
      </c>
      <c r="E87" s="68">
        <v>86</v>
      </c>
      <c r="F87" s="71" t="str" cm="1">
        <f t="array" ref="F87">IFERROR(INDEX($B$1:$B$301,SMALL(IF($B$1:$B$301&lt;&gt;"",ROW($B$1:$B$301),4^8),ROW(87:87)))&amp;"","")</f>
        <v/>
      </c>
    </row>
    <row r="88" spans="1:6" ht="16.5" customHeight="1" x14ac:dyDescent="0.15">
      <c r="A88" s="68">
        <v>87</v>
      </c>
      <c r="B88" s="69" t="str">
        <f>IF(法术书!AC39="","",法术书!AC39)</f>
        <v/>
      </c>
      <c r="C88" s="69" t="str">
        <f>IFERROR(VLOOKUP(B88,法术大全!$A:$W,5,FALSE),"")</f>
        <v/>
      </c>
      <c r="D88" s="70" t="str">
        <f>IFERROR(VLOOKUP(B88,法术大全!$A:$W,4,FALSE),"")</f>
        <v/>
      </c>
      <c r="E88" s="68">
        <v>87</v>
      </c>
      <c r="F88" s="71" t="str" cm="1">
        <f t="array" ref="F88">IFERROR(INDEX($B$1:$B$301,SMALL(IF($B$1:$B$301&lt;&gt;"",ROW($B$1:$B$301),4^8),ROW(88:88)))&amp;"","")</f>
        <v/>
      </c>
    </row>
    <row r="89" spans="1:6" ht="16.5" customHeight="1" x14ac:dyDescent="0.15">
      <c r="A89" s="68">
        <v>88</v>
      </c>
      <c r="B89" s="69" t="str">
        <f>IF(法术书!AC40="","",法术书!AC40)</f>
        <v/>
      </c>
      <c r="C89" s="69" t="str">
        <f>IFERROR(VLOOKUP(B89,法术大全!$A:$W,5,FALSE),"")</f>
        <v/>
      </c>
      <c r="D89" s="70" t="str">
        <f>IFERROR(VLOOKUP(B89,法术大全!$A:$W,4,FALSE),"")</f>
        <v/>
      </c>
      <c r="E89" s="68">
        <v>88</v>
      </c>
      <c r="F89" s="71" t="str" cm="1">
        <f t="array" ref="F89">IFERROR(INDEX($B$1:$B$301,SMALL(IF($B$1:$B$301&lt;&gt;"",ROW($B$1:$B$301),4^8),ROW(89:89)))&amp;"","")</f>
        <v/>
      </c>
    </row>
    <row r="90" spans="1:6" ht="16.5" customHeight="1" x14ac:dyDescent="0.15">
      <c r="A90" s="68">
        <v>89</v>
      </c>
      <c r="B90" s="69" t="str">
        <f>IF(法术书!AC41="","",法术书!AC41)</f>
        <v/>
      </c>
      <c r="C90" s="69" t="str">
        <f>IFERROR(VLOOKUP(B90,法术大全!$A:$W,5,FALSE),"")</f>
        <v/>
      </c>
      <c r="D90" s="70" t="str">
        <f>IFERROR(VLOOKUP(B90,法术大全!$A:$W,4,FALSE),"")</f>
        <v/>
      </c>
      <c r="E90" s="68">
        <v>89</v>
      </c>
      <c r="F90" s="71" t="str" cm="1">
        <f t="array" ref="F90">IFERROR(INDEX($B$1:$B$301,SMALL(IF($B$1:$B$301&lt;&gt;"",ROW($B$1:$B$301),4^8),ROW(90:90)))&amp;"","")</f>
        <v/>
      </c>
    </row>
    <row r="91" spans="1:6" ht="16.5" customHeight="1" x14ac:dyDescent="0.15">
      <c r="A91" s="68">
        <v>90</v>
      </c>
      <c r="B91" s="69" t="str">
        <f>IF(法术书!AC42="","",法术书!AC42)</f>
        <v/>
      </c>
      <c r="C91" s="69" t="str">
        <f>IFERROR(VLOOKUP(B91,法术大全!$A:$W,5,FALSE),"")</f>
        <v/>
      </c>
      <c r="D91" s="70" t="str">
        <f>IFERROR(VLOOKUP(B91,法术大全!$A:$W,4,FALSE),"")</f>
        <v/>
      </c>
      <c r="E91" s="68">
        <v>90</v>
      </c>
      <c r="F91" s="71" t="str" cm="1">
        <f t="array" ref="F91">IFERROR(INDEX($B$1:$B$301,SMALL(IF($B$1:$B$301&lt;&gt;"",ROW($B$1:$B$301),4^8),ROW(91:91)))&amp;"","")</f>
        <v/>
      </c>
    </row>
    <row r="92" spans="1:6" ht="16.5" customHeight="1" x14ac:dyDescent="0.15">
      <c r="A92" s="68">
        <v>91</v>
      </c>
      <c r="B92" s="69" t="str">
        <f>IF(法术书!AC43="","",法术书!AC43)</f>
        <v/>
      </c>
      <c r="C92" s="69" t="str">
        <f>IFERROR(VLOOKUP(B92,法术大全!$A:$W,5,FALSE),"")</f>
        <v/>
      </c>
      <c r="D92" s="70" t="str">
        <f>IFERROR(VLOOKUP(B92,法术大全!$A:$W,4,FALSE),"")</f>
        <v/>
      </c>
      <c r="E92" s="68">
        <v>91</v>
      </c>
      <c r="F92" s="71" t="str" cm="1">
        <f t="array" ref="F92">IFERROR(INDEX($B$1:$B$301,SMALL(IF($B$1:$B$301&lt;&gt;"",ROW($B$1:$B$301),4^8),ROW(92:92)))&amp;"","")</f>
        <v/>
      </c>
    </row>
    <row r="93" spans="1:6" ht="16.5" customHeight="1" x14ac:dyDescent="0.15">
      <c r="A93" s="68">
        <v>92</v>
      </c>
      <c r="B93" s="69" t="str">
        <f>IF(法术书!AC44="","",法术书!AC44)</f>
        <v/>
      </c>
      <c r="C93" s="69" t="str">
        <f>IFERROR(VLOOKUP(B93,法术大全!$A:$W,5,FALSE),"")</f>
        <v/>
      </c>
      <c r="D93" s="70" t="str">
        <f>IFERROR(VLOOKUP(B93,法术大全!$A:$W,4,FALSE),"")</f>
        <v/>
      </c>
      <c r="E93" s="68">
        <v>92</v>
      </c>
      <c r="F93" s="71" t="str" cm="1">
        <f t="array" ref="F93">IFERROR(INDEX($B$1:$B$301,SMALL(IF($B$1:$B$301&lt;&gt;"",ROW($B$1:$B$301),4^8),ROW(93:93)))&amp;"","")</f>
        <v/>
      </c>
    </row>
    <row r="94" spans="1:6" ht="16.5" customHeight="1" x14ac:dyDescent="0.15">
      <c r="A94" s="68">
        <v>93</v>
      </c>
      <c r="B94" s="69" t="str">
        <f>IF(法术书!AC45="","",法术书!AC45)</f>
        <v/>
      </c>
      <c r="C94" s="69" t="str">
        <f>IFERROR(VLOOKUP(B94,法术大全!$A:$W,5,FALSE),"")</f>
        <v/>
      </c>
      <c r="D94" s="70" t="str">
        <f>IFERROR(VLOOKUP(B94,法术大全!$A:$W,4,FALSE),"")</f>
        <v/>
      </c>
      <c r="E94" s="68">
        <v>93</v>
      </c>
      <c r="F94" s="71" t="str" cm="1">
        <f t="array" ref="F94">IFERROR(INDEX($B$1:$B$301,SMALL(IF($B$1:$B$301&lt;&gt;"",ROW($B$1:$B$301),4^8),ROW(94:94)))&amp;"","")</f>
        <v/>
      </c>
    </row>
    <row r="95" spans="1:6" ht="16.5" customHeight="1" x14ac:dyDescent="0.15">
      <c r="A95" s="68">
        <v>94</v>
      </c>
      <c r="B95" s="69" t="str">
        <f>IF(法术书!AC46="","",法术书!AC46)</f>
        <v/>
      </c>
      <c r="C95" s="69" t="str">
        <f>IFERROR(VLOOKUP(B95,法术大全!$A:$W,5,FALSE),"")</f>
        <v/>
      </c>
      <c r="D95" s="70" t="str">
        <f>IFERROR(VLOOKUP(B95,法术大全!$A:$W,4,FALSE),"")</f>
        <v/>
      </c>
      <c r="E95" s="68">
        <v>94</v>
      </c>
      <c r="F95" s="71" t="str" cm="1">
        <f t="array" ref="F95">IFERROR(INDEX($B$1:$B$301,SMALL(IF($B$1:$B$301&lt;&gt;"",ROW($B$1:$B$301),4^8),ROW(95:95)))&amp;"","")</f>
        <v/>
      </c>
    </row>
    <row r="96" spans="1:6" ht="16.5" customHeight="1" x14ac:dyDescent="0.15">
      <c r="A96" s="68">
        <v>95</v>
      </c>
      <c r="B96" s="69" t="str">
        <f>IF(法术书!AC47="","",法术书!AC47)</f>
        <v/>
      </c>
      <c r="C96" s="69" t="str">
        <f>IFERROR(VLOOKUP(B96,法术大全!$A:$W,5,FALSE),"")</f>
        <v/>
      </c>
      <c r="D96" s="70" t="str">
        <f>IFERROR(VLOOKUP(B96,法术大全!$A:$W,4,FALSE),"")</f>
        <v/>
      </c>
      <c r="E96" s="68">
        <v>95</v>
      </c>
      <c r="F96" s="71" t="str" cm="1">
        <f t="array" ref="F96">IFERROR(INDEX($B$1:$B$301,SMALL(IF($B$1:$B$301&lt;&gt;"",ROW($B$1:$B$301),4^8),ROW(96:96)))&amp;"","")</f>
        <v/>
      </c>
    </row>
    <row r="97" spans="1:6" ht="16.5" customHeight="1" x14ac:dyDescent="0.15">
      <c r="A97" s="68">
        <v>96</v>
      </c>
      <c r="B97" s="69" t="str">
        <f>IF(法术书!AC48="","",法术书!AC48)</f>
        <v/>
      </c>
      <c r="C97" s="69" t="str">
        <f>IFERROR(VLOOKUP(B97,法术大全!$A:$W,5,FALSE),"")</f>
        <v/>
      </c>
      <c r="D97" s="70" t="str">
        <f>IFERROR(VLOOKUP(B97,法术大全!$A:$W,4,FALSE),"")</f>
        <v/>
      </c>
      <c r="E97" s="68">
        <v>96</v>
      </c>
      <c r="F97" s="71" t="str" cm="1">
        <f t="array" ref="F97">IFERROR(INDEX($B$1:$B$301,SMALL(IF($B$1:$B$301&lt;&gt;"",ROW($B$1:$B$301),4^8),ROW(97:97)))&amp;"","")</f>
        <v/>
      </c>
    </row>
    <row r="98" spans="1:6" ht="16.5" customHeight="1" x14ac:dyDescent="0.15">
      <c r="A98" s="68">
        <v>97</v>
      </c>
      <c r="B98" s="69" t="str">
        <f>IF(法术书!AC49="","",法术书!AC49)</f>
        <v/>
      </c>
      <c r="C98" s="69" t="str">
        <f>IFERROR(VLOOKUP(B98,法术大全!$A:$W,5,FALSE),"")</f>
        <v/>
      </c>
      <c r="D98" s="70" t="str">
        <f>IFERROR(VLOOKUP(B98,法术大全!$A:$W,4,FALSE),"")</f>
        <v/>
      </c>
      <c r="E98" s="68">
        <v>97</v>
      </c>
      <c r="F98" s="71" t="str" cm="1">
        <f t="array" ref="F98">IFERROR(INDEX($B$1:$B$301,SMALL(IF($B$1:$B$301&lt;&gt;"",ROW($B$1:$B$301),4^8),ROW(98:98)))&amp;"","")</f>
        <v/>
      </c>
    </row>
    <row r="99" spans="1:6" ht="16.5" customHeight="1" x14ac:dyDescent="0.15">
      <c r="A99" s="68">
        <v>98</v>
      </c>
      <c r="B99" s="69" t="str">
        <f>IF(法术书!AC50="","",法术书!AC50)</f>
        <v/>
      </c>
      <c r="C99" s="69" t="str">
        <f>IFERROR(VLOOKUP(B99,法术大全!$A:$W,5,FALSE),"")</f>
        <v/>
      </c>
      <c r="D99" s="70" t="str">
        <f>IFERROR(VLOOKUP(B99,法术大全!$A:$W,4,FALSE),"")</f>
        <v/>
      </c>
      <c r="E99" s="68">
        <v>98</v>
      </c>
      <c r="F99" s="71" t="str" cm="1">
        <f t="array" ref="F99">IFERROR(INDEX($B$1:$B$301,SMALL(IF($B$1:$B$301&lt;&gt;"",ROW($B$1:$B$301),4^8),ROW(99:99)))&amp;"","")</f>
        <v/>
      </c>
    </row>
    <row r="100" spans="1:6" ht="16.5" customHeight="1" x14ac:dyDescent="0.15">
      <c r="A100" s="68">
        <v>99</v>
      </c>
      <c r="B100" s="69" t="str">
        <f>IF(法术书!AC51="","",法术书!AC51)</f>
        <v/>
      </c>
      <c r="C100" s="69" t="str">
        <f>IFERROR(VLOOKUP(B100,法术大全!$A:$W,5,FALSE),"")</f>
        <v/>
      </c>
      <c r="D100" s="70" t="str">
        <f>IFERROR(VLOOKUP(B100,法术大全!$A:$W,4,FALSE),"")</f>
        <v/>
      </c>
      <c r="E100" s="68">
        <v>99</v>
      </c>
      <c r="F100" s="71" t="str" cm="1">
        <f t="array" ref="F100">IFERROR(INDEX($B$1:$B$301,SMALL(IF($B$1:$B$301&lt;&gt;"",ROW($B$1:$B$301),4^8),ROW(100:100)))&amp;"","")</f>
        <v/>
      </c>
    </row>
    <row r="101" spans="1:6" ht="16.5" customHeight="1" x14ac:dyDescent="0.15">
      <c r="A101" s="68">
        <v>100</v>
      </c>
      <c r="B101" s="69" t="str">
        <f>IF(法术书!AC52="","",法术书!AC52)</f>
        <v/>
      </c>
      <c r="C101" s="69" t="str">
        <f>IFERROR(VLOOKUP(B101,法术大全!$A:$W,5,FALSE),"")</f>
        <v/>
      </c>
      <c r="D101" s="70" t="str">
        <f>IFERROR(VLOOKUP(B101,法术大全!$A:$W,4,FALSE),"")</f>
        <v/>
      </c>
      <c r="E101" s="68">
        <v>100</v>
      </c>
      <c r="F101" s="71" t="str" cm="1">
        <f t="array" ref="F101">IFERROR(INDEX($B$1:$B$301,SMALL(IF($B$1:$B$301&lt;&gt;"",ROW($B$1:$B$301),4^8),ROW(101:101)))&amp;"","")</f>
        <v/>
      </c>
    </row>
    <row r="102" spans="1:6" ht="16.5" customHeight="1" x14ac:dyDescent="0.15">
      <c r="A102" s="68">
        <v>101</v>
      </c>
      <c r="B102" s="69" t="str">
        <f>IF(法术书!AH3="","",法术书!AH3)</f>
        <v/>
      </c>
      <c r="C102" s="69" t="str">
        <f>IFERROR(VLOOKUP(B102,法术大全!$A:$W,5,FALSE),"")</f>
        <v/>
      </c>
      <c r="D102" s="70" t="str">
        <f>IFERROR(VLOOKUP(B102,法术大全!$A:$W,4,FALSE),"")</f>
        <v/>
      </c>
      <c r="E102" s="68">
        <v>101</v>
      </c>
      <c r="F102" s="71" t="str" cm="1">
        <f t="array" ref="F102">IFERROR(INDEX($B$1:$B$301,SMALL(IF($B$1:$B$301&lt;&gt;"",ROW($B$1:$B$301),4^8),ROW(102:102)))&amp;"","")</f>
        <v/>
      </c>
    </row>
    <row r="103" spans="1:6" ht="16.5" customHeight="1" x14ac:dyDescent="0.15">
      <c r="A103" s="68">
        <v>102</v>
      </c>
      <c r="B103" s="69" t="str">
        <f>IF(法术书!AH4="","",法术书!AH4)</f>
        <v/>
      </c>
      <c r="C103" s="69" t="str">
        <f>IFERROR(VLOOKUP(B103,法术大全!$A:$W,5,FALSE),"")</f>
        <v/>
      </c>
      <c r="D103" s="70" t="str">
        <f>IFERROR(VLOOKUP(B103,法术大全!$A:$W,4,FALSE),"")</f>
        <v/>
      </c>
      <c r="E103" s="68">
        <v>102</v>
      </c>
      <c r="F103" s="71" t="str" cm="1">
        <f t="array" ref="F103">IFERROR(INDEX($B$1:$B$301,SMALL(IF($B$1:$B$301&lt;&gt;"",ROW($B$1:$B$301),4^8),ROW(103:103)))&amp;"","")</f>
        <v/>
      </c>
    </row>
    <row r="104" spans="1:6" ht="16.5" customHeight="1" x14ac:dyDescent="0.15">
      <c r="A104" s="68">
        <v>103</v>
      </c>
      <c r="B104" s="69" t="str">
        <f>IF(法术书!AH5="","",法术书!AH5)</f>
        <v/>
      </c>
      <c r="C104" s="69" t="str">
        <f>IFERROR(VLOOKUP(B104,法术大全!$A:$W,5,FALSE),"")</f>
        <v/>
      </c>
      <c r="D104" s="70" t="str">
        <f>IFERROR(VLOOKUP(B104,法术大全!$A:$W,4,FALSE),"")</f>
        <v/>
      </c>
      <c r="E104" s="68">
        <v>103</v>
      </c>
      <c r="F104" s="71" t="str" cm="1">
        <f t="array" ref="F104">IFERROR(INDEX($B$1:$B$301,SMALL(IF($B$1:$B$301&lt;&gt;"",ROW($B$1:$B$301),4^8),ROW(104:104)))&amp;"","")</f>
        <v/>
      </c>
    </row>
    <row r="105" spans="1:6" ht="16.5" customHeight="1" x14ac:dyDescent="0.15">
      <c r="A105" s="68">
        <v>104</v>
      </c>
      <c r="B105" s="69" t="str">
        <f>IF(法术书!AH6="","",法术书!AH6)</f>
        <v/>
      </c>
      <c r="C105" s="69" t="str">
        <f>IFERROR(VLOOKUP(B105,法术大全!$A:$W,5,FALSE),"")</f>
        <v/>
      </c>
      <c r="D105" s="70" t="str">
        <f>IFERROR(VLOOKUP(B105,法术大全!$A:$W,4,FALSE),"")</f>
        <v/>
      </c>
      <c r="E105" s="68">
        <v>104</v>
      </c>
      <c r="F105" s="71" t="str" cm="1">
        <f t="array" ref="F105">IFERROR(INDEX($B$1:$B$301,SMALL(IF($B$1:$B$301&lt;&gt;"",ROW($B$1:$B$301),4^8),ROW(105:105)))&amp;"","")</f>
        <v/>
      </c>
    </row>
    <row r="106" spans="1:6" ht="16.5" customHeight="1" x14ac:dyDescent="0.15">
      <c r="A106" s="68">
        <v>105</v>
      </c>
      <c r="B106" s="69" t="str">
        <f>IF(法术书!AH7="","",法术书!AH7)</f>
        <v/>
      </c>
      <c r="C106" s="69" t="str">
        <f>IFERROR(VLOOKUP(B106,法术大全!$A:$W,5,FALSE),"")</f>
        <v/>
      </c>
      <c r="D106" s="70" t="str">
        <f>IFERROR(VLOOKUP(B106,法术大全!$A:$W,4,FALSE),"")</f>
        <v/>
      </c>
      <c r="E106" s="68">
        <v>105</v>
      </c>
      <c r="F106" s="71" t="str" cm="1">
        <f t="array" ref="F106">IFERROR(INDEX($B$1:$B$301,SMALL(IF($B$1:$B$301&lt;&gt;"",ROW($B$1:$B$301),4^8),ROW(106:106)))&amp;"","")</f>
        <v/>
      </c>
    </row>
    <row r="107" spans="1:6" ht="16.5" customHeight="1" x14ac:dyDescent="0.15">
      <c r="A107" s="68">
        <v>106</v>
      </c>
      <c r="B107" s="69" t="str">
        <f>IF(法术书!AH8="","",法术书!AH8)</f>
        <v/>
      </c>
      <c r="C107" s="69" t="str">
        <f>IFERROR(VLOOKUP(B107,法术大全!$A:$W,5,FALSE),"")</f>
        <v/>
      </c>
      <c r="D107" s="70" t="str">
        <f>IFERROR(VLOOKUP(B107,法术大全!$A:$W,4,FALSE),"")</f>
        <v/>
      </c>
      <c r="E107" s="68">
        <v>106</v>
      </c>
      <c r="F107" s="71" t="str" cm="1">
        <f t="array" ref="F107">IFERROR(INDEX($B$1:$B$301,SMALL(IF($B$1:$B$301&lt;&gt;"",ROW($B$1:$B$301),4^8),ROW(107:107)))&amp;"","")</f>
        <v/>
      </c>
    </row>
    <row r="108" spans="1:6" ht="16.5" customHeight="1" x14ac:dyDescent="0.15">
      <c r="A108" s="68">
        <v>107</v>
      </c>
      <c r="B108" s="69" t="str">
        <f>IF(法术书!AH9="","",法术书!AH9)</f>
        <v/>
      </c>
      <c r="C108" s="69" t="str">
        <f>IFERROR(VLOOKUP(B108,法术大全!$A:$W,5,FALSE),"")</f>
        <v/>
      </c>
      <c r="D108" s="70" t="str">
        <f>IFERROR(VLOOKUP(B108,法术大全!$A:$W,4,FALSE),"")</f>
        <v/>
      </c>
      <c r="E108" s="68">
        <v>107</v>
      </c>
      <c r="F108" s="71" t="str" cm="1">
        <f t="array" ref="F108">IFERROR(INDEX($B$1:$B$301,SMALL(IF($B$1:$B$301&lt;&gt;"",ROW($B$1:$B$301),4^8),ROW(108:108)))&amp;"","")</f>
        <v/>
      </c>
    </row>
    <row r="109" spans="1:6" ht="16.5" customHeight="1" x14ac:dyDescent="0.15">
      <c r="A109" s="68">
        <v>108</v>
      </c>
      <c r="B109" s="69" t="str">
        <f>IF(法术书!AH10="","",法术书!AH10)</f>
        <v/>
      </c>
      <c r="C109" s="69" t="str">
        <f>IFERROR(VLOOKUP(B109,法术大全!$A:$W,5,FALSE),"")</f>
        <v/>
      </c>
      <c r="D109" s="70" t="str">
        <f>IFERROR(VLOOKUP(B109,法术大全!$A:$W,4,FALSE),"")</f>
        <v/>
      </c>
      <c r="E109" s="68">
        <v>108</v>
      </c>
      <c r="F109" s="71" t="str" cm="1">
        <f t="array" ref="F109">IFERROR(INDEX($B$1:$B$301,SMALL(IF($B$1:$B$301&lt;&gt;"",ROW($B$1:$B$301),4^8),ROW(109:109)))&amp;"","")</f>
        <v/>
      </c>
    </row>
    <row r="110" spans="1:6" ht="16.5" customHeight="1" x14ac:dyDescent="0.15">
      <c r="A110" s="68">
        <v>109</v>
      </c>
      <c r="B110" s="69" t="str">
        <f>IF(法术书!AH11="","",法术书!AH11)</f>
        <v/>
      </c>
      <c r="C110" s="69" t="str">
        <f>IFERROR(VLOOKUP(B110,法术大全!$A:$W,5,FALSE),"")</f>
        <v/>
      </c>
      <c r="D110" s="70" t="str">
        <f>IFERROR(VLOOKUP(B110,法术大全!$A:$W,4,FALSE),"")</f>
        <v/>
      </c>
      <c r="E110" s="68">
        <v>109</v>
      </c>
      <c r="F110" s="71" t="str" cm="1">
        <f t="array" ref="F110">IFERROR(INDEX($B$1:$B$301,SMALL(IF($B$1:$B$301&lt;&gt;"",ROW($B$1:$B$301),4^8),ROW(110:110)))&amp;"","")</f>
        <v/>
      </c>
    </row>
    <row r="111" spans="1:6" ht="16.5" customHeight="1" x14ac:dyDescent="0.15">
      <c r="A111" s="68">
        <v>110</v>
      </c>
      <c r="B111" s="69" t="str">
        <f>IF(法术书!AH12="","",法术书!AH12)</f>
        <v/>
      </c>
      <c r="C111" s="69" t="str">
        <f>IFERROR(VLOOKUP(B111,法术大全!$A:$W,5,FALSE),"")</f>
        <v/>
      </c>
      <c r="D111" s="70" t="str">
        <f>IFERROR(VLOOKUP(B111,法术大全!$A:$W,4,FALSE),"")</f>
        <v/>
      </c>
      <c r="E111" s="68">
        <v>110</v>
      </c>
      <c r="F111" s="71" t="str" cm="1">
        <f t="array" ref="F111">IFERROR(INDEX($B$1:$B$301,SMALL(IF($B$1:$B$301&lt;&gt;"",ROW($B$1:$B$301),4^8),ROW(111:111)))&amp;"","")</f>
        <v/>
      </c>
    </row>
    <row r="112" spans="1:6" ht="16.5" customHeight="1" x14ac:dyDescent="0.15">
      <c r="A112" s="68">
        <v>111</v>
      </c>
      <c r="B112" s="69" t="str">
        <f>IF(法术书!AH13="","",法术书!AH13)</f>
        <v/>
      </c>
      <c r="C112" s="69" t="str">
        <f>IFERROR(VLOOKUP(B112,法术大全!$A:$W,5,FALSE),"")</f>
        <v/>
      </c>
      <c r="D112" s="70" t="str">
        <f>IFERROR(VLOOKUP(B112,法术大全!$A:$W,4,FALSE),"")</f>
        <v/>
      </c>
      <c r="E112" s="68">
        <v>111</v>
      </c>
      <c r="F112" s="71" t="str" cm="1">
        <f t="array" ref="F112">IFERROR(INDEX($B$1:$B$301,SMALL(IF($B$1:$B$301&lt;&gt;"",ROW($B$1:$B$301),4^8),ROW(112:112)))&amp;"","")</f>
        <v/>
      </c>
    </row>
    <row r="113" spans="1:6" ht="16.5" customHeight="1" x14ac:dyDescent="0.15">
      <c r="A113" s="68">
        <v>112</v>
      </c>
      <c r="B113" s="69" t="str">
        <f>IF(法术书!AH14="","",法术书!AH14)</f>
        <v/>
      </c>
      <c r="C113" s="69" t="str">
        <f>IFERROR(VLOOKUP(B113,法术大全!$A:$W,5,FALSE),"")</f>
        <v/>
      </c>
      <c r="D113" s="70" t="str">
        <f>IFERROR(VLOOKUP(B113,法术大全!$A:$W,4,FALSE),"")</f>
        <v/>
      </c>
      <c r="E113" s="68">
        <v>112</v>
      </c>
      <c r="F113" s="71" t="str" cm="1">
        <f t="array" ref="F113">IFERROR(INDEX($B$1:$B$301,SMALL(IF($B$1:$B$301&lt;&gt;"",ROW($B$1:$B$301),4^8),ROW(113:113)))&amp;"","")</f>
        <v/>
      </c>
    </row>
    <row r="114" spans="1:6" ht="16.5" customHeight="1" x14ac:dyDescent="0.15">
      <c r="A114" s="68">
        <v>113</v>
      </c>
      <c r="B114" s="69" t="str">
        <f>IF(法术书!AH15="","",法术书!AH15)</f>
        <v/>
      </c>
      <c r="C114" s="69" t="str">
        <f>IFERROR(VLOOKUP(B114,法术大全!$A:$W,5,FALSE),"")</f>
        <v/>
      </c>
      <c r="D114" s="70" t="str">
        <f>IFERROR(VLOOKUP(B114,法术大全!$A:$W,4,FALSE),"")</f>
        <v/>
      </c>
      <c r="E114" s="68">
        <v>113</v>
      </c>
      <c r="F114" s="71" t="str" cm="1">
        <f t="array" ref="F114">IFERROR(INDEX($B$1:$B$301,SMALL(IF($B$1:$B$301&lt;&gt;"",ROW($B$1:$B$301),4^8),ROW(114:114)))&amp;"","")</f>
        <v/>
      </c>
    </row>
    <row r="115" spans="1:6" ht="16.5" customHeight="1" x14ac:dyDescent="0.15">
      <c r="A115" s="68">
        <v>114</v>
      </c>
      <c r="B115" s="69" t="str">
        <f>IF(法术书!AH16="","",法术书!AH16)</f>
        <v/>
      </c>
      <c r="C115" s="69" t="str">
        <f>IFERROR(VLOOKUP(B115,法术大全!$A:$W,5,FALSE),"")</f>
        <v/>
      </c>
      <c r="D115" s="70" t="str">
        <f>IFERROR(VLOOKUP(B115,法术大全!$A:$W,4,FALSE),"")</f>
        <v/>
      </c>
      <c r="E115" s="68">
        <v>114</v>
      </c>
      <c r="F115" s="71" t="str" cm="1">
        <f t="array" ref="F115">IFERROR(INDEX($B$1:$B$301,SMALL(IF($B$1:$B$301&lt;&gt;"",ROW($B$1:$B$301),4^8),ROW(115:115)))&amp;"","")</f>
        <v/>
      </c>
    </row>
    <row r="116" spans="1:6" ht="16.5" customHeight="1" x14ac:dyDescent="0.15">
      <c r="A116" s="68">
        <v>115</v>
      </c>
      <c r="B116" s="69" t="str">
        <f>IF(法术书!AH17="","",法术书!AH17)</f>
        <v/>
      </c>
      <c r="C116" s="69" t="str">
        <f>IFERROR(VLOOKUP(B116,法术大全!$A:$W,5,FALSE),"")</f>
        <v/>
      </c>
      <c r="D116" s="70" t="str">
        <f>IFERROR(VLOOKUP(B116,法术大全!$A:$W,4,FALSE),"")</f>
        <v/>
      </c>
      <c r="E116" s="68">
        <v>115</v>
      </c>
      <c r="F116" s="71" t="str" cm="1">
        <f t="array" ref="F116">IFERROR(INDEX($B$1:$B$301,SMALL(IF($B$1:$B$301&lt;&gt;"",ROW($B$1:$B$301),4^8),ROW(116:116)))&amp;"","")</f>
        <v/>
      </c>
    </row>
    <row r="117" spans="1:6" ht="16.5" customHeight="1" x14ac:dyDescent="0.15">
      <c r="A117" s="68">
        <v>116</v>
      </c>
      <c r="B117" s="69" t="str">
        <f>IF(法术书!AH18="","",法术书!AH18)</f>
        <v/>
      </c>
      <c r="C117" s="69" t="str">
        <f>IFERROR(VLOOKUP(B117,法术大全!$A:$W,5,FALSE),"")</f>
        <v/>
      </c>
      <c r="D117" s="70" t="str">
        <f>IFERROR(VLOOKUP(B117,法术大全!$A:$W,4,FALSE),"")</f>
        <v/>
      </c>
      <c r="E117" s="68">
        <v>116</v>
      </c>
      <c r="F117" s="71" t="str" cm="1">
        <f t="array" ref="F117">IFERROR(INDEX($B$1:$B$301,SMALL(IF($B$1:$B$301&lt;&gt;"",ROW($B$1:$B$301),4^8),ROW(117:117)))&amp;"","")</f>
        <v/>
      </c>
    </row>
    <row r="118" spans="1:6" ht="16.5" customHeight="1" x14ac:dyDescent="0.15">
      <c r="A118" s="68">
        <v>117</v>
      </c>
      <c r="B118" s="69" t="str">
        <f>IF(法术书!AH19="","",法术书!AH19)</f>
        <v/>
      </c>
      <c r="C118" s="69" t="str">
        <f>IFERROR(VLOOKUP(B118,法术大全!$A:$W,5,FALSE),"")</f>
        <v/>
      </c>
      <c r="D118" s="70" t="str">
        <f>IFERROR(VLOOKUP(B118,法术大全!$A:$W,4,FALSE),"")</f>
        <v/>
      </c>
      <c r="E118" s="68">
        <v>117</v>
      </c>
      <c r="F118" s="71" t="str" cm="1">
        <f t="array" ref="F118">IFERROR(INDEX($B$1:$B$301,SMALL(IF($B$1:$B$301&lt;&gt;"",ROW($B$1:$B$301),4^8),ROW(118:118)))&amp;"","")</f>
        <v/>
      </c>
    </row>
    <row r="119" spans="1:6" ht="16.5" customHeight="1" x14ac:dyDescent="0.15">
      <c r="A119" s="68">
        <v>118</v>
      </c>
      <c r="B119" s="69" t="str">
        <f>IF(法术书!AH20="","",法术书!AH20)</f>
        <v/>
      </c>
      <c r="C119" s="69" t="str">
        <f>IFERROR(VLOOKUP(B119,法术大全!$A:$W,5,FALSE),"")</f>
        <v/>
      </c>
      <c r="D119" s="70" t="str">
        <f>IFERROR(VLOOKUP(B119,法术大全!$A:$W,4,FALSE),"")</f>
        <v/>
      </c>
      <c r="E119" s="68">
        <v>118</v>
      </c>
      <c r="F119" s="71" t="str" cm="1">
        <f t="array" ref="F119">IFERROR(INDEX($B$1:$B$301,SMALL(IF($B$1:$B$301&lt;&gt;"",ROW($B$1:$B$301),4^8),ROW(119:119)))&amp;"","")</f>
        <v/>
      </c>
    </row>
    <row r="120" spans="1:6" ht="16.5" customHeight="1" x14ac:dyDescent="0.15">
      <c r="A120" s="68">
        <v>119</v>
      </c>
      <c r="B120" s="69" t="str">
        <f>IF(法术书!AH21="","",法术书!AH21)</f>
        <v/>
      </c>
      <c r="C120" s="69" t="str">
        <f>IFERROR(VLOOKUP(B120,法术大全!$A:$W,5,FALSE),"")</f>
        <v/>
      </c>
      <c r="D120" s="70" t="str">
        <f>IFERROR(VLOOKUP(B120,法术大全!$A:$W,4,FALSE),"")</f>
        <v/>
      </c>
      <c r="E120" s="68">
        <v>119</v>
      </c>
      <c r="F120" s="71" t="str" cm="1">
        <f t="array" ref="F120">IFERROR(INDEX($B$1:$B$301,SMALL(IF($B$1:$B$301&lt;&gt;"",ROW($B$1:$B$301),4^8),ROW(120:120)))&amp;"","")</f>
        <v/>
      </c>
    </row>
    <row r="121" spans="1:6" ht="16.5" customHeight="1" x14ac:dyDescent="0.15">
      <c r="A121" s="68">
        <v>120</v>
      </c>
      <c r="B121" s="69" t="str">
        <f>IF(法术书!AH22="","",法术书!AH22)</f>
        <v/>
      </c>
      <c r="C121" s="69" t="str">
        <f>IFERROR(VLOOKUP(B121,法术大全!$A:$W,5,FALSE),"")</f>
        <v/>
      </c>
      <c r="D121" s="70" t="str">
        <f>IFERROR(VLOOKUP(B121,法术大全!$A:$W,4,FALSE),"")</f>
        <v/>
      </c>
      <c r="E121" s="68">
        <v>120</v>
      </c>
      <c r="F121" s="71" t="str" cm="1">
        <f t="array" ref="F121">IFERROR(INDEX($B$1:$B$301,SMALL(IF($B$1:$B$301&lt;&gt;"",ROW($B$1:$B$301),4^8),ROW(121:121)))&amp;"","")</f>
        <v/>
      </c>
    </row>
    <row r="122" spans="1:6" ht="16.5" customHeight="1" x14ac:dyDescent="0.15">
      <c r="A122" s="68">
        <v>121</v>
      </c>
      <c r="B122" s="69" t="str">
        <f>IF(法术书!AH23="","",法术书!AH23)</f>
        <v/>
      </c>
      <c r="C122" s="69" t="str">
        <f>IFERROR(VLOOKUP(B122,法术大全!$A:$W,5,FALSE),"")</f>
        <v/>
      </c>
      <c r="D122" s="70" t="str">
        <f>IFERROR(VLOOKUP(B122,法术大全!$A:$W,4,FALSE),"")</f>
        <v/>
      </c>
      <c r="E122" s="68">
        <v>121</v>
      </c>
      <c r="F122" s="71" t="str" cm="1">
        <f t="array" ref="F122">IFERROR(INDEX($B$1:$B$301,SMALL(IF($B$1:$B$301&lt;&gt;"",ROW($B$1:$B$301),4^8),ROW(122:122)))&amp;"","")</f>
        <v/>
      </c>
    </row>
    <row r="123" spans="1:6" ht="16.5" customHeight="1" x14ac:dyDescent="0.15">
      <c r="A123" s="68">
        <v>122</v>
      </c>
      <c r="B123" s="69" t="str">
        <f>IF(法术书!AH24="","",法术书!AH24)</f>
        <v/>
      </c>
      <c r="C123" s="69" t="str">
        <f>IFERROR(VLOOKUP(B123,法术大全!$A:$W,5,FALSE),"")</f>
        <v/>
      </c>
      <c r="D123" s="70" t="str">
        <f>IFERROR(VLOOKUP(B123,法术大全!$A:$W,4,FALSE),"")</f>
        <v/>
      </c>
      <c r="E123" s="68">
        <v>122</v>
      </c>
      <c r="F123" s="71" t="str" cm="1">
        <f t="array" ref="F123">IFERROR(INDEX($B$1:$B$301,SMALL(IF($B$1:$B$301&lt;&gt;"",ROW($B$1:$B$301),4^8),ROW(123:123)))&amp;"","")</f>
        <v/>
      </c>
    </row>
    <row r="124" spans="1:6" ht="16.5" customHeight="1" x14ac:dyDescent="0.15">
      <c r="A124" s="68">
        <v>123</v>
      </c>
      <c r="B124" s="69" t="str">
        <f>IF(法术书!AH25="","",法术书!AH25)</f>
        <v/>
      </c>
      <c r="C124" s="69" t="str">
        <f>IFERROR(VLOOKUP(B124,法术大全!$A:$W,5,FALSE),"")</f>
        <v/>
      </c>
      <c r="D124" s="70" t="str">
        <f>IFERROR(VLOOKUP(B124,法术大全!$A:$W,4,FALSE),"")</f>
        <v/>
      </c>
      <c r="E124" s="68">
        <v>123</v>
      </c>
      <c r="F124" s="71" t="str" cm="1">
        <f t="array" ref="F124">IFERROR(INDEX($B$1:$B$301,SMALL(IF($B$1:$B$301&lt;&gt;"",ROW($B$1:$B$301),4^8),ROW(124:124)))&amp;"","")</f>
        <v/>
      </c>
    </row>
    <row r="125" spans="1:6" ht="16.5" customHeight="1" x14ac:dyDescent="0.15">
      <c r="A125" s="68">
        <v>124</v>
      </c>
      <c r="B125" s="69" t="str">
        <f>IF(法术书!AH26="","",法术书!AH26)</f>
        <v/>
      </c>
      <c r="C125" s="69" t="str">
        <f>IFERROR(VLOOKUP(B125,法术大全!$A:$W,5,FALSE),"")</f>
        <v/>
      </c>
      <c r="D125" s="70" t="str">
        <f>IFERROR(VLOOKUP(B125,法术大全!$A:$W,4,FALSE),"")</f>
        <v/>
      </c>
      <c r="E125" s="68">
        <v>124</v>
      </c>
      <c r="F125" s="71" t="str" cm="1">
        <f t="array" ref="F125">IFERROR(INDEX($B$1:$B$301,SMALL(IF($B$1:$B$301&lt;&gt;"",ROW($B$1:$B$301),4^8),ROW(125:125)))&amp;"","")</f>
        <v/>
      </c>
    </row>
    <row r="126" spans="1:6" ht="16.5" customHeight="1" x14ac:dyDescent="0.15">
      <c r="A126" s="68">
        <v>125</v>
      </c>
      <c r="B126" s="69" t="str">
        <f>IF(法术书!AH27="","",法术书!AH27)</f>
        <v/>
      </c>
      <c r="C126" s="69" t="str">
        <f>IFERROR(VLOOKUP(B126,法术大全!$A:$W,5,FALSE),"")</f>
        <v/>
      </c>
      <c r="D126" s="70" t="str">
        <f>IFERROR(VLOOKUP(B126,法术大全!$A:$W,4,FALSE),"")</f>
        <v/>
      </c>
      <c r="E126" s="68">
        <v>125</v>
      </c>
      <c r="F126" s="71" t="str" cm="1">
        <f t="array" ref="F126">IFERROR(INDEX($B$1:$B$301,SMALL(IF($B$1:$B$301&lt;&gt;"",ROW($B$1:$B$301),4^8),ROW(126:126)))&amp;"","")</f>
        <v/>
      </c>
    </row>
    <row r="127" spans="1:6" ht="16.5" customHeight="1" x14ac:dyDescent="0.15">
      <c r="A127" s="68">
        <v>126</v>
      </c>
      <c r="B127" s="69" t="str">
        <f>IF(法术书!AH28="","",法术书!AH28)</f>
        <v/>
      </c>
      <c r="C127" s="69" t="str">
        <f>IFERROR(VLOOKUP(B127,法术大全!$A:$W,5,FALSE),"")</f>
        <v/>
      </c>
      <c r="D127" s="70" t="str">
        <f>IFERROR(VLOOKUP(B127,法术大全!$A:$W,4,FALSE),"")</f>
        <v/>
      </c>
      <c r="E127" s="68">
        <v>126</v>
      </c>
      <c r="F127" s="71" t="str" cm="1">
        <f t="array" ref="F127">IFERROR(INDEX($B$1:$B$301,SMALL(IF($B$1:$B$301&lt;&gt;"",ROW($B$1:$B$301),4^8),ROW(127:127)))&amp;"","")</f>
        <v/>
      </c>
    </row>
    <row r="128" spans="1:6" ht="16.5" customHeight="1" x14ac:dyDescent="0.15">
      <c r="A128" s="68">
        <v>127</v>
      </c>
      <c r="B128" s="69" t="str">
        <f>IF(法术书!AH29="","",法术书!AH29)</f>
        <v/>
      </c>
      <c r="C128" s="69" t="str">
        <f>IFERROR(VLOOKUP(B128,法术大全!$A:$W,5,FALSE),"")</f>
        <v/>
      </c>
      <c r="D128" s="70" t="str">
        <f>IFERROR(VLOOKUP(B128,法术大全!$A:$W,4,FALSE),"")</f>
        <v/>
      </c>
      <c r="E128" s="68">
        <v>127</v>
      </c>
      <c r="F128" s="71" t="str" cm="1">
        <f t="array" ref="F128">IFERROR(INDEX($B$1:$B$301,SMALL(IF($B$1:$B$301&lt;&gt;"",ROW($B$1:$B$301),4^8),ROW(128:128)))&amp;"","")</f>
        <v/>
      </c>
    </row>
    <row r="129" spans="1:6" ht="16.5" customHeight="1" x14ac:dyDescent="0.15">
      <c r="A129" s="68">
        <v>128</v>
      </c>
      <c r="B129" s="69" t="str">
        <f>IF(法术书!AH30="","",法术书!AH30)</f>
        <v/>
      </c>
      <c r="C129" s="69" t="str">
        <f>IFERROR(VLOOKUP(B129,法术大全!$A:$W,5,FALSE),"")</f>
        <v/>
      </c>
      <c r="D129" s="70" t="str">
        <f>IFERROR(VLOOKUP(B129,法术大全!$A:$W,4,FALSE),"")</f>
        <v/>
      </c>
      <c r="E129" s="68">
        <v>128</v>
      </c>
      <c r="F129" s="71" t="str" cm="1">
        <f t="array" ref="F129">IFERROR(INDEX($B$1:$B$301,SMALL(IF($B$1:$B$301&lt;&gt;"",ROW($B$1:$B$301),4^8),ROW(129:129)))&amp;"","")</f>
        <v/>
      </c>
    </row>
    <row r="130" spans="1:6" ht="16.5" customHeight="1" x14ac:dyDescent="0.15">
      <c r="A130" s="68">
        <v>129</v>
      </c>
      <c r="B130" s="69" t="str">
        <f>IF(法术书!AH31="","",法术书!AH31)</f>
        <v/>
      </c>
      <c r="C130" s="69" t="str">
        <f>IFERROR(VLOOKUP(B130,法术大全!$A:$W,5,FALSE),"")</f>
        <v/>
      </c>
      <c r="D130" s="70" t="str">
        <f>IFERROR(VLOOKUP(B130,法术大全!$A:$W,4,FALSE),"")</f>
        <v/>
      </c>
      <c r="E130" s="68">
        <v>129</v>
      </c>
      <c r="F130" s="71" t="str" cm="1">
        <f t="array" ref="F130">IFERROR(INDEX($B$1:$B$301,SMALL(IF($B$1:$B$301&lt;&gt;"",ROW($B$1:$B$301),4^8),ROW(130:130)))&amp;"","")</f>
        <v/>
      </c>
    </row>
    <row r="131" spans="1:6" ht="16.5" customHeight="1" x14ac:dyDescent="0.15">
      <c r="A131" s="68">
        <v>130</v>
      </c>
      <c r="B131" s="69" t="str">
        <f>IF(法术书!AH32="","",法术书!AH32)</f>
        <v/>
      </c>
      <c r="C131" s="69" t="str">
        <f>IFERROR(VLOOKUP(B131,法术大全!$A:$W,5,FALSE),"")</f>
        <v/>
      </c>
      <c r="D131" s="70" t="str">
        <f>IFERROR(VLOOKUP(B131,法术大全!$A:$W,4,FALSE),"")</f>
        <v/>
      </c>
      <c r="E131" s="68">
        <v>130</v>
      </c>
      <c r="F131" s="71" t="str" cm="1">
        <f t="array" ref="F131">IFERROR(INDEX($B$1:$B$301,SMALL(IF($B$1:$B$301&lt;&gt;"",ROW($B$1:$B$301),4^8),ROW(131:131)))&amp;"","")</f>
        <v/>
      </c>
    </row>
    <row r="132" spans="1:6" ht="16.5" customHeight="1" x14ac:dyDescent="0.15">
      <c r="A132" s="68">
        <v>131</v>
      </c>
      <c r="B132" s="69" t="str">
        <f>IF(法术书!AH33="","",法术书!AH33)</f>
        <v/>
      </c>
      <c r="C132" s="69" t="str">
        <f>IFERROR(VLOOKUP(B132,法术大全!$A:$W,5,FALSE),"")</f>
        <v/>
      </c>
      <c r="D132" s="70" t="str">
        <f>IFERROR(VLOOKUP(B132,法术大全!$A:$W,4,FALSE),"")</f>
        <v/>
      </c>
      <c r="E132" s="68">
        <v>131</v>
      </c>
      <c r="F132" s="71" t="str" cm="1">
        <f t="array" ref="F132">IFERROR(INDEX($B$1:$B$301,SMALL(IF($B$1:$B$301&lt;&gt;"",ROW($B$1:$B$301),4^8),ROW(132:132)))&amp;"","")</f>
        <v/>
      </c>
    </row>
    <row r="133" spans="1:6" ht="16.5" customHeight="1" x14ac:dyDescent="0.15">
      <c r="A133" s="68">
        <v>132</v>
      </c>
      <c r="B133" s="69" t="str">
        <f>IF(法术书!AH34="","",法术书!AH34)</f>
        <v/>
      </c>
      <c r="C133" s="69" t="str">
        <f>IFERROR(VLOOKUP(B133,法术大全!$A:$W,5,FALSE),"")</f>
        <v/>
      </c>
      <c r="D133" s="70" t="str">
        <f>IFERROR(VLOOKUP(B133,法术大全!$A:$W,4,FALSE),"")</f>
        <v/>
      </c>
      <c r="E133" s="68">
        <v>132</v>
      </c>
      <c r="F133" s="71" t="str" cm="1">
        <f t="array" ref="F133">IFERROR(INDEX($B$1:$B$301,SMALL(IF($B$1:$B$301&lt;&gt;"",ROW($B$1:$B$301),4^8),ROW(133:133)))&amp;"","")</f>
        <v/>
      </c>
    </row>
    <row r="134" spans="1:6" ht="16.5" customHeight="1" x14ac:dyDescent="0.15">
      <c r="A134" s="68">
        <v>133</v>
      </c>
      <c r="B134" s="69" t="str">
        <f>IF(法术书!AH35="","",法术书!AH35)</f>
        <v/>
      </c>
      <c r="C134" s="69" t="str">
        <f>IFERROR(VLOOKUP(B134,法术大全!$A:$W,5,FALSE),"")</f>
        <v/>
      </c>
      <c r="D134" s="70" t="str">
        <f>IFERROR(VLOOKUP(B134,法术大全!$A:$W,4,FALSE),"")</f>
        <v/>
      </c>
      <c r="E134" s="68">
        <v>133</v>
      </c>
      <c r="F134" s="71" t="str" cm="1">
        <f t="array" ref="F134">IFERROR(INDEX($B$1:$B$301,SMALL(IF($B$1:$B$301&lt;&gt;"",ROW($B$1:$B$301),4^8),ROW(134:134)))&amp;"","")</f>
        <v/>
      </c>
    </row>
    <row r="135" spans="1:6" ht="16.5" customHeight="1" x14ac:dyDescent="0.15">
      <c r="A135" s="68">
        <v>134</v>
      </c>
      <c r="B135" s="69" t="str">
        <f>IF(法术书!AH36="","",法术书!AH36)</f>
        <v/>
      </c>
      <c r="C135" s="69" t="str">
        <f>IFERROR(VLOOKUP(B135,法术大全!$A:$W,5,FALSE),"")</f>
        <v/>
      </c>
      <c r="D135" s="70" t="str">
        <f>IFERROR(VLOOKUP(B135,法术大全!$A:$W,4,FALSE),"")</f>
        <v/>
      </c>
      <c r="E135" s="68">
        <v>134</v>
      </c>
      <c r="F135" s="71" t="str" cm="1">
        <f t="array" ref="F135">IFERROR(INDEX($B$1:$B$301,SMALL(IF($B$1:$B$301&lt;&gt;"",ROW($B$1:$B$301),4^8),ROW(135:135)))&amp;"","")</f>
        <v/>
      </c>
    </row>
    <row r="136" spans="1:6" ht="16.5" customHeight="1" x14ac:dyDescent="0.15">
      <c r="A136" s="68">
        <v>135</v>
      </c>
      <c r="B136" s="69" t="str">
        <f>IF(法术书!AH37="","",法术书!AH37)</f>
        <v/>
      </c>
      <c r="C136" s="69" t="str">
        <f>IFERROR(VLOOKUP(B136,法术大全!$A:$W,5,FALSE),"")</f>
        <v/>
      </c>
      <c r="D136" s="70" t="str">
        <f>IFERROR(VLOOKUP(B136,法术大全!$A:$W,4,FALSE),"")</f>
        <v/>
      </c>
      <c r="E136" s="68">
        <v>135</v>
      </c>
      <c r="F136" s="71" t="str" cm="1">
        <f t="array" ref="F136">IFERROR(INDEX($B$1:$B$301,SMALL(IF($B$1:$B$301&lt;&gt;"",ROW($B$1:$B$301),4^8),ROW(136:136)))&amp;"","")</f>
        <v/>
      </c>
    </row>
    <row r="137" spans="1:6" ht="16.5" customHeight="1" x14ac:dyDescent="0.15">
      <c r="A137" s="68">
        <v>136</v>
      </c>
      <c r="B137" s="69" t="str">
        <f>IF(法术书!AH38="","",法术书!AH38)</f>
        <v/>
      </c>
      <c r="C137" s="69" t="str">
        <f>IFERROR(VLOOKUP(B137,法术大全!$A:$W,5,FALSE),"")</f>
        <v/>
      </c>
      <c r="D137" s="70" t="str">
        <f>IFERROR(VLOOKUP(B137,法术大全!$A:$W,4,FALSE),"")</f>
        <v/>
      </c>
      <c r="E137" s="68">
        <v>136</v>
      </c>
      <c r="F137" s="71" t="str" cm="1">
        <f t="array" ref="F137">IFERROR(INDEX($B$1:$B$301,SMALL(IF($B$1:$B$301&lt;&gt;"",ROW($B$1:$B$301),4^8),ROW(137:137)))&amp;"","")</f>
        <v/>
      </c>
    </row>
    <row r="138" spans="1:6" ht="16.5" customHeight="1" x14ac:dyDescent="0.15">
      <c r="A138" s="68">
        <v>137</v>
      </c>
      <c r="B138" s="69" t="str">
        <f>IF(法术书!AH39="","",法术书!AH39)</f>
        <v/>
      </c>
      <c r="C138" s="69" t="str">
        <f>IFERROR(VLOOKUP(B138,法术大全!$A:$W,5,FALSE),"")</f>
        <v/>
      </c>
      <c r="D138" s="70" t="str">
        <f>IFERROR(VLOOKUP(B138,法术大全!$A:$W,4,FALSE),"")</f>
        <v/>
      </c>
      <c r="E138" s="68">
        <v>137</v>
      </c>
      <c r="F138" s="71" t="str" cm="1">
        <f t="array" ref="F138">IFERROR(INDEX($B$1:$B$301,SMALL(IF($B$1:$B$301&lt;&gt;"",ROW($B$1:$B$301),4^8),ROW(138:138)))&amp;"","")</f>
        <v/>
      </c>
    </row>
    <row r="139" spans="1:6" ht="16.5" customHeight="1" x14ac:dyDescent="0.15">
      <c r="A139" s="68">
        <v>138</v>
      </c>
      <c r="B139" s="69" t="str">
        <f>IF(法术书!AH40="","",法术书!AH40)</f>
        <v/>
      </c>
      <c r="C139" s="69" t="str">
        <f>IFERROR(VLOOKUP(B139,法术大全!$A:$W,5,FALSE),"")</f>
        <v/>
      </c>
      <c r="D139" s="70" t="str">
        <f>IFERROR(VLOOKUP(B139,法术大全!$A:$W,4,FALSE),"")</f>
        <v/>
      </c>
      <c r="E139" s="68">
        <v>138</v>
      </c>
      <c r="F139" s="71" t="str" cm="1">
        <f t="array" ref="F139">IFERROR(INDEX($B$1:$B$301,SMALL(IF($B$1:$B$301&lt;&gt;"",ROW($B$1:$B$301),4^8),ROW(139:139)))&amp;"","")</f>
        <v/>
      </c>
    </row>
    <row r="140" spans="1:6" ht="16.5" customHeight="1" x14ac:dyDescent="0.15">
      <c r="A140" s="68">
        <v>139</v>
      </c>
      <c r="B140" s="69" t="str">
        <f>IF(法术书!AH41="","",法术书!AH41)</f>
        <v/>
      </c>
      <c r="C140" s="69" t="str">
        <f>IFERROR(VLOOKUP(B140,法术大全!$A:$W,5,FALSE),"")</f>
        <v/>
      </c>
      <c r="D140" s="70" t="str">
        <f>IFERROR(VLOOKUP(B140,法术大全!$A:$W,4,FALSE),"")</f>
        <v/>
      </c>
      <c r="E140" s="68">
        <v>139</v>
      </c>
      <c r="F140" s="71" t="str" cm="1">
        <f t="array" ref="F140">IFERROR(INDEX($B$1:$B$301,SMALL(IF($B$1:$B$301&lt;&gt;"",ROW($B$1:$B$301),4^8),ROW(140:140)))&amp;"","")</f>
        <v/>
      </c>
    </row>
    <row r="141" spans="1:6" ht="16.5" customHeight="1" x14ac:dyDescent="0.15">
      <c r="A141" s="68">
        <v>140</v>
      </c>
      <c r="B141" s="69" t="str">
        <f>IF(法术书!AH42="","",法术书!AH42)</f>
        <v/>
      </c>
      <c r="C141" s="69" t="str">
        <f>IFERROR(VLOOKUP(B141,法术大全!$A:$W,5,FALSE),"")</f>
        <v/>
      </c>
      <c r="D141" s="70" t="str">
        <f>IFERROR(VLOOKUP(B141,法术大全!$A:$W,4,FALSE),"")</f>
        <v/>
      </c>
      <c r="E141" s="68">
        <v>140</v>
      </c>
      <c r="F141" s="71" t="str" cm="1">
        <f t="array" ref="F141">IFERROR(INDEX($B$1:$B$301,SMALL(IF($B$1:$B$301&lt;&gt;"",ROW($B$1:$B$301),4^8),ROW(141:141)))&amp;"","")</f>
        <v/>
      </c>
    </row>
    <row r="142" spans="1:6" ht="16.5" customHeight="1" x14ac:dyDescent="0.15">
      <c r="A142" s="68">
        <v>141</v>
      </c>
      <c r="B142" s="69" t="str">
        <f>IF(法术书!AH43="","",法术书!AH43)</f>
        <v/>
      </c>
      <c r="C142" s="69" t="str">
        <f>IFERROR(VLOOKUP(B142,法术大全!$A:$W,5,FALSE),"")</f>
        <v/>
      </c>
      <c r="D142" s="70" t="str">
        <f>IFERROR(VLOOKUP(B142,法术大全!$A:$W,4,FALSE),"")</f>
        <v/>
      </c>
      <c r="E142" s="68">
        <v>141</v>
      </c>
      <c r="F142" s="71" t="str" cm="1">
        <f t="array" ref="F142">IFERROR(INDEX($B$1:$B$301,SMALL(IF($B$1:$B$301&lt;&gt;"",ROW($B$1:$B$301),4^8),ROW(142:142)))&amp;"","")</f>
        <v/>
      </c>
    </row>
    <row r="143" spans="1:6" ht="16.5" customHeight="1" x14ac:dyDescent="0.15">
      <c r="A143" s="68">
        <v>142</v>
      </c>
      <c r="B143" s="69" t="str">
        <f>IF(法术书!AH44="","",法术书!AH44)</f>
        <v/>
      </c>
      <c r="C143" s="69" t="str">
        <f>IFERROR(VLOOKUP(B143,法术大全!$A:$W,5,FALSE),"")</f>
        <v/>
      </c>
      <c r="D143" s="70" t="str">
        <f>IFERROR(VLOOKUP(B143,法术大全!$A:$W,4,FALSE),"")</f>
        <v/>
      </c>
      <c r="E143" s="68">
        <v>142</v>
      </c>
      <c r="F143" s="71" t="str" cm="1">
        <f t="array" ref="F143">IFERROR(INDEX($B$1:$B$301,SMALL(IF($B$1:$B$301&lt;&gt;"",ROW($B$1:$B$301),4^8),ROW(143:143)))&amp;"","")</f>
        <v/>
      </c>
    </row>
    <row r="144" spans="1:6" ht="16.5" customHeight="1" x14ac:dyDescent="0.15">
      <c r="A144" s="68">
        <v>143</v>
      </c>
      <c r="B144" s="69" t="str">
        <f>IF(法术书!AH45="","",法术书!AH45)</f>
        <v/>
      </c>
      <c r="C144" s="69" t="str">
        <f>IFERROR(VLOOKUP(B144,法术大全!$A:$W,5,FALSE),"")</f>
        <v/>
      </c>
      <c r="D144" s="70" t="str">
        <f>IFERROR(VLOOKUP(B144,法术大全!$A:$W,4,FALSE),"")</f>
        <v/>
      </c>
      <c r="E144" s="68">
        <v>143</v>
      </c>
      <c r="F144" s="71" t="str" cm="1">
        <f t="array" ref="F144">IFERROR(INDEX($B$1:$B$301,SMALL(IF($B$1:$B$301&lt;&gt;"",ROW($B$1:$B$301),4^8),ROW(144:144)))&amp;"","")</f>
        <v/>
      </c>
    </row>
    <row r="145" spans="1:6" ht="16.5" customHeight="1" x14ac:dyDescent="0.15">
      <c r="A145" s="68">
        <v>144</v>
      </c>
      <c r="B145" s="69" t="str">
        <f>IF(法术书!AH46="","",法术书!AH46)</f>
        <v/>
      </c>
      <c r="C145" s="69" t="str">
        <f>IFERROR(VLOOKUP(B145,法术大全!$A:$W,5,FALSE),"")</f>
        <v/>
      </c>
      <c r="D145" s="70" t="str">
        <f>IFERROR(VLOOKUP(B145,法术大全!$A:$W,4,FALSE),"")</f>
        <v/>
      </c>
      <c r="E145" s="68">
        <v>144</v>
      </c>
      <c r="F145" s="71" t="str" cm="1">
        <f t="array" ref="F145">IFERROR(INDEX($B$1:$B$301,SMALL(IF($B$1:$B$301&lt;&gt;"",ROW($B$1:$B$301),4^8),ROW(145:145)))&amp;"","")</f>
        <v/>
      </c>
    </row>
    <row r="146" spans="1:6" ht="16.5" customHeight="1" x14ac:dyDescent="0.15">
      <c r="A146" s="68">
        <v>145</v>
      </c>
      <c r="B146" s="69" t="str">
        <f>IF(法术书!AH47="","",法术书!AH47)</f>
        <v/>
      </c>
      <c r="C146" s="69" t="str">
        <f>IFERROR(VLOOKUP(B146,法术大全!$A:$W,5,FALSE),"")</f>
        <v/>
      </c>
      <c r="D146" s="70" t="str">
        <f>IFERROR(VLOOKUP(B146,法术大全!$A:$W,4,FALSE),"")</f>
        <v/>
      </c>
      <c r="E146" s="68">
        <v>145</v>
      </c>
      <c r="F146" s="71" t="str" cm="1">
        <f t="array" ref="F146">IFERROR(INDEX($B$1:$B$301,SMALL(IF($B$1:$B$301&lt;&gt;"",ROW($B$1:$B$301),4^8),ROW(146:146)))&amp;"","")</f>
        <v/>
      </c>
    </row>
    <row r="147" spans="1:6" ht="16.5" customHeight="1" x14ac:dyDescent="0.15">
      <c r="A147" s="68">
        <v>146</v>
      </c>
      <c r="B147" s="69" t="str">
        <f>IF(法术书!AH48="","",法术书!AH48)</f>
        <v/>
      </c>
      <c r="C147" s="69" t="str">
        <f>IFERROR(VLOOKUP(B147,法术大全!$A:$W,5,FALSE),"")</f>
        <v/>
      </c>
      <c r="D147" s="70" t="str">
        <f>IFERROR(VLOOKUP(B147,法术大全!$A:$W,4,FALSE),"")</f>
        <v/>
      </c>
      <c r="E147" s="68">
        <v>146</v>
      </c>
      <c r="F147" s="71" t="str" cm="1">
        <f t="array" ref="F147">IFERROR(INDEX($B$1:$B$301,SMALL(IF($B$1:$B$301&lt;&gt;"",ROW($B$1:$B$301),4^8),ROW(147:147)))&amp;"","")</f>
        <v/>
      </c>
    </row>
    <row r="148" spans="1:6" ht="16.5" customHeight="1" x14ac:dyDescent="0.15">
      <c r="A148" s="68">
        <v>147</v>
      </c>
      <c r="B148" s="69" t="str">
        <f>IF(法术书!AH49="","",法术书!AH49)</f>
        <v/>
      </c>
      <c r="C148" s="69" t="str">
        <f>IFERROR(VLOOKUP(B148,法术大全!$A:$W,5,FALSE),"")</f>
        <v/>
      </c>
      <c r="D148" s="70" t="str">
        <f>IFERROR(VLOOKUP(B148,法术大全!$A:$W,4,FALSE),"")</f>
        <v/>
      </c>
      <c r="E148" s="68">
        <v>147</v>
      </c>
      <c r="F148" s="71" t="str" cm="1">
        <f t="array" ref="F148">IFERROR(INDEX($B$1:$B$301,SMALL(IF($B$1:$B$301&lt;&gt;"",ROW($B$1:$B$301),4^8),ROW(148:148)))&amp;"","")</f>
        <v/>
      </c>
    </row>
    <row r="149" spans="1:6" ht="16.5" customHeight="1" x14ac:dyDescent="0.15">
      <c r="A149" s="68">
        <v>148</v>
      </c>
      <c r="B149" s="69" t="str">
        <f>IF(法术书!AH50="","",法术书!AH50)</f>
        <v/>
      </c>
      <c r="C149" s="69" t="str">
        <f>IFERROR(VLOOKUP(B149,法术大全!$A:$W,5,FALSE),"")</f>
        <v/>
      </c>
      <c r="D149" s="70" t="str">
        <f>IFERROR(VLOOKUP(B149,法术大全!$A:$W,4,FALSE),"")</f>
        <v/>
      </c>
      <c r="E149" s="68">
        <v>148</v>
      </c>
      <c r="F149" s="71" t="str" cm="1">
        <f t="array" ref="F149">IFERROR(INDEX($B$1:$B$301,SMALL(IF($B$1:$B$301&lt;&gt;"",ROW($B$1:$B$301),4^8),ROW(149:149)))&amp;"","")</f>
        <v/>
      </c>
    </row>
    <row r="150" spans="1:6" ht="16.5" customHeight="1" x14ac:dyDescent="0.15">
      <c r="A150" s="68">
        <v>149</v>
      </c>
      <c r="B150" s="69" t="str">
        <f>IF(法术书!AH51="","",法术书!AH51)</f>
        <v/>
      </c>
      <c r="C150" s="69" t="str">
        <f>IFERROR(VLOOKUP(B150,法术大全!$A:$W,5,FALSE),"")</f>
        <v/>
      </c>
      <c r="D150" s="70" t="str">
        <f>IFERROR(VLOOKUP(B150,法术大全!$A:$W,4,FALSE),"")</f>
        <v/>
      </c>
      <c r="E150" s="68">
        <v>149</v>
      </c>
      <c r="F150" s="71" t="str" cm="1">
        <f t="array" ref="F150">IFERROR(INDEX($B$1:$B$301,SMALL(IF($B$1:$B$301&lt;&gt;"",ROW($B$1:$B$301),4^8),ROW(150:150)))&amp;"","")</f>
        <v/>
      </c>
    </row>
    <row r="151" spans="1:6" ht="16.5" customHeight="1" x14ac:dyDescent="0.15">
      <c r="A151" s="68">
        <v>150</v>
      </c>
      <c r="B151" s="69" t="str">
        <f>IF(法术书!AH52="","",法术书!AH52)</f>
        <v/>
      </c>
      <c r="C151" s="69" t="str">
        <f>IFERROR(VLOOKUP(B151,法术大全!$A:$W,5,FALSE),"")</f>
        <v/>
      </c>
      <c r="D151" s="70" t="str">
        <f>IFERROR(VLOOKUP(B151,法术大全!$A:$W,4,FALSE),"")</f>
        <v/>
      </c>
      <c r="E151" s="68">
        <v>150</v>
      </c>
      <c r="F151" s="71" t="str" cm="1">
        <f t="array" ref="F151">IFERROR(INDEX($B$1:$B$301,SMALL(IF($B$1:$B$301&lt;&gt;"",ROW($B$1:$B$301),4^8),ROW(151:151)))&amp;"","")</f>
        <v/>
      </c>
    </row>
    <row r="152" spans="1:6" ht="16.5" customHeight="1" x14ac:dyDescent="0.15">
      <c r="A152" s="68">
        <v>151</v>
      </c>
      <c r="B152" s="69" t="str">
        <f>IF(法术书!AM3="","",法术书!AM3)</f>
        <v/>
      </c>
      <c r="C152" s="69" t="str">
        <f>IFERROR(VLOOKUP(B152,法术大全!$A:$W,5,FALSE),"")</f>
        <v/>
      </c>
      <c r="D152" s="70" t="str">
        <f>IFERROR(VLOOKUP(B152,法术大全!$A:$W,4,FALSE),"")</f>
        <v/>
      </c>
      <c r="E152" s="68">
        <v>151</v>
      </c>
      <c r="F152" s="71" t="str" cm="1">
        <f t="array" ref="F152">IFERROR(INDEX($B$1:$B$301,SMALL(IF($B$1:$B$301&lt;&gt;"",ROW($B$1:$B$301),4^8),ROW(152:152)))&amp;"","")</f>
        <v/>
      </c>
    </row>
    <row r="153" spans="1:6" ht="16.5" customHeight="1" x14ac:dyDescent="0.15">
      <c r="A153" s="68">
        <v>152</v>
      </c>
      <c r="B153" s="69" t="str">
        <f>IF(法术书!AM4="","",法术书!AM4)</f>
        <v/>
      </c>
      <c r="C153" s="69" t="str">
        <f>IFERROR(VLOOKUP(B153,法术大全!$A:$W,5,FALSE),"")</f>
        <v/>
      </c>
      <c r="D153" s="70" t="str">
        <f>IFERROR(VLOOKUP(B153,法术大全!$A:$W,4,FALSE),"")</f>
        <v/>
      </c>
      <c r="E153" s="68">
        <v>152</v>
      </c>
      <c r="F153" s="71" t="str" cm="1">
        <f t="array" ref="F153">IFERROR(INDEX($B$1:$B$301,SMALL(IF($B$1:$B$301&lt;&gt;"",ROW($B$1:$B$301),4^8),ROW(153:153)))&amp;"","")</f>
        <v/>
      </c>
    </row>
    <row r="154" spans="1:6" ht="16.5" customHeight="1" x14ac:dyDescent="0.15">
      <c r="A154" s="68">
        <v>153</v>
      </c>
      <c r="B154" s="69" t="str">
        <f>IF(法术书!AM5="","",法术书!AM5)</f>
        <v/>
      </c>
      <c r="C154" s="69" t="str">
        <f>IFERROR(VLOOKUP(B154,法术大全!$A:$W,5,FALSE),"")</f>
        <v/>
      </c>
      <c r="D154" s="70" t="str">
        <f>IFERROR(VLOOKUP(B154,法术大全!$A:$W,4,FALSE),"")</f>
        <v/>
      </c>
      <c r="E154" s="68">
        <v>153</v>
      </c>
      <c r="F154" s="71" t="str" cm="1">
        <f t="array" ref="F154">IFERROR(INDEX($B$1:$B$301,SMALL(IF($B$1:$B$301&lt;&gt;"",ROW($B$1:$B$301),4^8),ROW(154:154)))&amp;"","")</f>
        <v/>
      </c>
    </row>
    <row r="155" spans="1:6" ht="16.5" customHeight="1" x14ac:dyDescent="0.15">
      <c r="A155" s="68">
        <v>154</v>
      </c>
      <c r="B155" s="69" t="str">
        <f>IF(法术书!AM6="","",法术书!AM6)</f>
        <v/>
      </c>
      <c r="C155" s="69" t="str">
        <f>IFERROR(VLOOKUP(B155,法术大全!$A:$W,5,FALSE),"")</f>
        <v/>
      </c>
      <c r="D155" s="70" t="str">
        <f>IFERROR(VLOOKUP(B155,法术大全!$A:$W,4,FALSE),"")</f>
        <v/>
      </c>
      <c r="E155" s="68">
        <v>154</v>
      </c>
      <c r="F155" s="71" t="str" cm="1">
        <f t="array" ref="F155">IFERROR(INDEX($B$1:$B$301,SMALL(IF($B$1:$B$301&lt;&gt;"",ROW($B$1:$B$301),4^8),ROW(155:155)))&amp;"","")</f>
        <v/>
      </c>
    </row>
    <row r="156" spans="1:6" ht="16.5" customHeight="1" x14ac:dyDescent="0.15">
      <c r="A156" s="68">
        <v>155</v>
      </c>
      <c r="B156" s="69" t="str">
        <f>IF(法术书!AM7="","",法术书!AM7)</f>
        <v/>
      </c>
      <c r="C156" s="69" t="str">
        <f>IFERROR(VLOOKUP(B156,法术大全!$A:$W,5,FALSE),"")</f>
        <v/>
      </c>
      <c r="D156" s="70" t="str">
        <f>IFERROR(VLOOKUP(B156,法术大全!$A:$W,4,FALSE),"")</f>
        <v/>
      </c>
      <c r="E156" s="68">
        <v>155</v>
      </c>
      <c r="F156" s="71" t="str" cm="1">
        <f t="array" ref="F156">IFERROR(INDEX($B$1:$B$301,SMALL(IF($B$1:$B$301&lt;&gt;"",ROW($B$1:$B$301),4^8),ROW(156:156)))&amp;"","")</f>
        <v/>
      </c>
    </row>
    <row r="157" spans="1:6" ht="16.5" customHeight="1" x14ac:dyDescent="0.15">
      <c r="A157" s="68">
        <v>156</v>
      </c>
      <c r="B157" s="69" t="str">
        <f>IF(法术书!AM8="","",法术书!AM8)</f>
        <v/>
      </c>
      <c r="C157" s="69" t="str">
        <f>IFERROR(VLOOKUP(B157,法术大全!$A:$W,5,FALSE),"")</f>
        <v/>
      </c>
      <c r="D157" s="70" t="str">
        <f>IFERROR(VLOOKUP(B157,法术大全!$A:$W,4,FALSE),"")</f>
        <v/>
      </c>
      <c r="E157" s="68">
        <v>156</v>
      </c>
      <c r="F157" s="71" t="str" cm="1">
        <f t="array" ref="F157">IFERROR(INDEX($B$1:$B$301,SMALL(IF($B$1:$B$301&lt;&gt;"",ROW($B$1:$B$301),4^8),ROW(157:157)))&amp;"","")</f>
        <v/>
      </c>
    </row>
    <row r="158" spans="1:6" ht="16.5" customHeight="1" x14ac:dyDescent="0.15">
      <c r="A158" s="68">
        <v>157</v>
      </c>
      <c r="B158" s="69" t="str">
        <f>IF(法术书!AM9="","",法术书!AM9)</f>
        <v/>
      </c>
      <c r="C158" s="69" t="str">
        <f>IFERROR(VLOOKUP(B158,法术大全!$A:$W,5,FALSE),"")</f>
        <v/>
      </c>
      <c r="D158" s="70" t="str">
        <f>IFERROR(VLOOKUP(B158,法术大全!$A:$W,4,FALSE),"")</f>
        <v/>
      </c>
      <c r="E158" s="68">
        <v>157</v>
      </c>
      <c r="F158" s="71" t="str" cm="1">
        <f t="array" ref="F158">IFERROR(INDEX($B$1:$B$301,SMALL(IF($B$1:$B$301&lt;&gt;"",ROW($B$1:$B$301),4^8),ROW(158:158)))&amp;"","")</f>
        <v/>
      </c>
    </row>
    <row r="159" spans="1:6" ht="16.5" customHeight="1" x14ac:dyDescent="0.15">
      <c r="A159" s="68">
        <v>158</v>
      </c>
      <c r="B159" s="69" t="str">
        <f>IF(法术书!AM10="","",法术书!AM10)</f>
        <v/>
      </c>
      <c r="C159" s="69" t="str">
        <f>IFERROR(VLOOKUP(B159,法术大全!$A:$W,5,FALSE),"")</f>
        <v/>
      </c>
      <c r="D159" s="70" t="str">
        <f>IFERROR(VLOOKUP(B159,法术大全!$A:$W,4,FALSE),"")</f>
        <v/>
      </c>
      <c r="E159" s="68">
        <v>158</v>
      </c>
      <c r="F159" s="71" t="str" cm="1">
        <f t="array" ref="F159">IFERROR(INDEX($B$1:$B$301,SMALL(IF($B$1:$B$301&lt;&gt;"",ROW($B$1:$B$301),4^8),ROW(159:159)))&amp;"","")</f>
        <v/>
      </c>
    </row>
    <row r="160" spans="1:6" ht="16.5" customHeight="1" x14ac:dyDescent="0.15">
      <c r="A160" s="68">
        <v>159</v>
      </c>
      <c r="B160" s="69" t="str">
        <f>IF(法术书!AM11="","",法术书!AM11)</f>
        <v/>
      </c>
      <c r="C160" s="69" t="str">
        <f>IFERROR(VLOOKUP(B160,法术大全!$A:$W,5,FALSE),"")</f>
        <v/>
      </c>
      <c r="D160" s="70" t="str">
        <f>IFERROR(VLOOKUP(B160,法术大全!$A:$W,4,FALSE),"")</f>
        <v/>
      </c>
      <c r="E160" s="68">
        <v>159</v>
      </c>
      <c r="F160" s="71" t="str" cm="1">
        <f t="array" ref="F160">IFERROR(INDEX($B$1:$B$301,SMALL(IF($B$1:$B$301&lt;&gt;"",ROW($B$1:$B$301),4^8),ROW(160:160)))&amp;"","")</f>
        <v/>
      </c>
    </row>
    <row r="161" spans="1:6" ht="16.5" customHeight="1" x14ac:dyDescent="0.15">
      <c r="A161" s="68">
        <v>160</v>
      </c>
      <c r="B161" s="69" t="str">
        <f>IF(法术书!AM12="","",法术书!AM12)</f>
        <v/>
      </c>
      <c r="C161" s="69" t="str">
        <f>IFERROR(VLOOKUP(B161,法术大全!$A:$W,5,FALSE),"")</f>
        <v/>
      </c>
      <c r="D161" s="70" t="str">
        <f>IFERROR(VLOOKUP(B161,法术大全!$A:$W,4,FALSE),"")</f>
        <v/>
      </c>
      <c r="E161" s="68">
        <v>160</v>
      </c>
      <c r="F161" s="71" t="str" cm="1">
        <f t="array" ref="F161">IFERROR(INDEX($B$1:$B$301,SMALL(IF($B$1:$B$301&lt;&gt;"",ROW($B$1:$B$301),4^8),ROW(161:161)))&amp;"","")</f>
        <v/>
      </c>
    </row>
    <row r="162" spans="1:6" ht="16.5" customHeight="1" x14ac:dyDescent="0.15">
      <c r="A162" s="68">
        <v>161</v>
      </c>
      <c r="B162" s="69" t="str">
        <f>IF(法术书!AM13="","",法术书!AM13)</f>
        <v/>
      </c>
      <c r="C162" s="69" t="str">
        <f>IFERROR(VLOOKUP(B162,法术大全!$A:$W,5,FALSE),"")</f>
        <v/>
      </c>
      <c r="D162" s="70" t="str">
        <f>IFERROR(VLOOKUP(B162,法术大全!$A:$W,4,FALSE),"")</f>
        <v/>
      </c>
      <c r="E162" s="68">
        <v>161</v>
      </c>
      <c r="F162" s="71" t="str" cm="1">
        <f t="array" ref="F162">IFERROR(INDEX($B$1:$B$301,SMALL(IF($B$1:$B$301&lt;&gt;"",ROW($B$1:$B$301),4^8),ROW(162:162)))&amp;"","")</f>
        <v/>
      </c>
    </row>
    <row r="163" spans="1:6" ht="16.5" customHeight="1" x14ac:dyDescent="0.15">
      <c r="A163" s="68">
        <v>162</v>
      </c>
      <c r="B163" s="69" t="str">
        <f>IF(法术书!AM14="","",法术书!AM14)</f>
        <v/>
      </c>
      <c r="C163" s="69" t="str">
        <f>IFERROR(VLOOKUP(B163,法术大全!$A:$W,5,FALSE),"")</f>
        <v/>
      </c>
      <c r="D163" s="70" t="str">
        <f>IFERROR(VLOOKUP(B163,法术大全!$A:$W,4,FALSE),"")</f>
        <v/>
      </c>
      <c r="E163" s="68">
        <v>162</v>
      </c>
      <c r="F163" s="71" t="str" cm="1">
        <f t="array" ref="F163">IFERROR(INDEX($B$1:$B$301,SMALL(IF($B$1:$B$301&lt;&gt;"",ROW($B$1:$B$301),4^8),ROW(163:163)))&amp;"","")</f>
        <v/>
      </c>
    </row>
    <row r="164" spans="1:6" ht="16.5" customHeight="1" x14ac:dyDescent="0.15">
      <c r="A164" s="68">
        <v>163</v>
      </c>
      <c r="B164" s="69" t="str">
        <f>IF(法术书!AM15="","",法术书!AM15)</f>
        <v/>
      </c>
      <c r="C164" s="69" t="str">
        <f>IFERROR(VLOOKUP(B164,法术大全!$A:$W,5,FALSE),"")</f>
        <v/>
      </c>
      <c r="D164" s="70" t="str">
        <f>IFERROR(VLOOKUP(B164,法术大全!$A:$W,4,FALSE),"")</f>
        <v/>
      </c>
      <c r="E164" s="68">
        <v>163</v>
      </c>
      <c r="F164" s="71" t="str" cm="1">
        <f t="array" ref="F164">IFERROR(INDEX($B$1:$B$301,SMALL(IF($B$1:$B$301&lt;&gt;"",ROW($B$1:$B$301),4^8),ROW(164:164)))&amp;"","")</f>
        <v/>
      </c>
    </row>
    <row r="165" spans="1:6" ht="16.5" customHeight="1" x14ac:dyDescent="0.15">
      <c r="A165" s="68">
        <v>164</v>
      </c>
      <c r="B165" s="69" t="str">
        <f>IF(法术书!AM16="","",法术书!AM16)</f>
        <v/>
      </c>
      <c r="C165" s="69" t="str">
        <f>IFERROR(VLOOKUP(B165,法术大全!$A:$W,5,FALSE),"")</f>
        <v/>
      </c>
      <c r="D165" s="70" t="str">
        <f>IFERROR(VLOOKUP(B165,法术大全!$A:$W,4,FALSE),"")</f>
        <v/>
      </c>
      <c r="E165" s="68">
        <v>164</v>
      </c>
      <c r="F165" s="71" t="str" cm="1">
        <f t="array" ref="F165">IFERROR(INDEX($B$1:$B$301,SMALL(IF($B$1:$B$301&lt;&gt;"",ROW($B$1:$B$301),4^8),ROW(165:165)))&amp;"","")</f>
        <v/>
      </c>
    </row>
    <row r="166" spans="1:6" ht="16.5" customHeight="1" x14ac:dyDescent="0.15">
      <c r="A166" s="68">
        <v>165</v>
      </c>
      <c r="B166" s="69" t="str">
        <f>IF(法术书!AM17="","",法术书!AM17)</f>
        <v/>
      </c>
      <c r="C166" s="69" t="str">
        <f>IFERROR(VLOOKUP(B166,法术大全!$A:$W,5,FALSE),"")</f>
        <v/>
      </c>
      <c r="D166" s="70" t="str">
        <f>IFERROR(VLOOKUP(B166,法术大全!$A:$W,4,FALSE),"")</f>
        <v/>
      </c>
      <c r="E166" s="68">
        <v>165</v>
      </c>
      <c r="F166" s="71" t="str" cm="1">
        <f t="array" ref="F166">IFERROR(INDEX($B$1:$B$301,SMALL(IF($B$1:$B$301&lt;&gt;"",ROW($B$1:$B$301),4^8),ROW(166:166)))&amp;"","")</f>
        <v/>
      </c>
    </row>
    <row r="167" spans="1:6" ht="16.5" customHeight="1" x14ac:dyDescent="0.15">
      <c r="A167" s="68">
        <v>166</v>
      </c>
      <c r="B167" s="69" t="str">
        <f>IF(法术书!AM18="","",法术书!AM18)</f>
        <v/>
      </c>
      <c r="C167" s="69" t="str">
        <f>IFERROR(VLOOKUP(B167,法术大全!$A:$W,5,FALSE),"")</f>
        <v/>
      </c>
      <c r="D167" s="70" t="str">
        <f>IFERROR(VLOOKUP(B167,法术大全!$A:$W,4,FALSE),"")</f>
        <v/>
      </c>
      <c r="E167" s="68">
        <v>166</v>
      </c>
      <c r="F167" s="71" t="str" cm="1">
        <f t="array" ref="F167">IFERROR(INDEX($B$1:$B$301,SMALL(IF($B$1:$B$301&lt;&gt;"",ROW($B$1:$B$301),4^8),ROW(167:167)))&amp;"","")</f>
        <v/>
      </c>
    </row>
    <row r="168" spans="1:6" ht="16.5" customHeight="1" x14ac:dyDescent="0.15">
      <c r="A168" s="68">
        <v>167</v>
      </c>
      <c r="B168" s="69" t="str">
        <f>IF(法术书!AM19="","",法术书!AM19)</f>
        <v/>
      </c>
      <c r="C168" s="69" t="str">
        <f>IFERROR(VLOOKUP(B168,法术大全!$A:$W,5,FALSE),"")</f>
        <v/>
      </c>
      <c r="D168" s="70" t="str">
        <f>IFERROR(VLOOKUP(B168,法术大全!$A:$W,4,FALSE),"")</f>
        <v/>
      </c>
      <c r="E168" s="68">
        <v>167</v>
      </c>
      <c r="F168" s="71" t="str" cm="1">
        <f t="array" ref="F168">IFERROR(INDEX($B$1:$B$301,SMALL(IF($B$1:$B$301&lt;&gt;"",ROW($B$1:$B$301),4^8),ROW(168:168)))&amp;"","")</f>
        <v/>
      </c>
    </row>
    <row r="169" spans="1:6" ht="16.5" customHeight="1" x14ac:dyDescent="0.15">
      <c r="A169" s="68">
        <v>168</v>
      </c>
      <c r="B169" s="69" t="str">
        <f>IF(法术书!AM20="","",法术书!AM20)</f>
        <v/>
      </c>
      <c r="C169" s="69" t="str">
        <f>IFERROR(VLOOKUP(B169,法术大全!$A:$W,5,FALSE),"")</f>
        <v/>
      </c>
      <c r="D169" s="70" t="str">
        <f>IFERROR(VLOOKUP(B169,法术大全!$A:$W,4,FALSE),"")</f>
        <v/>
      </c>
      <c r="E169" s="68">
        <v>168</v>
      </c>
      <c r="F169" s="71" t="str" cm="1">
        <f t="array" ref="F169">IFERROR(INDEX($B$1:$B$301,SMALL(IF($B$1:$B$301&lt;&gt;"",ROW($B$1:$B$301),4^8),ROW(169:169)))&amp;"","")</f>
        <v/>
      </c>
    </row>
    <row r="170" spans="1:6" ht="16.5" customHeight="1" x14ac:dyDescent="0.15">
      <c r="A170" s="68">
        <v>169</v>
      </c>
      <c r="B170" s="69" t="str">
        <f>IF(法术书!AM21="","",法术书!AM21)</f>
        <v/>
      </c>
      <c r="C170" s="69" t="str">
        <f>IFERROR(VLOOKUP(B170,法术大全!$A:$W,5,FALSE),"")</f>
        <v/>
      </c>
      <c r="D170" s="70" t="str">
        <f>IFERROR(VLOOKUP(B170,法术大全!$A:$W,4,FALSE),"")</f>
        <v/>
      </c>
      <c r="E170" s="68">
        <v>169</v>
      </c>
      <c r="F170" s="71" t="str" cm="1">
        <f t="array" ref="F170">IFERROR(INDEX($B$1:$B$301,SMALL(IF($B$1:$B$301&lt;&gt;"",ROW($B$1:$B$301),4^8),ROW(170:170)))&amp;"","")</f>
        <v/>
      </c>
    </row>
    <row r="171" spans="1:6" ht="16.5" customHeight="1" x14ac:dyDescent="0.15">
      <c r="A171" s="68">
        <v>170</v>
      </c>
      <c r="B171" s="69" t="str">
        <f>IF(法术书!AM22="","",法术书!AM22)</f>
        <v/>
      </c>
      <c r="C171" s="69" t="str">
        <f>IFERROR(VLOOKUP(B171,法术大全!$A:$W,5,FALSE),"")</f>
        <v/>
      </c>
      <c r="D171" s="70" t="str">
        <f>IFERROR(VLOOKUP(B171,法术大全!$A:$W,4,FALSE),"")</f>
        <v/>
      </c>
      <c r="E171" s="68">
        <v>170</v>
      </c>
      <c r="F171" s="71" t="str" cm="1">
        <f t="array" ref="F171">IFERROR(INDEX($B$1:$B$301,SMALL(IF($B$1:$B$301&lt;&gt;"",ROW($B$1:$B$301),4^8),ROW(171:171)))&amp;"","")</f>
        <v/>
      </c>
    </row>
    <row r="172" spans="1:6" ht="16.5" customHeight="1" x14ac:dyDescent="0.15">
      <c r="A172" s="68">
        <v>171</v>
      </c>
      <c r="B172" s="69" t="str">
        <f>IF(法术书!AM23="","",法术书!AM23)</f>
        <v/>
      </c>
      <c r="C172" s="69" t="str">
        <f>IFERROR(VLOOKUP(B172,法术大全!$A:$W,5,FALSE),"")</f>
        <v/>
      </c>
      <c r="D172" s="70" t="str">
        <f>IFERROR(VLOOKUP(B172,法术大全!$A:$W,4,FALSE),"")</f>
        <v/>
      </c>
      <c r="E172" s="68">
        <v>171</v>
      </c>
      <c r="F172" s="71" t="str" cm="1">
        <f t="array" ref="F172">IFERROR(INDEX($B$1:$B$301,SMALL(IF($B$1:$B$301&lt;&gt;"",ROW($B$1:$B$301),4^8),ROW(172:172)))&amp;"","")</f>
        <v/>
      </c>
    </row>
    <row r="173" spans="1:6" ht="16.5" customHeight="1" x14ac:dyDescent="0.15">
      <c r="A173" s="68">
        <v>172</v>
      </c>
      <c r="B173" s="69" t="str">
        <f>IF(法术书!AM24="","",法术书!AM24)</f>
        <v/>
      </c>
      <c r="C173" s="69" t="str">
        <f>IFERROR(VLOOKUP(B173,法术大全!$A:$W,5,FALSE),"")</f>
        <v/>
      </c>
      <c r="D173" s="70" t="str">
        <f>IFERROR(VLOOKUP(B173,法术大全!$A:$W,4,FALSE),"")</f>
        <v/>
      </c>
      <c r="E173" s="68">
        <v>172</v>
      </c>
      <c r="F173" s="71" t="str" cm="1">
        <f t="array" ref="F173">IFERROR(INDEX($B$1:$B$301,SMALL(IF($B$1:$B$301&lt;&gt;"",ROW($B$1:$B$301),4^8),ROW(173:173)))&amp;"","")</f>
        <v/>
      </c>
    </row>
    <row r="174" spans="1:6" ht="16.5" customHeight="1" x14ac:dyDescent="0.15">
      <c r="A174" s="68">
        <v>173</v>
      </c>
      <c r="B174" s="69" t="str">
        <f>IF(法术书!AM25="","",法术书!AM25)</f>
        <v/>
      </c>
      <c r="C174" s="69" t="str">
        <f>IFERROR(VLOOKUP(B174,法术大全!$A:$W,5,FALSE),"")</f>
        <v/>
      </c>
      <c r="D174" s="70" t="str">
        <f>IFERROR(VLOOKUP(B174,法术大全!$A:$W,4,FALSE),"")</f>
        <v/>
      </c>
      <c r="E174" s="68">
        <v>173</v>
      </c>
      <c r="F174" s="71" t="str" cm="1">
        <f t="array" ref="F174">IFERROR(INDEX($B$1:$B$301,SMALL(IF($B$1:$B$301&lt;&gt;"",ROW($B$1:$B$301),4^8),ROW(174:174)))&amp;"","")</f>
        <v/>
      </c>
    </row>
    <row r="175" spans="1:6" ht="16.5" customHeight="1" x14ac:dyDescent="0.15">
      <c r="A175" s="68">
        <v>174</v>
      </c>
      <c r="B175" s="69" t="str">
        <f>IF(法术书!AM26="","",法术书!AM26)</f>
        <v/>
      </c>
      <c r="C175" s="69" t="str">
        <f>IFERROR(VLOOKUP(B175,法术大全!$A:$W,5,FALSE),"")</f>
        <v/>
      </c>
      <c r="D175" s="70" t="str">
        <f>IFERROR(VLOOKUP(B175,法术大全!$A:$W,4,FALSE),"")</f>
        <v/>
      </c>
      <c r="E175" s="68">
        <v>174</v>
      </c>
      <c r="F175" s="71" t="str" cm="1">
        <f t="array" ref="F175">IFERROR(INDEX($B$1:$B$301,SMALL(IF($B$1:$B$301&lt;&gt;"",ROW($B$1:$B$301),4^8),ROW(175:175)))&amp;"","")</f>
        <v/>
      </c>
    </row>
    <row r="176" spans="1:6" ht="16.5" customHeight="1" x14ac:dyDescent="0.15">
      <c r="A176" s="68">
        <v>175</v>
      </c>
      <c r="B176" s="69" t="str">
        <f>IF(法术书!AM27="","",法术书!AM27)</f>
        <v/>
      </c>
      <c r="C176" s="69" t="str">
        <f>IFERROR(VLOOKUP(B176,法术大全!$A:$W,5,FALSE),"")</f>
        <v/>
      </c>
      <c r="D176" s="70" t="str">
        <f>IFERROR(VLOOKUP(B176,法术大全!$A:$W,4,FALSE),"")</f>
        <v/>
      </c>
      <c r="E176" s="68">
        <v>175</v>
      </c>
      <c r="F176" s="71" t="str" cm="1">
        <f t="array" ref="F176">IFERROR(INDEX($B$1:$B$301,SMALL(IF($B$1:$B$301&lt;&gt;"",ROW($B$1:$B$301),4^8),ROW(176:176)))&amp;"","")</f>
        <v/>
      </c>
    </row>
    <row r="177" spans="1:6" ht="16.5" customHeight="1" x14ac:dyDescent="0.15">
      <c r="A177" s="68">
        <v>176</v>
      </c>
      <c r="B177" s="69" t="str">
        <f>IF(法术书!AM28="","",法术书!AM28)</f>
        <v/>
      </c>
      <c r="C177" s="69" t="str">
        <f>IFERROR(VLOOKUP(B177,法术大全!$A:$W,5,FALSE),"")</f>
        <v/>
      </c>
      <c r="D177" s="70" t="str">
        <f>IFERROR(VLOOKUP(B177,法术大全!$A:$W,4,FALSE),"")</f>
        <v/>
      </c>
      <c r="E177" s="68">
        <v>176</v>
      </c>
      <c r="F177" s="71" t="str" cm="1">
        <f t="array" ref="F177">IFERROR(INDEX($B$1:$B$301,SMALL(IF($B$1:$B$301&lt;&gt;"",ROW($B$1:$B$301),4^8),ROW(177:177)))&amp;"","")</f>
        <v/>
      </c>
    </row>
    <row r="178" spans="1:6" ht="16.5" customHeight="1" x14ac:dyDescent="0.15">
      <c r="A178" s="68">
        <v>177</v>
      </c>
      <c r="B178" s="69" t="str">
        <f>IF(法术书!AM29="","",法术书!AM29)</f>
        <v/>
      </c>
      <c r="C178" s="69" t="str">
        <f>IFERROR(VLOOKUP(B178,法术大全!$A:$W,5,FALSE),"")</f>
        <v/>
      </c>
      <c r="D178" s="70" t="str">
        <f>IFERROR(VLOOKUP(B178,法术大全!$A:$W,4,FALSE),"")</f>
        <v/>
      </c>
      <c r="E178" s="68">
        <v>177</v>
      </c>
      <c r="F178" s="71" t="str" cm="1">
        <f t="array" ref="F178">IFERROR(INDEX($B$1:$B$301,SMALL(IF($B$1:$B$301&lt;&gt;"",ROW($B$1:$B$301),4^8),ROW(178:178)))&amp;"","")</f>
        <v/>
      </c>
    </row>
    <row r="179" spans="1:6" ht="16.5" customHeight="1" x14ac:dyDescent="0.15">
      <c r="A179" s="68">
        <v>178</v>
      </c>
      <c r="B179" s="69" t="str">
        <f>IF(法术书!AM30="","",法术书!AM30)</f>
        <v/>
      </c>
      <c r="C179" s="69" t="str">
        <f>IFERROR(VLOOKUP(B179,法术大全!$A:$W,5,FALSE),"")</f>
        <v/>
      </c>
      <c r="D179" s="70" t="str">
        <f>IFERROR(VLOOKUP(B179,法术大全!$A:$W,4,FALSE),"")</f>
        <v/>
      </c>
      <c r="E179" s="68">
        <v>178</v>
      </c>
      <c r="F179" s="71" t="str" cm="1">
        <f t="array" ref="F179">IFERROR(INDEX($B$1:$B$301,SMALL(IF($B$1:$B$301&lt;&gt;"",ROW($B$1:$B$301),4^8),ROW(179:179)))&amp;"","")</f>
        <v/>
      </c>
    </row>
    <row r="180" spans="1:6" ht="16.5" customHeight="1" x14ac:dyDescent="0.15">
      <c r="A180" s="68">
        <v>179</v>
      </c>
      <c r="B180" s="69" t="str">
        <f>IF(法术书!AM31="","",法术书!AM31)</f>
        <v/>
      </c>
      <c r="C180" s="69" t="str">
        <f>IFERROR(VLOOKUP(B180,法术大全!$A:$W,5,FALSE),"")</f>
        <v/>
      </c>
      <c r="D180" s="70" t="str">
        <f>IFERROR(VLOOKUP(B180,法术大全!$A:$W,4,FALSE),"")</f>
        <v/>
      </c>
      <c r="E180" s="68">
        <v>179</v>
      </c>
      <c r="F180" s="71" t="str" cm="1">
        <f t="array" ref="F180">IFERROR(INDEX($B$1:$B$301,SMALL(IF($B$1:$B$301&lt;&gt;"",ROW($B$1:$B$301),4^8),ROW(180:180)))&amp;"","")</f>
        <v/>
      </c>
    </row>
    <row r="181" spans="1:6" ht="16.5" customHeight="1" x14ac:dyDescent="0.15">
      <c r="A181" s="68">
        <v>180</v>
      </c>
      <c r="B181" s="69" t="str">
        <f>IF(法术书!AM32="","",法术书!AM32)</f>
        <v/>
      </c>
      <c r="C181" s="69" t="str">
        <f>IFERROR(VLOOKUP(B181,法术大全!$A:$W,5,FALSE),"")</f>
        <v/>
      </c>
      <c r="D181" s="70" t="str">
        <f>IFERROR(VLOOKUP(B181,法术大全!$A:$W,4,FALSE),"")</f>
        <v/>
      </c>
      <c r="E181" s="68">
        <v>180</v>
      </c>
      <c r="F181" s="71" t="str" cm="1">
        <f t="array" ref="F181">IFERROR(INDEX($B$1:$B$301,SMALL(IF($B$1:$B$301&lt;&gt;"",ROW($B$1:$B$301),4^8),ROW(181:181)))&amp;"","")</f>
        <v/>
      </c>
    </row>
    <row r="182" spans="1:6" ht="16.5" customHeight="1" x14ac:dyDescent="0.15">
      <c r="A182" s="68">
        <v>181</v>
      </c>
      <c r="B182" s="69" t="str">
        <f>IF(法术书!AM33="","",法术书!AM33)</f>
        <v/>
      </c>
      <c r="C182" s="69" t="str">
        <f>IFERROR(VLOOKUP(B182,法术大全!$A:$W,5,FALSE),"")</f>
        <v/>
      </c>
      <c r="D182" s="70" t="str">
        <f>IFERROR(VLOOKUP(B182,法术大全!$A:$W,4,FALSE),"")</f>
        <v/>
      </c>
      <c r="E182" s="68">
        <v>181</v>
      </c>
      <c r="F182" s="71" t="str" cm="1">
        <f t="array" ref="F182">IFERROR(INDEX($B$1:$B$301,SMALL(IF($B$1:$B$301&lt;&gt;"",ROW($B$1:$B$301),4^8),ROW(182:182)))&amp;"","")</f>
        <v/>
      </c>
    </row>
    <row r="183" spans="1:6" ht="16.5" customHeight="1" x14ac:dyDescent="0.15">
      <c r="A183" s="68">
        <v>182</v>
      </c>
      <c r="B183" s="69" t="str">
        <f>IF(法术书!AM34="","",法术书!AM34)</f>
        <v/>
      </c>
      <c r="C183" s="69" t="str">
        <f>IFERROR(VLOOKUP(B183,法术大全!$A:$W,5,FALSE),"")</f>
        <v/>
      </c>
      <c r="D183" s="70" t="str">
        <f>IFERROR(VLOOKUP(B183,法术大全!$A:$W,4,FALSE),"")</f>
        <v/>
      </c>
      <c r="E183" s="68">
        <v>182</v>
      </c>
      <c r="F183" s="71" t="str" cm="1">
        <f t="array" ref="F183">IFERROR(INDEX($B$1:$B$301,SMALL(IF($B$1:$B$301&lt;&gt;"",ROW($B$1:$B$301),4^8),ROW(183:183)))&amp;"","")</f>
        <v/>
      </c>
    </row>
    <row r="184" spans="1:6" ht="16.5" customHeight="1" x14ac:dyDescent="0.15">
      <c r="A184" s="68">
        <v>183</v>
      </c>
      <c r="B184" s="69" t="str">
        <f>IF(法术书!AM35="","",法术书!AM35)</f>
        <v/>
      </c>
      <c r="C184" s="69" t="str">
        <f>IFERROR(VLOOKUP(B184,法术大全!$A:$W,5,FALSE),"")</f>
        <v/>
      </c>
      <c r="D184" s="70" t="str">
        <f>IFERROR(VLOOKUP(B184,法术大全!$A:$W,4,FALSE),"")</f>
        <v/>
      </c>
      <c r="E184" s="68">
        <v>183</v>
      </c>
      <c r="F184" s="71" t="str" cm="1">
        <f t="array" ref="F184">IFERROR(INDEX($B$1:$B$301,SMALL(IF($B$1:$B$301&lt;&gt;"",ROW($B$1:$B$301),4^8),ROW(184:184)))&amp;"","")</f>
        <v/>
      </c>
    </row>
    <row r="185" spans="1:6" ht="16.5" customHeight="1" x14ac:dyDescent="0.15">
      <c r="A185" s="68">
        <v>184</v>
      </c>
      <c r="B185" s="69" t="str">
        <f>IF(法术书!AM36="","",法术书!AM36)</f>
        <v/>
      </c>
      <c r="C185" s="69" t="str">
        <f>IFERROR(VLOOKUP(B185,法术大全!$A:$W,5,FALSE),"")</f>
        <v/>
      </c>
      <c r="D185" s="70" t="str">
        <f>IFERROR(VLOOKUP(B185,法术大全!$A:$W,4,FALSE),"")</f>
        <v/>
      </c>
      <c r="E185" s="68">
        <v>184</v>
      </c>
      <c r="F185" s="71" t="str" cm="1">
        <f t="array" ref="F185">IFERROR(INDEX($B$1:$B$301,SMALL(IF($B$1:$B$301&lt;&gt;"",ROW($B$1:$B$301),4^8),ROW(185:185)))&amp;"","")</f>
        <v/>
      </c>
    </row>
    <row r="186" spans="1:6" ht="16.5" customHeight="1" x14ac:dyDescent="0.15">
      <c r="A186" s="68">
        <v>185</v>
      </c>
      <c r="B186" s="69" t="str">
        <f>IF(法术书!AM37="","",法术书!AM37)</f>
        <v/>
      </c>
      <c r="C186" s="69" t="str">
        <f>IFERROR(VLOOKUP(B186,法术大全!$A:$W,5,FALSE),"")</f>
        <v/>
      </c>
      <c r="D186" s="70" t="str">
        <f>IFERROR(VLOOKUP(B186,法术大全!$A:$W,4,FALSE),"")</f>
        <v/>
      </c>
      <c r="E186" s="68">
        <v>185</v>
      </c>
      <c r="F186" s="71" t="str" cm="1">
        <f t="array" ref="F186">IFERROR(INDEX($B$1:$B$301,SMALL(IF($B$1:$B$301&lt;&gt;"",ROW($B$1:$B$301),4^8),ROW(186:186)))&amp;"","")</f>
        <v/>
      </c>
    </row>
    <row r="187" spans="1:6" ht="16.5" customHeight="1" x14ac:dyDescent="0.15">
      <c r="A187" s="68">
        <v>186</v>
      </c>
      <c r="B187" s="69" t="str">
        <f>IF(法术书!AM38="","",法术书!AM38)</f>
        <v/>
      </c>
      <c r="C187" s="69" t="str">
        <f>IFERROR(VLOOKUP(B187,法术大全!$A:$W,5,FALSE),"")</f>
        <v/>
      </c>
      <c r="D187" s="70" t="str">
        <f>IFERROR(VLOOKUP(B187,法术大全!$A:$W,4,FALSE),"")</f>
        <v/>
      </c>
      <c r="E187" s="68">
        <v>186</v>
      </c>
      <c r="F187" s="71" t="str" cm="1">
        <f t="array" ref="F187">IFERROR(INDEX($B$1:$B$301,SMALL(IF($B$1:$B$301&lt;&gt;"",ROW($B$1:$B$301),4^8),ROW(187:187)))&amp;"","")</f>
        <v/>
      </c>
    </row>
    <row r="188" spans="1:6" ht="16.5" customHeight="1" x14ac:dyDescent="0.15">
      <c r="A188" s="68">
        <v>187</v>
      </c>
      <c r="B188" s="69" t="str">
        <f>IF(法术书!AM39="","",法术书!AM39)</f>
        <v/>
      </c>
      <c r="C188" s="69" t="str">
        <f>IFERROR(VLOOKUP(B188,法术大全!$A:$W,5,FALSE),"")</f>
        <v/>
      </c>
      <c r="D188" s="70" t="str">
        <f>IFERROR(VLOOKUP(B188,法术大全!$A:$W,4,FALSE),"")</f>
        <v/>
      </c>
      <c r="E188" s="68">
        <v>187</v>
      </c>
      <c r="F188" s="71" t="str" cm="1">
        <f t="array" ref="F188">IFERROR(INDEX($B$1:$B$301,SMALL(IF($B$1:$B$301&lt;&gt;"",ROW($B$1:$B$301),4^8),ROW(188:188)))&amp;"","")</f>
        <v/>
      </c>
    </row>
    <row r="189" spans="1:6" ht="16.5" customHeight="1" x14ac:dyDescent="0.15">
      <c r="A189" s="68">
        <v>188</v>
      </c>
      <c r="B189" s="69" t="str">
        <f>IF(法术书!AM40="","",法术书!AM40)</f>
        <v/>
      </c>
      <c r="C189" s="69" t="str">
        <f>IFERROR(VLOOKUP(B189,法术大全!$A:$W,5,FALSE),"")</f>
        <v/>
      </c>
      <c r="D189" s="70" t="str">
        <f>IFERROR(VLOOKUP(B189,法术大全!$A:$W,4,FALSE),"")</f>
        <v/>
      </c>
      <c r="E189" s="68">
        <v>188</v>
      </c>
      <c r="F189" s="71" t="str" cm="1">
        <f t="array" ref="F189">IFERROR(INDEX($B$1:$B$301,SMALL(IF($B$1:$B$301&lt;&gt;"",ROW($B$1:$B$301),4^8),ROW(189:189)))&amp;"","")</f>
        <v/>
      </c>
    </row>
    <row r="190" spans="1:6" ht="16.5" customHeight="1" x14ac:dyDescent="0.15">
      <c r="A190" s="68">
        <v>189</v>
      </c>
      <c r="B190" s="69" t="str">
        <f>IF(法术书!AM41="","",法术书!AM41)</f>
        <v/>
      </c>
      <c r="C190" s="69" t="str">
        <f>IFERROR(VLOOKUP(B190,法术大全!$A:$W,5,FALSE),"")</f>
        <v/>
      </c>
      <c r="D190" s="70" t="str">
        <f>IFERROR(VLOOKUP(B190,法术大全!$A:$W,4,FALSE),"")</f>
        <v/>
      </c>
      <c r="E190" s="68">
        <v>189</v>
      </c>
      <c r="F190" s="71" t="str" cm="1">
        <f t="array" ref="F190">IFERROR(INDEX($B$1:$B$301,SMALL(IF($B$1:$B$301&lt;&gt;"",ROW($B$1:$B$301),4^8),ROW(190:190)))&amp;"","")</f>
        <v/>
      </c>
    </row>
    <row r="191" spans="1:6" ht="16.5" customHeight="1" x14ac:dyDescent="0.15">
      <c r="A191" s="68">
        <v>190</v>
      </c>
      <c r="B191" s="69" t="str">
        <f>IF(法术书!AM42="","",法术书!AM42)</f>
        <v/>
      </c>
      <c r="C191" s="69" t="str">
        <f>IFERROR(VLOOKUP(B191,法术大全!$A:$W,5,FALSE),"")</f>
        <v/>
      </c>
      <c r="D191" s="70" t="str">
        <f>IFERROR(VLOOKUP(B191,法术大全!$A:$W,4,FALSE),"")</f>
        <v/>
      </c>
      <c r="E191" s="68">
        <v>190</v>
      </c>
      <c r="F191" s="71" t="str" cm="1">
        <f t="array" ref="F191">IFERROR(INDEX($B$1:$B$301,SMALL(IF($B$1:$B$301&lt;&gt;"",ROW($B$1:$B$301),4^8),ROW(191:191)))&amp;"","")</f>
        <v/>
      </c>
    </row>
    <row r="192" spans="1:6" ht="16.5" customHeight="1" x14ac:dyDescent="0.15">
      <c r="A192" s="68">
        <v>191</v>
      </c>
      <c r="B192" s="69" t="str">
        <f>IF(法术书!AM43="","",法术书!AM43)</f>
        <v/>
      </c>
      <c r="C192" s="69" t="str">
        <f>IFERROR(VLOOKUP(B192,法术大全!$A:$W,5,FALSE),"")</f>
        <v/>
      </c>
      <c r="D192" s="70" t="str">
        <f>IFERROR(VLOOKUP(B192,法术大全!$A:$W,4,FALSE),"")</f>
        <v/>
      </c>
      <c r="E192" s="68">
        <v>191</v>
      </c>
      <c r="F192" s="71" t="str" cm="1">
        <f t="array" ref="F192">IFERROR(INDEX($B$1:$B$301,SMALL(IF($B$1:$B$301&lt;&gt;"",ROW($B$1:$B$301),4^8),ROW(192:192)))&amp;"","")</f>
        <v/>
      </c>
    </row>
    <row r="193" spans="1:6" ht="16.5" customHeight="1" x14ac:dyDescent="0.15">
      <c r="A193" s="68">
        <v>192</v>
      </c>
      <c r="B193" s="69" t="str">
        <f>IF(法术书!AM44="","",法术书!AM44)</f>
        <v/>
      </c>
      <c r="C193" s="69" t="str">
        <f>IFERROR(VLOOKUP(B193,法术大全!$A:$W,5,FALSE),"")</f>
        <v/>
      </c>
      <c r="D193" s="70" t="str">
        <f>IFERROR(VLOOKUP(B193,法术大全!$A:$W,4,FALSE),"")</f>
        <v/>
      </c>
      <c r="E193" s="68">
        <v>192</v>
      </c>
      <c r="F193" s="71" t="str" cm="1">
        <f t="array" ref="F193">IFERROR(INDEX($B$1:$B$301,SMALL(IF($B$1:$B$301&lt;&gt;"",ROW($B$1:$B$301),4^8),ROW(193:193)))&amp;"","")</f>
        <v/>
      </c>
    </row>
    <row r="194" spans="1:6" ht="16.5" customHeight="1" x14ac:dyDescent="0.15">
      <c r="A194" s="68">
        <v>193</v>
      </c>
      <c r="B194" s="69" t="str">
        <f>IF(法术书!AM45="","",法术书!AM45)</f>
        <v/>
      </c>
      <c r="C194" s="69" t="str">
        <f>IFERROR(VLOOKUP(B194,法术大全!$A:$W,5,FALSE),"")</f>
        <v/>
      </c>
      <c r="D194" s="70" t="str">
        <f>IFERROR(VLOOKUP(B194,法术大全!$A:$W,4,FALSE),"")</f>
        <v/>
      </c>
      <c r="E194" s="68">
        <v>193</v>
      </c>
      <c r="F194" s="71" t="str" cm="1">
        <f t="array" ref="F194">IFERROR(INDEX($B$1:$B$301,SMALL(IF($B$1:$B$301&lt;&gt;"",ROW($B$1:$B$301),4^8),ROW(194:194)))&amp;"","")</f>
        <v/>
      </c>
    </row>
    <row r="195" spans="1:6" ht="16.5" customHeight="1" x14ac:dyDescent="0.15">
      <c r="A195" s="68">
        <v>194</v>
      </c>
      <c r="B195" s="69" t="str">
        <f>IF(法术书!AM46="","",法术书!AM46)</f>
        <v/>
      </c>
      <c r="C195" s="69" t="str">
        <f>IFERROR(VLOOKUP(B195,法术大全!$A:$W,5,FALSE),"")</f>
        <v/>
      </c>
      <c r="D195" s="70" t="str">
        <f>IFERROR(VLOOKUP(B195,法术大全!$A:$W,4,FALSE),"")</f>
        <v/>
      </c>
      <c r="E195" s="68">
        <v>194</v>
      </c>
      <c r="F195" s="71" t="str" cm="1">
        <f t="array" ref="F195">IFERROR(INDEX($B$1:$B$301,SMALL(IF($B$1:$B$301&lt;&gt;"",ROW($B$1:$B$301),4^8),ROW(195:195)))&amp;"","")</f>
        <v/>
      </c>
    </row>
    <row r="196" spans="1:6" ht="16.5" customHeight="1" x14ac:dyDescent="0.15">
      <c r="A196" s="68">
        <v>195</v>
      </c>
      <c r="B196" s="69" t="str">
        <f>IF(法术书!AM47="","",法术书!AM47)</f>
        <v/>
      </c>
      <c r="C196" s="69" t="str">
        <f>IFERROR(VLOOKUP(B196,法术大全!$A:$W,5,FALSE),"")</f>
        <v/>
      </c>
      <c r="D196" s="70" t="str">
        <f>IFERROR(VLOOKUP(B196,法术大全!$A:$W,4,FALSE),"")</f>
        <v/>
      </c>
      <c r="E196" s="68">
        <v>195</v>
      </c>
      <c r="F196" s="71" t="str" cm="1">
        <f t="array" ref="F196">IFERROR(INDEX($B$1:$B$301,SMALL(IF($B$1:$B$301&lt;&gt;"",ROW($B$1:$B$301),4^8),ROW(196:196)))&amp;"","")</f>
        <v/>
      </c>
    </row>
    <row r="197" spans="1:6" ht="16.5" customHeight="1" x14ac:dyDescent="0.15">
      <c r="A197" s="68">
        <v>196</v>
      </c>
      <c r="B197" s="69" t="str">
        <f>IF(法术书!AM48="","",法术书!AM48)</f>
        <v/>
      </c>
      <c r="C197" s="69" t="str">
        <f>IFERROR(VLOOKUP(B197,法术大全!$A:$W,5,FALSE),"")</f>
        <v/>
      </c>
      <c r="D197" s="70" t="str">
        <f>IFERROR(VLOOKUP(B197,法术大全!$A:$W,4,FALSE),"")</f>
        <v/>
      </c>
      <c r="E197" s="68">
        <v>196</v>
      </c>
      <c r="F197" s="71" t="str" cm="1">
        <f t="array" ref="F197">IFERROR(INDEX($B$1:$B$301,SMALL(IF($B$1:$B$301&lt;&gt;"",ROW($B$1:$B$301),4^8),ROW(197:197)))&amp;"","")</f>
        <v/>
      </c>
    </row>
    <row r="198" spans="1:6" ht="16.5" customHeight="1" x14ac:dyDescent="0.15">
      <c r="A198" s="68">
        <v>197</v>
      </c>
      <c r="B198" s="69" t="str">
        <f>IF(法术书!AM49="","",法术书!AM49)</f>
        <v/>
      </c>
      <c r="C198" s="69" t="str">
        <f>IFERROR(VLOOKUP(B198,法术大全!$A:$W,5,FALSE),"")</f>
        <v/>
      </c>
      <c r="D198" s="70" t="str">
        <f>IFERROR(VLOOKUP(B198,法术大全!$A:$W,4,FALSE),"")</f>
        <v/>
      </c>
      <c r="E198" s="68">
        <v>197</v>
      </c>
      <c r="F198" s="71" t="str" cm="1">
        <f t="array" ref="F198">IFERROR(INDEX($B$1:$B$301,SMALL(IF($B$1:$B$301&lt;&gt;"",ROW($B$1:$B$301),4^8),ROW(198:198)))&amp;"","")</f>
        <v/>
      </c>
    </row>
    <row r="199" spans="1:6" ht="16.5" customHeight="1" x14ac:dyDescent="0.15">
      <c r="A199" s="68">
        <v>198</v>
      </c>
      <c r="B199" s="69" t="str">
        <f>IF(法术书!AM50="","",法术书!AM50)</f>
        <v/>
      </c>
      <c r="C199" s="69" t="str">
        <f>IFERROR(VLOOKUP(B199,法术大全!$A:$W,5,FALSE),"")</f>
        <v/>
      </c>
      <c r="D199" s="70" t="str">
        <f>IFERROR(VLOOKUP(B199,法术大全!$A:$W,4,FALSE),"")</f>
        <v/>
      </c>
      <c r="E199" s="68">
        <v>198</v>
      </c>
      <c r="F199" s="71" t="str" cm="1">
        <f t="array" ref="F199">IFERROR(INDEX($B$1:$B$301,SMALL(IF($B$1:$B$301&lt;&gt;"",ROW($B$1:$B$301),4^8),ROW(199:199)))&amp;"","")</f>
        <v/>
      </c>
    </row>
    <row r="200" spans="1:6" ht="16.5" customHeight="1" x14ac:dyDescent="0.15">
      <c r="A200" s="68">
        <v>199</v>
      </c>
      <c r="B200" s="69" t="str">
        <f>IF(法术书!AM51="","",法术书!AM51)</f>
        <v/>
      </c>
      <c r="C200" s="69" t="str">
        <f>IFERROR(VLOOKUP(B200,法术大全!$A:$W,5,FALSE),"")</f>
        <v/>
      </c>
      <c r="D200" s="70" t="str">
        <f>IFERROR(VLOOKUP(B200,法术大全!$A:$W,4,FALSE),"")</f>
        <v/>
      </c>
      <c r="E200" s="68">
        <v>199</v>
      </c>
      <c r="F200" s="71" t="str" cm="1">
        <f t="array" ref="F200">IFERROR(INDEX($B$1:$B$301,SMALL(IF($B$1:$B$301&lt;&gt;"",ROW($B$1:$B$301),4^8),ROW(200:200)))&amp;"","")</f>
        <v/>
      </c>
    </row>
    <row r="201" spans="1:6" ht="16.5" customHeight="1" x14ac:dyDescent="0.15">
      <c r="A201" s="68">
        <v>200</v>
      </c>
      <c r="B201" s="69" t="str">
        <f>IF(法术书!AM52="","",法术书!AM52)</f>
        <v/>
      </c>
      <c r="C201" s="69" t="str">
        <f>IFERROR(VLOOKUP(B201,法术大全!$A:$W,5,FALSE),"")</f>
        <v/>
      </c>
      <c r="D201" s="70" t="str">
        <f>IFERROR(VLOOKUP(B201,法术大全!$A:$W,4,FALSE),"")</f>
        <v/>
      </c>
      <c r="E201" s="68">
        <v>200</v>
      </c>
      <c r="F201" s="71" t="str" cm="1">
        <f t="array" ref="F201">IFERROR(INDEX($B$1:$B$301,SMALL(IF($B$1:$B$301&lt;&gt;"",ROW($B$1:$B$301),4^8),ROW(201:201)))&amp;"","")</f>
        <v/>
      </c>
    </row>
    <row r="202" spans="1:6" ht="16.5" customHeight="1" x14ac:dyDescent="0.15">
      <c r="A202" s="68">
        <v>201</v>
      </c>
      <c r="B202" s="69" t="str">
        <f>IF(法术书!AR3="","",法术书!AR3)</f>
        <v/>
      </c>
      <c r="C202" s="69" t="str">
        <f>IFERROR(VLOOKUP(B202,法术大全!$A:$W,5,FALSE),"")</f>
        <v/>
      </c>
      <c r="D202" s="70" t="str">
        <f>IFERROR(VLOOKUP(B202,法术大全!$A:$W,4,FALSE),"")</f>
        <v/>
      </c>
      <c r="E202" s="68">
        <v>201</v>
      </c>
      <c r="F202" s="71" t="str" cm="1">
        <f t="array" ref="F202">IFERROR(INDEX($B$1:$B$301,SMALL(IF($B$1:$B$301&lt;&gt;"",ROW($B$1:$B$301),4^8),ROW(202:202)))&amp;"","")</f>
        <v/>
      </c>
    </row>
    <row r="203" spans="1:6" ht="16.5" customHeight="1" x14ac:dyDescent="0.15">
      <c r="A203" s="68">
        <v>202</v>
      </c>
      <c r="B203" s="69" t="str">
        <f>IF(法术书!AR4="","",法术书!AR4)</f>
        <v/>
      </c>
      <c r="C203" s="69" t="str">
        <f>IFERROR(VLOOKUP(B203,法术大全!$A:$W,5,FALSE),"")</f>
        <v/>
      </c>
      <c r="D203" s="70" t="str">
        <f>IFERROR(VLOOKUP(B203,法术大全!$A:$W,4,FALSE),"")</f>
        <v/>
      </c>
      <c r="E203" s="68">
        <v>202</v>
      </c>
      <c r="F203" s="71" t="str" cm="1">
        <f t="array" ref="F203">IFERROR(INDEX($B$1:$B$301,SMALL(IF($B$1:$B$301&lt;&gt;"",ROW($B$1:$B$301),4^8),ROW(203:203)))&amp;"","")</f>
        <v/>
      </c>
    </row>
    <row r="204" spans="1:6" ht="16.5" customHeight="1" x14ac:dyDescent="0.15">
      <c r="A204" s="68">
        <v>203</v>
      </c>
      <c r="B204" s="69" t="str">
        <f>IF(法术书!AR5="","",法术书!AR5)</f>
        <v/>
      </c>
      <c r="C204" s="69" t="str">
        <f>IFERROR(VLOOKUP(B204,法术大全!$A:$W,5,FALSE),"")</f>
        <v/>
      </c>
      <c r="D204" s="70" t="str">
        <f>IFERROR(VLOOKUP(B204,法术大全!$A:$W,4,FALSE),"")</f>
        <v/>
      </c>
      <c r="E204" s="68">
        <v>203</v>
      </c>
      <c r="F204" s="71" t="str" cm="1">
        <f t="array" ref="F204">IFERROR(INDEX($B$1:$B$301,SMALL(IF($B$1:$B$301&lt;&gt;"",ROW($B$1:$B$301),4^8),ROW(204:204)))&amp;"","")</f>
        <v/>
      </c>
    </row>
    <row r="205" spans="1:6" ht="16.5" customHeight="1" x14ac:dyDescent="0.15">
      <c r="A205" s="68">
        <v>204</v>
      </c>
      <c r="B205" s="69" t="str">
        <f>IF(法术书!AR6="","",法术书!AR6)</f>
        <v/>
      </c>
      <c r="C205" s="69" t="str">
        <f>IFERROR(VLOOKUP(B205,法术大全!$A:$W,5,FALSE),"")</f>
        <v/>
      </c>
      <c r="D205" s="70" t="str">
        <f>IFERROR(VLOOKUP(B205,法术大全!$A:$W,4,FALSE),"")</f>
        <v/>
      </c>
      <c r="E205" s="68">
        <v>204</v>
      </c>
      <c r="F205" s="71" t="str" cm="1">
        <f t="array" ref="F205">IFERROR(INDEX($B$1:$B$301,SMALL(IF($B$1:$B$301&lt;&gt;"",ROW($B$1:$B$301),4^8),ROW(205:205)))&amp;"","")</f>
        <v/>
      </c>
    </row>
    <row r="206" spans="1:6" ht="16.5" customHeight="1" x14ac:dyDescent="0.15">
      <c r="A206" s="68">
        <v>205</v>
      </c>
      <c r="B206" s="69" t="str">
        <f>IF(法术书!AR7="","",法术书!AR7)</f>
        <v/>
      </c>
      <c r="C206" s="69" t="str">
        <f>IFERROR(VLOOKUP(B206,法术大全!$A:$W,5,FALSE),"")</f>
        <v/>
      </c>
      <c r="D206" s="70" t="str">
        <f>IFERROR(VLOOKUP(B206,法术大全!$A:$W,4,FALSE),"")</f>
        <v/>
      </c>
      <c r="E206" s="68">
        <v>205</v>
      </c>
      <c r="F206" s="71" t="str" cm="1">
        <f t="array" ref="F206">IFERROR(INDEX($B$1:$B$301,SMALL(IF($B$1:$B$301&lt;&gt;"",ROW($B$1:$B$301),4^8),ROW(206:206)))&amp;"","")</f>
        <v/>
      </c>
    </row>
    <row r="207" spans="1:6" ht="16.5" customHeight="1" x14ac:dyDescent="0.15">
      <c r="A207" s="68">
        <v>206</v>
      </c>
      <c r="B207" s="69" t="str">
        <f>IF(法术书!AR8="","",法术书!AR8)</f>
        <v/>
      </c>
      <c r="C207" s="69" t="str">
        <f>IFERROR(VLOOKUP(B207,法术大全!$A:$W,5,FALSE),"")</f>
        <v/>
      </c>
      <c r="D207" s="70" t="str">
        <f>IFERROR(VLOOKUP(B207,法术大全!$A:$W,4,FALSE),"")</f>
        <v/>
      </c>
      <c r="E207" s="68">
        <v>206</v>
      </c>
      <c r="F207" s="71" t="str" cm="1">
        <f t="array" ref="F207">IFERROR(INDEX($B$1:$B$301,SMALL(IF($B$1:$B$301&lt;&gt;"",ROW($B$1:$B$301),4^8),ROW(207:207)))&amp;"","")</f>
        <v/>
      </c>
    </row>
    <row r="208" spans="1:6" ht="16.5" customHeight="1" x14ac:dyDescent="0.15">
      <c r="A208" s="68">
        <v>207</v>
      </c>
      <c r="B208" s="69" t="str">
        <f>IF(法术书!AR9="","",法术书!AR9)</f>
        <v/>
      </c>
      <c r="C208" s="69" t="str">
        <f>IFERROR(VLOOKUP(B208,法术大全!$A:$W,5,FALSE),"")</f>
        <v/>
      </c>
      <c r="D208" s="70" t="str">
        <f>IFERROR(VLOOKUP(B208,法术大全!$A:$W,4,FALSE),"")</f>
        <v/>
      </c>
      <c r="E208" s="68">
        <v>207</v>
      </c>
      <c r="F208" s="71" t="str" cm="1">
        <f t="array" ref="F208">IFERROR(INDEX($B$1:$B$301,SMALL(IF($B$1:$B$301&lt;&gt;"",ROW($B$1:$B$301),4^8),ROW(208:208)))&amp;"","")</f>
        <v/>
      </c>
    </row>
    <row r="209" spans="1:6" ht="16.5" customHeight="1" x14ac:dyDescent="0.15">
      <c r="A209" s="68">
        <v>208</v>
      </c>
      <c r="B209" s="69" t="str">
        <f>IF(法术书!AR10="","",法术书!AR10)</f>
        <v/>
      </c>
      <c r="C209" s="69" t="str">
        <f>IFERROR(VLOOKUP(B209,法术大全!$A:$W,5,FALSE),"")</f>
        <v/>
      </c>
      <c r="D209" s="70" t="str">
        <f>IFERROR(VLOOKUP(B209,法术大全!$A:$W,4,FALSE),"")</f>
        <v/>
      </c>
      <c r="E209" s="68">
        <v>208</v>
      </c>
      <c r="F209" s="71" t="str" cm="1">
        <f t="array" ref="F209">IFERROR(INDEX($B$1:$B$301,SMALL(IF($B$1:$B$301&lt;&gt;"",ROW($B$1:$B$301),4^8),ROW(209:209)))&amp;"","")</f>
        <v/>
      </c>
    </row>
    <row r="210" spans="1:6" ht="16.5" customHeight="1" x14ac:dyDescent="0.15">
      <c r="A210" s="68">
        <v>209</v>
      </c>
      <c r="B210" s="69" t="str">
        <f>IF(法术书!AR11="","",法术书!AR11)</f>
        <v/>
      </c>
      <c r="C210" s="69" t="str">
        <f>IFERROR(VLOOKUP(B210,法术大全!$A:$W,5,FALSE),"")</f>
        <v/>
      </c>
      <c r="D210" s="70" t="str">
        <f>IFERROR(VLOOKUP(B210,法术大全!$A:$W,4,FALSE),"")</f>
        <v/>
      </c>
      <c r="E210" s="68">
        <v>209</v>
      </c>
      <c r="F210" s="71" t="str" cm="1">
        <f t="array" ref="F210">IFERROR(INDEX($B$1:$B$301,SMALL(IF($B$1:$B$301&lt;&gt;"",ROW($B$1:$B$301),4^8),ROW(210:210)))&amp;"","")</f>
        <v/>
      </c>
    </row>
    <row r="211" spans="1:6" ht="16.5" customHeight="1" x14ac:dyDescent="0.15">
      <c r="A211" s="68">
        <v>210</v>
      </c>
      <c r="B211" s="69" t="str">
        <f>IF(法术书!AR12="","",法术书!AR12)</f>
        <v/>
      </c>
      <c r="C211" s="69" t="str">
        <f>IFERROR(VLOOKUP(B211,法术大全!$A:$W,5,FALSE),"")</f>
        <v/>
      </c>
      <c r="D211" s="70" t="str">
        <f>IFERROR(VLOOKUP(B211,法术大全!$A:$W,4,FALSE),"")</f>
        <v/>
      </c>
      <c r="E211" s="68">
        <v>210</v>
      </c>
      <c r="F211" s="71" t="str" cm="1">
        <f t="array" ref="F211">IFERROR(INDEX($B$1:$B$301,SMALL(IF($B$1:$B$301&lt;&gt;"",ROW($B$1:$B$301),4^8),ROW(211:211)))&amp;"","")</f>
        <v/>
      </c>
    </row>
    <row r="212" spans="1:6" ht="16.5" customHeight="1" x14ac:dyDescent="0.15">
      <c r="A212" s="68">
        <v>211</v>
      </c>
      <c r="B212" s="69" t="str">
        <f>IF(法术书!AR13="","",法术书!AR13)</f>
        <v/>
      </c>
      <c r="C212" s="69" t="str">
        <f>IFERROR(VLOOKUP(B212,法术大全!$A:$W,5,FALSE),"")</f>
        <v/>
      </c>
      <c r="D212" s="70" t="str">
        <f>IFERROR(VLOOKUP(B212,法术大全!$A:$W,4,FALSE),"")</f>
        <v/>
      </c>
      <c r="E212" s="68">
        <v>211</v>
      </c>
      <c r="F212" s="71" t="str" cm="1">
        <f t="array" ref="F212">IFERROR(INDEX($B$1:$B$301,SMALL(IF($B$1:$B$301&lt;&gt;"",ROW($B$1:$B$301),4^8),ROW(212:212)))&amp;"","")</f>
        <v/>
      </c>
    </row>
    <row r="213" spans="1:6" ht="16.5" customHeight="1" x14ac:dyDescent="0.15">
      <c r="A213" s="68">
        <v>212</v>
      </c>
      <c r="B213" s="69" t="str">
        <f>IF(法术书!AR14="","",法术书!AR14)</f>
        <v/>
      </c>
      <c r="C213" s="69" t="str">
        <f>IFERROR(VLOOKUP(B213,法术大全!$A:$W,5,FALSE),"")</f>
        <v/>
      </c>
      <c r="D213" s="70" t="str">
        <f>IFERROR(VLOOKUP(B213,法术大全!$A:$W,4,FALSE),"")</f>
        <v/>
      </c>
      <c r="E213" s="68">
        <v>212</v>
      </c>
      <c r="F213" s="71" t="str" cm="1">
        <f t="array" ref="F213">IFERROR(INDEX($B$1:$B$301,SMALL(IF($B$1:$B$301&lt;&gt;"",ROW($B$1:$B$301),4^8),ROW(213:213)))&amp;"","")</f>
        <v/>
      </c>
    </row>
    <row r="214" spans="1:6" ht="16.5" customHeight="1" x14ac:dyDescent="0.15">
      <c r="A214" s="68">
        <v>213</v>
      </c>
      <c r="B214" s="69" t="str">
        <f>IF(法术书!AR15="","",法术书!AR15)</f>
        <v/>
      </c>
      <c r="C214" s="69" t="str">
        <f>IFERROR(VLOOKUP(B214,法术大全!$A:$W,5,FALSE),"")</f>
        <v/>
      </c>
      <c r="D214" s="70" t="str">
        <f>IFERROR(VLOOKUP(B214,法术大全!$A:$W,4,FALSE),"")</f>
        <v/>
      </c>
      <c r="E214" s="68">
        <v>213</v>
      </c>
      <c r="F214" s="71" t="str" cm="1">
        <f t="array" ref="F214">IFERROR(INDEX($B$1:$B$301,SMALL(IF($B$1:$B$301&lt;&gt;"",ROW($B$1:$B$301),4^8),ROW(214:214)))&amp;"","")</f>
        <v/>
      </c>
    </row>
    <row r="215" spans="1:6" ht="16.5" customHeight="1" x14ac:dyDescent="0.15">
      <c r="A215" s="68">
        <v>214</v>
      </c>
      <c r="B215" s="69" t="str">
        <f>IF(法术书!AR16="","",法术书!AR16)</f>
        <v/>
      </c>
      <c r="C215" s="69" t="str">
        <f>IFERROR(VLOOKUP(B215,法术大全!$A:$W,5,FALSE),"")</f>
        <v/>
      </c>
      <c r="D215" s="70" t="str">
        <f>IFERROR(VLOOKUP(B215,法术大全!$A:$W,4,FALSE),"")</f>
        <v/>
      </c>
      <c r="E215" s="68">
        <v>214</v>
      </c>
      <c r="F215" s="71" t="str" cm="1">
        <f t="array" ref="F215">IFERROR(INDEX($B$1:$B$301,SMALL(IF($B$1:$B$301&lt;&gt;"",ROW($B$1:$B$301),4^8),ROW(215:215)))&amp;"","")</f>
        <v/>
      </c>
    </row>
    <row r="216" spans="1:6" ht="16.5" customHeight="1" x14ac:dyDescent="0.15">
      <c r="A216" s="68">
        <v>215</v>
      </c>
      <c r="B216" s="69" t="str">
        <f>IF(法术书!AR17="","",法术书!AR17)</f>
        <v/>
      </c>
      <c r="C216" s="69" t="str">
        <f>IFERROR(VLOOKUP(B216,法术大全!$A:$W,5,FALSE),"")</f>
        <v/>
      </c>
      <c r="D216" s="70" t="str">
        <f>IFERROR(VLOOKUP(B216,法术大全!$A:$W,4,FALSE),"")</f>
        <v/>
      </c>
      <c r="E216" s="68">
        <v>215</v>
      </c>
      <c r="F216" s="71" t="str" cm="1">
        <f t="array" ref="F216">IFERROR(INDEX($B$1:$B$301,SMALL(IF($B$1:$B$301&lt;&gt;"",ROW($B$1:$B$301),4^8),ROW(216:216)))&amp;"","")</f>
        <v/>
      </c>
    </row>
    <row r="217" spans="1:6" ht="16.5" customHeight="1" x14ac:dyDescent="0.15">
      <c r="A217" s="68">
        <v>216</v>
      </c>
      <c r="B217" s="69" t="str">
        <f>IF(法术书!AR18="","",法术书!AR18)</f>
        <v/>
      </c>
      <c r="C217" s="69" t="str">
        <f>IFERROR(VLOOKUP(B217,法术大全!$A:$W,5,FALSE),"")</f>
        <v/>
      </c>
      <c r="D217" s="70" t="str">
        <f>IFERROR(VLOOKUP(B217,法术大全!$A:$W,4,FALSE),"")</f>
        <v/>
      </c>
      <c r="E217" s="68">
        <v>216</v>
      </c>
      <c r="F217" s="71" t="str" cm="1">
        <f t="array" ref="F217">IFERROR(INDEX($B$1:$B$301,SMALL(IF($B$1:$B$301&lt;&gt;"",ROW($B$1:$B$301),4^8),ROW(217:217)))&amp;"","")</f>
        <v/>
      </c>
    </row>
    <row r="218" spans="1:6" ht="16.5" customHeight="1" x14ac:dyDescent="0.15">
      <c r="A218" s="68">
        <v>217</v>
      </c>
      <c r="B218" s="69" t="str">
        <f>IF(法术书!AR19="","",法术书!AR19)</f>
        <v/>
      </c>
      <c r="C218" s="69" t="str">
        <f>IFERROR(VLOOKUP(B218,法术大全!$A:$W,5,FALSE),"")</f>
        <v/>
      </c>
      <c r="D218" s="70" t="str">
        <f>IFERROR(VLOOKUP(B218,法术大全!$A:$W,4,FALSE),"")</f>
        <v/>
      </c>
      <c r="E218" s="68">
        <v>217</v>
      </c>
      <c r="F218" s="71" t="str" cm="1">
        <f t="array" ref="F218">IFERROR(INDEX($B$1:$B$301,SMALL(IF($B$1:$B$301&lt;&gt;"",ROW($B$1:$B$301),4^8),ROW(218:218)))&amp;"","")</f>
        <v/>
      </c>
    </row>
    <row r="219" spans="1:6" ht="16.5" customHeight="1" x14ac:dyDescent="0.15">
      <c r="A219" s="68">
        <v>218</v>
      </c>
      <c r="B219" s="69" t="str">
        <f>IF(法术书!AR20="","",法术书!AR20)</f>
        <v/>
      </c>
      <c r="C219" s="69" t="str">
        <f>IFERROR(VLOOKUP(B219,法术大全!$A:$W,5,FALSE),"")</f>
        <v/>
      </c>
      <c r="D219" s="70" t="str">
        <f>IFERROR(VLOOKUP(B219,法术大全!$A:$W,4,FALSE),"")</f>
        <v/>
      </c>
      <c r="E219" s="68">
        <v>218</v>
      </c>
      <c r="F219" s="71" t="str" cm="1">
        <f t="array" ref="F219">IFERROR(INDEX($B$1:$B$301,SMALL(IF($B$1:$B$301&lt;&gt;"",ROW($B$1:$B$301),4^8),ROW(219:219)))&amp;"","")</f>
        <v/>
      </c>
    </row>
    <row r="220" spans="1:6" ht="16.5" customHeight="1" x14ac:dyDescent="0.15">
      <c r="A220" s="68">
        <v>219</v>
      </c>
      <c r="B220" s="69" t="str">
        <f>IF(法术书!AR21="","",法术书!AR21)</f>
        <v/>
      </c>
      <c r="C220" s="69" t="str">
        <f>IFERROR(VLOOKUP(B220,法术大全!$A:$W,5,FALSE),"")</f>
        <v/>
      </c>
      <c r="D220" s="70" t="str">
        <f>IFERROR(VLOOKUP(B220,法术大全!$A:$W,4,FALSE),"")</f>
        <v/>
      </c>
      <c r="E220" s="68">
        <v>219</v>
      </c>
      <c r="F220" s="71" t="str" cm="1">
        <f t="array" ref="F220">IFERROR(INDEX($B$1:$B$301,SMALL(IF($B$1:$B$301&lt;&gt;"",ROW($B$1:$B$301),4^8),ROW(220:220)))&amp;"","")</f>
        <v/>
      </c>
    </row>
    <row r="221" spans="1:6" ht="16.5" customHeight="1" x14ac:dyDescent="0.15">
      <c r="A221" s="68">
        <v>220</v>
      </c>
      <c r="B221" s="69" t="str">
        <f>IF(法术书!AR22="","",法术书!AR22)</f>
        <v/>
      </c>
      <c r="C221" s="69" t="str">
        <f>IFERROR(VLOOKUP(B221,法术大全!$A:$W,5,FALSE),"")</f>
        <v/>
      </c>
      <c r="D221" s="70" t="str">
        <f>IFERROR(VLOOKUP(B221,法术大全!$A:$W,4,FALSE),"")</f>
        <v/>
      </c>
      <c r="E221" s="68">
        <v>220</v>
      </c>
      <c r="F221" s="71" t="str" cm="1">
        <f t="array" ref="F221">IFERROR(INDEX($B$1:$B$301,SMALL(IF($B$1:$B$301&lt;&gt;"",ROW($B$1:$B$301),4^8),ROW(221:221)))&amp;"","")</f>
        <v/>
      </c>
    </row>
    <row r="222" spans="1:6" ht="16.5" customHeight="1" x14ac:dyDescent="0.15">
      <c r="A222" s="68">
        <v>221</v>
      </c>
      <c r="B222" s="69" t="str">
        <f>IF(法术书!AR23="","",法术书!AR23)</f>
        <v/>
      </c>
      <c r="C222" s="69" t="str">
        <f>IFERROR(VLOOKUP(B222,法术大全!$A:$W,5,FALSE),"")</f>
        <v/>
      </c>
      <c r="D222" s="70" t="str">
        <f>IFERROR(VLOOKUP(B222,法术大全!$A:$W,4,FALSE),"")</f>
        <v/>
      </c>
      <c r="E222" s="68">
        <v>221</v>
      </c>
      <c r="F222" s="71" t="str" cm="1">
        <f t="array" ref="F222">IFERROR(INDEX($B$1:$B$301,SMALL(IF($B$1:$B$301&lt;&gt;"",ROW($B$1:$B$301),4^8),ROW(222:222)))&amp;"","")</f>
        <v/>
      </c>
    </row>
    <row r="223" spans="1:6" ht="16.5" customHeight="1" x14ac:dyDescent="0.15">
      <c r="A223" s="68">
        <v>222</v>
      </c>
      <c r="B223" s="69" t="str">
        <f>IF(法术书!AR24="","",法术书!AR24)</f>
        <v/>
      </c>
      <c r="C223" s="69" t="str">
        <f>IFERROR(VLOOKUP(B223,法术大全!$A:$W,5,FALSE),"")</f>
        <v/>
      </c>
      <c r="D223" s="70" t="str">
        <f>IFERROR(VLOOKUP(B223,法术大全!$A:$W,4,FALSE),"")</f>
        <v/>
      </c>
      <c r="E223" s="68">
        <v>222</v>
      </c>
      <c r="F223" s="71" t="str" cm="1">
        <f t="array" ref="F223">IFERROR(INDEX($B$1:$B$301,SMALL(IF($B$1:$B$301&lt;&gt;"",ROW($B$1:$B$301),4^8),ROW(223:223)))&amp;"","")</f>
        <v/>
      </c>
    </row>
    <row r="224" spans="1:6" ht="16.5" customHeight="1" x14ac:dyDescent="0.15">
      <c r="A224" s="68">
        <v>223</v>
      </c>
      <c r="B224" s="69" t="str">
        <f>IF(法术书!AR25="","",法术书!AR25)</f>
        <v/>
      </c>
      <c r="C224" s="69" t="str">
        <f>IFERROR(VLOOKUP(B224,法术大全!$A:$W,5,FALSE),"")</f>
        <v/>
      </c>
      <c r="D224" s="70" t="str">
        <f>IFERROR(VLOOKUP(B224,法术大全!$A:$W,4,FALSE),"")</f>
        <v/>
      </c>
      <c r="E224" s="68">
        <v>223</v>
      </c>
      <c r="F224" s="71" t="str" cm="1">
        <f t="array" ref="F224">IFERROR(INDEX($B$1:$B$301,SMALL(IF($B$1:$B$301&lt;&gt;"",ROW($B$1:$B$301),4^8),ROW(224:224)))&amp;"","")</f>
        <v/>
      </c>
    </row>
    <row r="225" spans="1:6" ht="16.5" customHeight="1" x14ac:dyDescent="0.15">
      <c r="A225" s="68">
        <v>224</v>
      </c>
      <c r="B225" s="69" t="str">
        <f>IF(法术书!AR26="","",法术书!AR26)</f>
        <v/>
      </c>
      <c r="C225" s="69" t="str">
        <f>IFERROR(VLOOKUP(B225,法术大全!$A:$W,5,FALSE),"")</f>
        <v/>
      </c>
      <c r="D225" s="70" t="str">
        <f>IFERROR(VLOOKUP(B225,法术大全!$A:$W,4,FALSE),"")</f>
        <v/>
      </c>
      <c r="E225" s="68">
        <v>224</v>
      </c>
      <c r="F225" s="71" t="str" cm="1">
        <f t="array" ref="F225">IFERROR(INDEX($B$1:$B$301,SMALL(IF($B$1:$B$301&lt;&gt;"",ROW($B$1:$B$301),4^8),ROW(225:225)))&amp;"","")</f>
        <v/>
      </c>
    </row>
    <row r="226" spans="1:6" ht="16.5" customHeight="1" x14ac:dyDescent="0.15">
      <c r="A226" s="68">
        <v>225</v>
      </c>
      <c r="B226" s="69" t="str">
        <f>IF(法术书!AR27="","",法术书!AR27)</f>
        <v/>
      </c>
      <c r="C226" s="69" t="str">
        <f>IFERROR(VLOOKUP(B226,法术大全!$A:$W,5,FALSE),"")</f>
        <v/>
      </c>
      <c r="D226" s="70" t="str">
        <f>IFERROR(VLOOKUP(B226,法术大全!$A:$W,4,FALSE),"")</f>
        <v/>
      </c>
      <c r="E226" s="68">
        <v>225</v>
      </c>
      <c r="F226" s="71" t="str" cm="1">
        <f t="array" ref="F226">IFERROR(INDEX($B$1:$B$301,SMALL(IF($B$1:$B$301&lt;&gt;"",ROW($B$1:$B$301),4^8),ROW(226:226)))&amp;"","")</f>
        <v/>
      </c>
    </row>
    <row r="227" spans="1:6" ht="16.5" customHeight="1" x14ac:dyDescent="0.15">
      <c r="A227" s="68">
        <v>226</v>
      </c>
      <c r="B227" s="69" t="str">
        <f>IF(法术书!AR28="","",法术书!AR28)</f>
        <v/>
      </c>
      <c r="C227" s="69" t="str">
        <f>IFERROR(VLOOKUP(B227,法术大全!$A:$W,5,FALSE),"")</f>
        <v/>
      </c>
      <c r="D227" s="70" t="str">
        <f>IFERROR(VLOOKUP(B227,法术大全!$A:$W,4,FALSE),"")</f>
        <v/>
      </c>
      <c r="E227" s="68">
        <v>226</v>
      </c>
      <c r="F227" s="71" t="str" cm="1">
        <f t="array" ref="F227">IFERROR(INDEX($B$1:$B$301,SMALL(IF($B$1:$B$301&lt;&gt;"",ROW($B$1:$B$301),4^8),ROW(227:227)))&amp;"","")</f>
        <v/>
      </c>
    </row>
    <row r="228" spans="1:6" ht="16.5" customHeight="1" x14ac:dyDescent="0.15">
      <c r="A228" s="68">
        <v>227</v>
      </c>
      <c r="B228" s="69" t="str">
        <f>IF(法术书!AR29="","",法术书!AR29)</f>
        <v/>
      </c>
      <c r="C228" s="69" t="str">
        <f>IFERROR(VLOOKUP(B228,法术大全!$A:$W,5,FALSE),"")</f>
        <v/>
      </c>
      <c r="D228" s="70" t="str">
        <f>IFERROR(VLOOKUP(B228,法术大全!$A:$W,4,FALSE),"")</f>
        <v/>
      </c>
      <c r="E228" s="68">
        <v>227</v>
      </c>
      <c r="F228" s="71" t="str" cm="1">
        <f t="array" ref="F228">IFERROR(INDEX($B$1:$B$301,SMALL(IF($B$1:$B$301&lt;&gt;"",ROW($B$1:$B$301),4^8),ROW(228:228)))&amp;"","")</f>
        <v/>
      </c>
    </row>
    <row r="229" spans="1:6" ht="16.5" customHeight="1" x14ac:dyDescent="0.15">
      <c r="A229" s="68">
        <v>228</v>
      </c>
      <c r="B229" s="69" t="str">
        <f>IF(法术书!AR30="","",法术书!AR30)</f>
        <v/>
      </c>
      <c r="C229" s="69" t="str">
        <f>IFERROR(VLOOKUP(B229,法术大全!$A:$W,5,FALSE),"")</f>
        <v/>
      </c>
      <c r="D229" s="70" t="str">
        <f>IFERROR(VLOOKUP(B229,法术大全!$A:$W,4,FALSE),"")</f>
        <v/>
      </c>
      <c r="E229" s="68">
        <v>228</v>
      </c>
      <c r="F229" s="71" t="str" cm="1">
        <f t="array" ref="F229">IFERROR(INDEX($B$1:$B$301,SMALL(IF($B$1:$B$301&lt;&gt;"",ROW($B$1:$B$301),4^8),ROW(229:229)))&amp;"","")</f>
        <v/>
      </c>
    </row>
    <row r="230" spans="1:6" ht="16.5" customHeight="1" x14ac:dyDescent="0.15">
      <c r="A230" s="68">
        <v>229</v>
      </c>
      <c r="B230" s="69" t="str">
        <f>IF(法术书!AR31="","",法术书!AR31)</f>
        <v/>
      </c>
      <c r="C230" s="69" t="str">
        <f>IFERROR(VLOOKUP(B230,法术大全!$A:$W,5,FALSE),"")</f>
        <v/>
      </c>
      <c r="D230" s="70" t="str">
        <f>IFERROR(VLOOKUP(B230,法术大全!$A:$W,4,FALSE),"")</f>
        <v/>
      </c>
      <c r="E230" s="68">
        <v>229</v>
      </c>
      <c r="F230" s="71" t="str" cm="1">
        <f t="array" ref="F230">IFERROR(INDEX($B$1:$B$301,SMALL(IF($B$1:$B$301&lt;&gt;"",ROW($B$1:$B$301),4^8),ROW(230:230)))&amp;"","")</f>
        <v/>
      </c>
    </row>
    <row r="231" spans="1:6" ht="16.5" customHeight="1" x14ac:dyDescent="0.15">
      <c r="A231" s="68">
        <v>230</v>
      </c>
      <c r="B231" s="69" t="str">
        <f>IF(法术书!AR32="","",法术书!AR32)</f>
        <v/>
      </c>
      <c r="C231" s="69" t="str">
        <f>IFERROR(VLOOKUP(B231,法术大全!$A:$W,5,FALSE),"")</f>
        <v/>
      </c>
      <c r="D231" s="70" t="str">
        <f>IFERROR(VLOOKUP(B231,法术大全!$A:$W,4,FALSE),"")</f>
        <v/>
      </c>
      <c r="E231" s="68">
        <v>230</v>
      </c>
      <c r="F231" s="71" t="str" cm="1">
        <f t="array" ref="F231">IFERROR(INDEX($B$1:$B$301,SMALL(IF($B$1:$B$301&lt;&gt;"",ROW($B$1:$B$301),4^8),ROW(231:231)))&amp;"","")</f>
        <v/>
      </c>
    </row>
    <row r="232" spans="1:6" ht="16.5" customHeight="1" x14ac:dyDescent="0.15">
      <c r="A232" s="68">
        <v>231</v>
      </c>
      <c r="B232" s="69" t="str">
        <f>IF(法术书!AR33="","",法术书!AR33)</f>
        <v/>
      </c>
      <c r="C232" s="69" t="str">
        <f>IFERROR(VLOOKUP(B232,法术大全!$A:$W,5,FALSE),"")</f>
        <v/>
      </c>
      <c r="D232" s="70" t="str">
        <f>IFERROR(VLOOKUP(B232,法术大全!$A:$W,4,FALSE),"")</f>
        <v/>
      </c>
      <c r="E232" s="68">
        <v>231</v>
      </c>
      <c r="F232" s="71" t="str" cm="1">
        <f t="array" ref="F232">IFERROR(INDEX($B$1:$B$301,SMALL(IF($B$1:$B$301&lt;&gt;"",ROW($B$1:$B$301),4^8),ROW(232:232)))&amp;"","")</f>
        <v/>
      </c>
    </row>
    <row r="233" spans="1:6" ht="16.5" customHeight="1" x14ac:dyDescent="0.15">
      <c r="A233" s="68">
        <v>232</v>
      </c>
      <c r="B233" s="69" t="str">
        <f>IF(法术书!AR34="","",法术书!AR34)</f>
        <v/>
      </c>
      <c r="C233" s="69" t="str">
        <f>IFERROR(VLOOKUP(B233,法术大全!$A:$W,5,FALSE),"")</f>
        <v/>
      </c>
      <c r="D233" s="70" t="str">
        <f>IFERROR(VLOOKUP(B233,法术大全!$A:$W,4,FALSE),"")</f>
        <v/>
      </c>
      <c r="E233" s="68">
        <v>232</v>
      </c>
      <c r="F233" s="71" t="str" cm="1">
        <f t="array" ref="F233">IFERROR(INDEX($B$1:$B$301,SMALL(IF($B$1:$B$301&lt;&gt;"",ROW($B$1:$B$301),4^8),ROW(233:233)))&amp;"","")</f>
        <v/>
      </c>
    </row>
    <row r="234" spans="1:6" ht="16.5" customHeight="1" x14ac:dyDescent="0.15">
      <c r="A234" s="68">
        <v>233</v>
      </c>
      <c r="B234" s="69" t="str">
        <f>IF(法术书!AR35="","",法术书!AR35)</f>
        <v/>
      </c>
      <c r="C234" s="69" t="str">
        <f>IFERROR(VLOOKUP(B234,法术大全!$A:$W,5,FALSE),"")</f>
        <v/>
      </c>
      <c r="D234" s="70" t="str">
        <f>IFERROR(VLOOKUP(B234,法术大全!$A:$W,4,FALSE),"")</f>
        <v/>
      </c>
      <c r="E234" s="68">
        <v>233</v>
      </c>
      <c r="F234" s="71" t="str" cm="1">
        <f t="array" ref="F234">IFERROR(INDEX($B$1:$B$301,SMALL(IF($B$1:$B$301&lt;&gt;"",ROW($B$1:$B$301),4^8),ROW(234:234)))&amp;"","")</f>
        <v/>
      </c>
    </row>
    <row r="235" spans="1:6" ht="16.5" customHeight="1" x14ac:dyDescent="0.15">
      <c r="A235" s="68">
        <v>234</v>
      </c>
      <c r="B235" s="69" t="str">
        <f>IF(法术书!AR36="","",法术书!AR36)</f>
        <v/>
      </c>
      <c r="C235" s="69" t="str">
        <f>IFERROR(VLOOKUP(B235,法术大全!$A:$W,5,FALSE),"")</f>
        <v/>
      </c>
      <c r="D235" s="70" t="str">
        <f>IFERROR(VLOOKUP(B235,法术大全!$A:$W,4,FALSE),"")</f>
        <v/>
      </c>
      <c r="E235" s="68">
        <v>234</v>
      </c>
      <c r="F235" s="71" t="str" cm="1">
        <f t="array" ref="F235">IFERROR(INDEX($B$1:$B$301,SMALL(IF($B$1:$B$301&lt;&gt;"",ROW($B$1:$B$301),4^8),ROW(235:235)))&amp;"","")</f>
        <v/>
      </c>
    </row>
    <row r="236" spans="1:6" ht="16.5" customHeight="1" x14ac:dyDescent="0.15">
      <c r="A236" s="68">
        <v>235</v>
      </c>
      <c r="B236" s="69" t="str">
        <f>IF(法术书!AR37="","",法术书!AR37)</f>
        <v/>
      </c>
      <c r="C236" s="69" t="str">
        <f>IFERROR(VLOOKUP(B236,法术大全!$A:$W,5,FALSE),"")</f>
        <v/>
      </c>
      <c r="D236" s="70" t="str">
        <f>IFERROR(VLOOKUP(B236,法术大全!$A:$W,4,FALSE),"")</f>
        <v/>
      </c>
      <c r="E236" s="68">
        <v>235</v>
      </c>
      <c r="F236" s="71" t="str" cm="1">
        <f t="array" ref="F236">IFERROR(INDEX($B$1:$B$301,SMALL(IF($B$1:$B$301&lt;&gt;"",ROW($B$1:$B$301),4^8),ROW(236:236)))&amp;"","")</f>
        <v/>
      </c>
    </row>
    <row r="237" spans="1:6" ht="16.5" customHeight="1" x14ac:dyDescent="0.15">
      <c r="A237" s="68">
        <v>236</v>
      </c>
      <c r="B237" s="69" t="str">
        <f>IF(法术书!AR38="","",法术书!AR38)</f>
        <v/>
      </c>
      <c r="C237" s="69" t="str">
        <f>IFERROR(VLOOKUP(B237,法术大全!$A:$W,5,FALSE),"")</f>
        <v/>
      </c>
      <c r="D237" s="70" t="str">
        <f>IFERROR(VLOOKUP(B237,法术大全!$A:$W,4,FALSE),"")</f>
        <v/>
      </c>
      <c r="E237" s="68">
        <v>236</v>
      </c>
      <c r="F237" s="71" t="str" cm="1">
        <f t="array" ref="F237">IFERROR(INDEX($B$1:$B$301,SMALL(IF($B$1:$B$301&lt;&gt;"",ROW($B$1:$B$301),4^8),ROW(237:237)))&amp;"","")</f>
        <v/>
      </c>
    </row>
    <row r="238" spans="1:6" ht="16.5" customHeight="1" x14ac:dyDescent="0.15">
      <c r="A238" s="68">
        <v>237</v>
      </c>
      <c r="B238" s="69" t="str">
        <f>IF(法术书!AR39="","",法术书!AR39)</f>
        <v/>
      </c>
      <c r="C238" s="69" t="str">
        <f>IFERROR(VLOOKUP(B238,法术大全!$A:$W,5,FALSE),"")</f>
        <v/>
      </c>
      <c r="D238" s="70" t="str">
        <f>IFERROR(VLOOKUP(B238,法术大全!$A:$W,4,FALSE),"")</f>
        <v/>
      </c>
      <c r="E238" s="68">
        <v>237</v>
      </c>
      <c r="F238" s="71" t="str" cm="1">
        <f t="array" ref="F238">IFERROR(INDEX($B$1:$B$301,SMALL(IF($B$1:$B$301&lt;&gt;"",ROW($B$1:$B$301),4^8),ROW(238:238)))&amp;"","")</f>
        <v/>
      </c>
    </row>
    <row r="239" spans="1:6" ht="16.5" customHeight="1" x14ac:dyDescent="0.15">
      <c r="A239" s="68">
        <v>238</v>
      </c>
      <c r="B239" s="69" t="str">
        <f>IF(法术书!AR40="","",法术书!AR40)</f>
        <v/>
      </c>
      <c r="C239" s="69" t="str">
        <f>IFERROR(VLOOKUP(B239,法术大全!$A:$W,5,FALSE),"")</f>
        <v/>
      </c>
      <c r="D239" s="70" t="str">
        <f>IFERROR(VLOOKUP(B239,法术大全!$A:$W,4,FALSE),"")</f>
        <v/>
      </c>
      <c r="E239" s="68">
        <v>238</v>
      </c>
      <c r="F239" s="71" t="str" cm="1">
        <f t="array" ref="F239">IFERROR(INDEX($B$1:$B$301,SMALL(IF($B$1:$B$301&lt;&gt;"",ROW($B$1:$B$301),4^8),ROW(239:239)))&amp;"","")</f>
        <v/>
      </c>
    </row>
    <row r="240" spans="1:6" ht="16.5" customHeight="1" x14ac:dyDescent="0.15">
      <c r="A240" s="68">
        <v>239</v>
      </c>
      <c r="B240" s="69" t="str">
        <f>IF(法术书!AR41="","",法术书!AR41)</f>
        <v/>
      </c>
      <c r="C240" s="69" t="str">
        <f>IFERROR(VLOOKUP(B240,法术大全!$A:$W,5,FALSE),"")</f>
        <v/>
      </c>
      <c r="D240" s="70" t="str">
        <f>IFERROR(VLOOKUP(B240,法术大全!$A:$W,4,FALSE),"")</f>
        <v/>
      </c>
      <c r="E240" s="68">
        <v>239</v>
      </c>
      <c r="F240" s="71" t="str" cm="1">
        <f t="array" ref="F240">IFERROR(INDEX($B$1:$B$301,SMALL(IF($B$1:$B$301&lt;&gt;"",ROW($B$1:$B$301),4^8),ROW(240:240)))&amp;"","")</f>
        <v/>
      </c>
    </row>
    <row r="241" spans="1:6" ht="16.5" customHeight="1" x14ac:dyDescent="0.15">
      <c r="A241" s="68">
        <v>240</v>
      </c>
      <c r="B241" s="69" t="str">
        <f>IF(法术书!AR42="","",法术书!AR42)</f>
        <v/>
      </c>
      <c r="C241" s="69" t="str">
        <f>IFERROR(VLOOKUP(B241,法术大全!$A:$W,5,FALSE),"")</f>
        <v/>
      </c>
      <c r="D241" s="70" t="str">
        <f>IFERROR(VLOOKUP(B241,法术大全!$A:$W,4,FALSE),"")</f>
        <v/>
      </c>
      <c r="E241" s="68">
        <v>240</v>
      </c>
      <c r="F241" s="71" t="str" cm="1">
        <f t="array" ref="F241">IFERROR(INDEX($B$1:$B$301,SMALL(IF($B$1:$B$301&lt;&gt;"",ROW($B$1:$B$301),4^8),ROW(241:241)))&amp;"","")</f>
        <v/>
      </c>
    </row>
    <row r="242" spans="1:6" ht="16.5" customHeight="1" x14ac:dyDescent="0.15">
      <c r="A242" s="68">
        <v>241</v>
      </c>
      <c r="B242" s="69" t="str">
        <f>IF(法术书!AR43="","",法术书!AR43)</f>
        <v/>
      </c>
      <c r="C242" s="69" t="str">
        <f>IFERROR(VLOOKUP(B242,法术大全!$A:$W,5,FALSE),"")</f>
        <v/>
      </c>
      <c r="D242" s="70" t="str">
        <f>IFERROR(VLOOKUP(B242,法术大全!$A:$W,4,FALSE),"")</f>
        <v/>
      </c>
      <c r="E242" s="68">
        <v>241</v>
      </c>
      <c r="F242" s="71" t="str" cm="1">
        <f t="array" ref="F242">IFERROR(INDEX($B$1:$B$301,SMALL(IF($B$1:$B$301&lt;&gt;"",ROW($B$1:$B$301),4^8),ROW(242:242)))&amp;"","")</f>
        <v/>
      </c>
    </row>
    <row r="243" spans="1:6" ht="16.5" customHeight="1" x14ac:dyDescent="0.15">
      <c r="A243" s="68">
        <v>242</v>
      </c>
      <c r="B243" s="69" t="str">
        <f>IF(法术书!AR44="","",法术书!AR44)</f>
        <v/>
      </c>
      <c r="C243" s="69" t="str">
        <f>IFERROR(VLOOKUP(B243,法术大全!$A:$W,5,FALSE),"")</f>
        <v/>
      </c>
      <c r="D243" s="70" t="str">
        <f>IFERROR(VLOOKUP(B243,法术大全!$A:$W,4,FALSE),"")</f>
        <v/>
      </c>
      <c r="E243" s="68">
        <v>242</v>
      </c>
      <c r="F243" s="71" t="str" cm="1">
        <f t="array" ref="F243">IFERROR(INDEX($B$1:$B$301,SMALL(IF($B$1:$B$301&lt;&gt;"",ROW($B$1:$B$301),4^8),ROW(243:243)))&amp;"","")</f>
        <v/>
      </c>
    </row>
    <row r="244" spans="1:6" ht="16.5" customHeight="1" x14ac:dyDescent="0.15">
      <c r="A244" s="68">
        <v>243</v>
      </c>
      <c r="B244" s="69" t="str">
        <f>IF(法术书!AR45="","",法术书!AR45)</f>
        <v/>
      </c>
      <c r="C244" s="69" t="str">
        <f>IFERROR(VLOOKUP(B244,法术大全!$A:$W,5,FALSE),"")</f>
        <v/>
      </c>
      <c r="D244" s="70" t="str">
        <f>IFERROR(VLOOKUP(B244,法术大全!$A:$W,4,FALSE),"")</f>
        <v/>
      </c>
      <c r="E244" s="68">
        <v>243</v>
      </c>
      <c r="F244" s="71" t="str" cm="1">
        <f t="array" ref="F244">IFERROR(INDEX($B$1:$B$301,SMALL(IF($B$1:$B$301&lt;&gt;"",ROW($B$1:$B$301),4^8),ROW(244:244)))&amp;"","")</f>
        <v/>
      </c>
    </row>
    <row r="245" spans="1:6" ht="16.5" customHeight="1" x14ac:dyDescent="0.15">
      <c r="A245" s="68">
        <v>244</v>
      </c>
      <c r="B245" s="69" t="str">
        <f>IF(法术书!AR46="","",法术书!AR46)</f>
        <v/>
      </c>
      <c r="C245" s="69" t="str">
        <f>IFERROR(VLOOKUP(B245,法术大全!$A:$W,5,FALSE),"")</f>
        <v/>
      </c>
      <c r="D245" s="70" t="str">
        <f>IFERROR(VLOOKUP(B245,法术大全!$A:$W,4,FALSE),"")</f>
        <v/>
      </c>
      <c r="E245" s="68">
        <v>244</v>
      </c>
      <c r="F245" s="71" t="str" cm="1">
        <f t="array" ref="F245">IFERROR(INDEX($B$1:$B$301,SMALL(IF($B$1:$B$301&lt;&gt;"",ROW($B$1:$B$301),4^8),ROW(245:245)))&amp;"","")</f>
        <v/>
      </c>
    </row>
    <row r="246" spans="1:6" ht="16.5" customHeight="1" x14ac:dyDescent="0.15">
      <c r="A246" s="68">
        <v>245</v>
      </c>
      <c r="B246" s="69" t="str">
        <f>IF(法术书!AR47="","",法术书!AR47)</f>
        <v/>
      </c>
      <c r="C246" s="69" t="str">
        <f>IFERROR(VLOOKUP(B246,法术大全!$A:$W,5,FALSE),"")</f>
        <v/>
      </c>
      <c r="D246" s="70" t="str">
        <f>IFERROR(VLOOKUP(B246,法术大全!$A:$W,4,FALSE),"")</f>
        <v/>
      </c>
      <c r="E246" s="68">
        <v>245</v>
      </c>
      <c r="F246" s="71" t="str" cm="1">
        <f t="array" ref="F246">IFERROR(INDEX($B$1:$B$301,SMALL(IF($B$1:$B$301&lt;&gt;"",ROW($B$1:$B$301),4^8),ROW(246:246)))&amp;"","")</f>
        <v/>
      </c>
    </row>
    <row r="247" spans="1:6" ht="16.5" customHeight="1" x14ac:dyDescent="0.15">
      <c r="A247" s="68">
        <v>246</v>
      </c>
      <c r="B247" s="69" t="str">
        <f>IF(法术书!AR48="","",法术书!AR48)</f>
        <v/>
      </c>
      <c r="C247" s="69" t="str">
        <f>IFERROR(VLOOKUP(B247,法术大全!$A:$W,5,FALSE),"")</f>
        <v/>
      </c>
      <c r="D247" s="70" t="str">
        <f>IFERROR(VLOOKUP(B247,法术大全!$A:$W,4,FALSE),"")</f>
        <v/>
      </c>
      <c r="E247" s="68">
        <v>246</v>
      </c>
      <c r="F247" s="71" t="str" cm="1">
        <f t="array" ref="F247">IFERROR(INDEX($B$1:$B$301,SMALL(IF($B$1:$B$301&lt;&gt;"",ROW($B$1:$B$301),4^8),ROW(247:247)))&amp;"","")</f>
        <v/>
      </c>
    </row>
    <row r="248" spans="1:6" ht="16.5" customHeight="1" x14ac:dyDescent="0.15">
      <c r="A248" s="68">
        <v>247</v>
      </c>
      <c r="B248" s="69" t="str">
        <f>IF(法术书!AR49="","",法术书!AR49)</f>
        <v/>
      </c>
      <c r="C248" s="69" t="str">
        <f>IFERROR(VLOOKUP(B248,法术大全!$A:$W,5,FALSE),"")</f>
        <v/>
      </c>
      <c r="D248" s="70" t="str">
        <f>IFERROR(VLOOKUP(B248,法术大全!$A:$W,4,FALSE),"")</f>
        <v/>
      </c>
      <c r="E248" s="68">
        <v>247</v>
      </c>
      <c r="F248" s="71" t="str" cm="1">
        <f t="array" ref="F248">IFERROR(INDEX($B$1:$B$301,SMALL(IF($B$1:$B$301&lt;&gt;"",ROW($B$1:$B$301),4^8),ROW(248:248)))&amp;"","")</f>
        <v/>
      </c>
    </row>
    <row r="249" spans="1:6" ht="16.5" customHeight="1" x14ac:dyDescent="0.15">
      <c r="A249" s="68">
        <v>248</v>
      </c>
      <c r="B249" s="69" t="str">
        <f>IF(法术书!AR50="","",法术书!AR50)</f>
        <v/>
      </c>
      <c r="C249" s="69" t="str">
        <f>IFERROR(VLOOKUP(B249,法术大全!$A:$W,5,FALSE),"")</f>
        <v/>
      </c>
      <c r="D249" s="70" t="str">
        <f>IFERROR(VLOOKUP(B249,法术大全!$A:$W,4,FALSE),"")</f>
        <v/>
      </c>
      <c r="E249" s="68">
        <v>248</v>
      </c>
      <c r="F249" s="71" t="str" cm="1">
        <f t="array" ref="F249">IFERROR(INDEX($B$1:$B$301,SMALL(IF($B$1:$B$301&lt;&gt;"",ROW($B$1:$B$301),4^8),ROW(249:249)))&amp;"","")</f>
        <v/>
      </c>
    </row>
    <row r="250" spans="1:6" ht="16.5" customHeight="1" x14ac:dyDescent="0.15">
      <c r="A250" s="68">
        <v>249</v>
      </c>
      <c r="B250" s="69" t="str">
        <f>IF(法术书!AR51="","",法术书!AR51)</f>
        <v/>
      </c>
      <c r="C250" s="69" t="str">
        <f>IFERROR(VLOOKUP(B250,法术大全!$A:$W,5,FALSE),"")</f>
        <v/>
      </c>
      <c r="D250" s="70" t="str">
        <f>IFERROR(VLOOKUP(B250,法术大全!$A:$W,4,FALSE),"")</f>
        <v/>
      </c>
      <c r="E250" s="68">
        <v>249</v>
      </c>
      <c r="F250" s="71" t="str" cm="1">
        <f t="array" ref="F250">IFERROR(INDEX($B$1:$B$301,SMALL(IF($B$1:$B$301&lt;&gt;"",ROW($B$1:$B$301),4^8),ROW(250:250)))&amp;"","")</f>
        <v/>
      </c>
    </row>
    <row r="251" spans="1:6" ht="16.5" customHeight="1" x14ac:dyDescent="0.15">
      <c r="A251" s="68">
        <v>250</v>
      </c>
      <c r="B251" s="69" t="str">
        <f>IF(法术书!AR52="","",法术书!AR52)</f>
        <v/>
      </c>
      <c r="C251" s="69" t="str">
        <f>IFERROR(VLOOKUP(B251,法术大全!$A:$W,5,FALSE),"")</f>
        <v/>
      </c>
      <c r="D251" s="70" t="str">
        <f>IFERROR(VLOOKUP(B251,法术大全!$A:$W,4,FALSE),"")</f>
        <v/>
      </c>
      <c r="E251" s="68">
        <v>250</v>
      </c>
      <c r="F251" s="71" t="str" cm="1">
        <f t="array" ref="F251">IFERROR(INDEX($B$1:$B$301,SMALL(IF($B$1:$B$301&lt;&gt;"",ROW($B$1:$B$301),4^8),ROW(251:251)))&amp;"","")</f>
        <v/>
      </c>
    </row>
    <row r="252" spans="1:6" ht="16.5" customHeight="1" x14ac:dyDescent="0.15">
      <c r="A252" s="68">
        <v>251</v>
      </c>
      <c r="B252" s="69" t="str">
        <f>IF(法术书!AW3="","",法术书!AW3)</f>
        <v/>
      </c>
      <c r="C252" s="69" t="str">
        <f>IFERROR(VLOOKUP(B252,法术大全!$A:$W,5,FALSE),"")</f>
        <v/>
      </c>
      <c r="D252" s="70" t="str">
        <f>IFERROR(VLOOKUP(B252,法术大全!$A:$W,4,FALSE),"")</f>
        <v/>
      </c>
      <c r="E252" s="68">
        <v>251</v>
      </c>
      <c r="F252" s="71" t="str" cm="1">
        <f t="array" ref="F252">IFERROR(INDEX($B$1:$B$301,SMALL(IF($B$1:$B$301&lt;&gt;"",ROW($B$1:$B$301),4^8),ROW(252:252)))&amp;"","")</f>
        <v/>
      </c>
    </row>
    <row r="253" spans="1:6" ht="16.5" customHeight="1" x14ac:dyDescent="0.15">
      <c r="A253" s="68">
        <v>252</v>
      </c>
      <c r="B253" s="69" t="str">
        <f>IF(法术书!AW4="","",法术书!AW4)</f>
        <v/>
      </c>
      <c r="C253" s="69" t="str">
        <f>IFERROR(VLOOKUP(B253,法术大全!$A:$W,5,FALSE),"")</f>
        <v/>
      </c>
      <c r="D253" s="70" t="str">
        <f>IFERROR(VLOOKUP(B253,法术大全!$A:$W,4,FALSE),"")</f>
        <v/>
      </c>
      <c r="E253" s="68">
        <v>252</v>
      </c>
      <c r="F253" s="71" t="str" cm="1">
        <f t="array" ref="F253">IFERROR(INDEX($B$1:$B$301,SMALL(IF($B$1:$B$301&lt;&gt;"",ROW($B$1:$B$301),4^8),ROW(253:253)))&amp;"","")</f>
        <v/>
      </c>
    </row>
    <row r="254" spans="1:6" ht="16.5" customHeight="1" x14ac:dyDescent="0.15">
      <c r="A254" s="68">
        <v>253</v>
      </c>
      <c r="B254" s="69" t="str">
        <f>IF(法术书!AW5="","",法术书!AW5)</f>
        <v/>
      </c>
      <c r="C254" s="69" t="str">
        <f>IFERROR(VLOOKUP(B254,法术大全!$A:$W,5,FALSE),"")</f>
        <v/>
      </c>
      <c r="D254" s="70" t="str">
        <f>IFERROR(VLOOKUP(B254,法术大全!$A:$W,4,FALSE),"")</f>
        <v/>
      </c>
      <c r="E254" s="68">
        <v>253</v>
      </c>
      <c r="F254" s="71" t="str" cm="1">
        <f t="array" ref="F254">IFERROR(INDEX($B$1:$B$301,SMALL(IF($B$1:$B$301&lt;&gt;"",ROW($B$1:$B$301),4^8),ROW(254:254)))&amp;"","")</f>
        <v/>
      </c>
    </row>
    <row r="255" spans="1:6" ht="16.5" customHeight="1" x14ac:dyDescent="0.15">
      <c r="A255" s="68">
        <v>254</v>
      </c>
      <c r="B255" s="69" t="str">
        <f>IF(法术书!AW6="","",法术书!AW6)</f>
        <v/>
      </c>
      <c r="C255" s="69" t="str">
        <f>IFERROR(VLOOKUP(B255,法术大全!$A:$W,5,FALSE),"")</f>
        <v/>
      </c>
      <c r="D255" s="70" t="str">
        <f>IFERROR(VLOOKUP(B255,法术大全!$A:$W,4,FALSE),"")</f>
        <v/>
      </c>
      <c r="E255" s="68">
        <v>254</v>
      </c>
      <c r="F255" s="71" t="str" cm="1">
        <f t="array" ref="F255">IFERROR(INDEX($B$1:$B$301,SMALL(IF($B$1:$B$301&lt;&gt;"",ROW($B$1:$B$301),4^8),ROW(255:255)))&amp;"","")</f>
        <v/>
      </c>
    </row>
    <row r="256" spans="1:6" ht="16.5" customHeight="1" x14ac:dyDescent="0.15">
      <c r="A256" s="68">
        <v>255</v>
      </c>
      <c r="B256" s="69" t="str">
        <f>IF(法术书!AW7="","",法术书!AW7)</f>
        <v/>
      </c>
      <c r="C256" s="69" t="str">
        <f>IFERROR(VLOOKUP(B256,法术大全!$A:$W,5,FALSE),"")</f>
        <v/>
      </c>
      <c r="D256" s="70" t="str">
        <f>IFERROR(VLOOKUP(B256,法术大全!$A:$W,4,FALSE),"")</f>
        <v/>
      </c>
      <c r="E256" s="68">
        <v>255</v>
      </c>
      <c r="F256" s="71" t="str" cm="1">
        <f t="array" ref="F256">IFERROR(INDEX($B$1:$B$301,SMALL(IF($B$1:$B$301&lt;&gt;"",ROW($B$1:$B$301),4^8),ROW(256:256)))&amp;"","")</f>
        <v/>
      </c>
    </row>
    <row r="257" spans="1:6" ht="16.5" customHeight="1" x14ac:dyDescent="0.15">
      <c r="A257" s="68">
        <v>256</v>
      </c>
      <c r="B257" s="69" t="str">
        <f>IF(法术书!AW8="","",法术书!AW8)</f>
        <v/>
      </c>
      <c r="C257" s="69" t="str">
        <f>IFERROR(VLOOKUP(B257,法术大全!$A:$W,5,FALSE),"")</f>
        <v/>
      </c>
      <c r="D257" s="70" t="str">
        <f>IFERROR(VLOOKUP(B257,法术大全!$A:$W,4,FALSE),"")</f>
        <v/>
      </c>
      <c r="E257" s="68">
        <v>256</v>
      </c>
      <c r="F257" s="71" t="str" cm="1">
        <f t="array" ref="F257">IFERROR(INDEX($B$1:$B$301,SMALL(IF($B$1:$B$301&lt;&gt;"",ROW($B$1:$B$301),4^8),ROW(257:257)))&amp;"","")</f>
        <v/>
      </c>
    </row>
    <row r="258" spans="1:6" ht="16.5" customHeight="1" x14ac:dyDescent="0.15">
      <c r="A258" s="68">
        <v>257</v>
      </c>
      <c r="B258" s="69" t="str">
        <f>IF(法术书!AW9="","",法术书!AW9)</f>
        <v/>
      </c>
      <c r="C258" s="69" t="str">
        <f>IFERROR(VLOOKUP(B258,法术大全!$A:$W,5,FALSE),"")</f>
        <v/>
      </c>
      <c r="D258" s="70" t="str">
        <f>IFERROR(VLOOKUP(B258,法术大全!$A:$W,4,FALSE),"")</f>
        <v/>
      </c>
      <c r="E258" s="68">
        <v>257</v>
      </c>
      <c r="F258" s="71" t="str" cm="1">
        <f t="array" ref="F258">IFERROR(INDEX($B$1:$B$301,SMALL(IF($B$1:$B$301&lt;&gt;"",ROW($B$1:$B$301),4^8),ROW(258:258)))&amp;"","")</f>
        <v/>
      </c>
    </row>
    <row r="259" spans="1:6" ht="16.5" customHeight="1" x14ac:dyDescent="0.15">
      <c r="A259" s="68">
        <v>258</v>
      </c>
      <c r="B259" s="69" t="str">
        <f>IF(法术书!AW10="","",法术书!AW10)</f>
        <v/>
      </c>
      <c r="C259" s="69" t="str">
        <f>IFERROR(VLOOKUP(B259,法术大全!$A:$W,5,FALSE),"")</f>
        <v/>
      </c>
      <c r="D259" s="70" t="str">
        <f>IFERROR(VLOOKUP(B259,法术大全!$A:$W,4,FALSE),"")</f>
        <v/>
      </c>
      <c r="E259" s="68">
        <v>258</v>
      </c>
      <c r="F259" s="71" t="str" cm="1">
        <f t="array" ref="F259">IFERROR(INDEX($B$1:$B$301,SMALL(IF($B$1:$B$301&lt;&gt;"",ROW($B$1:$B$301),4^8),ROW(259:259)))&amp;"","")</f>
        <v/>
      </c>
    </row>
    <row r="260" spans="1:6" ht="16.5" customHeight="1" x14ac:dyDescent="0.15">
      <c r="A260" s="68">
        <v>259</v>
      </c>
      <c r="B260" s="69" t="str">
        <f>IF(法术书!AW11="","",法术书!AW11)</f>
        <v/>
      </c>
      <c r="C260" s="69" t="str">
        <f>IFERROR(VLOOKUP(B260,法术大全!$A:$W,5,FALSE),"")</f>
        <v/>
      </c>
      <c r="D260" s="70" t="str">
        <f>IFERROR(VLOOKUP(B260,法术大全!$A:$W,4,FALSE),"")</f>
        <v/>
      </c>
      <c r="E260" s="68">
        <v>259</v>
      </c>
      <c r="F260" s="71" t="str" cm="1">
        <f t="array" ref="F260">IFERROR(INDEX($B$1:$B$301,SMALL(IF($B$1:$B$301&lt;&gt;"",ROW($B$1:$B$301),4^8),ROW(260:260)))&amp;"","")</f>
        <v/>
      </c>
    </row>
    <row r="261" spans="1:6" ht="16.5" customHeight="1" x14ac:dyDescent="0.15">
      <c r="A261" s="68">
        <v>260</v>
      </c>
      <c r="B261" s="69" t="str">
        <f>IF(法术书!AW12="","",法术书!AW12)</f>
        <v/>
      </c>
      <c r="C261" s="69" t="str">
        <f>IFERROR(VLOOKUP(B261,法术大全!$A:$W,5,FALSE),"")</f>
        <v/>
      </c>
      <c r="D261" s="70" t="str">
        <f>IFERROR(VLOOKUP(B261,法术大全!$A:$W,4,FALSE),"")</f>
        <v/>
      </c>
      <c r="E261" s="68">
        <v>260</v>
      </c>
      <c r="F261" s="71" t="str" cm="1">
        <f t="array" ref="F261">IFERROR(INDEX($B$1:$B$301,SMALL(IF($B$1:$B$301&lt;&gt;"",ROW($B$1:$B$301),4^8),ROW(261:261)))&amp;"","")</f>
        <v/>
      </c>
    </row>
    <row r="262" spans="1:6" ht="16.5" customHeight="1" x14ac:dyDescent="0.15">
      <c r="A262" s="68">
        <v>261</v>
      </c>
      <c r="B262" s="69" t="str">
        <f>IF(法术书!AW13="","",法术书!AW13)</f>
        <v/>
      </c>
      <c r="C262" s="69" t="str">
        <f>IFERROR(VLOOKUP(B262,法术大全!$A:$W,5,FALSE),"")</f>
        <v/>
      </c>
      <c r="D262" s="70" t="str">
        <f>IFERROR(VLOOKUP(B262,法术大全!$A:$W,4,FALSE),"")</f>
        <v/>
      </c>
      <c r="E262" s="68">
        <v>261</v>
      </c>
      <c r="F262" s="71" t="str" cm="1">
        <f t="array" ref="F262">IFERROR(INDEX($B$1:$B$301,SMALL(IF($B$1:$B$301&lt;&gt;"",ROW($B$1:$B$301),4^8),ROW(262:262)))&amp;"","")</f>
        <v/>
      </c>
    </row>
    <row r="263" spans="1:6" ht="16.5" customHeight="1" x14ac:dyDescent="0.15">
      <c r="A263" s="68">
        <v>262</v>
      </c>
      <c r="B263" s="69" t="str">
        <f>IF(法术书!AW14="","",法术书!AW14)</f>
        <v/>
      </c>
      <c r="C263" s="69" t="str">
        <f>IFERROR(VLOOKUP(B263,法术大全!$A:$W,5,FALSE),"")</f>
        <v/>
      </c>
      <c r="D263" s="70" t="str">
        <f>IFERROR(VLOOKUP(B263,法术大全!$A:$W,4,FALSE),"")</f>
        <v/>
      </c>
      <c r="E263" s="68">
        <v>262</v>
      </c>
      <c r="F263" s="71" t="str" cm="1">
        <f t="array" ref="F263">IFERROR(INDEX($B$1:$B$301,SMALL(IF($B$1:$B$301&lt;&gt;"",ROW($B$1:$B$301),4^8),ROW(263:263)))&amp;"","")</f>
        <v/>
      </c>
    </row>
    <row r="264" spans="1:6" ht="16.5" customHeight="1" x14ac:dyDescent="0.15">
      <c r="A264" s="68">
        <v>263</v>
      </c>
      <c r="B264" s="69" t="str">
        <f>IF(法术书!AW15="","",法术书!AW15)</f>
        <v/>
      </c>
      <c r="C264" s="69" t="str">
        <f>IFERROR(VLOOKUP(B264,法术大全!$A:$W,5,FALSE),"")</f>
        <v/>
      </c>
      <c r="D264" s="70" t="str">
        <f>IFERROR(VLOOKUP(B264,法术大全!$A:$W,4,FALSE),"")</f>
        <v/>
      </c>
      <c r="E264" s="68">
        <v>263</v>
      </c>
      <c r="F264" s="71" t="str" cm="1">
        <f t="array" ref="F264">IFERROR(INDEX($B$1:$B$301,SMALL(IF($B$1:$B$301&lt;&gt;"",ROW($B$1:$B$301),4^8),ROW(264:264)))&amp;"","")</f>
        <v/>
      </c>
    </row>
    <row r="265" spans="1:6" ht="16.5" customHeight="1" x14ac:dyDescent="0.15">
      <c r="A265" s="68">
        <v>264</v>
      </c>
      <c r="B265" s="69" t="str">
        <f>IF(法术书!AW16="","",法术书!AW16)</f>
        <v/>
      </c>
      <c r="C265" s="69" t="str">
        <f>IFERROR(VLOOKUP(B265,法术大全!$A:$W,5,FALSE),"")</f>
        <v/>
      </c>
      <c r="D265" s="70" t="str">
        <f>IFERROR(VLOOKUP(B265,法术大全!$A:$W,4,FALSE),"")</f>
        <v/>
      </c>
      <c r="E265" s="68">
        <v>264</v>
      </c>
      <c r="F265" s="71" t="str" cm="1">
        <f t="array" ref="F265">IFERROR(INDEX($B$1:$B$301,SMALL(IF($B$1:$B$301&lt;&gt;"",ROW($B$1:$B$301),4^8),ROW(265:265)))&amp;"","")</f>
        <v/>
      </c>
    </row>
    <row r="266" spans="1:6" ht="16.5" customHeight="1" x14ac:dyDescent="0.15">
      <c r="A266" s="68">
        <v>265</v>
      </c>
      <c r="B266" s="69" t="str">
        <f>IF(法术书!AW17="","",法术书!AW17)</f>
        <v/>
      </c>
      <c r="C266" s="69" t="str">
        <f>IFERROR(VLOOKUP(B266,法术大全!$A:$W,5,FALSE),"")</f>
        <v/>
      </c>
      <c r="D266" s="70" t="str">
        <f>IFERROR(VLOOKUP(B266,法术大全!$A:$W,4,FALSE),"")</f>
        <v/>
      </c>
      <c r="E266" s="68">
        <v>265</v>
      </c>
      <c r="F266" s="71" t="str" cm="1">
        <f t="array" ref="F266">IFERROR(INDEX($B$1:$B$301,SMALL(IF($B$1:$B$301&lt;&gt;"",ROW($B$1:$B$301),4^8),ROW(266:266)))&amp;"","")</f>
        <v/>
      </c>
    </row>
    <row r="267" spans="1:6" ht="16.5" customHeight="1" x14ac:dyDescent="0.15">
      <c r="A267" s="68">
        <v>266</v>
      </c>
      <c r="B267" s="69" t="str">
        <f>IF(法术书!AW18="","",法术书!AW18)</f>
        <v/>
      </c>
      <c r="C267" s="69" t="str">
        <f>IFERROR(VLOOKUP(B267,法术大全!$A:$W,5,FALSE),"")</f>
        <v/>
      </c>
      <c r="D267" s="70" t="str">
        <f>IFERROR(VLOOKUP(B267,法术大全!$A:$W,4,FALSE),"")</f>
        <v/>
      </c>
      <c r="E267" s="68">
        <v>266</v>
      </c>
      <c r="F267" s="71" t="str" cm="1">
        <f t="array" ref="F267">IFERROR(INDEX($B$1:$B$301,SMALL(IF($B$1:$B$301&lt;&gt;"",ROW($B$1:$B$301),4^8),ROW(267:267)))&amp;"","")</f>
        <v/>
      </c>
    </row>
    <row r="268" spans="1:6" ht="16.5" customHeight="1" x14ac:dyDescent="0.15">
      <c r="A268" s="68">
        <v>267</v>
      </c>
      <c r="B268" s="69" t="str">
        <f>IF(法术书!AW19="","",法术书!AW19)</f>
        <v/>
      </c>
      <c r="C268" s="69" t="str">
        <f>IFERROR(VLOOKUP(B268,法术大全!$A:$W,5,FALSE),"")</f>
        <v/>
      </c>
      <c r="D268" s="70" t="str">
        <f>IFERROR(VLOOKUP(B268,法术大全!$A:$W,4,FALSE),"")</f>
        <v/>
      </c>
      <c r="E268" s="68">
        <v>267</v>
      </c>
      <c r="F268" s="71" t="str" cm="1">
        <f t="array" ref="F268">IFERROR(INDEX($B$1:$B$301,SMALL(IF($B$1:$B$301&lt;&gt;"",ROW($B$1:$B$301),4^8),ROW(268:268)))&amp;"","")</f>
        <v/>
      </c>
    </row>
    <row r="269" spans="1:6" ht="16.5" customHeight="1" x14ac:dyDescent="0.15">
      <c r="A269" s="68">
        <v>268</v>
      </c>
      <c r="B269" s="69" t="str">
        <f>IF(法术书!AW20="","",法术书!AW20)</f>
        <v/>
      </c>
      <c r="C269" s="69" t="str">
        <f>IFERROR(VLOOKUP(B269,法术大全!$A:$W,5,FALSE),"")</f>
        <v/>
      </c>
      <c r="D269" s="70" t="str">
        <f>IFERROR(VLOOKUP(B269,法术大全!$A:$W,4,FALSE),"")</f>
        <v/>
      </c>
      <c r="E269" s="68">
        <v>268</v>
      </c>
      <c r="F269" s="71" t="str" cm="1">
        <f t="array" ref="F269">IFERROR(INDEX($B$1:$B$301,SMALL(IF($B$1:$B$301&lt;&gt;"",ROW($B$1:$B$301),4^8),ROW(269:269)))&amp;"","")</f>
        <v/>
      </c>
    </row>
    <row r="270" spans="1:6" ht="16.5" customHeight="1" x14ac:dyDescent="0.15">
      <c r="A270" s="68">
        <v>269</v>
      </c>
      <c r="B270" s="69" t="str">
        <f>IF(法术书!AW21="","",法术书!AW21)</f>
        <v/>
      </c>
      <c r="C270" s="69" t="str">
        <f>IFERROR(VLOOKUP(B270,法术大全!$A:$W,5,FALSE),"")</f>
        <v/>
      </c>
      <c r="D270" s="70" t="str">
        <f>IFERROR(VLOOKUP(B270,法术大全!$A:$W,4,FALSE),"")</f>
        <v/>
      </c>
      <c r="E270" s="68">
        <v>269</v>
      </c>
      <c r="F270" s="71" t="str" cm="1">
        <f t="array" ref="F270">IFERROR(INDEX($B$1:$B$301,SMALL(IF($B$1:$B$301&lt;&gt;"",ROW($B$1:$B$301),4^8),ROW(270:270)))&amp;"","")</f>
        <v/>
      </c>
    </row>
    <row r="271" spans="1:6" ht="16.5" customHeight="1" x14ac:dyDescent="0.15">
      <c r="A271" s="68">
        <v>270</v>
      </c>
      <c r="B271" s="69" t="str">
        <f>IF(法术书!AW22="","",法术书!AW22)</f>
        <v/>
      </c>
      <c r="C271" s="69" t="str">
        <f>IFERROR(VLOOKUP(B271,法术大全!$A:$W,5,FALSE),"")</f>
        <v/>
      </c>
      <c r="D271" s="70" t="str">
        <f>IFERROR(VLOOKUP(B271,法术大全!$A:$W,4,FALSE),"")</f>
        <v/>
      </c>
      <c r="E271" s="68">
        <v>270</v>
      </c>
      <c r="F271" s="71" t="str" cm="1">
        <f t="array" ref="F271">IFERROR(INDEX($B$1:$B$301,SMALL(IF($B$1:$B$301&lt;&gt;"",ROW($B$1:$B$301),4^8),ROW(271:271)))&amp;"","")</f>
        <v/>
      </c>
    </row>
    <row r="272" spans="1:6" ht="16.5" customHeight="1" x14ac:dyDescent="0.15">
      <c r="A272" s="68">
        <v>271</v>
      </c>
      <c r="B272" s="69" t="str">
        <f>IF(法术书!AW23="","",法术书!AW23)</f>
        <v/>
      </c>
      <c r="C272" s="69" t="str">
        <f>IFERROR(VLOOKUP(B272,法术大全!$A:$W,5,FALSE),"")</f>
        <v/>
      </c>
      <c r="D272" s="70" t="str">
        <f>IFERROR(VLOOKUP(B272,法术大全!$A:$W,4,FALSE),"")</f>
        <v/>
      </c>
      <c r="E272" s="68">
        <v>271</v>
      </c>
      <c r="F272" s="71" t="str" cm="1">
        <f t="array" ref="F272">IFERROR(INDEX($B$1:$B$301,SMALL(IF($B$1:$B$301&lt;&gt;"",ROW($B$1:$B$301),4^8),ROW(272:272)))&amp;"","")</f>
        <v/>
      </c>
    </row>
    <row r="273" spans="1:6" ht="16.5" customHeight="1" x14ac:dyDescent="0.15">
      <c r="A273" s="68">
        <v>272</v>
      </c>
      <c r="B273" s="69" t="str">
        <f>IF(法术书!AW24="","",法术书!AW24)</f>
        <v/>
      </c>
      <c r="C273" s="69" t="str">
        <f>IFERROR(VLOOKUP(B273,法术大全!$A:$W,5,FALSE),"")</f>
        <v/>
      </c>
      <c r="D273" s="70" t="str">
        <f>IFERROR(VLOOKUP(B273,法术大全!$A:$W,4,FALSE),"")</f>
        <v/>
      </c>
      <c r="E273" s="68">
        <v>272</v>
      </c>
      <c r="F273" s="71" t="str" cm="1">
        <f t="array" ref="F273">IFERROR(INDEX($B$1:$B$301,SMALL(IF($B$1:$B$301&lt;&gt;"",ROW($B$1:$B$301),4^8),ROW(273:273)))&amp;"","")</f>
        <v/>
      </c>
    </row>
    <row r="274" spans="1:6" ht="16.5" customHeight="1" x14ac:dyDescent="0.15">
      <c r="A274" s="68">
        <v>273</v>
      </c>
      <c r="B274" s="69" t="str">
        <f>IF(法术书!AW25="","",法术书!AW25)</f>
        <v/>
      </c>
      <c r="C274" s="69" t="str">
        <f>IFERROR(VLOOKUP(B274,法术大全!$A:$W,5,FALSE),"")</f>
        <v/>
      </c>
      <c r="D274" s="70" t="str">
        <f>IFERROR(VLOOKUP(B274,法术大全!$A:$W,4,FALSE),"")</f>
        <v/>
      </c>
      <c r="E274" s="68">
        <v>273</v>
      </c>
      <c r="F274" s="71" t="str" cm="1">
        <f t="array" ref="F274">IFERROR(INDEX($B$1:$B$301,SMALL(IF($B$1:$B$301&lt;&gt;"",ROW($B$1:$B$301),4^8),ROW(274:274)))&amp;"","")</f>
        <v/>
      </c>
    </row>
    <row r="275" spans="1:6" ht="16.5" customHeight="1" x14ac:dyDescent="0.15">
      <c r="A275" s="68">
        <v>274</v>
      </c>
      <c r="B275" s="69" t="str">
        <f>IF(法术书!AW26="","",法术书!AW26)</f>
        <v/>
      </c>
      <c r="C275" s="69" t="str">
        <f>IFERROR(VLOOKUP(B275,法术大全!$A:$W,5,FALSE),"")</f>
        <v/>
      </c>
      <c r="D275" s="70" t="str">
        <f>IFERROR(VLOOKUP(B275,法术大全!$A:$W,4,FALSE),"")</f>
        <v/>
      </c>
      <c r="E275" s="68">
        <v>274</v>
      </c>
      <c r="F275" s="71" t="str" cm="1">
        <f t="array" ref="F275">IFERROR(INDEX($B$1:$B$301,SMALL(IF($B$1:$B$301&lt;&gt;"",ROW($B$1:$B$301),4^8),ROW(275:275)))&amp;"","")</f>
        <v/>
      </c>
    </row>
    <row r="276" spans="1:6" ht="16.5" customHeight="1" x14ac:dyDescent="0.15">
      <c r="A276" s="68">
        <v>275</v>
      </c>
      <c r="B276" s="69" t="str">
        <f>IF(法术书!AW27="","",法术书!AW27)</f>
        <v/>
      </c>
      <c r="C276" s="69" t="str">
        <f>IFERROR(VLOOKUP(B276,法术大全!$A:$W,5,FALSE),"")</f>
        <v/>
      </c>
      <c r="D276" s="70" t="str">
        <f>IFERROR(VLOOKUP(B276,法术大全!$A:$W,4,FALSE),"")</f>
        <v/>
      </c>
      <c r="E276" s="68">
        <v>275</v>
      </c>
      <c r="F276" s="71" t="str" cm="1">
        <f t="array" ref="F276">IFERROR(INDEX($B$1:$B$301,SMALL(IF($B$1:$B$301&lt;&gt;"",ROW($B$1:$B$301),4^8),ROW(276:276)))&amp;"","")</f>
        <v/>
      </c>
    </row>
    <row r="277" spans="1:6" ht="16.5" customHeight="1" x14ac:dyDescent="0.15">
      <c r="A277" s="68">
        <v>276</v>
      </c>
      <c r="B277" s="69" t="str">
        <f>IF(法术书!AW28="","",法术书!AW28)</f>
        <v/>
      </c>
      <c r="C277" s="69" t="str">
        <f>IFERROR(VLOOKUP(B277,法术大全!$A:$W,5,FALSE),"")</f>
        <v/>
      </c>
      <c r="D277" s="70" t="str">
        <f>IFERROR(VLOOKUP(B277,法术大全!$A:$W,4,FALSE),"")</f>
        <v/>
      </c>
      <c r="E277" s="68">
        <v>276</v>
      </c>
      <c r="F277" s="71" t="str" cm="1">
        <f t="array" ref="F277">IFERROR(INDEX($B$1:$B$301,SMALL(IF($B$1:$B$301&lt;&gt;"",ROW($B$1:$B$301),4^8),ROW(277:277)))&amp;"","")</f>
        <v/>
      </c>
    </row>
    <row r="278" spans="1:6" ht="16.5" customHeight="1" x14ac:dyDescent="0.15">
      <c r="A278" s="68">
        <v>277</v>
      </c>
      <c r="B278" s="69" t="str">
        <f>IF(法术书!AW29="","",法术书!AW29)</f>
        <v/>
      </c>
      <c r="C278" s="69" t="str">
        <f>IFERROR(VLOOKUP(B278,法术大全!$A:$W,5,FALSE),"")</f>
        <v/>
      </c>
      <c r="D278" s="70" t="str">
        <f>IFERROR(VLOOKUP(B278,法术大全!$A:$W,4,FALSE),"")</f>
        <v/>
      </c>
      <c r="E278" s="68">
        <v>277</v>
      </c>
      <c r="F278" s="71" t="str" cm="1">
        <f t="array" ref="F278">IFERROR(INDEX($B$1:$B$301,SMALL(IF($B$1:$B$301&lt;&gt;"",ROW($B$1:$B$301),4^8),ROW(278:278)))&amp;"","")</f>
        <v/>
      </c>
    </row>
    <row r="279" spans="1:6" ht="16.5" customHeight="1" x14ac:dyDescent="0.15">
      <c r="A279" s="68">
        <v>278</v>
      </c>
      <c r="B279" s="69" t="str">
        <f>IF(法术书!AW30="","",法术书!AW30)</f>
        <v/>
      </c>
      <c r="C279" s="69" t="str">
        <f>IFERROR(VLOOKUP(B279,法术大全!$A:$W,5,FALSE),"")</f>
        <v/>
      </c>
      <c r="D279" s="70" t="str">
        <f>IFERROR(VLOOKUP(B279,法术大全!$A:$W,4,FALSE),"")</f>
        <v/>
      </c>
      <c r="E279" s="68">
        <v>278</v>
      </c>
      <c r="F279" s="71" t="str" cm="1">
        <f t="array" ref="F279">IFERROR(INDEX($B$1:$B$301,SMALL(IF($B$1:$B$301&lt;&gt;"",ROW($B$1:$B$301),4^8),ROW(279:279)))&amp;"","")</f>
        <v/>
      </c>
    </row>
    <row r="280" spans="1:6" ht="16.5" customHeight="1" x14ac:dyDescent="0.15">
      <c r="A280" s="68">
        <v>279</v>
      </c>
      <c r="B280" s="69" t="str">
        <f>IF(法术书!AW31="","",法术书!AW31)</f>
        <v/>
      </c>
      <c r="C280" s="69" t="str">
        <f>IFERROR(VLOOKUP(B280,法术大全!$A:$W,5,FALSE),"")</f>
        <v/>
      </c>
      <c r="D280" s="70" t="str">
        <f>IFERROR(VLOOKUP(B280,法术大全!$A:$W,4,FALSE),"")</f>
        <v/>
      </c>
      <c r="E280" s="68">
        <v>279</v>
      </c>
      <c r="F280" s="71" t="str" cm="1">
        <f t="array" ref="F280">IFERROR(INDEX($B$1:$B$301,SMALL(IF($B$1:$B$301&lt;&gt;"",ROW($B$1:$B$301),4^8),ROW(280:280)))&amp;"","")</f>
        <v/>
      </c>
    </row>
    <row r="281" spans="1:6" ht="16.5" customHeight="1" x14ac:dyDescent="0.15">
      <c r="A281" s="68">
        <v>280</v>
      </c>
      <c r="B281" s="69" t="str">
        <f>IF(法术书!AW32="","",法术书!AW32)</f>
        <v/>
      </c>
      <c r="C281" s="69" t="str">
        <f>IFERROR(VLOOKUP(B281,法术大全!$A:$W,5,FALSE),"")</f>
        <v/>
      </c>
      <c r="D281" s="70" t="str">
        <f>IFERROR(VLOOKUP(B281,法术大全!$A:$W,4,FALSE),"")</f>
        <v/>
      </c>
      <c r="E281" s="68">
        <v>280</v>
      </c>
      <c r="F281" s="71" t="str" cm="1">
        <f t="array" ref="F281">IFERROR(INDEX($B$1:$B$301,SMALL(IF($B$1:$B$301&lt;&gt;"",ROW($B$1:$B$301),4^8),ROW(281:281)))&amp;"","")</f>
        <v/>
      </c>
    </row>
    <row r="282" spans="1:6" ht="16.5" customHeight="1" x14ac:dyDescent="0.15">
      <c r="A282" s="68">
        <v>281</v>
      </c>
      <c r="B282" s="69" t="str">
        <f>IF(法术书!AW33="","",法术书!AW33)</f>
        <v/>
      </c>
      <c r="C282" s="69" t="str">
        <f>IFERROR(VLOOKUP(B282,法术大全!$A:$W,5,FALSE),"")</f>
        <v/>
      </c>
      <c r="D282" s="70" t="str">
        <f>IFERROR(VLOOKUP(B282,法术大全!$A:$W,4,FALSE),"")</f>
        <v/>
      </c>
      <c r="E282" s="68">
        <v>281</v>
      </c>
      <c r="F282" s="71" t="str" cm="1">
        <f t="array" ref="F282">IFERROR(INDEX($B$1:$B$301,SMALL(IF($B$1:$B$301&lt;&gt;"",ROW($B$1:$B$301),4^8),ROW(282:282)))&amp;"","")</f>
        <v/>
      </c>
    </row>
    <row r="283" spans="1:6" ht="16.5" customHeight="1" x14ac:dyDescent="0.15">
      <c r="A283" s="68">
        <v>282</v>
      </c>
      <c r="B283" s="69" t="str">
        <f>IF(法术书!AW34="","",法术书!AW34)</f>
        <v/>
      </c>
      <c r="C283" s="69" t="str">
        <f>IFERROR(VLOOKUP(B283,法术大全!$A:$W,5,FALSE),"")</f>
        <v/>
      </c>
      <c r="D283" s="70" t="str">
        <f>IFERROR(VLOOKUP(B283,法术大全!$A:$W,4,FALSE),"")</f>
        <v/>
      </c>
      <c r="E283" s="68">
        <v>282</v>
      </c>
      <c r="F283" s="71" t="str" cm="1">
        <f t="array" ref="F283">IFERROR(INDEX($B$1:$B$301,SMALL(IF($B$1:$B$301&lt;&gt;"",ROW($B$1:$B$301),4^8),ROW(283:283)))&amp;"","")</f>
        <v/>
      </c>
    </row>
    <row r="284" spans="1:6" ht="16.5" customHeight="1" x14ac:dyDescent="0.15">
      <c r="A284" s="68">
        <v>283</v>
      </c>
      <c r="B284" s="69" t="str">
        <f>IF(法术书!AW35="","",法术书!AW35)</f>
        <v/>
      </c>
      <c r="C284" s="69" t="str">
        <f>IFERROR(VLOOKUP(B284,法术大全!$A:$W,5,FALSE),"")</f>
        <v/>
      </c>
      <c r="D284" s="70" t="str">
        <f>IFERROR(VLOOKUP(B284,法术大全!$A:$W,4,FALSE),"")</f>
        <v/>
      </c>
      <c r="E284" s="68">
        <v>283</v>
      </c>
      <c r="F284" s="71" t="str" cm="1">
        <f t="array" ref="F284">IFERROR(INDEX($B$1:$B$301,SMALL(IF($B$1:$B$301&lt;&gt;"",ROW($B$1:$B$301),4^8),ROW(284:284)))&amp;"","")</f>
        <v/>
      </c>
    </row>
    <row r="285" spans="1:6" ht="16.5" customHeight="1" x14ac:dyDescent="0.15">
      <c r="A285" s="68">
        <v>284</v>
      </c>
      <c r="B285" s="69" t="str">
        <f>IF(法术书!AW36="","",法术书!AW36)</f>
        <v/>
      </c>
      <c r="C285" s="69" t="str">
        <f>IFERROR(VLOOKUP(B285,法术大全!$A:$W,5,FALSE),"")</f>
        <v/>
      </c>
      <c r="D285" s="70" t="str">
        <f>IFERROR(VLOOKUP(B285,法术大全!$A:$W,4,FALSE),"")</f>
        <v/>
      </c>
      <c r="E285" s="68">
        <v>284</v>
      </c>
      <c r="F285" s="71" t="str" cm="1">
        <f t="array" ref="F285">IFERROR(INDEX($B$1:$B$301,SMALL(IF($B$1:$B$301&lt;&gt;"",ROW($B$1:$B$301),4^8),ROW(285:285)))&amp;"","")</f>
        <v/>
      </c>
    </row>
    <row r="286" spans="1:6" ht="16.5" customHeight="1" x14ac:dyDescent="0.15">
      <c r="A286" s="68">
        <v>285</v>
      </c>
      <c r="B286" s="69" t="str">
        <f>IF(法术书!AW37="","",法术书!AW37)</f>
        <v/>
      </c>
      <c r="C286" s="69" t="str">
        <f>IFERROR(VLOOKUP(B286,法术大全!$A:$W,5,FALSE),"")</f>
        <v/>
      </c>
      <c r="D286" s="70" t="str">
        <f>IFERROR(VLOOKUP(B286,法术大全!$A:$W,4,FALSE),"")</f>
        <v/>
      </c>
      <c r="E286" s="68">
        <v>285</v>
      </c>
      <c r="F286" s="71" t="str" cm="1">
        <f t="array" ref="F286">IFERROR(INDEX($B$1:$B$301,SMALL(IF($B$1:$B$301&lt;&gt;"",ROW($B$1:$B$301),4^8),ROW(286:286)))&amp;"","")</f>
        <v/>
      </c>
    </row>
    <row r="287" spans="1:6" ht="16.5" customHeight="1" x14ac:dyDescent="0.15">
      <c r="A287" s="68">
        <v>286</v>
      </c>
      <c r="B287" s="69" t="str">
        <f>IF(法术书!AW38="","",法术书!AW38)</f>
        <v/>
      </c>
      <c r="C287" s="69" t="str">
        <f>IFERROR(VLOOKUP(B287,法术大全!$A:$W,5,FALSE),"")</f>
        <v/>
      </c>
      <c r="D287" s="70" t="str">
        <f>IFERROR(VLOOKUP(B287,法术大全!$A:$W,4,FALSE),"")</f>
        <v/>
      </c>
      <c r="E287" s="68">
        <v>286</v>
      </c>
      <c r="F287" s="71" t="str" cm="1">
        <f t="array" ref="F287">IFERROR(INDEX($B$1:$B$301,SMALL(IF($B$1:$B$301&lt;&gt;"",ROW($B$1:$B$301),4^8),ROW(287:287)))&amp;"","")</f>
        <v/>
      </c>
    </row>
    <row r="288" spans="1:6" ht="16.5" customHeight="1" x14ac:dyDescent="0.15">
      <c r="A288" s="68">
        <v>287</v>
      </c>
      <c r="B288" s="69" t="str">
        <f>IF(法术书!AW39="","",法术书!AW39)</f>
        <v/>
      </c>
      <c r="C288" s="69" t="str">
        <f>IFERROR(VLOOKUP(B288,法术大全!$A:$W,5,FALSE),"")</f>
        <v/>
      </c>
      <c r="D288" s="70" t="str">
        <f>IFERROR(VLOOKUP(B288,法术大全!$A:$W,4,FALSE),"")</f>
        <v/>
      </c>
      <c r="E288" s="68">
        <v>287</v>
      </c>
      <c r="F288" s="71" t="str" cm="1">
        <f t="array" ref="F288">IFERROR(INDEX($B$1:$B$301,SMALL(IF($B$1:$B$301&lt;&gt;"",ROW($B$1:$B$301),4^8),ROW(288:288)))&amp;"","")</f>
        <v/>
      </c>
    </row>
    <row r="289" spans="1:6" ht="16.5" customHeight="1" x14ac:dyDescent="0.15">
      <c r="A289" s="68">
        <v>288</v>
      </c>
      <c r="B289" s="69" t="str">
        <f>IF(法术书!AW40="","",法术书!AW40)</f>
        <v/>
      </c>
      <c r="C289" s="69" t="str">
        <f>IFERROR(VLOOKUP(B289,法术大全!$A:$W,5,FALSE),"")</f>
        <v/>
      </c>
      <c r="D289" s="70" t="str">
        <f>IFERROR(VLOOKUP(B289,法术大全!$A:$W,4,FALSE),"")</f>
        <v/>
      </c>
      <c r="E289" s="68">
        <v>288</v>
      </c>
      <c r="F289" s="71" t="str" cm="1">
        <f t="array" ref="F289">IFERROR(INDEX($B$1:$B$301,SMALL(IF($B$1:$B$301&lt;&gt;"",ROW($B$1:$B$301),4^8),ROW(289:289)))&amp;"","")</f>
        <v/>
      </c>
    </row>
    <row r="290" spans="1:6" ht="16.5" customHeight="1" x14ac:dyDescent="0.15">
      <c r="A290" s="68">
        <v>289</v>
      </c>
      <c r="B290" s="69" t="str">
        <f>IF(法术书!AW41="","",法术书!AW41)</f>
        <v/>
      </c>
      <c r="C290" s="69" t="str">
        <f>IFERROR(VLOOKUP(B290,法术大全!$A:$W,5,FALSE),"")</f>
        <v/>
      </c>
      <c r="D290" s="70" t="str">
        <f>IFERROR(VLOOKUP(B290,法术大全!$A:$W,4,FALSE),"")</f>
        <v/>
      </c>
      <c r="E290" s="68">
        <v>289</v>
      </c>
      <c r="F290" s="71" t="str" cm="1">
        <f t="array" ref="F290">IFERROR(INDEX($B$1:$B$301,SMALL(IF($B$1:$B$301&lt;&gt;"",ROW($B$1:$B$301),4^8),ROW(290:290)))&amp;"","")</f>
        <v/>
      </c>
    </row>
    <row r="291" spans="1:6" ht="16.5" customHeight="1" x14ac:dyDescent="0.15">
      <c r="A291" s="68">
        <v>290</v>
      </c>
      <c r="B291" s="69" t="str">
        <f>IF(法术书!AW42="","",法术书!AW42)</f>
        <v/>
      </c>
      <c r="C291" s="69" t="str">
        <f>IFERROR(VLOOKUP(B291,法术大全!$A:$W,5,FALSE),"")</f>
        <v/>
      </c>
      <c r="D291" s="70" t="str">
        <f>IFERROR(VLOOKUP(B291,法术大全!$A:$W,4,FALSE),"")</f>
        <v/>
      </c>
      <c r="E291" s="68">
        <v>290</v>
      </c>
      <c r="F291" s="71" t="str" cm="1">
        <f t="array" ref="F291">IFERROR(INDEX($B$1:$B$301,SMALL(IF($B$1:$B$301&lt;&gt;"",ROW($B$1:$B$301),4^8),ROW(291:291)))&amp;"","")</f>
        <v/>
      </c>
    </row>
    <row r="292" spans="1:6" ht="16.5" customHeight="1" x14ac:dyDescent="0.15">
      <c r="A292" s="68">
        <v>291</v>
      </c>
      <c r="B292" s="69" t="str">
        <f>IF(法术书!AW43="","",法术书!AW43)</f>
        <v/>
      </c>
      <c r="C292" s="69" t="str">
        <f>IFERROR(VLOOKUP(B292,法术大全!$A:$W,5,FALSE),"")</f>
        <v/>
      </c>
      <c r="D292" s="70" t="str">
        <f>IFERROR(VLOOKUP(B292,法术大全!$A:$W,4,FALSE),"")</f>
        <v/>
      </c>
      <c r="E292" s="68">
        <v>291</v>
      </c>
      <c r="F292" s="71" t="str" cm="1">
        <f t="array" ref="F292">IFERROR(INDEX($B$1:$B$301,SMALL(IF($B$1:$B$301&lt;&gt;"",ROW($B$1:$B$301),4^8),ROW(292:292)))&amp;"","")</f>
        <v/>
      </c>
    </row>
    <row r="293" spans="1:6" ht="16.5" customHeight="1" x14ac:dyDescent="0.15">
      <c r="A293" s="68">
        <v>292</v>
      </c>
      <c r="B293" s="69" t="str">
        <f>IF(法术书!AW44="","",法术书!AW44)</f>
        <v/>
      </c>
      <c r="C293" s="69" t="str">
        <f>IFERROR(VLOOKUP(B293,法术大全!$A:$W,5,FALSE),"")</f>
        <v/>
      </c>
      <c r="D293" s="70" t="str">
        <f>IFERROR(VLOOKUP(B293,法术大全!$A:$W,4,FALSE),"")</f>
        <v/>
      </c>
      <c r="E293" s="68">
        <v>292</v>
      </c>
      <c r="F293" s="71" t="str" cm="1">
        <f t="array" ref="F293">IFERROR(INDEX($B$1:$B$301,SMALL(IF($B$1:$B$301&lt;&gt;"",ROW($B$1:$B$301),4^8),ROW(293:293)))&amp;"","")</f>
        <v/>
      </c>
    </row>
    <row r="294" spans="1:6" ht="16.5" customHeight="1" x14ac:dyDescent="0.15">
      <c r="A294" s="68">
        <v>293</v>
      </c>
      <c r="B294" s="69" t="str">
        <f>IF(法术书!AW45="","",法术书!AW45)</f>
        <v/>
      </c>
      <c r="C294" s="69" t="str">
        <f>IFERROR(VLOOKUP(B294,法术大全!$A:$W,5,FALSE),"")</f>
        <v/>
      </c>
      <c r="D294" s="70" t="str">
        <f>IFERROR(VLOOKUP(B294,法术大全!$A:$W,4,FALSE),"")</f>
        <v/>
      </c>
      <c r="E294" s="68">
        <v>293</v>
      </c>
      <c r="F294" s="71" t="str" cm="1">
        <f t="array" ref="F294">IFERROR(INDEX($B$1:$B$301,SMALL(IF($B$1:$B$301&lt;&gt;"",ROW($B$1:$B$301),4^8),ROW(294:294)))&amp;"","")</f>
        <v/>
      </c>
    </row>
    <row r="295" spans="1:6" ht="16.5" customHeight="1" x14ac:dyDescent="0.15">
      <c r="A295" s="68">
        <v>294</v>
      </c>
      <c r="B295" s="69" t="str">
        <f>IF(法术书!AW46="","",法术书!AW46)</f>
        <v/>
      </c>
      <c r="C295" s="69" t="str">
        <f>IFERROR(VLOOKUP(B295,法术大全!$A:$W,5,FALSE),"")</f>
        <v/>
      </c>
      <c r="D295" s="70" t="str">
        <f>IFERROR(VLOOKUP(B295,法术大全!$A:$W,4,FALSE),"")</f>
        <v/>
      </c>
      <c r="E295" s="68">
        <v>294</v>
      </c>
      <c r="F295" s="71" t="str" cm="1">
        <f t="array" ref="F295">IFERROR(INDEX($B$1:$B$301,SMALL(IF($B$1:$B$301&lt;&gt;"",ROW($B$1:$B$301),4^8),ROW(295:295)))&amp;"","")</f>
        <v/>
      </c>
    </row>
    <row r="296" spans="1:6" ht="16.5" customHeight="1" x14ac:dyDescent="0.15">
      <c r="A296" s="68">
        <v>295</v>
      </c>
      <c r="B296" s="69" t="str">
        <f>IF(法术书!AW47="","",法术书!AW47)</f>
        <v/>
      </c>
      <c r="C296" s="69" t="str">
        <f>IFERROR(VLOOKUP(B296,法术大全!$A:$W,5,FALSE),"")</f>
        <v/>
      </c>
      <c r="D296" s="70" t="str">
        <f>IFERROR(VLOOKUP(B296,法术大全!$A:$W,4,FALSE),"")</f>
        <v/>
      </c>
      <c r="E296" s="68">
        <v>295</v>
      </c>
      <c r="F296" s="71" t="str" cm="1">
        <f t="array" ref="F296">IFERROR(INDEX($B$1:$B$301,SMALL(IF($B$1:$B$301&lt;&gt;"",ROW($B$1:$B$301),4^8),ROW(296:296)))&amp;"","")</f>
        <v/>
      </c>
    </row>
    <row r="297" spans="1:6" ht="16.5" customHeight="1" x14ac:dyDescent="0.15">
      <c r="A297" s="68">
        <v>296</v>
      </c>
      <c r="B297" s="69" t="str">
        <f>IF(法术书!AW48="","",法术书!AW48)</f>
        <v/>
      </c>
      <c r="C297" s="69" t="str">
        <f>IFERROR(VLOOKUP(B297,法术大全!$A:$W,5,FALSE),"")</f>
        <v/>
      </c>
      <c r="D297" s="70" t="str">
        <f>IFERROR(VLOOKUP(B297,法术大全!$A:$W,4,FALSE),"")</f>
        <v/>
      </c>
      <c r="E297" s="68">
        <v>296</v>
      </c>
      <c r="F297" s="71" t="str" cm="1">
        <f t="array" ref="F297">IFERROR(INDEX($B$1:$B$301,SMALL(IF($B$1:$B$301&lt;&gt;"",ROW($B$1:$B$301),4^8),ROW(297:297)))&amp;"","")</f>
        <v/>
      </c>
    </row>
    <row r="298" spans="1:6" ht="16.5" customHeight="1" x14ac:dyDescent="0.15">
      <c r="A298" s="68">
        <v>297</v>
      </c>
      <c r="B298" s="69" t="str">
        <f>IF(法术书!AW49="","",法术书!AW49)</f>
        <v/>
      </c>
      <c r="C298" s="69" t="str">
        <f>IFERROR(VLOOKUP(B298,法术大全!$A:$W,5,FALSE),"")</f>
        <v/>
      </c>
      <c r="D298" s="70" t="str">
        <f>IFERROR(VLOOKUP(B298,法术大全!$A:$W,4,FALSE),"")</f>
        <v/>
      </c>
      <c r="E298" s="68">
        <v>297</v>
      </c>
      <c r="F298" s="71" t="str" cm="1">
        <f t="array" ref="F298">IFERROR(INDEX($B$1:$B$301,SMALL(IF($B$1:$B$301&lt;&gt;"",ROW($B$1:$B$301),4^8),ROW(298:298)))&amp;"","")</f>
        <v/>
      </c>
    </row>
    <row r="299" spans="1:6" ht="16.5" customHeight="1" x14ac:dyDescent="0.15">
      <c r="A299" s="68">
        <v>298</v>
      </c>
      <c r="B299" s="69" t="str">
        <f>IF(法术书!AW50="","",法术书!AW50)</f>
        <v/>
      </c>
      <c r="C299" s="69" t="str">
        <f>IFERROR(VLOOKUP(B299,法术大全!$A:$W,5,FALSE),"")</f>
        <v/>
      </c>
      <c r="D299" s="70" t="str">
        <f>IFERROR(VLOOKUP(B299,法术大全!$A:$W,4,FALSE),"")</f>
        <v/>
      </c>
      <c r="E299" s="68">
        <v>298</v>
      </c>
      <c r="F299" s="71" t="str" cm="1">
        <f t="array" ref="F299">IFERROR(INDEX($B$1:$B$301,SMALL(IF($B$1:$B$301&lt;&gt;"",ROW($B$1:$B$301),4^8),ROW(299:299)))&amp;"","")</f>
        <v/>
      </c>
    </row>
    <row r="300" spans="1:6" ht="16.5" customHeight="1" x14ac:dyDescent="0.15">
      <c r="A300" s="68">
        <v>299</v>
      </c>
      <c r="B300" s="69" t="str">
        <f>IF(法术书!AW51="","",法术书!AW51)</f>
        <v/>
      </c>
      <c r="C300" s="69" t="str">
        <f>IFERROR(VLOOKUP(B300,法术大全!$A:$W,5,FALSE),"")</f>
        <v/>
      </c>
      <c r="D300" s="70" t="str">
        <f>IFERROR(VLOOKUP(B300,法术大全!$A:$W,4,FALSE),"")</f>
        <v/>
      </c>
      <c r="E300" s="68">
        <v>299</v>
      </c>
      <c r="F300" s="71" t="str" cm="1">
        <f t="array" ref="F300">IFERROR(INDEX($B$1:$B$301,SMALL(IF($B$1:$B$301&lt;&gt;"",ROW($B$1:$B$301),4^8),ROW(300:300)))&amp;"","")</f>
        <v/>
      </c>
    </row>
    <row r="301" spans="1:6" ht="16.5" customHeight="1" x14ac:dyDescent="0.15">
      <c r="A301" s="68">
        <v>300</v>
      </c>
      <c r="B301" s="69" t="str">
        <f>IF(法术书!AW52="","",法术书!AW52)</f>
        <v/>
      </c>
      <c r="C301" s="69" t="str">
        <f>IFERROR(VLOOKUP(B301,法术大全!$A:$W,5,FALSE),"")</f>
        <v/>
      </c>
      <c r="D301" s="70" t="str">
        <f>IFERROR(VLOOKUP(B301,法术大全!$A:$W,4,FALSE),"")</f>
        <v/>
      </c>
      <c r="E301" s="68">
        <v>300</v>
      </c>
      <c r="F301" s="71" t="str" cm="1">
        <f t="array" ref="F301">IFERROR(INDEX($B$1:$B$301,SMALL(IF($B$1:$B$301&lt;&gt;"",ROW($B$1:$B$301),4^8),ROW(301:301)))&amp;"","")</f>
        <v/>
      </c>
    </row>
    <row r="302" spans="1:6" ht="16.5" customHeight="1" x14ac:dyDescent="0.15">
      <c r="A302" s="68" t="str">
        <f>IFERROR(VLOOKUP(#REF!,#REF!,17,FALSE),"")</f>
        <v/>
      </c>
    </row>
    <row r="303" spans="1:6" ht="16.5" customHeight="1" x14ac:dyDescent="0.15">
      <c r="A303" s="68" t="str">
        <f>IFERROR(VLOOKUP(#REF!,#REF!,17,FALSE),"")</f>
        <v/>
      </c>
    </row>
    <row r="304" spans="1:6" ht="16.5" customHeight="1" x14ac:dyDescent="0.15">
      <c r="A304" s="68" t="str">
        <f>IFERROR(VLOOKUP(#REF!,#REF!,17,FALSE),"")</f>
        <v/>
      </c>
    </row>
    <row r="305" spans="1:1" ht="16.5" customHeight="1" x14ac:dyDescent="0.15">
      <c r="A305" s="68" t="str">
        <f>IFERROR(VLOOKUP(#REF!,#REF!,17,FALSE),"")</f>
        <v/>
      </c>
    </row>
    <row r="306" spans="1:1" ht="16.5" customHeight="1" x14ac:dyDescent="0.15">
      <c r="A306" s="68" t="str">
        <f>IFERROR(VLOOKUP(#REF!,#REF!,17,FALSE),"")</f>
        <v/>
      </c>
    </row>
    <row r="307" spans="1:1" ht="16.5" customHeight="1" x14ac:dyDescent="0.15">
      <c r="A307" s="68" t="str">
        <f>IFERROR(VLOOKUP(#REF!,#REF!,17,FALSE),"")</f>
        <v/>
      </c>
    </row>
    <row r="308" spans="1:1" ht="16.5" customHeight="1" x14ac:dyDescent="0.15">
      <c r="A308" s="68" t="str">
        <f>IFERROR(VLOOKUP(#REF!,#REF!,17,FALSE),"")</f>
        <v/>
      </c>
    </row>
    <row r="309" spans="1:1" ht="16.5" customHeight="1" x14ac:dyDescent="0.15">
      <c r="A309" s="68" t="str">
        <f>IFERROR(VLOOKUP(#REF!,#REF!,17,FALSE),"")</f>
        <v/>
      </c>
    </row>
    <row r="310" spans="1:1" ht="16.5" customHeight="1" x14ac:dyDescent="0.15">
      <c r="A310" s="68" t="str">
        <f>IFERROR(VLOOKUP(#REF!,#REF!,17,FALSE),"")</f>
        <v/>
      </c>
    </row>
    <row r="311" spans="1:1" ht="16.5" customHeight="1" x14ac:dyDescent="0.15">
      <c r="A311" s="68" t="str">
        <f>IFERROR(VLOOKUP(#REF!,#REF!,17,FALSE),"")</f>
        <v/>
      </c>
    </row>
    <row r="312" spans="1:1" ht="16.5" customHeight="1" x14ac:dyDescent="0.15">
      <c r="A312" s="68" t="str">
        <f>IFERROR(VLOOKUP(#REF!,#REF!,17,FALSE),"")</f>
        <v/>
      </c>
    </row>
    <row r="313" spans="1:1" ht="16.5" customHeight="1" x14ac:dyDescent="0.15">
      <c r="A313" s="68" t="str">
        <f>IFERROR(VLOOKUP(#REF!,#REF!,17,FALSE),"")</f>
        <v/>
      </c>
    </row>
    <row r="314" spans="1:1" ht="16.5" customHeight="1" x14ac:dyDescent="0.15">
      <c r="A314" s="68" t="str">
        <f>IFERROR(VLOOKUP(#REF!,#REF!,17,FALSE),"")</f>
        <v/>
      </c>
    </row>
    <row r="315" spans="1:1" ht="16.5" customHeight="1" x14ac:dyDescent="0.15">
      <c r="A315" s="68" t="str">
        <f>IFERROR(VLOOKUP(#REF!,#REF!,17,FALSE),"")</f>
        <v/>
      </c>
    </row>
    <row r="316" spans="1:1" ht="16.5" customHeight="1" x14ac:dyDescent="0.15">
      <c r="A316" s="68" t="str">
        <f>IFERROR(VLOOKUP(#REF!,#REF!,17,FALSE),"")</f>
        <v/>
      </c>
    </row>
    <row r="317" spans="1:1" ht="16.5" customHeight="1" x14ac:dyDescent="0.15">
      <c r="A317" s="68" t="str">
        <f>IFERROR(VLOOKUP(#REF!,#REF!,17,FALSE),"")</f>
        <v/>
      </c>
    </row>
    <row r="318" spans="1:1" ht="16.5" customHeight="1" x14ac:dyDescent="0.15">
      <c r="A318" s="68" t="str">
        <f>IFERROR(VLOOKUP(#REF!,#REF!,17,FALSE),"")</f>
        <v/>
      </c>
    </row>
    <row r="319" spans="1:1" ht="16.5" customHeight="1" x14ac:dyDescent="0.15">
      <c r="A319" s="68" t="str">
        <f>IFERROR(VLOOKUP(#REF!,#REF!,17,FALSE),"")</f>
        <v/>
      </c>
    </row>
    <row r="320" spans="1:1" ht="16.5" customHeight="1" x14ac:dyDescent="0.15">
      <c r="A320" s="68" t="str">
        <f>IFERROR(VLOOKUP(#REF!,#REF!,17,FALSE),"")</f>
        <v/>
      </c>
    </row>
    <row r="321" spans="1:1" ht="16.5" customHeight="1" x14ac:dyDescent="0.15">
      <c r="A321" s="68" t="str">
        <f>IFERROR(VLOOKUP(#REF!,#REF!,17,FALSE),"")</f>
        <v/>
      </c>
    </row>
    <row r="322" spans="1:1" ht="16.5" customHeight="1" x14ac:dyDescent="0.15">
      <c r="A322" s="68" t="str">
        <f>IFERROR(VLOOKUP(#REF!,#REF!,17,FALSE),"")</f>
        <v/>
      </c>
    </row>
    <row r="323" spans="1:1" ht="16.5" customHeight="1" x14ac:dyDescent="0.15">
      <c r="A323" s="68" t="str">
        <f>IFERROR(VLOOKUP(#REF!,#REF!,17,FALSE),"")</f>
        <v/>
      </c>
    </row>
    <row r="324" spans="1:1" ht="16.5" customHeight="1" x14ac:dyDescent="0.15">
      <c r="A324" s="68" t="str">
        <f>IFERROR(VLOOKUP(#REF!,#REF!,17,FALSE),"")</f>
        <v/>
      </c>
    </row>
    <row r="325" spans="1:1" ht="16.5" customHeight="1" x14ac:dyDescent="0.15">
      <c r="A325" s="68" t="str">
        <f>IFERROR(VLOOKUP(#REF!,#REF!,17,FALSE),"")</f>
        <v/>
      </c>
    </row>
    <row r="326" spans="1:1" ht="16.5" customHeight="1" x14ac:dyDescent="0.15">
      <c r="A326" s="68" t="str">
        <f>IFERROR(VLOOKUP(#REF!,#REF!,17,FALSE),"")</f>
        <v/>
      </c>
    </row>
    <row r="327" spans="1:1" ht="16.5" customHeight="1" x14ac:dyDescent="0.15">
      <c r="A327" s="68" t="str">
        <f>IFERROR(VLOOKUP(#REF!,#REF!,17,FALSE),"")</f>
        <v/>
      </c>
    </row>
    <row r="328" spans="1:1" ht="16.5" customHeight="1" x14ac:dyDescent="0.15">
      <c r="A328" s="68" t="str">
        <f>IFERROR(VLOOKUP(#REF!,#REF!,17,FALSE),"")</f>
        <v/>
      </c>
    </row>
    <row r="329" spans="1:1" ht="16.5" customHeight="1" x14ac:dyDescent="0.15">
      <c r="A329" s="68" t="str">
        <f>IFERROR(VLOOKUP(#REF!,#REF!,17,FALSE),"")</f>
        <v/>
      </c>
    </row>
    <row r="330" spans="1:1" ht="16.5" customHeight="1" x14ac:dyDescent="0.15">
      <c r="A330" s="68" t="str">
        <f>IFERROR(VLOOKUP(#REF!,#REF!,17,FALSE),"")</f>
        <v/>
      </c>
    </row>
    <row r="331" spans="1:1" ht="16.5" customHeight="1" x14ac:dyDescent="0.15">
      <c r="A331" s="68" t="str">
        <f>IFERROR(VLOOKUP(#REF!,#REF!,17,FALSE),"")</f>
        <v/>
      </c>
    </row>
    <row r="332" spans="1:1" ht="16.5" customHeight="1" x14ac:dyDescent="0.15">
      <c r="A332" s="68" t="str">
        <f>IFERROR(VLOOKUP(#REF!,#REF!,17,FALSE),"")</f>
        <v/>
      </c>
    </row>
    <row r="333" spans="1:1" ht="16.5" customHeight="1" x14ac:dyDescent="0.15">
      <c r="A333" s="68" t="str">
        <f>IFERROR(VLOOKUP(#REF!,#REF!,17,FALSE),"")</f>
        <v/>
      </c>
    </row>
    <row r="334" spans="1:1" ht="16.5" customHeight="1" x14ac:dyDescent="0.15">
      <c r="A334" s="68" t="str">
        <f>IFERROR(VLOOKUP(#REF!,#REF!,17,FALSE),"")</f>
        <v/>
      </c>
    </row>
    <row r="335" spans="1:1" ht="16.5" customHeight="1" x14ac:dyDescent="0.15">
      <c r="A335" s="68" t="str">
        <f>IFERROR(VLOOKUP(#REF!,#REF!,17,FALSE),"")</f>
        <v/>
      </c>
    </row>
    <row r="336" spans="1:1" ht="16.5" customHeight="1" x14ac:dyDescent="0.15">
      <c r="A336" s="68" t="str">
        <f>IFERROR(VLOOKUP(#REF!,#REF!,17,FALSE),"")</f>
        <v/>
      </c>
    </row>
    <row r="337" spans="1:1" ht="16.5" customHeight="1" x14ac:dyDescent="0.15">
      <c r="A337" s="68" t="str">
        <f>IFERROR(VLOOKUP(#REF!,#REF!,17,FALSE),"")</f>
        <v/>
      </c>
    </row>
    <row r="338" spans="1:1" ht="16.5" customHeight="1" x14ac:dyDescent="0.15">
      <c r="A338" s="68" t="str">
        <f>IFERROR(VLOOKUP(#REF!,#REF!,17,FALSE),"")</f>
        <v/>
      </c>
    </row>
    <row r="339" spans="1:1" ht="16.5" customHeight="1" x14ac:dyDescent="0.15">
      <c r="A339" s="68" t="str">
        <f>IFERROR(VLOOKUP(#REF!,#REF!,17,FALSE),"")</f>
        <v/>
      </c>
    </row>
    <row r="340" spans="1:1" ht="16.5" customHeight="1" x14ac:dyDescent="0.15">
      <c r="A340" s="68" t="str">
        <f>IFERROR(VLOOKUP(#REF!,#REF!,17,FALSE),"")</f>
        <v/>
      </c>
    </row>
    <row r="341" spans="1:1" ht="16.5" customHeight="1" x14ac:dyDescent="0.15">
      <c r="A341" s="68" t="str">
        <f>IFERROR(VLOOKUP(#REF!,#REF!,17,FALSE),"")</f>
        <v/>
      </c>
    </row>
    <row r="342" spans="1:1" ht="16.5" customHeight="1" x14ac:dyDescent="0.15">
      <c r="A342" s="68" t="str">
        <f>IFERROR(VLOOKUP(#REF!,#REF!,17,FALSE),"")</f>
        <v/>
      </c>
    </row>
    <row r="343" spans="1:1" ht="16.5" customHeight="1" x14ac:dyDescent="0.15">
      <c r="A343" s="68" t="str">
        <f>IFERROR(VLOOKUP(#REF!,#REF!,17,FALSE),"")</f>
        <v/>
      </c>
    </row>
    <row r="344" spans="1:1" ht="16.5" customHeight="1" x14ac:dyDescent="0.15">
      <c r="A344" s="68" t="str">
        <f>IFERROR(VLOOKUP(#REF!,#REF!,17,FALSE),"")</f>
        <v/>
      </c>
    </row>
    <row r="345" spans="1:1" ht="16.5" customHeight="1" x14ac:dyDescent="0.15">
      <c r="A345" s="68" t="str">
        <f>IFERROR(VLOOKUP(#REF!,#REF!,17,FALSE),"")</f>
        <v/>
      </c>
    </row>
    <row r="346" spans="1:1" ht="16.5" customHeight="1" x14ac:dyDescent="0.15">
      <c r="A346" s="68" t="str">
        <f>IFERROR(VLOOKUP(#REF!,#REF!,17,FALSE),"")</f>
        <v/>
      </c>
    </row>
    <row r="347" spans="1:1" ht="16.5" customHeight="1" x14ac:dyDescent="0.15">
      <c r="A347" s="68" t="str">
        <f>IFERROR(VLOOKUP(#REF!,#REF!,17,FALSE),"")</f>
        <v/>
      </c>
    </row>
    <row r="348" spans="1:1" ht="16.5" customHeight="1" x14ac:dyDescent="0.15">
      <c r="A348" s="68" t="str">
        <f>IFERROR(VLOOKUP(#REF!,#REF!,17,FALSE),"")</f>
        <v/>
      </c>
    </row>
    <row r="349" spans="1:1" ht="16.5" customHeight="1" x14ac:dyDescent="0.15">
      <c r="A349" s="68" t="str">
        <f>IFERROR(VLOOKUP(#REF!,#REF!,17,FALSE),"")</f>
        <v/>
      </c>
    </row>
    <row r="350" spans="1:1" ht="16.5" customHeight="1" x14ac:dyDescent="0.15">
      <c r="A350" s="68" t="str">
        <f>IFERROR(VLOOKUP(#REF!,#REF!,17,FALSE),"")</f>
        <v/>
      </c>
    </row>
    <row r="351" spans="1:1" ht="16.5" customHeight="1" x14ac:dyDescent="0.15">
      <c r="A351" s="68" t="str">
        <f>IFERROR(VLOOKUP(#REF!,#REF!,17,FALSE),"")</f>
        <v/>
      </c>
    </row>
    <row r="352" spans="1:1" ht="16.5" customHeight="1" x14ac:dyDescent="0.15">
      <c r="A352" s="68" t="str">
        <f>IFERROR(VLOOKUP(#REF!,#REF!,17,FALSE),"")</f>
        <v/>
      </c>
    </row>
    <row r="353" spans="1:1" ht="16.5" customHeight="1" x14ac:dyDescent="0.15">
      <c r="A353" s="68" t="str">
        <f>IFERROR(VLOOKUP(#REF!,#REF!,17,FALSE),"")</f>
        <v/>
      </c>
    </row>
    <row r="354" spans="1:1" ht="16.5" customHeight="1" x14ac:dyDescent="0.15">
      <c r="A354" s="68" t="str">
        <f>IFERROR(VLOOKUP(#REF!,#REF!,17,FALSE),"")</f>
        <v/>
      </c>
    </row>
    <row r="355" spans="1:1" ht="16.5" customHeight="1" x14ac:dyDescent="0.15">
      <c r="A355" s="68" t="str">
        <f>IFERROR(VLOOKUP(#REF!,#REF!,17,FALSE),"")</f>
        <v/>
      </c>
    </row>
    <row r="356" spans="1:1" ht="16.5" customHeight="1" x14ac:dyDescent="0.15">
      <c r="A356" s="68" t="str">
        <f>IFERROR(VLOOKUP(#REF!,#REF!,17,FALSE),"")</f>
        <v/>
      </c>
    </row>
    <row r="357" spans="1:1" ht="16.5" customHeight="1" x14ac:dyDescent="0.15">
      <c r="A357" s="68" t="str">
        <f>IFERROR(VLOOKUP(#REF!,#REF!,17,FALSE),"")</f>
        <v/>
      </c>
    </row>
    <row r="358" spans="1:1" ht="16.5" customHeight="1" x14ac:dyDescent="0.15">
      <c r="A358" s="68" t="str">
        <f>IFERROR(VLOOKUP(#REF!,#REF!,17,FALSE),"")</f>
        <v/>
      </c>
    </row>
    <row r="359" spans="1:1" ht="16.5" customHeight="1" x14ac:dyDescent="0.15">
      <c r="A359" s="68" t="str">
        <f>IFERROR(VLOOKUP(#REF!,#REF!,17,FALSE),"")</f>
        <v/>
      </c>
    </row>
    <row r="360" spans="1:1" ht="16.5" customHeight="1" x14ac:dyDescent="0.15">
      <c r="A360" s="68" t="str">
        <f>IFERROR(VLOOKUP(#REF!,#REF!,17,FALSE),"")</f>
        <v/>
      </c>
    </row>
    <row r="361" spans="1:1" ht="16.5" customHeight="1" x14ac:dyDescent="0.15">
      <c r="A361" s="68" t="str">
        <f>IFERROR(VLOOKUP(#REF!,#REF!,17,FALSE),"")</f>
        <v/>
      </c>
    </row>
    <row r="362" spans="1:1" ht="16.5" customHeight="1" x14ac:dyDescent="0.15">
      <c r="A362" s="68" t="str">
        <f>IFERROR(VLOOKUP(#REF!,#REF!,17,FALSE),"")</f>
        <v/>
      </c>
    </row>
    <row r="363" spans="1:1" ht="16.5" customHeight="1" x14ac:dyDescent="0.15">
      <c r="A363" s="68" t="str">
        <f>IFERROR(VLOOKUP(#REF!,#REF!,17,FALSE),"")</f>
        <v/>
      </c>
    </row>
  </sheetData>
  <mergeCells count="158">
    <mergeCell ref="CB28:CC28"/>
    <mergeCell ref="CB29:CC29"/>
    <mergeCell ref="CB30:CC30"/>
    <mergeCell ref="CB31:CC31"/>
    <mergeCell ref="BF34:BG34"/>
    <mergeCell ref="BF35:BG35"/>
    <mergeCell ref="BF36:BG36"/>
    <mergeCell ref="AL31:AP31"/>
    <mergeCell ref="BY27:BZ27"/>
    <mergeCell ref="BV28:BW28"/>
    <mergeCell ref="BV29:BW29"/>
    <mergeCell ref="BV30:BW30"/>
    <mergeCell ref="BY34:BZ34"/>
    <mergeCell ref="BY33:BZ33"/>
    <mergeCell ref="BY26:BZ26"/>
    <mergeCell ref="BT33:BU33"/>
    <mergeCell ref="AL33:AN33"/>
    <mergeCell ref="AR33:BB33"/>
    <mergeCell ref="BC33:BG33"/>
    <mergeCell ref="AL38:AP38"/>
    <mergeCell ref="AR32:AT32"/>
    <mergeCell ref="AU32:AV32"/>
    <mergeCell ref="BV26:BW26"/>
    <mergeCell ref="BV27:BW27"/>
    <mergeCell ref="BP33:BS33"/>
    <mergeCell ref="AL34:AP34"/>
    <mergeCell ref="AR34:BB34"/>
    <mergeCell ref="BV31:BW31"/>
    <mergeCell ref="BY30:BZ30"/>
    <mergeCell ref="BY28:BZ28"/>
    <mergeCell ref="BY32:BZ32"/>
    <mergeCell ref="BY29:BZ29"/>
    <mergeCell ref="BY31:BZ31"/>
    <mergeCell ref="AL32:AP32"/>
    <mergeCell ref="BC34:BD34"/>
    <mergeCell ref="AL35:AP35"/>
    <mergeCell ref="AR35:BB35"/>
    <mergeCell ref="BC35:BD35"/>
    <mergeCell ref="CB26:CC26"/>
    <mergeCell ref="CB27:CC27"/>
    <mergeCell ref="V32:Z32"/>
    <mergeCell ref="AL22:AM22"/>
    <mergeCell ref="AN22:AR22"/>
    <mergeCell ref="AS22:AT22"/>
    <mergeCell ref="AU22:AY22"/>
    <mergeCell ref="AZ22:BA22"/>
    <mergeCell ref="BB22:BF22"/>
    <mergeCell ref="BP26:BQ26"/>
    <mergeCell ref="AW32:BG32"/>
    <mergeCell ref="AR27:AT27"/>
    <mergeCell ref="AU27:AV27"/>
    <mergeCell ref="AW27:BG27"/>
    <mergeCell ref="AR29:AT29"/>
    <mergeCell ref="AU29:AV29"/>
    <mergeCell ref="AW29:BG29"/>
    <mergeCell ref="AR30:AT30"/>
    <mergeCell ref="AU30:AV30"/>
    <mergeCell ref="AW30:BG30"/>
    <mergeCell ref="AR31:AT31"/>
    <mergeCell ref="AU31:AV31"/>
    <mergeCell ref="AW31:BG31"/>
    <mergeCell ref="BS27:BT27"/>
    <mergeCell ref="E1:F1"/>
    <mergeCell ref="CI1:CJ1"/>
    <mergeCell ref="AL3:BG13"/>
    <mergeCell ref="AL2:BG2"/>
    <mergeCell ref="BP3:CD16"/>
    <mergeCell ref="AO15:AT15"/>
    <mergeCell ref="AO16:AT16"/>
    <mergeCell ref="AL30:AP30"/>
    <mergeCell ref="BP2:CD2"/>
    <mergeCell ref="BG22:BH22"/>
    <mergeCell ref="BI22:BM22"/>
    <mergeCell ref="BN22:BO22"/>
    <mergeCell ref="AL21:CD21"/>
    <mergeCell ref="AX15:AY15"/>
    <mergeCell ref="AZ15:BA15"/>
    <mergeCell ref="AX16:AY16"/>
    <mergeCell ref="AZ16:BA16"/>
    <mergeCell ref="AX17:AY17"/>
    <mergeCell ref="AZ17:BA17"/>
    <mergeCell ref="AX18:AY18"/>
    <mergeCell ref="AZ18:BA18"/>
    <mergeCell ref="AL29:AP29"/>
    <mergeCell ref="BP27:BQ27"/>
    <mergeCell ref="BS26:BT26"/>
    <mergeCell ref="BC38:BD38"/>
    <mergeCell ref="BF38:BG38"/>
    <mergeCell ref="AL37:AP37"/>
    <mergeCell ref="AL43:AP43"/>
    <mergeCell ref="AL42:AP42"/>
    <mergeCell ref="AU42:BE42"/>
    <mergeCell ref="BF42:BG42"/>
    <mergeCell ref="BI42:BJ42"/>
    <mergeCell ref="AR42:AT42"/>
    <mergeCell ref="BK73:BO73"/>
    <mergeCell ref="BP73:CE73"/>
    <mergeCell ref="BK69:BO69"/>
    <mergeCell ref="BP69:CE69"/>
    <mergeCell ref="BK70:BO70"/>
    <mergeCell ref="BP70:CE70"/>
    <mergeCell ref="AR43:AT43"/>
    <mergeCell ref="AU43:BE43"/>
    <mergeCell ref="BF43:BG43"/>
    <mergeCell ref="BI43:BJ43"/>
    <mergeCell ref="BK71:BO71"/>
    <mergeCell ref="BP71:CE71"/>
    <mergeCell ref="BK72:BO72"/>
    <mergeCell ref="BP72:CE72"/>
    <mergeCell ref="BJ63:BR63"/>
    <mergeCell ref="BX22:CD22"/>
    <mergeCell ref="AL26:BG26"/>
    <mergeCell ref="AL27:AN27"/>
    <mergeCell ref="BK80:BO80"/>
    <mergeCell ref="BP80:CE80"/>
    <mergeCell ref="BK74:BO74"/>
    <mergeCell ref="BP74:CE74"/>
    <mergeCell ref="BK75:BO75"/>
    <mergeCell ref="BP75:CE75"/>
    <mergeCell ref="BK76:BO76"/>
    <mergeCell ref="BP76:CE76"/>
    <mergeCell ref="BK77:BO77"/>
    <mergeCell ref="BP77:CE77"/>
    <mergeCell ref="BK78:BO78"/>
    <mergeCell ref="BP78:CE78"/>
    <mergeCell ref="BK79:BO79"/>
    <mergeCell ref="BP79:CE79"/>
    <mergeCell ref="BK68:BO68"/>
    <mergeCell ref="BP68:CE68"/>
    <mergeCell ref="AR37:BB37"/>
    <mergeCell ref="BC37:BD37"/>
    <mergeCell ref="BF37:BG37"/>
    <mergeCell ref="BY35:BZ35"/>
    <mergeCell ref="BY36:BZ36"/>
    <mergeCell ref="BP22:BT22"/>
    <mergeCell ref="BU22:BW22"/>
    <mergeCell ref="AL28:AP28"/>
    <mergeCell ref="AR28:AT28"/>
    <mergeCell ref="AU28:AV28"/>
    <mergeCell ref="AW28:BG28"/>
    <mergeCell ref="AR41:AT41"/>
    <mergeCell ref="AU41:BE41"/>
    <mergeCell ref="BF41:BG41"/>
    <mergeCell ref="BI41:BJ41"/>
    <mergeCell ref="AL36:AP36"/>
    <mergeCell ref="AR36:BB36"/>
    <mergeCell ref="BC36:BD36"/>
    <mergeCell ref="AL39:AN39"/>
    <mergeCell ref="AR39:AT39"/>
    <mergeCell ref="AU39:BE39"/>
    <mergeCell ref="BF39:BJ39"/>
    <mergeCell ref="AL40:AP40"/>
    <mergeCell ref="AR40:AT40"/>
    <mergeCell ref="AU40:BE40"/>
    <mergeCell ref="BF40:BG40"/>
    <mergeCell ref="BI40:BJ40"/>
    <mergeCell ref="AL41:AP41"/>
    <mergeCell ref="AR38:BB38"/>
  </mergeCells>
  <phoneticPr fontId="68" type="noConversion"/>
  <dataValidations count="7">
    <dataValidation allowBlank="1" showInputMessage="1" showErrorMessage="1" prompt="一枚铂金币价值十枚金币" sqref="BP22:BT22" xr:uid="{EA7B5ABD-156C-4216-9B20-0EB74F50F62D}"/>
    <dataValidation allowBlank="1" showInputMessage="1" showErrorMessage="1" prompt="十枚铜币值一枚银币_x000a_一百枚铜币值一枚金币" sqref="AN22:AR22" xr:uid="{FEF65E77-8C42-486B-9CCC-0C42EE98DE76}"/>
    <dataValidation allowBlank="1" showInputMessage="1" showErrorMessage="1" prompt="十枚银币值一枚金币" sqref="AU22:AY22" xr:uid="{9380263F-A67B-4671-8A07-298C41C1C4A7}"/>
    <dataValidation allowBlank="1" showInputMessage="1" showErrorMessage="1" prompt="一枚金银币价值五枚银币，即半枚金币" sqref="BB22:BF22" xr:uid="{E52C0D7A-86E6-411C-B2FC-2383A7E6DE32}"/>
    <dataValidation allowBlank="1" showInputMessage="1" showErrorMessage="1" prompt="金币是度量财富的标准单位_x000a_一枚钱币的重量大约有三分之一盎司，50枚钱币则大约有一磅沉。" sqref="BI22:BM22" xr:uid="{9909CFC3-394D-4556-87FD-695031894149}"/>
    <dataValidation type="list" allowBlank="1" showInputMessage="1" showErrorMessage="1" sqref="BT33:BU33" xr:uid="{B738BAC3-63A8-43AA-A79B-EBFFB9960AC3}">
      <formula1>"有,无"</formula1>
    </dataValidation>
    <dataValidation type="list" allowBlank="1" showInputMessage="1" sqref="AR28:AT32" xr:uid="{A37B5737-A94B-46F0-8354-4B6514A6C071}">
      <formula1>"普通,非普通,珍稀,极珍稀,传说,神器"</formula1>
    </dataValidation>
  </dataValidations>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xr:uid="{B03C57C6-9585-4274-8D93-E64BFBF1672E}">
          <x14:formula1>
            <xm:f>OFFSET(职业!$CU$2,,,SUMPRODUCT(N(LEN(职业!$CU$2:$CU$101)&gt;0)))</xm:f>
          </x14:formula1>
          <xm:sqref>BK68:BO80</xm:sqref>
        </x14:dataValidation>
        <x14:dataValidation type="list" allowBlank="1" showInputMessage="1" xr:uid="{523594F3-076E-42BC-BBC3-EB2C20E56299}">
          <x14:formula1>
            <xm:f>职业!$CX69</xm:f>
          </x14:formula1>
          <xm:sqref>BP68:CE80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85"/>
  <sheetViews>
    <sheetView zoomScale="70" zoomScaleNormal="70" workbookViewId="0">
      <pane xSplit="1" topLeftCell="B1" activePane="topRight" state="frozen"/>
      <selection activeCell="AS58" sqref="AS58"/>
      <selection pane="topRight" activeCell="M29" sqref="M29"/>
    </sheetView>
  </sheetViews>
  <sheetFormatPr defaultColWidth="9" defaultRowHeight="16.149999999999999" customHeight="1" x14ac:dyDescent="0.15"/>
  <cols>
    <col min="1" max="1" width="9" style="140" customWidth="1"/>
    <col min="2" max="39" width="9" style="148"/>
    <col min="40" max="40" width="9.125" style="148" customWidth="1"/>
    <col min="41" max="41" width="10" style="148" customWidth="1"/>
    <col min="42" max="49" width="9.125" style="148" customWidth="1"/>
    <col min="50" max="99" width="9" style="148"/>
    <col min="100" max="100" width="9" style="148" customWidth="1"/>
    <col min="101" max="101" width="10" style="148" customWidth="1"/>
    <col min="102" max="16384" width="9" style="148"/>
  </cols>
  <sheetData>
    <row r="1" spans="1:102" ht="16.149999999999999" customHeight="1" x14ac:dyDescent="0.15">
      <c r="B1" s="140" t="s">
        <v>529</v>
      </c>
      <c r="C1" s="310" t="s">
        <v>3009</v>
      </c>
      <c r="D1" s="311" t="s">
        <v>3010</v>
      </c>
      <c r="E1" s="312" t="s">
        <v>3017</v>
      </c>
      <c r="F1" s="313" t="s">
        <v>3018</v>
      </c>
      <c r="G1" s="314" t="s">
        <v>3021</v>
      </c>
      <c r="H1" s="315" t="s">
        <v>5790</v>
      </c>
      <c r="K1" s="403" t="s">
        <v>3008</v>
      </c>
      <c r="L1" s="316" t="s">
        <v>6526</v>
      </c>
      <c r="M1" s="317" t="s">
        <v>7246</v>
      </c>
      <c r="N1" s="319" t="s">
        <v>9014</v>
      </c>
      <c r="Q1" s="148" t="s">
        <v>10055</v>
      </c>
      <c r="R1" s="318" t="s">
        <v>9013</v>
      </c>
      <c r="S1" s="320" t="s">
        <v>6525</v>
      </c>
      <c r="U1" s="321" t="s">
        <v>9383</v>
      </c>
      <c r="W1" s="322" t="s">
        <v>7244</v>
      </c>
      <c r="X1" s="323" t="s">
        <v>9087</v>
      </c>
      <c r="Y1" s="324" t="s">
        <v>7245</v>
      </c>
      <c r="Z1" s="325" t="s">
        <v>3549</v>
      </c>
      <c r="AB1" s="148" t="s">
        <v>3550</v>
      </c>
      <c r="AC1" s="149" t="str">
        <f>IFERROR(IF(VLOOKUP(AB2,$B$3:$Z$22,2,FALSE)=0,"",VLOOKUP(AB2,$B$3:$Z$22,2,FALSE)),"")</f>
        <v/>
      </c>
      <c r="AD1" s="247" t="s">
        <v>7442</v>
      </c>
      <c r="AE1" s="148" t="s">
        <v>3552</v>
      </c>
      <c r="AF1" s="149" t="str">
        <f>IFERROR(IF(VLOOKUP(AE2,$B$3:$Z$22,2,FALSE)=0,"",VLOOKUP(AE2,$B$3:$Z$22,2,FALSE)),"")</f>
        <v/>
      </c>
      <c r="AG1" s="150" t="s">
        <v>3551</v>
      </c>
      <c r="AH1" s="148" t="s">
        <v>3553</v>
      </c>
      <c r="AI1" s="149" t="str">
        <f>IFERROR(IF(VLOOKUP(AH2,$B$3:$Z$22,2,FALSE)=0,"",VLOOKUP(AH2,$B$3:$Z$22,2,FALSE)),"")</f>
        <v/>
      </c>
      <c r="AJ1" s="150" t="s">
        <v>3554</v>
      </c>
      <c r="AK1" s="148" t="s">
        <v>3555</v>
      </c>
      <c r="AL1" s="149" t="str">
        <f>IFERROR(IF(VLOOKUP(AK2,$B$3:$Z$22,2,FALSE)=0,"",VLOOKUP(AK2,$B$3:$Z$22,2,FALSE)),"")</f>
        <v/>
      </c>
      <c r="AM1" s="150" t="s">
        <v>3554</v>
      </c>
      <c r="AO1" s="827" t="s">
        <v>3556</v>
      </c>
      <c r="AP1" s="828"/>
      <c r="AQ1" s="831" t="s">
        <v>3557</v>
      </c>
      <c r="AR1" s="832"/>
      <c r="AS1" s="192" t="s">
        <v>3558</v>
      </c>
      <c r="AT1" s="193" t="s">
        <v>3559</v>
      </c>
      <c r="AU1" s="160" t="s">
        <v>3648</v>
      </c>
      <c r="AV1" s="150" t="str">
        <f>IF(AR12+AT17+AX18+AV17=0,"",AR12+AT17+AX18+AV17)</f>
        <v/>
      </c>
      <c r="AY1" s="148" t="s">
        <v>3560</v>
      </c>
      <c r="AZ1" s="148" t="s">
        <v>3561</v>
      </c>
      <c r="BA1" s="148" t="s">
        <v>3562</v>
      </c>
      <c r="BB1" s="148" t="s">
        <v>3563</v>
      </c>
      <c r="BC1" s="148" t="s">
        <v>3561</v>
      </c>
      <c r="BE1" s="66" t="s">
        <v>531</v>
      </c>
      <c r="BF1" s="66" t="s">
        <v>3564</v>
      </c>
      <c r="BG1" s="66" t="s">
        <v>3565</v>
      </c>
      <c r="BH1" s="66" t="s">
        <v>3566</v>
      </c>
      <c r="BI1" s="66" t="s">
        <v>3567</v>
      </c>
      <c r="BJ1" s="66" t="s">
        <v>3568</v>
      </c>
      <c r="BK1" s="66" t="s">
        <v>3569</v>
      </c>
      <c r="BL1" s="66" t="s">
        <v>3570</v>
      </c>
      <c r="BM1" s="66" t="s">
        <v>3571</v>
      </c>
      <c r="BN1" s="66" t="s">
        <v>3572</v>
      </c>
      <c r="BO1" s="64" t="s">
        <v>3573</v>
      </c>
      <c r="BP1" s="66" t="s">
        <v>531</v>
      </c>
      <c r="BQ1" s="66" t="s">
        <v>3564</v>
      </c>
      <c r="BR1" s="66" t="s">
        <v>3565</v>
      </c>
      <c r="BS1" s="66" t="s">
        <v>3566</v>
      </c>
      <c r="BT1" s="66" t="s">
        <v>3567</v>
      </c>
      <c r="BU1" s="64" t="s">
        <v>3568</v>
      </c>
      <c r="BV1" s="66" t="s">
        <v>531</v>
      </c>
      <c r="BW1" s="66" t="s">
        <v>3564</v>
      </c>
      <c r="BX1" s="66" t="s">
        <v>3565</v>
      </c>
      <c r="BY1" s="66" t="s">
        <v>3566</v>
      </c>
      <c r="BZ1" s="66" t="s">
        <v>3567</v>
      </c>
      <c r="CA1" s="206" t="s">
        <v>531</v>
      </c>
      <c r="CB1" s="66" t="s">
        <v>6120</v>
      </c>
      <c r="CC1" s="66" t="s">
        <v>6121</v>
      </c>
      <c r="CD1" s="66" t="s">
        <v>6122</v>
      </c>
      <c r="CE1" s="66" t="s">
        <v>6123</v>
      </c>
      <c r="CF1" s="66" t="s">
        <v>6124</v>
      </c>
      <c r="CH1" s="149"/>
      <c r="CI1" s="148" t="s">
        <v>3561</v>
      </c>
      <c r="CJ1" s="148" t="s">
        <v>3574</v>
      </c>
      <c r="CK1" s="148" t="s">
        <v>3575</v>
      </c>
      <c r="CL1" s="148" t="s">
        <v>3669</v>
      </c>
      <c r="CM1" s="152" t="s">
        <v>3670</v>
      </c>
      <c r="CO1" s="148" t="s">
        <v>3561</v>
      </c>
      <c r="CP1" s="148" t="s">
        <v>3574</v>
      </c>
      <c r="CQ1" s="148" t="s">
        <v>3575</v>
      </c>
      <c r="CR1" s="148" t="s">
        <v>3576</v>
      </c>
      <c r="CS1" s="148" t="s">
        <v>3577</v>
      </c>
      <c r="CT1" s="829" t="s">
        <v>3578</v>
      </c>
      <c r="CU1" s="830"/>
      <c r="CV1" s="148" t="s">
        <v>3561</v>
      </c>
      <c r="CW1" s="148" t="s">
        <v>3579</v>
      </c>
      <c r="CX1" s="148" t="s">
        <v>3580</v>
      </c>
    </row>
    <row r="2" spans="1:102" ht="16.149999999999999" customHeight="1" x14ac:dyDescent="0.15">
      <c r="B2" s="148">
        <v>1</v>
      </c>
      <c r="C2" s="148">
        <v>2</v>
      </c>
      <c r="D2" s="148">
        <v>3</v>
      </c>
      <c r="E2" s="148">
        <v>4</v>
      </c>
      <c r="F2" s="148">
        <v>5</v>
      </c>
      <c r="G2" s="148">
        <v>6</v>
      </c>
      <c r="H2" s="148">
        <v>7</v>
      </c>
      <c r="I2" s="148">
        <v>8</v>
      </c>
      <c r="J2" s="148">
        <v>9</v>
      </c>
      <c r="K2" s="148">
        <v>10</v>
      </c>
      <c r="L2" s="148">
        <v>11</v>
      </c>
      <c r="M2" s="148">
        <v>12</v>
      </c>
      <c r="N2" s="148">
        <v>13</v>
      </c>
      <c r="O2" s="148">
        <v>14</v>
      </c>
      <c r="P2" s="148">
        <v>15</v>
      </c>
      <c r="Q2" s="148">
        <v>16</v>
      </c>
      <c r="R2" s="148">
        <v>17</v>
      </c>
      <c r="S2" s="148">
        <v>18</v>
      </c>
      <c r="T2" s="148">
        <v>19</v>
      </c>
      <c r="U2" s="148">
        <v>20</v>
      </c>
      <c r="V2" s="148">
        <v>21</v>
      </c>
      <c r="W2" s="148">
        <v>22</v>
      </c>
      <c r="X2" s="148">
        <v>23</v>
      </c>
      <c r="Y2" s="148">
        <v>24</v>
      </c>
      <c r="Z2" s="326">
        <v>25</v>
      </c>
      <c r="AB2" s="148">
        <f>主要!E6</f>
        <v>0</v>
      </c>
      <c r="AC2" s="149" t="str">
        <f>IFERROR(IF(VLOOKUP(AB2,$B$3:$Z$22,3,FALSE)=0,"",VLOOKUP(AB2,$B$3:$Z$22,3,FALSE)),"")</f>
        <v/>
      </c>
      <c r="AD2" s="152" t="str" cm="1">
        <f t="array" ref="AD2">IFERROR(INDEX($AC$1:$AC$24,SMALL(IF($AC$1:$AC$24&lt;&gt;"",ROW($AC$1:$AC$24),4^8),ROW(AC1)))&amp;"","")</f>
        <v/>
      </c>
      <c r="AE2" s="151">
        <f>主要!E7</f>
        <v>0</v>
      </c>
      <c r="AF2" s="149" t="str">
        <f>IFERROR(IF(VLOOKUP(AE2,$B$3:$Z$22,3,FALSE)=0,"",VLOOKUP(AE2,$B$3:$Z$22,3,FALSE)),"")</f>
        <v/>
      </c>
      <c r="AG2" s="152" t="str" cm="1">
        <f t="array" ref="AG2">IFERROR(INDEX($AF$1:$AF$24,SMALL(IF($AF$1:$AF$24&lt;&gt;"",ROW($AF$1:$AF$24),4^8),ROW(1:1)))&amp;"","")</f>
        <v/>
      </c>
      <c r="AH2" s="148">
        <f>主要!E8</f>
        <v>0</v>
      </c>
      <c r="AI2" s="149" t="str">
        <f>IFERROR(IF(VLOOKUP(AH2,$B$3:$Z$22,3,FALSE)=0,"",VLOOKUP(AH2,$B$3:$Z$22,3,FALSE)),"")</f>
        <v/>
      </c>
      <c r="AJ2" s="152" t="str" cm="1">
        <f t="array" ref="AJ2">IFERROR(INDEX($AI$1:$AI$24,SMALL(IF($AI$1:$AI$24&lt;&gt;"",ROW($AI$1:$AI$24),4^8),ROW(1:1)))&amp;"","")</f>
        <v/>
      </c>
      <c r="AK2" s="148">
        <f>主要!AW9</f>
        <v>0</v>
      </c>
      <c r="AL2" s="149" t="str">
        <f>IFERROR(IF(VLOOKUP(AK2,$B$3:$Z$22,3,FALSE)=0,"",VLOOKUP(AK2,$B$3:$Z$22,3,FALSE)),"")</f>
        <v/>
      </c>
      <c r="AM2" s="152" t="str" cm="1">
        <f t="array" ref="AM2">IFERROR(INDEX($AL$1:$AL$24,SMALL(IF($AL$1:$AL$24&lt;&gt;"",ROW($AL$1:$AL$24),4^8),ROW(1:1)))&amp;"","")</f>
        <v/>
      </c>
      <c r="AO2" s="192" t="s">
        <v>3581</v>
      </c>
      <c r="AP2" s="193" t="s">
        <v>10153</v>
      </c>
      <c r="AQ2" s="194" t="s">
        <v>10153</v>
      </c>
      <c r="AR2" s="195">
        <v>4</v>
      </c>
      <c r="AS2" s="194" t="str">
        <f>IFERROR(VLOOKUP(主要!E6,$AO$2:$AP$21,2,FALSE),"")</f>
        <v/>
      </c>
      <c r="AT2" s="195">
        <f>IFERROR(VLOOKUP(AS2,$AQ$2:$AR$5,2,FALSE),0)</f>
        <v>0</v>
      </c>
      <c r="AU2" s="148" t="s">
        <v>3655</v>
      </c>
      <c r="AV2" s="152" t="str">
        <f>IF(AR13+AT18+AX19+AV18=0,"",AR13+AT18+AX19+AV18)</f>
        <v/>
      </c>
      <c r="AY2" s="148" t="s">
        <v>3582</v>
      </c>
      <c r="AZ2" s="148">
        <f t="shared" ref="AZ2:AZ18" si="0">IFERROR(VLOOKUP(AY2,$BA$2:$BC$4,3,0),0)</f>
        <v>0</v>
      </c>
      <c r="BA2" s="148">
        <f>IF(主要!E6="",0,主要!E6)</f>
        <v>0</v>
      </c>
      <c r="BB2" s="148">
        <f>IF(主要!I6="",0,主要!I6)</f>
        <v>0</v>
      </c>
      <c r="BC2" s="148">
        <f>IF(主要!O6="",0,主要!O6)</f>
        <v>1</v>
      </c>
      <c r="BE2" s="148">
        <v>0</v>
      </c>
      <c r="BO2" s="153"/>
      <c r="BP2" s="148">
        <v>0</v>
      </c>
      <c r="BU2" s="153"/>
      <c r="BV2" s="148">
        <v>0</v>
      </c>
      <c r="CA2" s="166">
        <v>0</v>
      </c>
      <c r="CB2" s="199"/>
      <c r="CC2" s="199"/>
      <c r="CD2" s="199"/>
      <c r="CE2" s="199"/>
      <c r="CF2" s="199"/>
      <c r="CH2" s="149" t="s">
        <v>3582</v>
      </c>
      <c r="CI2" s="148">
        <v>1</v>
      </c>
      <c r="CJ2" s="148">
        <v>2</v>
      </c>
      <c r="CK2" s="148">
        <v>3</v>
      </c>
      <c r="CL2" s="148">
        <v>1</v>
      </c>
      <c r="CM2" s="152" cm="1">
        <f t="array" ref="CM2">_xlfn.IFS($AZ$2=20,26,$AZ$2&gt;=19,25,$AZ$2&gt;=18,24,$AZ$2&gt;=17,23,$AZ$2&gt;=15,22,$AZ$2&gt;=11,20,$AZ$2&gt;=9,19,$AZ$2&gt;=7,18,$AZ$2&gt;=5,16,$AZ$2&gt;=4,14,$AZ$2&gt;=3,13,$AZ$2=2,11,$AZ$2=1,9,1,0)</f>
        <v>0</v>
      </c>
      <c r="CN2" s="157" t="str">
        <f>IF(主要!AW9&lt;&gt;"",主要!AW9,"")</f>
        <v/>
      </c>
      <c r="CO2" s="154" t="str">
        <f>IFERROR(VLOOKUP($CN$2,$CH$2:$CM$22,2,FALSE),"")</f>
        <v/>
      </c>
      <c r="CP2" s="154" t="str">
        <f>IFERROR(VLOOKUP($CN$2,$CH$2:$CM$22,3,FALSE),"")</f>
        <v/>
      </c>
      <c r="CQ2" s="154" t="str">
        <f>IFERROR(VLOOKUP($CN$2,$CH$2:$CM$22,4,FALSE),"")</f>
        <v/>
      </c>
      <c r="CR2" s="154" t="str">
        <f>IFERROR(VLOOKUP($CN$2,$CH$2:$CM$22,5,FALSE),"")</f>
        <v/>
      </c>
      <c r="CS2" s="154" t="str">
        <f>IFERROR(VLOOKUP($CN$2,$CH$2:$CM$22,6,FALSE),"")</f>
        <v/>
      </c>
      <c r="CT2" s="155" t="str">
        <f t="shared" ref="CT2:CT33" si="1">IFERROR(IF(OR(CO6="",COUNTIF($CW$2:$CW$81,CO6)),"",CO6),"")</f>
        <v/>
      </c>
      <c r="CU2" s="156" t="str" cm="1">
        <f t="array" ref="CU2">INDEX(CT:CT,SMALL(IF($CT$2:$CT$101&lt;&gt;"",ROW($CT$2:$CT$101),142),ROW(CT1)))&amp;""</f>
        <v/>
      </c>
      <c r="CV2" s="157" t="str">
        <f>IFERROR(VLOOKUP(CW2,$CO$6:$CQ$105,3,FALSE),"")</f>
        <v/>
      </c>
      <c r="CW2" s="154" t="str">
        <f>IF(主要!AX11="","",主要!AX11)</f>
        <v>豁免熟练</v>
      </c>
      <c r="CX2" s="154" t="str">
        <f>IFERROR(VLOOKUP(CW2,$CO$6:$CQ$105,2,FALSE),"")</f>
        <v/>
      </c>
    </row>
    <row r="3" spans="1:102" ht="16.149999999999999" customHeight="1" x14ac:dyDescent="0.15">
      <c r="A3" s="140">
        <v>1</v>
      </c>
      <c r="B3" s="180" t="s">
        <v>534</v>
      </c>
      <c r="C3" s="180" t="s">
        <v>7247</v>
      </c>
      <c r="D3" s="180" t="s">
        <v>7248</v>
      </c>
      <c r="E3" s="180" t="s">
        <v>7249</v>
      </c>
      <c r="F3" s="180" t="s">
        <v>7250</v>
      </c>
      <c r="G3" s="327" t="str">
        <f>IF(自定义调整栏!$E$3="O","先祖守卫道途","")</f>
        <v>先祖守卫道途</v>
      </c>
      <c r="H3" s="327" t="str">
        <f>IF(自定义调整栏!$E$3="O","风暴先驱道途","")</f>
        <v>风暴先驱道途</v>
      </c>
      <c r="I3" s="328" t="str">
        <f>IF(自定义调整栏!$E$4="O","狂野魔法道途","")</f>
        <v>狂野魔法道途</v>
      </c>
      <c r="J3" s="328" t="str">
        <f>IF(自定义调整栏!$E$4="O","野兽道途","")</f>
        <v>野兽道途</v>
      </c>
      <c r="K3" s="329" t="str">
        <f>IF(自定义调整栏!$E$7="O","巨人道途","")</f>
        <v>巨人道途</v>
      </c>
      <c r="L3" s="330" t="str">
        <f>IF(自定义调整栏!$E$26="O","巨像道途","")</f>
        <v/>
      </c>
      <c r="M3" s="331" t="str">
        <f>IF(自定义调整栏!$E$34="O","肌肉法师道途","")</f>
        <v/>
      </c>
      <c r="N3" s="180"/>
      <c r="R3" s="332" t="str">
        <f>IF(自定义调整栏!$E$27="O","腐鸦道途","")</f>
        <v/>
      </c>
      <c r="S3" s="333" t="str">
        <f>IF(自定义调整栏!$E$28="O","古神道途","")</f>
        <v/>
      </c>
      <c r="T3" s="333" t="str">
        <f>IF(自定义调整栏!$E$28="O","污霭狂怒者道途","")</f>
        <v/>
      </c>
      <c r="U3" s="309" t="str">
        <f>IF(自定义调整栏!$E$30="O","噬影徒","")</f>
        <v/>
      </c>
      <c r="W3" s="334" t="str">
        <f>IF(自定义调整栏!$E$35="O","实验道途","")</f>
        <v/>
      </c>
      <c r="X3" s="323" t="str">
        <f>IF(自定义调整栏!$E$32="O","炼狱道途","")</f>
        <v/>
      </c>
      <c r="Y3" s="335" t="str">
        <f>IF(自定义调整栏!$E$33="O","腹酿道途","")</f>
        <v/>
      </c>
      <c r="Z3" s="336" t="str">
        <f>IF(自定义调整栏!$E$36="O","蔑法道途","")</f>
        <v/>
      </c>
      <c r="AA3" s="150" t="str" cm="1">
        <f t="array" ref="AA3">IFERROR(INDEX($B$1:$B$22,SMALL(IF($B$1:$B$22&lt;&gt;"",ROW($B$1:$B$22),4^8),ROW(3:3)))&amp;"","")</f>
        <v>野蛮人</v>
      </c>
      <c r="AC3" s="149" t="str">
        <f>IFERROR(IF(VLOOKUP(AB2,$B$3:$Z$22,4,FALSE)=0,"",VLOOKUP(AB2,$B$3:$Z$22,4,FALSE)),"")</f>
        <v/>
      </c>
      <c r="AD3" s="152" t="str" cm="1">
        <f t="array" ref="AD3">IFERROR(INDEX($AC$1:$AC$24,SMALL(IF($AC$1:$AC$24&lt;&gt;"",ROW($AC$1:$AC$24),4^8),ROW(AC2)))&amp;"","")</f>
        <v/>
      </c>
      <c r="AF3" s="149" t="str">
        <f>IFERROR(IF(VLOOKUP(AE2,$B$3:$Z$22,4,FALSE)=0,"",VLOOKUP(AE2,$B$3:$Z$22,4,FALSE)),"")</f>
        <v/>
      </c>
      <c r="AG3" s="152" t="str" cm="1">
        <f t="array" ref="AG3">IFERROR(INDEX($AF$1:$AF$24,SMALL(IF($AF$1:$AF$24&lt;&gt;"",ROW($AF$1:$AF$24),4^8),ROW(2:2)))&amp;"","")</f>
        <v/>
      </c>
      <c r="AI3" s="149" t="str">
        <f>IFERROR(IF(VLOOKUP(AH2,$B$3:$Z$22,4,FALSE)=0,"",VLOOKUP(AH2,$B$3:$Z$22,4,FALSE)),"")</f>
        <v/>
      </c>
      <c r="AJ3" s="152" t="str" cm="1">
        <f t="array" ref="AJ3">IFERROR(INDEX($AI$1:$AI$24,SMALL(IF($AI$1:$AI$24&lt;&gt;"",ROW($AI$1:$AI$24),4^8),ROW(2:2)))&amp;"","")</f>
        <v/>
      </c>
      <c r="AL3" s="149" t="str">
        <f>IFERROR(IF(VLOOKUP(AK2,$B$3:$Z$22,4,FALSE)=0,"",VLOOKUP(AK2,$B$3:$Z$22,4,FALSE)),"")</f>
        <v/>
      </c>
      <c r="AM3" s="152" t="str" cm="1">
        <f t="array" ref="AM3">IFERROR(INDEX($AL$1:$AL$24,SMALL(IF($AL$1:$AL$24&lt;&gt;"",ROW($AL$1:$AL$24),4^8),ROW(2:2)))&amp;"","")</f>
        <v/>
      </c>
      <c r="AO3" s="194" t="s">
        <v>3587</v>
      </c>
      <c r="AP3" s="195" t="s">
        <v>10153</v>
      </c>
      <c r="AQ3" s="194" t="s">
        <v>10154</v>
      </c>
      <c r="AR3" s="195">
        <v>5</v>
      </c>
      <c r="AS3" s="194" t="str">
        <f>IFERROR(VLOOKUP(主要!E7,$AO$2:$AP$21,2,FALSE),"")</f>
        <v/>
      </c>
      <c r="AT3" s="195">
        <f t="shared" ref="AT3:AT4" si="2">IFERROR(VLOOKUP(AS3,$AQ$2:$AR$5,2,FALSE),0)</f>
        <v>0</v>
      </c>
      <c r="AU3" s="148" t="s">
        <v>3663</v>
      </c>
      <c r="AV3" s="152" t="str">
        <f>IF(AR14+AT19+AX20+AV19=0,"",AR14+AT19+AX20+AV19)</f>
        <v/>
      </c>
      <c r="AY3" s="148" t="s">
        <v>3588</v>
      </c>
      <c r="AZ3" s="148">
        <f t="shared" si="0"/>
        <v>0</v>
      </c>
      <c r="BA3" s="148">
        <f>IF(主要!E7="",0,主要!E7)</f>
        <v>0</v>
      </c>
      <c r="BB3" s="148">
        <f>IF(主要!I7="",0,主要!I7)</f>
        <v>0</v>
      </c>
      <c r="BC3" s="148">
        <f>IF(主要!O7="",0,主要!O7)</f>
        <v>0</v>
      </c>
      <c r="BE3" s="189">
        <v>1</v>
      </c>
      <c r="BF3" s="189">
        <v>2</v>
      </c>
      <c r="BG3" s="189"/>
      <c r="BH3" s="189"/>
      <c r="BI3" s="189"/>
      <c r="BJ3" s="189"/>
      <c r="BK3" s="189"/>
      <c r="BL3" s="189"/>
      <c r="BM3" s="189"/>
      <c r="BN3" s="189"/>
      <c r="BO3" s="65">
        <v>4</v>
      </c>
      <c r="BP3" s="189">
        <v>1</v>
      </c>
      <c r="BQ3" s="189">
        <v>1</v>
      </c>
      <c r="BR3" s="189"/>
      <c r="BS3" s="189"/>
      <c r="BT3" s="189"/>
      <c r="BU3" s="65"/>
      <c r="BV3" s="189">
        <v>1</v>
      </c>
      <c r="BW3" s="189"/>
      <c r="BX3" s="189"/>
      <c r="BY3" s="189"/>
      <c r="BZ3" s="189"/>
      <c r="CA3" s="205">
        <v>1</v>
      </c>
      <c r="CB3" s="189">
        <v>1</v>
      </c>
      <c r="CC3" s="189"/>
      <c r="CD3" s="189"/>
      <c r="CE3" s="189"/>
      <c r="CF3" s="189"/>
      <c r="CH3" s="149" t="s">
        <v>3588</v>
      </c>
      <c r="CI3" s="148">
        <v>4</v>
      </c>
      <c r="CJ3" s="148">
        <v>5</v>
      </c>
      <c r="CK3" s="148">
        <v>6</v>
      </c>
      <c r="CL3" s="148">
        <v>1</v>
      </c>
      <c r="CM3" s="152" cm="1">
        <f t="array" ref="CM3">_xlfn.IFS($AZ$3&gt;=20,24,$AZ$3&gt;=19,23,$AZ$3&gt;=18,22,$AZ$3&gt;=10,21,$AZ$3&gt;=7,20,$AZ$3&gt;=5,19,$AZ$3&gt;=4,18,$AZ$3&gt;=3,17,$AZ$3=2,16,$AZ$3=1,14,1,0)</f>
        <v>0</v>
      </c>
      <c r="CN3" s="157" t="str">
        <f>IF(主要!BD9&lt;&gt;"",主要!BD9,"")</f>
        <v/>
      </c>
      <c r="CP3" s="148" t="s">
        <v>2988</v>
      </c>
      <c r="CQ3" s="148" t="s">
        <v>535</v>
      </c>
      <c r="CR3" s="154" t="str">
        <f>IFERROR(VLOOKUP($CN$3,$CH$30:$CJ$285,2,FALSE),"")</f>
        <v/>
      </c>
      <c r="CS3" s="154" t="str">
        <f>IFERROR(VLOOKUP($CN$3,$CH$30:$CJ$285,3,FALSE),"")</f>
        <v/>
      </c>
      <c r="CT3" s="155" t="str">
        <f t="shared" si="1"/>
        <v/>
      </c>
      <c r="CU3" s="156" t="str" cm="1">
        <f t="array" ref="CU3">INDEX(CT:CT,SMALL(IF($CT$2:$CT$101&lt;&gt;"",ROW($CT$2:$CT$101),142),ROW(CT2)))&amp;""</f>
        <v/>
      </c>
      <c r="CV3" s="157" t="str">
        <f t="shared" ref="CV3:CV66" si="3">IFERROR(VLOOKUP(CW3,$CO$6:$CQ$105,3,FALSE),"")</f>
        <v/>
      </c>
      <c r="CW3" s="154" t="str">
        <f>IF(主要!AX12="","",主要!AX12)</f>
        <v>技能熟练</v>
      </c>
      <c r="CX3" s="154" t="str">
        <f t="shared" ref="CX3:CX66" si="4">IFERROR(VLOOKUP(CW3,$CO$6:$CQ$105,2,FALSE),"")</f>
        <v/>
      </c>
    </row>
    <row r="4" spans="1:102" ht="16.149999999999999" customHeight="1" x14ac:dyDescent="0.15">
      <c r="A4" s="140">
        <v>2</v>
      </c>
      <c r="B4" s="180" t="s">
        <v>183</v>
      </c>
      <c r="C4" s="180" t="s">
        <v>7251</v>
      </c>
      <c r="D4" s="180" t="s">
        <v>7252</v>
      </c>
      <c r="E4" s="180" t="s">
        <v>7253</v>
      </c>
      <c r="F4" s="180" t="s">
        <v>7254</v>
      </c>
      <c r="G4" s="327" t="str">
        <f>IF(自定义调整栏!$E$3="O","剑舞学院","")</f>
        <v>剑舞学院</v>
      </c>
      <c r="H4" s="327" t="str">
        <f>IF(自定义调整栏!$E$3="O","低语学院","")</f>
        <v>低语学院</v>
      </c>
      <c r="I4" s="328" t="str">
        <f>IF(自定义调整栏!$E$4="O","创造学院","")</f>
        <v>创造学院</v>
      </c>
      <c r="J4" s="328" t="str">
        <f>IF(自定义调整栏!$E$4="O","雄辩学院","")</f>
        <v>雄辩学院</v>
      </c>
      <c r="K4" s="337" t="str">
        <f>IF(自定义调整栏!$E$19="O","精魂学院","")</f>
        <v>精魂学院</v>
      </c>
      <c r="L4" s="330" t="str">
        <f>IF(自定义调整栏!$E$26="O","悲剧学院","")</f>
        <v/>
      </c>
      <c r="M4" s="338" t="str">
        <f>IF(自定义调整栏!$E$29="O","旅路学院","")</f>
        <v/>
      </c>
      <c r="N4" s="180"/>
      <c r="Q4" s="148" t="str">
        <f>IF(自定义调整栏!$E$10="O","皓月学院","")</f>
        <v>皓月学院</v>
      </c>
      <c r="R4" s="332" t="str">
        <f>IF(自定义调整栏!$E$27="O","安魂学院","")</f>
        <v/>
      </c>
      <c r="S4" s="333" t="str">
        <f>IF(自定义调整栏!$E$28="O","末谕学院","")</f>
        <v/>
      </c>
      <c r="U4" s="309" t="str">
        <f>IF(自定义调整栏!$E$30="O","暗影学院","")</f>
        <v/>
      </c>
      <c r="W4" s="334" t="str">
        <f>IF(自定义调整栏!$E$35="O","灵哨学院","")</f>
        <v/>
      </c>
      <c r="X4" s="323" t="str">
        <f>IF(自定义调整栏!$E$32="O","交易学院","")</f>
        <v/>
      </c>
      <c r="Y4" s="335" t="str">
        <f>IF(自定义调整栏!$E$33="O","面具学院","")</f>
        <v/>
      </c>
      <c r="Z4" s="336" t="str">
        <f>IF(自定义调整栏!$E$36="O","戏剧学院","")</f>
        <v/>
      </c>
      <c r="AA4" s="152" t="str" cm="1">
        <f t="array" ref="AA4">IFERROR(INDEX($B$1:$B$22,SMALL(IF($B$1:$B$22&lt;&gt;"",ROW($B$1:$B$22),4^8),ROW(4:4)))&amp;"","")</f>
        <v>吟游诗人</v>
      </c>
      <c r="AC4" s="149" t="str">
        <f>IFERROR(IF(VLOOKUP(AB2,$B$3:$Z$22,5,FALSE)=0,"",VLOOKUP(AB2,$B$3:$Z$22,5,FALSE)),"")</f>
        <v/>
      </c>
      <c r="AD4" s="152" t="str" cm="1">
        <f t="array" ref="AD4">IFERROR(INDEX($AC$1:$AC$24,SMALL(IF($AC$1:$AC$24&lt;&gt;"",ROW($AC$1:$AC$24),4^8),ROW(AC3)))&amp;"","")</f>
        <v/>
      </c>
      <c r="AF4" s="149" t="str">
        <f>IFERROR(IF(VLOOKUP(AE2,$B$3:$Z$22,5,FALSE)=0,"",VLOOKUP(AE2,$B$3:$Z$22,5,FALSE)),"")</f>
        <v/>
      </c>
      <c r="AG4" s="152" t="str" cm="1">
        <f t="array" ref="AG4">IFERROR(INDEX($AF$1:$AF$24,SMALL(IF($AF$1:$AF$24&lt;&gt;"",ROW($AF$1:$AF$24),4^8),ROW(3:3)))&amp;"","")</f>
        <v/>
      </c>
      <c r="AI4" s="149" t="str">
        <f>IFERROR(IF(VLOOKUP(AH2,$B$3:$Z$22,5,FALSE)=0,"",VLOOKUP(AH2,$B$3:$Z$22,5,FALSE)),"")</f>
        <v/>
      </c>
      <c r="AJ4" s="152" t="str" cm="1">
        <f t="array" ref="AJ4">IFERROR(INDEX($AI$1:$AI$24,SMALL(IF($AI$1:$AI$24&lt;&gt;"",ROW($AI$1:$AI$24),4^8),ROW(3:3)))&amp;"","")</f>
        <v/>
      </c>
      <c r="AL4" s="149" t="str">
        <f>IFERROR(IF(VLOOKUP(AK2,$B$3:$Z$22,5,FALSE)=0,"",VLOOKUP(AK2,$B$3:$Z$22,5,FALSE)),"")</f>
        <v/>
      </c>
      <c r="AM4" s="152" t="str" cm="1">
        <f t="array" ref="AM4">IFERROR(INDEX($AL$1:$AL$24,SMALL(IF($AL$1:$AL$24&lt;&gt;"",ROW($AL$1:$AL$24),4^8),ROW(3:3)))&amp;"","")</f>
        <v/>
      </c>
      <c r="AO4" s="194" t="s">
        <v>3593</v>
      </c>
      <c r="AP4" s="195" t="s">
        <v>10153</v>
      </c>
      <c r="AQ4" s="194" t="s">
        <v>10155</v>
      </c>
      <c r="AR4" s="195">
        <v>6</v>
      </c>
      <c r="AS4" s="196" t="str">
        <f>IFERROR(VLOOKUP(主要!E8,$AO$2:$AP$21,2,FALSE),"")</f>
        <v/>
      </c>
      <c r="AT4" s="197">
        <f t="shared" si="2"/>
        <v>0</v>
      </c>
      <c r="AU4" s="148" t="s">
        <v>3667</v>
      </c>
      <c r="AV4" s="152" t="str">
        <f>IF(AR15+AT20+AX21+AV20=0,"",AR15+AT20+AX21+AV20)</f>
        <v/>
      </c>
      <c r="AY4" s="148" t="s">
        <v>3594</v>
      </c>
      <c r="AZ4" s="148">
        <f t="shared" si="0"/>
        <v>0</v>
      </c>
      <c r="BA4" s="148">
        <f>IF(主要!E8="",0,主要!E8)</f>
        <v>0</v>
      </c>
      <c r="BB4" s="148">
        <f>IF(主要!I8="",0,主要!I8)</f>
        <v>0</v>
      </c>
      <c r="BC4" s="148">
        <f>IF(主要!O8="",0,主要!O8)</f>
        <v>0</v>
      </c>
      <c r="BE4" s="66">
        <v>2</v>
      </c>
      <c r="BF4" s="66">
        <v>3</v>
      </c>
      <c r="BG4" s="66"/>
      <c r="BH4" s="66"/>
      <c r="BI4" s="66"/>
      <c r="BJ4" s="66"/>
      <c r="BK4" s="66"/>
      <c r="BL4" s="66"/>
      <c r="BM4" s="66"/>
      <c r="BN4" s="66"/>
      <c r="BO4" s="64">
        <v>6</v>
      </c>
      <c r="BP4" s="66">
        <v>2</v>
      </c>
      <c r="BQ4" s="66">
        <v>2</v>
      </c>
      <c r="BR4" s="66"/>
      <c r="BS4" s="66"/>
      <c r="BT4" s="66"/>
      <c r="BU4" s="64"/>
      <c r="BV4" s="66">
        <v>2</v>
      </c>
      <c r="BW4" s="66"/>
      <c r="BX4" s="66"/>
      <c r="BY4" s="66"/>
      <c r="BZ4" s="66"/>
      <c r="CA4" s="206">
        <v>2</v>
      </c>
      <c r="CB4" s="66">
        <v>2</v>
      </c>
      <c r="CC4" s="66"/>
      <c r="CD4" s="66"/>
      <c r="CE4" s="66"/>
      <c r="CF4" s="66"/>
      <c r="CH4" s="149" t="s">
        <v>3594</v>
      </c>
      <c r="CI4" s="148">
        <v>7</v>
      </c>
      <c r="CJ4" s="148">
        <v>8</v>
      </c>
      <c r="CK4" s="148">
        <v>9</v>
      </c>
      <c r="CL4" s="148">
        <v>1</v>
      </c>
      <c r="CM4" s="152" cm="1">
        <f t="array" ref="CM4">_xlfn.IFS($AZ$4&gt;=20,25,$AZ$4&gt;=19,24,$AZ$4&gt;=14,23,$AZ$4&gt;=10,22,$AZ$4&gt;=7,21,$AZ$4&gt;=5,20,$AZ$4&gt;=4,19,$AZ$4&gt;=3,18,$AZ$4=2,17,$AZ$4=1,14,1,0)</f>
        <v>0</v>
      </c>
      <c r="CT4" s="155" t="str">
        <f t="shared" si="1"/>
        <v/>
      </c>
      <c r="CU4" s="156" t="str" cm="1">
        <f t="array" ref="CU4">INDEX(CT:CT,SMALL(IF($CT$2:$CT$101&lt;&gt;"",ROW($CT$2:$CT$101),142),ROW(CT3)))&amp;""</f>
        <v/>
      </c>
      <c r="CV4" s="157" t="str">
        <f t="shared" si="3"/>
        <v/>
      </c>
      <c r="CW4" s="154" t="str">
        <f>IF(主要!AX13="","",主要!AX13)</f>
        <v>武器熟练</v>
      </c>
      <c r="CX4" s="154" t="str">
        <f t="shared" si="4"/>
        <v/>
      </c>
    </row>
    <row r="5" spans="1:102" ht="16.149999999999999" customHeight="1" x14ac:dyDescent="0.15">
      <c r="A5" s="140">
        <v>3</v>
      </c>
      <c r="B5" s="180" t="s">
        <v>194</v>
      </c>
      <c r="C5" s="180" t="s">
        <v>7255</v>
      </c>
      <c r="D5" s="180" t="s">
        <v>7256</v>
      </c>
      <c r="E5" s="180" t="s">
        <v>7257</v>
      </c>
      <c r="F5" s="180" t="s">
        <v>7258</v>
      </c>
      <c r="G5" s="327" t="str">
        <f>IF(自定义调整栏!$E$3="O","锻造领域","")</f>
        <v>锻造领域</v>
      </c>
      <c r="H5" s="327" t="str">
        <f>IF(自定义调整栏!$E$3="O","坟墓领域","")</f>
        <v>坟墓领域</v>
      </c>
      <c r="I5" s="328" t="str">
        <f>IF(自定义调整栏!$E$4="O","秩序领域","")</f>
        <v>秩序领域</v>
      </c>
      <c r="J5" s="328" t="str">
        <f>IF(自定义调整栏!$E$4="O","和平领域","")</f>
        <v>和平领域</v>
      </c>
      <c r="K5" s="328" t="str">
        <f>IF(自定义调整栏!$E$4="O","暮光领域","")</f>
        <v>暮光领域</v>
      </c>
      <c r="L5" s="330" t="str">
        <f>IF(自定义调整栏!$E$26="O","月亮领域","")</f>
        <v/>
      </c>
      <c r="M5" s="330" t="str">
        <f>IF(自定义调整栏!$E$26="O","鲜血领域","")</f>
        <v/>
      </c>
      <c r="N5" s="338" t="str">
        <f>IF(自定义调整栏!$E$29="O","团队领域","")</f>
        <v/>
      </c>
      <c r="O5" s="338" t="str">
        <f>IF(自定义调整栏!$E$29="O","黑夜领域","")</f>
        <v/>
      </c>
      <c r="Q5" s="148" t="str">
        <f>IF(自定义调整栏!$E$10="O","知识领域","")</f>
        <v>知识领域</v>
      </c>
      <c r="R5" s="332" t="str">
        <f>IF(自定义调整栏!$E$27="O","审判领域","")</f>
        <v/>
      </c>
      <c r="S5" s="333" t="str">
        <f>IF(自定义调整栏!$E$28="O","暗影领域-德城","")</f>
        <v/>
      </c>
      <c r="T5" s="309" t="str">
        <f>IF(自定义调整栏!$E$30="O","监管领域","")</f>
        <v/>
      </c>
      <c r="U5" s="309" t="str">
        <f>IF(自定义调整栏!$E$30="O","暗影领域","")</f>
        <v/>
      </c>
      <c r="W5" s="334" t="str">
        <f>IF(自定义调整栏!$E$35="O","丰收领域","")</f>
        <v/>
      </c>
      <c r="X5" s="323" t="str">
        <f>IF(自定义调整栏!$E$32="O","宴饮领域","")</f>
        <v/>
      </c>
      <c r="Z5" s="336" t="str">
        <f>IF(自定义调整栏!$E$36="O","天启领域","")</f>
        <v/>
      </c>
      <c r="AA5" s="152" t="str" cm="1">
        <f t="array" ref="AA5">IFERROR(INDEX($B$1:$B$22,SMALL(IF($B$1:$B$22&lt;&gt;"",ROW($B$1:$B$22),4^8),ROW(5:5)))&amp;"","")</f>
        <v>牧师</v>
      </c>
      <c r="AC5" s="149" t="str">
        <f>IFERROR(IF(VLOOKUP(AB2,$B$3:$Z$22,6,FALSE)=0,"",VLOOKUP(AB2,$B$3:$Z$22,6,FALSE)),"")</f>
        <v/>
      </c>
      <c r="AD5" s="152" t="str" cm="1">
        <f t="array" ref="AD5">IFERROR(INDEX($AC$1:$AC$24,SMALL(IF($AC$1:$AC$24&lt;&gt;"",ROW($AC$1:$AC$24),4^8),ROW(AC4)))&amp;"","")</f>
        <v/>
      </c>
      <c r="AF5" s="149" t="str">
        <f>IFERROR(IF(VLOOKUP(AE2,$B$3:$Z$22,6,FALSE)=0,"",VLOOKUP(AE2,$B$3:$Z$22,6,FALSE)),"")</f>
        <v/>
      </c>
      <c r="AG5" s="152" t="str" cm="1">
        <f t="array" ref="AG5">IFERROR(INDEX($AF$1:$AF$24,SMALL(IF($AF$1:$AF$24&lt;&gt;"",ROW($AF$1:$AF$24),4^8),ROW(4:4)))&amp;"","")</f>
        <v/>
      </c>
      <c r="AI5" s="149" t="str">
        <f>IFERROR(IF(VLOOKUP(AH2,$B$3:$Z$22,6,FALSE)=0,"",VLOOKUP(AH2,$B$3:$Z$22,6,FALSE)),"")</f>
        <v/>
      </c>
      <c r="AJ5" s="152" t="str" cm="1">
        <f t="array" ref="AJ5">IFERROR(INDEX($AI$1:$AI$24,SMALL(IF($AI$1:$AI$24&lt;&gt;"",ROW($AI$1:$AI$24),4^8),ROW(4:4)))&amp;"","")</f>
        <v/>
      </c>
      <c r="AL5" s="149" t="str">
        <f>IFERROR(IF(VLOOKUP(AK2,$B$3:$Z$22,6,FALSE)=0,"",VLOOKUP(AK2,$B$3:$Z$22,6,FALSE)),"")</f>
        <v/>
      </c>
      <c r="AM5" s="152" t="str" cm="1">
        <f t="array" ref="AM5">IFERROR(INDEX($AL$1:$AL$24,SMALL(IF($AL$1:$AL$24&lt;&gt;"",ROW($AL$1:$AL$24),4^8),ROW(4:4)))&amp;"","")</f>
        <v/>
      </c>
      <c r="AO5" s="194" t="s">
        <v>3599</v>
      </c>
      <c r="AP5" s="195" t="s">
        <v>10154</v>
      </c>
      <c r="AQ5" s="196" t="s">
        <v>10156</v>
      </c>
      <c r="AR5" s="197">
        <v>7</v>
      </c>
      <c r="AS5" s="66"/>
      <c r="AT5" s="66"/>
      <c r="AU5" s="149" t="s">
        <v>3674</v>
      </c>
      <c r="AV5" s="152" t="str">
        <f>IF(AR16+AT21+AV21=0,"",AR16+AT21+AV21)</f>
        <v/>
      </c>
      <c r="AY5" s="148" t="s">
        <v>3600</v>
      </c>
      <c r="AZ5" s="148">
        <f t="shared" si="0"/>
        <v>0</v>
      </c>
      <c r="BE5" s="189">
        <v>3</v>
      </c>
      <c r="BF5" s="189">
        <v>4</v>
      </c>
      <c r="BG5" s="189">
        <v>2</v>
      </c>
      <c r="BH5" s="189"/>
      <c r="BI5" s="189"/>
      <c r="BJ5" s="189"/>
      <c r="BK5" s="189"/>
      <c r="BL5" s="189"/>
      <c r="BM5" s="189"/>
      <c r="BN5" s="189"/>
      <c r="BO5" s="65">
        <v>14</v>
      </c>
      <c r="BP5" s="189">
        <v>3</v>
      </c>
      <c r="BQ5" s="189"/>
      <c r="BR5" s="189">
        <v>2</v>
      </c>
      <c r="BS5" s="189"/>
      <c r="BT5" s="189"/>
      <c r="BU5" s="65"/>
      <c r="BV5" s="189">
        <v>3</v>
      </c>
      <c r="BW5" s="189">
        <v>1</v>
      </c>
      <c r="BX5" s="189"/>
      <c r="BY5" s="189"/>
      <c r="BZ5" s="189"/>
      <c r="CA5" s="205">
        <v>3</v>
      </c>
      <c r="CB5" s="189"/>
      <c r="CC5" s="189">
        <v>2</v>
      </c>
      <c r="CD5" s="189"/>
      <c r="CE5" s="189"/>
      <c r="CF5" s="189"/>
      <c r="CH5" s="149" t="s">
        <v>3600</v>
      </c>
      <c r="CI5" s="148">
        <v>10</v>
      </c>
      <c r="CJ5" s="148">
        <v>11</v>
      </c>
      <c r="CK5" s="148">
        <v>12</v>
      </c>
      <c r="CL5" s="148">
        <v>1</v>
      </c>
      <c r="CM5" s="152" cm="1">
        <f t="array" ref="CM5">_xlfn.IFS($AZ$5&gt;=20,29,$AZ$5&gt;=19,28,$AZ$5&gt;=18,27,$AZ$5&gt;=15,26,$AZ$5&gt;=7,25,$AZ$5&gt;=5,24,$AZ$5&gt;=4,23,$AZ$5&gt;=3,22,$AZ$5=2,21,$AZ$5=1,15,1,0)</f>
        <v>0</v>
      </c>
      <c r="CN5" s="157">
        <v>0</v>
      </c>
      <c r="CO5" s="154" t="s">
        <v>3574</v>
      </c>
      <c r="CP5" s="154" t="s">
        <v>3575</v>
      </c>
      <c r="CQ5" s="154"/>
      <c r="CR5" s="154" t="s">
        <v>3601</v>
      </c>
      <c r="CT5" s="155" t="str">
        <f t="shared" si="1"/>
        <v/>
      </c>
      <c r="CU5" s="156" t="str" cm="1">
        <f t="array" ref="CU5">INDEX(CT:CT,SMALL(IF($CT$2:$CT$101&lt;&gt;"",ROW($CT$2:$CT$101),142),ROW(CT4)))&amp;""</f>
        <v/>
      </c>
      <c r="CV5" s="157" t="str">
        <f t="shared" si="3"/>
        <v/>
      </c>
      <c r="CW5" s="154" t="str">
        <f>IF(主要!AX14="","",主要!AX14)</f>
        <v>工具熟练</v>
      </c>
      <c r="CX5" s="154" t="str">
        <f t="shared" si="4"/>
        <v/>
      </c>
    </row>
    <row r="6" spans="1:102" ht="16.149999999999999" customHeight="1" x14ac:dyDescent="0.15">
      <c r="A6" s="140">
        <v>4</v>
      </c>
      <c r="B6" s="180" t="s">
        <v>204</v>
      </c>
      <c r="C6" s="180" t="s">
        <v>7259</v>
      </c>
      <c r="D6" s="180" t="s">
        <v>7260</v>
      </c>
      <c r="E6" s="180" t="s">
        <v>7261</v>
      </c>
      <c r="F6" s="339" t="s">
        <v>7262</v>
      </c>
      <c r="G6" s="327" t="str">
        <f>IF(自定义调整栏!$E$3="O","梦境结社","")</f>
        <v>梦境结社</v>
      </c>
      <c r="H6" s="327" t="str">
        <f>IF(自定义调整栏!$E$3="O","牧人结社","")</f>
        <v>牧人结社</v>
      </c>
      <c r="I6" s="328" t="str">
        <f>IF(自定义调整栏!$E$4="O","孢子结社","")</f>
        <v>孢子结社</v>
      </c>
      <c r="J6" s="328" t="str">
        <f>IF(自定义调整栏!$E$4="O","野火结社","")</f>
        <v>野火结社</v>
      </c>
      <c r="K6" s="330" t="str">
        <f>IF(自定义调整栏!$E$26="O","枯朽结社","")</f>
        <v/>
      </c>
      <c r="L6" s="340" t="str">
        <f>IF(自定义调整栏!$E$29="O","守望结社","")</f>
        <v/>
      </c>
      <c r="O6" s="405" t="str">
        <f>IF(自定义调整栏!$E$39="O","恩护结社","")</f>
        <v/>
      </c>
      <c r="S6" s="333" t="str">
        <f>IF(自定义调整栏!$E$28="O","秽染结社","")</f>
        <v/>
      </c>
      <c r="U6" s="309" t="str">
        <f>IF(自定义调整栏!$E$30="O","暗影结社","")</f>
        <v/>
      </c>
      <c r="V6" s="334" t="str">
        <f>IF(自定义调整栏!$E$35="O","旧途结社","")</f>
        <v/>
      </c>
      <c r="W6" s="334" t="str">
        <f>IF(自定义调整栏!$E$35="O","柳艺结社","")</f>
        <v/>
      </c>
      <c r="X6" s="323" t="str">
        <f>IF(自定义调整栏!$E$32="O","巨龙结社","")</f>
        <v/>
      </c>
      <c r="Y6" s="335" t="str">
        <f>IF(自定义调整栏!$E$33="O","落英结社","")</f>
        <v/>
      </c>
      <c r="Z6" s="336" t="str">
        <f>IF(自定义调整栏!$E$36="O","共生结社","")</f>
        <v/>
      </c>
      <c r="AA6" s="152" t="str" cm="1">
        <f t="array" ref="AA6">IFERROR(INDEX($B$1:$B$22,SMALL(IF($B$1:$B$22&lt;&gt;"",ROW($B$1:$B$22),4^8),ROW(6:6)))&amp;"","")</f>
        <v>德鲁伊</v>
      </c>
      <c r="AC6" s="149" t="str">
        <f>IFERROR(IF(VLOOKUP(AB2,$B$3:$Z$22,7,FALSE)=0,"",VLOOKUP(AB2,$B$3:$Z$22,7,FALSE)),"")</f>
        <v/>
      </c>
      <c r="AD6" s="152" t="str" cm="1">
        <f t="array" ref="AD6">IFERROR(INDEX($AC$1:$AC$24,SMALL(IF($AC$1:$AC$24&lt;&gt;"",ROW($AC$1:$AC$24),4^8),ROW(AC5)))&amp;"","")</f>
        <v/>
      </c>
      <c r="AF6" s="149" t="str">
        <f>IFERROR(IF(VLOOKUP(AE2,$B$3:$Z$22,7,FALSE)=0,"",VLOOKUP(AE2,$B$3:$Z$22,7,FALSE)),"")</f>
        <v/>
      </c>
      <c r="AG6" s="152" t="str" cm="1">
        <f t="array" ref="AG6">IFERROR(INDEX($AF$1:$AF$24,SMALL(IF($AF$1:$AF$24&lt;&gt;"",ROW($AF$1:$AF$24),4^8),ROW(5:5)))&amp;"","")</f>
        <v/>
      </c>
      <c r="AI6" s="149" t="str">
        <f>IFERROR(IF(VLOOKUP(AH2,$B$3:$Z$22,7,FALSE)=0,"",VLOOKUP(AH2,$B$3:$Z$22,7,FALSE)),"")</f>
        <v/>
      </c>
      <c r="AJ6" s="152" t="str" cm="1">
        <f t="array" ref="AJ6">IFERROR(INDEX($AI$1:$AI$24,SMALL(IF($AI$1:$AI$24&lt;&gt;"",ROW($AI$1:$AI$24),4^8),ROW(5:5)))&amp;"","")</f>
        <v/>
      </c>
      <c r="AL6" s="149" t="str">
        <f>IFERROR(IF(VLOOKUP(AK2,$B$3:$Z$22,7,FALSE)=0,"",VLOOKUP(AK2,$B$3:$Z$22,7,FALSE)),"")</f>
        <v/>
      </c>
      <c r="AM6" s="152" t="str" cm="1">
        <f t="array" ref="AM6">IFERROR(INDEX($AL$1:$AL$24,SMALL(IF($AL$1:$AL$24&lt;&gt;"",ROW($AL$1:$AL$24),4^8),ROW(5:5)))&amp;"","")</f>
        <v/>
      </c>
      <c r="AO6" s="194" t="s">
        <v>3605</v>
      </c>
      <c r="AP6" s="195" t="s">
        <v>10154</v>
      </c>
      <c r="AQ6" s="831" t="s">
        <v>3606</v>
      </c>
      <c r="AR6" s="832"/>
      <c r="AS6" s="158" t="s">
        <v>3607</v>
      </c>
      <c r="AT6" s="158">
        <f>主要!O6+主要!O7+主要!O8</f>
        <v>1</v>
      </c>
      <c r="AU6" s="149" t="s">
        <v>3675</v>
      </c>
      <c r="AV6" s="152" t="str">
        <f>IF(AR17+0=0,"",AR17)</f>
        <v/>
      </c>
      <c r="AY6" s="148" t="s">
        <v>3608</v>
      </c>
      <c r="AZ6" s="148">
        <f t="shared" si="0"/>
        <v>0</v>
      </c>
      <c r="BA6" s="148" t="s">
        <v>3609</v>
      </c>
      <c r="BB6" s="148">
        <f>IF($BB$2="奥法骑士",$BC$2,IF($BB$3="奥法骑士",$BC$3,IF($BB$4="奥法骑士",$BC$4,0)))</f>
        <v>0</v>
      </c>
      <c r="BC6" s="148">
        <f>IF($AT$9=0,IF($AT$10=0,IF(SUM(BB7:BB11)=0,ROUNDUP(BB6/3,0),ROUNDDOWN(BB6/3,0)),ROUNDDOWN(BB6/3,0)),ROUNDDOWN(BB6/3,0))</f>
        <v>0</v>
      </c>
      <c r="BE6" s="66">
        <v>4</v>
      </c>
      <c r="BF6" s="66">
        <v>4</v>
      </c>
      <c r="BG6" s="66">
        <v>3</v>
      </c>
      <c r="BH6" s="66"/>
      <c r="BI6" s="66"/>
      <c r="BJ6" s="66"/>
      <c r="BK6" s="66"/>
      <c r="BL6" s="66"/>
      <c r="BM6" s="66"/>
      <c r="BN6" s="66"/>
      <c r="BO6" s="64">
        <v>17</v>
      </c>
      <c r="BP6" s="66">
        <v>4</v>
      </c>
      <c r="BQ6" s="66"/>
      <c r="BR6" s="66">
        <v>2</v>
      </c>
      <c r="BS6" s="66"/>
      <c r="BT6" s="66"/>
      <c r="BU6" s="64"/>
      <c r="BV6" s="66">
        <v>4</v>
      </c>
      <c r="BW6" s="66">
        <v>1</v>
      </c>
      <c r="BX6" s="66"/>
      <c r="BY6" s="66"/>
      <c r="BZ6" s="66"/>
      <c r="CA6" s="206">
        <v>4</v>
      </c>
      <c r="CB6" s="66"/>
      <c r="CC6" s="66">
        <v>2</v>
      </c>
      <c r="CD6" s="66"/>
      <c r="CE6" s="66"/>
      <c r="CF6" s="66"/>
      <c r="CH6" s="149" t="s">
        <v>3608</v>
      </c>
      <c r="CI6" s="148">
        <v>13</v>
      </c>
      <c r="CJ6" s="148">
        <v>14</v>
      </c>
      <c r="CK6" s="148">
        <v>15</v>
      </c>
      <c r="CL6" s="148">
        <v>1</v>
      </c>
      <c r="CM6" s="152" cm="1">
        <f t="array" ref="CM6">_xlfn.IFS($AZ$6=20,21,$AZ$6&gt;=19,20,$AZ$6&gt;=13,19,$AZ$6&gt;=11,18,$AZ$6&gt;=9,17,$AZ$6&gt;=5,15,$AZ$6&gt;=4,13,$AZ$6&gt;=3,12,$AZ$6&gt;=2,11,$AZ$6=1,9,1,0)</f>
        <v>0</v>
      </c>
      <c r="CN6" s="157">
        <f>IFERROR(IF(CN5+1&gt;CS2,IF(CN5+1&gt;CS2,IF(CR3+CR5&gt;CS3,"",CR3+CR5)),CN5+1),"")</f>
        <v>1</v>
      </c>
      <c r="CO6" s="154" t="str" cm="1">
        <f t="array" ref="CO6">IFERROR(INDEX($B$34:$BO$262,CN6,$CP$2),"")</f>
        <v/>
      </c>
      <c r="CP6" s="154" t="str" cm="1">
        <f t="array" ref="CP6">IFERROR(INDEX($B$34:$BO$262,CN6,$CQ$2),"")</f>
        <v/>
      </c>
      <c r="CQ6" s="154" t="str" cm="1">
        <f t="array" ref="CQ6">IF(IFERROR(INDEX($B$34:$BO$262,CN6,$CO$2),"")=0,"",IFERROR(INDEX($B$34:$BO$262,CN6,$CO$2),""))</f>
        <v/>
      </c>
      <c r="CR6" s="154">
        <f>IFERROR(IF(CN5+1&gt;CS2,CR5+1,0),"")</f>
        <v>0</v>
      </c>
      <c r="CT6" s="155" t="str">
        <f t="shared" si="1"/>
        <v/>
      </c>
      <c r="CU6" s="156" t="str" cm="1">
        <f t="array" ref="CU6">INDEX(CT:CT,SMALL(IF($CT$2:$CT$101&lt;&gt;"",ROW($CT$2:$CT$101),142),ROW(CT5)))&amp;""</f>
        <v/>
      </c>
      <c r="CV6" s="157" t="str">
        <f t="shared" si="3"/>
        <v/>
      </c>
      <c r="CW6" s="154" t="str">
        <f>IF(主要!AX15="","",主要!AX15)</f>
        <v>护甲受训</v>
      </c>
      <c r="CX6" s="154" t="str">
        <f t="shared" si="4"/>
        <v/>
      </c>
    </row>
    <row r="7" spans="1:102" ht="16.149999999999999" customHeight="1" x14ac:dyDescent="0.15">
      <c r="A7" s="140">
        <v>5</v>
      </c>
      <c r="B7" s="180" t="s">
        <v>7263</v>
      </c>
      <c r="C7" s="180" t="s">
        <v>7264</v>
      </c>
      <c r="D7" s="180" t="s">
        <v>7265</v>
      </c>
      <c r="E7" s="180" t="s">
        <v>7266</v>
      </c>
      <c r="F7" s="180" t="s">
        <v>7267</v>
      </c>
      <c r="G7" s="327" t="str">
        <f>IF(自定义调整栏!$E$3="O","魔射手","")</f>
        <v>魔射手</v>
      </c>
      <c r="H7" s="327" t="str">
        <f>IF(自定义调整栏!$E$3="O","骑兵","")</f>
        <v>骑兵</v>
      </c>
      <c r="I7" s="327" t="str">
        <f>IF(自定义调整栏!$E$3="O","武士","")</f>
        <v>武士</v>
      </c>
      <c r="J7" s="328" t="str">
        <f>IF(自定义调整栏!$E$4="O","符文骑士","")</f>
        <v>符文骑士</v>
      </c>
      <c r="K7" s="341" t="str">
        <f>IF(自定义调整栏!$E$23="O","回音骑士","")</f>
        <v>回音骑士</v>
      </c>
      <c r="L7" s="331" t="str">
        <f>IF(自定义调整栏!$E$34="O","地城探险家","")</f>
        <v/>
      </c>
      <c r="M7" s="338" t="str">
        <f>IF(自定义调整栏!$E$29="O","法外狂徒","")</f>
        <v/>
      </c>
      <c r="O7" s="405" t="str">
        <f>IF(自定义调整栏!$E$39="O","角斗士","")</f>
        <v/>
      </c>
      <c r="Q7" s="148" t="str">
        <f>IF(自定义调整栏!$E$10="O","旗将","")</f>
        <v>旗将</v>
      </c>
      <c r="R7" s="332" t="str">
        <f>IF(自定义调整栏!$E$27="O","破锋者","")</f>
        <v/>
      </c>
      <c r="S7" s="333" t="str">
        <f>IF(自定义调整栏!$E$28="O","指挥官","")</f>
        <v/>
      </c>
      <c r="W7" s="334" t="str">
        <f>IF(自定义调整栏!$E$35="O","陵墓守卫","")</f>
        <v/>
      </c>
      <c r="X7" s="323" t="str">
        <f>IF(自定义调整栏!$E$32="O","钢隼","")</f>
        <v/>
      </c>
      <c r="Y7" s="335" t="str">
        <f>IF(自定义调整栏!$E$33="O","附灵","")</f>
        <v/>
      </c>
      <c r="Z7" s="336" t="str">
        <f>IF(自定义调整栏!$E$36="O","英雄","")</f>
        <v/>
      </c>
      <c r="AA7" s="152" t="str" cm="1">
        <f t="array" ref="AA7">IFERROR(INDEX($B$1:$B$22,SMALL(IF($B$1:$B$22&lt;&gt;"",ROW($B$1:$B$22),4^8),ROW(7:7)))&amp;"","")</f>
        <v>战士</v>
      </c>
      <c r="AC7" s="149" t="str">
        <f>IFERROR(IF(VLOOKUP(AB2,$B$3:$Z$22,8,FALSE)=0,"",VLOOKUP(AB2,$B$3:$Z$22,8,FALSE)),"")</f>
        <v/>
      </c>
      <c r="AD7" s="152" t="str" cm="1">
        <f t="array" ref="AD7">IFERROR(INDEX($AC$1:$AC$24,SMALL(IF($AC$1:$AC$24&lt;&gt;"",ROW($AC$1:$AC$24),4^8),ROW(AC6)))&amp;"","")</f>
        <v/>
      </c>
      <c r="AF7" s="149" t="str">
        <f>IFERROR(IF(VLOOKUP(AE2,$B$3:$Z$22,8,FALSE)=0,"",VLOOKUP(AE2,$B$3:$Z$22,8,FALSE)),"")</f>
        <v/>
      </c>
      <c r="AG7" s="152" t="str" cm="1">
        <f t="array" ref="AG7">IFERROR(INDEX($AF$1:$AF$24,SMALL(IF($AF$1:$AF$24&lt;&gt;"",ROW($AF$1:$AF$24),4^8),ROW(6:6)))&amp;"","")</f>
        <v/>
      </c>
      <c r="AI7" s="149" t="str">
        <f>IFERROR(IF(VLOOKUP(AH2,$B$3:$Z$22,8,FALSE)=0,"",VLOOKUP(AH2,$B$3:$Z$22,8,FALSE)),"")</f>
        <v/>
      </c>
      <c r="AJ7" s="152" t="str" cm="1">
        <f t="array" ref="AJ7">IFERROR(INDEX($AI$1:$AI$24,SMALL(IF($AI$1:$AI$24&lt;&gt;"",ROW($AI$1:$AI$24),4^8),ROW(6:6)))&amp;"","")</f>
        <v/>
      </c>
      <c r="AL7" s="149" t="str">
        <f>IFERROR(IF(VLOOKUP(AK2,$B$3:$Z$22,8,FALSE)=0,"",VLOOKUP(AK2,$B$3:$Z$22,8,FALSE)),"")</f>
        <v/>
      </c>
      <c r="AM7" s="152" t="str" cm="1">
        <f t="array" ref="AM7">IFERROR(INDEX($AL$1:$AL$24,SMALL(IF($AL$1:$AL$24&lt;&gt;"",ROW($AL$1:$AL$24),4^8),ROW(6:6)))&amp;"","")</f>
        <v/>
      </c>
      <c r="AO7" s="194" t="s">
        <v>3613</v>
      </c>
      <c r="AP7" s="195" t="s">
        <v>10154</v>
      </c>
      <c r="AQ7" s="194" t="s">
        <v>10153</v>
      </c>
      <c r="AR7" s="195">
        <v>2</v>
      </c>
      <c r="AS7" s="158" t="s">
        <v>3614</v>
      </c>
      <c r="AT7" s="158">
        <f>IFERROR(VLOOKUP(AS2,AQ7:AR10,2,FALSE),0)</f>
        <v>0</v>
      </c>
      <c r="AU7" s="149" t="s">
        <v>3676</v>
      </c>
      <c r="AV7" s="152" t="str">
        <f>IF(AR18+0=0,"",AR18)</f>
        <v/>
      </c>
      <c r="AY7" s="148" t="s">
        <v>3615</v>
      </c>
      <c r="AZ7" s="148">
        <f t="shared" si="0"/>
        <v>0</v>
      </c>
      <c r="BA7" s="148" t="s">
        <v>3616</v>
      </c>
      <c r="BB7" s="148">
        <f>IF($BB$2="诡术师",$BC$2,IF($BB$3="诡术师",$BC$3,IF($BB$4="诡术师",$BC$4,0)))</f>
        <v>0</v>
      </c>
      <c r="BC7" s="148">
        <f>IF($AT$9=0,IF($AT$10=0,IF(SUM(BB6,BB8:BB11)=0,ROUNDUP(BB7/3,0),ROUNDDOWN(BB7/3,0)),ROUNDDOWN(BB7/3,0)),ROUNDDOWN(BB7/3,0))</f>
        <v>0</v>
      </c>
      <c r="BE7" s="189">
        <v>5</v>
      </c>
      <c r="BF7" s="189">
        <v>4</v>
      </c>
      <c r="BG7" s="189">
        <v>3</v>
      </c>
      <c r="BH7" s="189">
        <v>2</v>
      </c>
      <c r="BI7" s="189"/>
      <c r="BJ7" s="189"/>
      <c r="BK7" s="189"/>
      <c r="BL7" s="189"/>
      <c r="BM7" s="189"/>
      <c r="BN7" s="189"/>
      <c r="BO7" s="65">
        <v>27</v>
      </c>
      <c r="BP7" s="189">
        <v>5</v>
      </c>
      <c r="BQ7" s="189"/>
      <c r="BR7" s="189"/>
      <c r="BS7" s="189">
        <v>2</v>
      </c>
      <c r="BT7" s="189"/>
      <c r="BU7" s="65"/>
      <c r="BV7" s="189">
        <v>5</v>
      </c>
      <c r="BW7" s="189">
        <v>1</v>
      </c>
      <c r="BX7" s="189"/>
      <c r="BY7" s="189"/>
      <c r="BZ7" s="189"/>
      <c r="CA7" s="205">
        <v>5</v>
      </c>
      <c r="CB7" s="189"/>
      <c r="CC7" s="189"/>
      <c r="CD7" s="189">
        <v>3</v>
      </c>
      <c r="CE7" s="189"/>
      <c r="CF7" s="189"/>
      <c r="CH7" s="149" t="s">
        <v>3615</v>
      </c>
      <c r="CI7" s="148">
        <v>16</v>
      </c>
      <c r="CJ7" s="148">
        <v>17</v>
      </c>
      <c r="CK7" s="148">
        <v>18</v>
      </c>
      <c r="CL7" s="148">
        <v>1</v>
      </c>
      <c r="CM7" s="152" cm="1">
        <f t="array" ref="CM7">_xlfn.IFS($AZ$7=20,28,$AZ$7=19,27,$AZ$7=18,26,$AZ$7&gt;=15,25,$AZ$7&gt;=14,24,$AZ$7&gt;=13,23,$AZ$7&gt;=10,22,$AZ$7&gt;=9,20,$AZ$7&gt;=7,19,$AZ$7&gt;=6,18,$AZ$7&gt;=5,17,$AZ$7&gt;=4,15,$AZ$7&gt;=3,13,$AZ$7=2,11,$AZ$7=1,8,1,0)</f>
        <v>0</v>
      </c>
      <c r="CN7" s="157">
        <f>IFERROR(IF(CN6+1&gt;CS2,IF(CN6+1&gt;CS2,IF(CR3+CR6&gt;CS3,"",CR3+CR6)),CN6+1),"")</f>
        <v>2</v>
      </c>
      <c r="CO7" s="154" t="str" cm="1">
        <f t="array" ref="CO7">IFERROR(INDEX($B$34:$BO$262,CN7,$CP$2),"")</f>
        <v/>
      </c>
      <c r="CP7" s="154" t="str" cm="1">
        <f t="array" ref="CP7">IFERROR(INDEX($B$34:$BO$262,CN7,$CQ$2),"")</f>
        <v/>
      </c>
      <c r="CQ7" s="154" t="str" cm="1">
        <f t="array" ref="CQ7">IF(IFERROR(INDEX($B$34:$BO$262,CN7,$CO$2),"")=0,"",IFERROR(INDEX($B$34:$BO$262,CN7,$CO$2),""))</f>
        <v/>
      </c>
      <c r="CR7" s="154">
        <f>IFERROR(IF(CN6+1&gt;CS2,CR6+1,0),"")</f>
        <v>0</v>
      </c>
      <c r="CT7" s="155" t="str">
        <f t="shared" si="1"/>
        <v/>
      </c>
      <c r="CU7" s="156" t="str" cm="1">
        <f t="array" ref="CU7">INDEX(CT:CT,SMALL(IF($CT$2:$CT$101&lt;&gt;"",ROW($CT$2:$CT$101),142),ROW(CT6)))&amp;""</f>
        <v/>
      </c>
      <c r="CV7" s="157" t="str">
        <f t="shared" si="3"/>
        <v/>
      </c>
      <c r="CW7" s="154" t="str">
        <f>IF(主要!AX16="","",主要!AX16)</f>
        <v>起始装备</v>
      </c>
      <c r="CX7" s="154" t="str">
        <f t="shared" si="4"/>
        <v/>
      </c>
    </row>
    <row r="8" spans="1:102" ht="16.149999999999999" customHeight="1" x14ac:dyDescent="0.15">
      <c r="A8" s="140">
        <v>6</v>
      </c>
      <c r="B8" s="180" t="s">
        <v>538</v>
      </c>
      <c r="C8" s="180" t="s">
        <v>7268</v>
      </c>
      <c r="D8" s="180" t="s">
        <v>7269</v>
      </c>
      <c r="E8" s="180" t="s">
        <v>7270</v>
      </c>
      <c r="F8" s="180" t="s">
        <v>7271</v>
      </c>
      <c r="G8" s="327" t="str">
        <f>IF(自定义调整栏!$E$3="O","醉拳宗","")</f>
        <v>醉拳宗</v>
      </c>
      <c r="H8" s="327" t="str">
        <f>IF(自定义调整栏!$E$3="O","剑圣宗","")</f>
        <v>剑圣宗</v>
      </c>
      <c r="I8" s="327" t="str">
        <f>IF(自定义调整栏!$E$3="O","日魂宗","")</f>
        <v>日魂宗</v>
      </c>
      <c r="J8" s="328" t="str">
        <f>IF(自定义调整栏!$E$4="O","星我宗","")</f>
        <v>星我宗</v>
      </c>
      <c r="K8" s="342" t="str">
        <f>IF(自定义调整栏!$E$6="O","神龙宗","")</f>
        <v>神龙宗</v>
      </c>
      <c r="L8" s="330" t="str">
        <f>IF(自定义调整栏!$E$26="O","钴魂宗","")</f>
        <v/>
      </c>
      <c r="M8" s="331" t="str">
        <f>IF(自定义调整栏!$E$34="O","街霸武者","")</f>
        <v/>
      </c>
      <c r="O8" s="405" t="str">
        <f>IF(自定义调整栏!$E$40="O","秘术武者","")</f>
        <v/>
      </c>
      <c r="S8" s="333" t="str">
        <f>IF(自定义调整栏!$E$28="O","盘蛇宗","")</f>
        <v/>
      </c>
      <c r="T8" s="333" t="str">
        <f>IF(自定义调整栏!$E$28="O","织法宗","")</f>
        <v/>
      </c>
      <c r="U8" s="309" t="str">
        <f>IF(自定义调整栏!$E$30="O","先知宗","")</f>
        <v/>
      </c>
      <c r="W8" s="334" t="str">
        <f>IF(自定义调整栏!$E$35="O","疫瘴武者","")</f>
        <v/>
      </c>
      <c r="X8" s="323" t="str">
        <f>IF(自定义调整栏!$E$32="O","虚灵宗","")</f>
        <v/>
      </c>
      <c r="Y8" s="335" t="str">
        <f>IF(自定义调整栏!$E$33="O","绵龙牧者","")</f>
        <v/>
      </c>
      <c r="Z8" s="336" t="str">
        <f>IF(自定义调整栏!$E$36="O","天衡武者","")</f>
        <v/>
      </c>
      <c r="AA8" s="152" t="str" cm="1">
        <f t="array" ref="AA8">IFERROR(INDEX($B$1:$B$22,SMALL(IF($B$1:$B$22&lt;&gt;"",ROW($B$1:$B$22),4^8),ROW(8:8)))&amp;"","")</f>
        <v>武僧</v>
      </c>
      <c r="AC8" s="149" t="str">
        <f>IFERROR(IF(VLOOKUP(AB2,$B$3:$Z$22,9,FALSE)=0,"",VLOOKUP(AB2,$B$3:$Z$22,9,FALSE)),"")</f>
        <v/>
      </c>
      <c r="AD8" s="152" t="str" cm="1">
        <f t="array" ref="AD8">IFERROR(INDEX($AC$1:$AC$24,SMALL(IF($AC$1:$AC$24&lt;&gt;"",ROW($AC$1:$AC$24),4^8),ROW(AC7)))&amp;"","")</f>
        <v/>
      </c>
      <c r="AF8" s="149" t="str">
        <f>IFERROR(IF(VLOOKUP(AE2,$B$3:$Z$22,9,FALSE)=0,"",VLOOKUP(AE2,$B$3:$Z$22,9,FALSE)),"")</f>
        <v/>
      </c>
      <c r="AG8" s="152" t="str" cm="1">
        <f t="array" ref="AG8">IFERROR(INDEX($AF$1:$AF$24,SMALL(IF($AF$1:$AF$24&lt;&gt;"",ROW($AF$1:$AF$24),4^8),ROW(7:7)))&amp;"","")</f>
        <v/>
      </c>
      <c r="AI8" s="149" t="str">
        <f>IFERROR(IF(VLOOKUP(AH2,$B$3:$Z$22,9,FALSE)=0,"",VLOOKUP(AH2,$B$3:$Z$22,9,FALSE)),"")</f>
        <v/>
      </c>
      <c r="AJ8" s="152" t="str" cm="1">
        <f t="array" ref="AJ8">IFERROR(INDEX($AI$1:$AI$24,SMALL(IF($AI$1:$AI$24&lt;&gt;"",ROW($AI$1:$AI$24),4^8),ROW(7:7)))&amp;"","")</f>
        <v/>
      </c>
      <c r="AL8" s="149" t="str">
        <f>IFERROR(IF(VLOOKUP(AK2,$B$3:$Z$22,9,FALSE)=0,"",VLOOKUP(AK2,$B$3:$Z$22,9,FALSE)),"")</f>
        <v/>
      </c>
      <c r="AM8" s="152" t="str" cm="1">
        <f t="array" ref="AM8">IFERROR(INDEX($AL$1:$AL$24,SMALL(IF($AL$1:$AL$24&lt;&gt;"",ROW($AL$1:$AL$24),4^8),ROW(7:7)))&amp;"","")</f>
        <v/>
      </c>
      <c r="AO8" s="194" t="s">
        <v>3621</v>
      </c>
      <c r="AP8" s="195" t="s">
        <v>10154</v>
      </c>
      <c r="AQ8" s="194" t="s">
        <v>10154</v>
      </c>
      <c r="AR8" s="195">
        <v>3</v>
      </c>
      <c r="AU8" s="149" t="s">
        <v>3677</v>
      </c>
      <c r="AV8" s="152" t="str">
        <f>IF(AR19+0=0,"",AR19)</f>
        <v/>
      </c>
      <c r="AY8" s="148" t="s">
        <v>3622</v>
      </c>
      <c r="AZ8" s="148">
        <f t="shared" si="0"/>
        <v>0</v>
      </c>
      <c r="BA8" s="179" t="s">
        <v>8311</v>
      </c>
      <c r="BB8" s="148">
        <f>IF($BB$3="筑灭师",$BC$3,IF($BB$4="筑灭师",$BC$4,IF($BB$5="筑灭师",$BC$5,0)))</f>
        <v>0</v>
      </c>
      <c r="BC8" s="148">
        <f>IF($AT$9=0,IF($AT$10=0,IF(SUM(BB6:BB7,BB9:BB11)=0,ROUNDUP(BB8/3,0),ROUNDDOWN(BB8/3,0)),ROUNDDOWN(BB8/3,0)),ROUNDDOWN(BB8/3,0))</f>
        <v>0</v>
      </c>
      <c r="BE8" s="66">
        <v>6</v>
      </c>
      <c r="BF8" s="66">
        <v>4</v>
      </c>
      <c r="BG8" s="66">
        <v>3</v>
      </c>
      <c r="BH8" s="66">
        <v>3</v>
      </c>
      <c r="BI8" s="66"/>
      <c r="BJ8" s="66"/>
      <c r="BK8" s="66"/>
      <c r="BL8" s="66"/>
      <c r="BM8" s="66"/>
      <c r="BN8" s="66"/>
      <c r="BO8" s="64">
        <v>32</v>
      </c>
      <c r="BP8" s="66">
        <v>6</v>
      </c>
      <c r="BQ8" s="66"/>
      <c r="BR8" s="66"/>
      <c r="BS8" s="66">
        <v>2</v>
      </c>
      <c r="BT8" s="66"/>
      <c r="BU8" s="64"/>
      <c r="BV8" s="66">
        <v>6</v>
      </c>
      <c r="BW8" s="66">
        <v>2</v>
      </c>
      <c r="BX8" s="66"/>
      <c r="BY8" s="66"/>
      <c r="BZ8" s="66"/>
      <c r="CA8" s="206">
        <v>6</v>
      </c>
      <c r="CB8" s="66"/>
      <c r="CC8" s="66"/>
      <c r="CD8" s="66">
        <v>3</v>
      </c>
      <c r="CE8" s="66"/>
      <c r="CF8" s="66"/>
      <c r="CH8" s="149" t="s">
        <v>3622</v>
      </c>
      <c r="CI8" s="148">
        <v>19</v>
      </c>
      <c r="CJ8" s="148">
        <v>20</v>
      </c>
      <c r="CK8" s="148">
        <v>21</v>
      </c>
      <c r="CL8" s="148">
        <v>1</v>
      </c>
      <c r="CM8" s="152" cm="1">
        <f t="array" ref="CM8">_xlfn.IFS($AZ$8&gt;=19,29,$AZ$8&gt;=18,28,$AZ$8&gt;=14,27,$AZ$8&gt;=11,26,$AZ$8&gt;=10,25,$AZ$8&gt;=9,24,$AZ$8&gt;=6,23,$AZ$8&gt;=5,22,$AZ$8&gt;=4,20,$AZ$8&gt;=3,19,$AZ$8=2,16,$AZ$8=1,14,1,0)</f>
        <v>0</v>
      </c>
      <c r="CN8" s="157">
        <f>IFERROR(IF(CN7+1&gt;CS2,IF(CN7+1&gt;CS2,IF(CR3+CR7&gt;CS3,"",CR3+CR7)),CN7+1),"")</f>
        <v>3</v>
      </c>
      <c r="CO8" s="154" t="str" cm="1">
        <f t="array" ref="CO8">IFERROR(INDEX($B$34:$BO$262,CN8,$CP$2),"")</f>
        <v/>
      </c>
      <c r="CP8" s="154" t="str" cm="1">
        <f t="array" ref="CP8">IFERROR(INDEX($B$34:$BO$262,CN8,$CQ$2),"")</f>
        <v/>
      </c>
      <c r="CQ8" s="154" t="str" cm="1">
        <f t="array" ref="CQ8">IF(IFERROR(INDEX($B$34:$BO$262,CN8,$CO$2),"")=0,"",IFERROR(INDEX($B$34:$BO$262,CN8,$CO$2),""))</f>
        <v/>
      </c>
      <c r="CR8" s="154">
        <f>IFERROR(IF(CN7+1&gt;CS2,CR7+1,0),"")</f>
        <v>0</v>
      </c>
      <c r="CT8" s="155" t="str">
        <f t="shared" si="1"/>
        <v/>
      </c>
      <c r="CU8" s="156" t="str" cm="1">
        <f t="array" ref="CU8">INDEX(CT:CT,SMALL(IF($CT$2:$CT$101&lt;&gt;"",ROW($CT$2:$CT$101),142),ROW(CT7)))&amp;""</f>
        <v/>
      </c>
      <c r="CV8" s="157" t="str">
        <f t="shared" si="3"/>
        <v/>
      </c>
      <c r="CW8" s="154" t="str">
        <f>IF(主要!AX17="","",主要!AX17)</f>
        <v/>
      </c>
      <c r="CX8" s="154" t="str">
        <f t="shared" si="4"/>
        <v/>
      </c>
    </row>
    <row r="9" spans="1:102" ht="16.149999999999999" customHeight="1" x14ac:dyDescent="0.15">
      <c r="A9" s="140">
        <v>7</v>
      </c>
      <c r="B9" s="180" t="s">
        <v>215</v>
      </c>
      <c r="C9" s="180" t="s">
        <v>7272</v>
      </c>
      <c r="D9" s="180" t="s">
        <v>7273</v>
      </c>
      <c r="E9" s="180" t="s">
        <v>7274</v>
      </c>
      <c r="F9" s="180" t="s">
        <v>7275</v>
      </c>
      <c r="G9" s="327" t="str">
        <f>IF(自定义调整栏!$E$3="O","征服之誓","")</f>
        <v>征服之誓</v>
      </c>
      <c r="H9" s="327" t="str">
        <f>IF(自定义调整栏!$E$3="O","救赎之誓","")</f>
        <v>救赎之誓</v>
      </c>
      <c r="I9" s="328" t="str">
        <f>IF(自定义调整栏!$E$4="O","守望之誓","")</f>
        <v>守望之誓</v>
      </c>
      <c r="J9" s="330" t="str">
        <f>IF(自定义调整栏!$E$26="O","远洋之誓","")</f>
        <v/>
      </c>
      <c r="K9" s="331" t="str">
        <f>IF(自定义调整栏!$E$34="O","狂欢之誓","")</f>
        <v/>
      </c>
      <c r="L9" s="239" t="s">
        <v>10979</v>
      </c>
      <c r="O9" s="405" t="str">
        <f>IF(自定义调整栏!$E$40="O","护法之誓","")</f>
        <v/>
      </c>
      <c r="Q9" s="148" t="str">
        <f>IF(自定义调整栏!$E$10="O","巨灵贵族之誓","")</f>
        <v>巨灵贵族之誓</v>
      </c>
      <c r="R9" s="332" t="str">
        <f>IF(自定义调整栏!$E$27="O","狂热之誓","")</f>
        <v/>
      </c>
      <c r="S9" s="333" t="str">
        <f>IF(自定义调整栏!$E$28="O","巫咒之誓","")</f>
        <v/>
      </c>
      <c r="W9" s="334" t="str">
        <f>IF(自定义调整栏!$E$35="O","惩戒之誓","")</f>
        <v/>
      </c>
      <c r="X9" s="323" t="str">
        <f>IF(自定义调整栏!$E$32="O","饮咒之誓","")</f>
        <v/>
      </c>
      <c r="Y9" s="335" t="str">
        <f>IF(自定义调整栏!$E$33="O","川流之誓","")</f>
        <v/>
      </c>
      <c r="Z9" s="336" t="str">
        <f>IF(自定义调整栏!$E$36="O","守护之誓","")</f>
        <v/>
      </c>
      <c r="AA9" s="152" t="str" cm="1">
        <f t="array" ref="AA9">IFERROR(INDEX($B$1:$B$22,SMALL(IF($B$1:$B$22&lt;&gt;"",ROW($B$1:$B$22),4^8),ROW(9:9)))&amp;"","")</f>
        <v>圣武士</v>
      </c>
      <c r="AC9" s="149" t="str">
        <f>IFERROR(IF(VLOOKUP(AB2,$B$3:$Z$22,10,FALSE)=0,"",VLOOKUP(AB2,$B$3:$Z$22,10,FALSE)),"")</f>
        <v/>
      </c>
      <c r="AD9" s="152" t="str" cm="1">
        <f t="array" ref="AD9">IFERROR(INDEX($AC$1:$AC$24,SMALL(IF($AC$1:$AC$24&lt;&gt;"",ROW($AC$1:$AC$24),4^8),ROW(AC8)))&amp;"","")</f>
        <v/>
      </c>
      <c r="AF9" s="149" t="str">
        <f>IFERROR(IF(VLOOKUP(AE2,$B$3:$Z$22,10,FALSE)=0,"",VLOOKUP(AE2,$B$3:$Z$22,10,FALSE)),"")</f>
        <v/>
      </c>
      <c r="AG9" s="152" t="str" cm="1">
        <f t="array" ref="AG9">IFERROR(INDEX($AF$1:$AF$24,SMALL(IF($AF$1:$AF$24&lt;&gt;"",ROW($AF$1:$AF$24),4^8),ROW(8:8)))&amp;"","")</f>
        <v/>
      </c>
      <c r="AI9" s="149" t="str">
        <f>IFERROR(IF(VLOOKUP(AH2,$B$3:$Z$22,10,FALSE)=0,"",VLOOKUP(AH2,$B$3:$Z$22,10,FALSE)),"")</f>
        <v/>
      </c>
      <c r="AJ9" s="152" t="str" cm="1">
        <f t="array" ref="AJ9">IFERROR(INDEX($AI$1:$AI$24,SMALL(IF($AI$1:$AI$24&lt;&gt;"",ROW($AI$1:$AI$24),4^8),ROW(8:8)))&amp;"","")</f>
        <v/>
      </c>
      <c r="AL9" s="149" t="str">
        <f>IFERROR(IF(VLOOKUP(AK2,$B$3:$Z$22,10,FALSE)=0,"",VLOOKUP(AK2,$B$3:$Z$22,10,FALSE)),"")</f>
        <v/>
      </c>
      <c r="AM9" s="152" t="str" cm="1">
        <f t="array" ref="AM9">IFERROR(INDEX($AL$1:$AL$24,SMALL(IF($AL$1:$AL$24&lt;&gt;"",ROW($AL$1:$AL$24),4^8),ROW(8:8)))&amp;"","")</f>
        <v/>
      </c>
      <c r="AO9" s="194" t="s">
        <v>3627</v>
      </c>
      <c r="AP9" s="195" t="s">
        <v>10154</v>
      </c>
      <c r="AQ9" s="194" t="s">
        <v>10155</v>
      </c>
      <c r="AR9" s="195">
        <v>4</v>
      </c>
      <c r="AS9" s="148" t="s">
        <v>3628</v>
      </c>
      <c r="AT9" s="148">
        <f>$AZ$3+$AZ$4+$AZ$5+$AZ$11+$AZ$13+$AZ$15</f>
        <v>0</v>
      </c>
      <c r="AU9" s="159" t="s">
        <v>3678</v>
      </c>
      <c r="AV9" s="162" t="str">
        <f>IF(AR20+0=0,"",AR20)</f>
        <v/>
      </c>
      <c r="AY9" s="148" t="s">
        <v>3629</v>
      </c>
      <c r="AZ9" s="148">
        <f t="shared" si="0"/>
        <v>0</v>
      </c>
      <c r="BA9" s="179" t="s">
        <v>7316</v>
      </c>
      <c r="BB9" s="148">
        <f>IF($BB$2="魔弹客",$BC$2,IF($BB$3="魔弹客",$BC$3,IF($BB$4="魔弹客",$BC$4,0)))</f>
        <v>0</v>
      </c>
      <c r="BC9" s="148">
        <f>IF($AT$9=0,IF($AT$10=0,IF(SUM(BB6:BB8,BB10:BB11)=0,ROUNDUP(BB9/3,0),ROUNDDOWN(BB9/3,0)),ROUNDDOWN(BB9/3,0)),ROUNDDOWN(BB9/3,0))</f>
        <v>0</v>
      </c>
      <c r="BE9" s="189">
        <v>7</v>
      </c>
      <c r="BF9" s="189">
        <v>4</v>
      </c>
      <c r="BG9" s="189">
        <v>3</v>
      </c>
      <c r="BH9" s="189">
        <v>3</v>
      </c>
      <c r="BI9" s="189">
        <v>1</v>
      </c>
      <c r="BJ9" s="189"/>
      <c r="BK9" s="189"/>
      <c r="BL9" s="189"/>
      <c r="BM9" s="189"/>
      <c r="BN9" s="189"/>
      <c r="BO9" s="65">
        <v>38</v>
      </c>
      <c r="BP9" s="189">
        <v>7</v>
      </c>
      <c r="BQ9" s="189"/>
      <c r="BR9" s="189"/>
      <c r="BS9" s="189"/>
      <c r="BT9" s="189">
        <v>2</v>
      </c>
      <c r="BU9" s="65"/>
      <c r="BV9" s="189">
        <v>7</v>
      </c>
      <c r="BW9" s="189"/>
      <c r="BX9" s="189">
        <v>2</v>
      </c>
      <c r="BY9" s="189"/>
      <c r="BZ9" s="189"/>
      <c r="CA9" s="205">
        <v>7</v>
      </c>
      <c r="CB9" s="189"/>
      <c r="CC9" s="189"/>
      <c r="CD9" s="189"/>
      <c r="CE9" s="189">
        <v>3</v>
      </c>
      <c r="CF9" s="189"/>
      <c r="CH9" s="149" t="s">
        <v>3629</v>
      </c>
      <c r="CI9" s="148">
        <v>22</v>
      </c>
      <c r="CJ9" s="148">
        <v>23</v>
      </c>
      <c r="CK9" s="148">
        <v>24</v>
      </c>
      <c r="CL9" s="148">
        <v>1</v>
      </c>
      <c r="CM9" s="152" cm="1">
        <f t="array" ref="CM9">_xlfn.IFS($AZ$9=20,28,$AZ$9&gt;=19,27,$AZ$9&gt;=18,26,$AZ$9&gt;=17,25,$AZ$9&gt;=14,24,$AZ$9&gt;=13,23,$AZ$9&gt;=10,22,$AZ$9&gt;=9,21,$AZ$9&gt;=6,20,$AZ$9&gt;=5,19,$AZ$9&gt;=4,18,$AZ$9&gt;=3,17,$AZ$9=2,16,$AZ$9=1,14,1,0)</f>
        <v>0</v>
      </c>
      <c r="CN9" s="157">
        <f>IFERROR(IF(CN8+1&gt;CS2,IF(CN8+1&gt;CS2,IF(CR3+CR8&gt;CS3,"",CR3+CR8)),CN8+1),"")</f>
        <v>4</v>
      </c>
      <c r="CO9" s="154" t="str" cm="1">
        <f t="array" ref="CO9">IFERROR(INDEX($B$34:$BO$262,CN9,$CP$2),"")</f>
        <v/>
      </c>
      <c r="CP9" s="154" t="str" cm="1">
        <f t="array" ref="CP9">IFERROR(INDEX($B$34:$BO$262,CN9,$CQ$2),"")</f>
        <v/>
      </c>
      <c r="CQ9" s="154" t="str" cm="1">
        <f t="array" ref="CQ9">IF(IFERROR(INDEX($B$34:$BO$262,CN9,$CO$2),"")=0,"",IFERROR(INDEX($B$34:$BO$262,CN9,$CO$2),""))</f>
        <v/>
      </c>
      <c r="CR9" s="154">
        <f>IFERROR(IF(CN8+1&gt;CS2,CR8+1,0),"")</f>
        <v>0</v>
      </c>
      <c r="CT9" s="155" t="str">
        <f t="shared" si="1"/>
        <v/>
      </c>
      <c r="CU9" s="156" t="str" cm="1">
        <f t="array" ref="CU9">INDEX(CT:CT,SMALL(IF($CT$2:$CT$101&lt;&gt;"",ROW($CT$2:$CT$101),142),ROW(CT8)))&amp;""</f>
        <v/>
      </c>
      <c r="CV9" s="157" t="str">
        <f t="shared" si="3"/>
        <v/>
      </c>
      <c r="CW9" s="154" t="str">
        <f>IF(主要!AX18="","",主要!AX18)</f>
        <v/>
      </c>
      <c r="CX9" s="154" t="str">
        <f t="shared" si="4"/>
        <v/>
      </c>
    </row>
    <row r="10" spans="1:102" ht="16.149999999999999" customHeight="1" x14ac:dyDescent="0.15">
      <c r="A10" s="140">
        <v>8</v>
      </c>
      <c r="B10" s="180" t="s">
        <v>224</v>
      </c>
      <c r="C10" s="180" t="s">
        <v>7276</v>
      </c>
      <c r="D10" s="180" t="s">
        <v>7277</v>
      </c>
      <c r="E10" s="180" t="s">
        <v>7278</v>
      </c>
      <c r="F10" s="180" t="s">
        <v>7279</v>
      </c>
      <c r="G10" s="327" t="str">
        <f>IF(自定义调整栏!$E$3="O","边界行者","")</f>
        <v>边界行者</v>
      </c>
      <c r="H10" s="327" t="str">
        <f>IF(自定义调整栏!$E$3="O","怪物杀手","")</f>
        <v>怪物杀手</v>
      </c>
      <c r="I10" s="328" t="str">
        <f>IF(自定义调整栏!$E$4="O","集群牧者","")</f>
        <v>集群牧者</v>
      </c>
      <c r="J10" s="342" t="str">
        <f>IF(自定义调整栏!$E$6="O","龙兽守卫","")</f>
        <v>龙兽守卫</v>
      </c>
      <c r="Q10" s="148" t="str">
        <f>IF(自定义调整栏!$E$10="O","凛冬行者","")</f>
        <v>凛冬行者</v>
      </c>
      <c r="R10" s="180"/>
      <c r="S10" s="333" t="str">
        <f>IF(自定义调整栏!$E$28="O","城市游侠","")</f>
        <v/>
      </c>
      <c r="W10" s="334" t="str">
        <f>IF(自定义调整栏!$E$35="O","噩兆先驱","")</f>
        <v/>
      </c>
      <c r="X10" s="323" t="str">
        <f>IF(自定义调整栏!$E$32="O","天鹏旅人","")</f>
        <v/>
      </c>
      <c r="Y10" s="335" t="str">
        <f>IF(自定义调整栏!$E$33="O","侵蚀行者","")</f>
        <v/>
      </c>
      <c r="Z10" s="336" t="str">
        <f>IF(自定义调整栏!$E$36="O","荒径守护者","")</f>
        <v/>
      </c>
      <c r="AA10" s="152" t="str" cm="1">
        <f t="array" ref="AA10">IFERROR(INDEX($B$1:$B$22,SMALL(IF($B$1:$B$22&lt;&gt;"",ROW($B$1:$B$22),4^8),ROW(10:10)))&amp;"","")</f>
        <v>游侠</v>
      </c>
      <c r="AC10" s="149" t="str">
        <f>IFERROR(IF(VLOOKUP(AB2,$B$3:$Z$22,11,FALSE)=0,"",VLOOKUP(AB2,$B$3:$Z$22,11,FALSE)),"")</f>
        <v/>
      </c>
      <c r="AD10" s="152" t="str" cm="1">
        <f t="array" ref="AD10">IFERROR(INDEX($AC$1:$AC$24,SMALL(IF($AC$1:$AC$24&lt;&gt;"",ROW($AC$1:$AC$24),4^8),ROW(AC9)))&amp;"","")</f>
        <v/>
      </c>
      <c r="AF10" s="149" t="str">
        <f>IFERROR(IF(VLOOKUP(AE2,$B$3:$Z$22,11,FALSE)=0,"",VLOOKUP(AE2,$B$3:$Z$22,11,FALSE)),"")</f>
        <v/>
      </c>
      <c r="AG10" s="152" t="str" cm="1">
        <f t="array" ref="AG10">IFERROR(INDEX($AF$1:$AF$24,SMALL(IF($AF$1:$AF$24&lt;&gt;"",ROW($AF$1:$AF$24),4^8),ROW(9:9)))&amp;"","")</f>
        <v/>
      </c>
      <c r="AI10" s="149" t="str">
        <f>IFERROR(IF(VLOOKUP(AH2,$B$3:$Z$22,11,FALSE)=0,"",VLOOKUP(AH2,$B$3:$Z$22,11,FALSE)),"")</f>
        <v/>
      </c>
      <c r="AJ10" s="152" t="str" cm="1">
        <f t="array" ref="AJ10">IFERROR(INDEX($AI$1:$AI$24,SMALL(IF($AI$1:$AI$24&lt;&gt;"",ROW($AI$1:$AI$24),4^8),ROW(9:9)))&amp;"","")</f>
        <v/>
      </c>
      <c r="AL10" s="149" t="str">
        <f>IFERROR(IF(VLOOKUP(AK2,$B$3:$Z$22,11,FALSE)=0,"",VLOOKUP(AK2,$B$3:$Z$22,11,FALSE)),"")</f>
        <v/>
      </c>
      <c r="AM10" s="152" t="str" cm="1">
        <f t="array" ref="AM10">IFERROR(INDEX($AL$1:$AL$24,SMALL(IF($AL$1:$AL$24&lt;&gt;"",ROW($AL$1:$AL$24),4^8),ROW(9:9)))&amp;"","")</f>
        <v/>
      </c>
      <c r="AO10" s="194" t="s">
        <v>3634</v>
      </c>
      <c r="AP10" s="195" t="s">
        <v>10154</v>
      </c>
      <c r="AQ10" s="196" t="s">
        <v>10156</v>
      </c>
      <c r="AR10" s="197">
        <v>5</v>
      </c>
      <c r="AS10" s="148" t="s">
        <v>3635</v>
      </c>
      <c r="AT10" s="148">
        <f>ROUNDUP(($AZ$8+$AZ$9+$AZ$14)/2,0)</f>
        <v>0</v>
      </c>
      <c r="AY10" s="148" t="s">
        <v>3636</v>
      </c>
      <c r="AZ10" s="148">
        <f t="shared" si="0"/>
        <v>0</v>
      </c>
      <c r="BA10" s="179" t="s">
        <v>6314</v>
      </c>
      <c r="BB10" s="148">
        <f>IF($BB$2="织法宗",$BC$2,IF($BB$3="织法宗",$BC$3,IF($BB$4="织法宗",$BC$4,0)))</f>
        <v>0</v>
      </c>
      <c r="BC10" s="148">
        <f>IF($AT$9=0,IF($AT$10=0,IF(SUM(BB6:BB9,BB11)=0,ROUNDUP(BB10/3,0),ROUNDDOWN(BB10/3,0)),ROUNDDOWN(BB10/3,0)),ROUNDDOWN(BB10/3,0))</f>
        <v>0</v>
      </c>
      <c r="BE10" s="66">
        <v>8</v>
      </c>
      <c r="BF10" s="66">
        <v>4</v>
      </c>
      <c r="BG10" s="66">
        <v>3</v>
      </c>
      <c r="BH10" s="66">
        <v>3</v>
      </c>
      <c r="BI10" s="66">
        <v>2</v>
      </c>
      <c r="BJ10" s="66"/>
      <c r="BK10" s="66"/>
      <c r="BL10" s="66"/>
      <c r="BM10" s="66"/>
      <c r="BN10" s="66"/>
      <c r="BO10" s="64">
        <v>44</v>
      </c>
      <c r="BP10" s="66">
        <v>8</v>
      </c>
      <c r="BQ10" s="66"/>
      <c r="BR10" s="66"/>
      <c r="BS10" s="66"/>
      <c r="BT10" s="66">
        <v>2</v>
      </c>
      <c r="BU10" s="64"/>
      <c r="BV10" s="66">
        <v>8</v>
      </c>
      <c r="BW10" s="66"/>
      <c r="BX10" s="66">
        <v>2</v>
      </c>
      <c r="BY10" s="66"/>
      <c r="BZ10" s="66"/>
      <c r="CA10" s="206">
        <v>8</v>
      </c>
      <c r="CB10" s="66"/>
      <c r="CC10" s="66"/>
      <c r="CD10" s="66"/>
      <c r="CE10" s="66">
        <v>3</v>
      </c>
      <c r="CF10" s="66"/>
      <c r="CH10" s="149" t="s">
        <v>3636</v>
      </c>
      <c r="CI10" s="148">
        <v>25</v>
      </c>
      <c r="CJ10" s="148">
        <v>26</v>
      </c>
      <c r="CK10" s="148">
        <v>27</v>
      </c>
      <c r="CL10" s="148">
        <v>1</v>
      </c>
      <c r="CM10" s="152" cm="1">
        <f t="array" ref="CM10">_xlfn.IFS($AZ$10=20,24,$AZ$10&gt;=19,23,$AZ$10&gt;=18,22,$AZ$10&gt;=15,21,$AZ$10&gt;=14,20,$AZ$10&gt;=11,19,$AZ$10&gt;=7,18,$AZ$10&gt;=5,16,$AZ$10&gt;=4,14,$AZ$10&gt;=3,13,$AZ$10=2,11,$AZ$10=1,10,1,0)</f>
        <v>0</v>
      </c>
      <c r="CN10" s="157">
        <f>IFERROR(IF(CN9+1&gt;CS2,IF(CN9+1&gt;CS2,IF(CR3+CR9&gt;CS3,"",CR3+CR9)),CN9+1),"")</f>
        <v>5</v>
      </c>
      <c r="CO10" s="154" t="str" cm="1">
        <f t="array" ref="CO10">IFERROR(INDEX($B$34:$BO$262,CN10,$CP$2),"")</f>
        <v/>
      </c>
      <c r="CP10" s="154" t="str" cm="1">
        <f t="array" ref="CP10">IFERROR(INDEX($B$34:$BO$262,CN10,$CQ$2),"")</f>
        <v/>
      </c>
      <c r="CQ10" s="154" t="str" cm="1">
        <f t="array" ref="CQ10">IF(IFERROR(INDEX($B$34:$BO$262,CN10,$CO$2),"")=0,"",IFERROR(INDEX($B$34:$BO$262,CN10,$CO$2),""))</f>
        <v/>
      </c>
      <c r="CR10" s="154">
        <f>IFERROR(IF(CN9+1&gt;CS2,CR9+1,0),"")</f>
        <v>0</v>
      </c>
      <c r="CT10" s="155" t="str">
        <f t="shared" si="1"/>
        <v/>
      </c>
      <c r="CU10" s="156" t="str" cm="1">
        <f t="array" ref="CU10">INDEX(CT:CT,SMALL(IF($CT$2:$CT$101&lt;&gt;"",ROW($CT$2:$CT$101),142),ROW(CT9)))&amp;""</f>
        <v/>
      </c>
      <c r="CV10" s="157" t="str">
        <f t="shared" si="3"/>
        <v/>
      </c>
      <c r="CW10" s="154" t="str">
        <f>IF(主要!AX19="","",主要!AX19)</f>
        <v/>
      </c>
      <c r="CX10" s="154" t="str">
        <f t="shared" si="4"/>
        <v/>
      </c>
    </row>
    <row r="11" spans="1:102" ht="16.149999999999999" customHeight="1" x14ac:dyDescent="0.15">
      <c r="A11" s="140">
        <v>9</v>
      </c>
      <c r="B11" s="180" t="s">
        <v>7280</v>
      </c>
      <c r="C11" s="180" t="s">
        <v>7281</v>
      </c>
      <c r="D11" s="180" t="s">
        <v>7282</v>
      </c>
      <c r="E11" s="180" t="s">
        <v>7283</v>
      </c>
      <c r="F11" s="180" t="s">
        <v>7284</v>
      </c>
      <c r="G11" s="327" t="str">
        <f>IF(自定义调整栏!$E$3="O","调查员","")</f>
        <v>调查员</v>
      </c>
      <c r="H11" s="327" t="str">
        <f>IF(自定义调整栏!$E$3="O","策士","")</f>
        <v>策士</v>
      </c>
      <c r="I11" s="327" t="str">
        <f>IF(自定义调整栏!$E$3="O","斥候","")</f>
        <v>斥候</v>
      </c>
      <c r="J11" s="327" t="str">
        <f>IF(自定义调整栏!$E$3="O","游荡剑客","")</f>
        <v>游荡剑客</v>
      </c>
      <c r="K11" s="328" t="str">
        <f>IF(自定义调整栏!$E$4="O","鬼魅","")</f>
        <v>鬼魅</v>
      </c>
      <c r="L11" s="331" t="str">
        <f>IF(自定义调整栏!$E$34="O","蛛网追猎者","")</f>
        <v/>
      </c>
      <c r="O11" s="405" t="str">
        <f>IF(自定义调整栏!$E$40="O","窃法者","")</f>
        <v/>
      </c>
      <c r="Q11" s="148" t="str">
        <f>IF(自定义调整栏!$E$10="O","三神门徒","")</f>
        <v>三神门徒</v>
      </c>
      <c r="R11" s="332" t="str">
        <f>IF(自定义调整栏!$E$27="O","厄运使者","")</f>
        <v/>
      </c>
      <c r="S11" s="333" t="str">
        <f>IF(自定义调整栏!$E$28="O","走私者","")</f>
        <v/>
      </c>
      <c r="U11" s="309" t="str">
        <f>IF(自定义调整栏!$E$30="O","缚影使","")</f>
        <v/>
      </c>
      <c r="W11" s="334" t="str">
        <f>IF(自定义调整栏!$E$35="O","罪人","")</f>
        <v/>
      </c>
      <c r="X11" s="323" t="str">
        <f>IF(自定义调整栏!$E$32="O","残戮行医","")</f>
        <v/>
      </c>
      <c r="Y11" s="335" t="str">
        <f>IF(自定义调整栏!$E$33="O","蜡艺师","")</f>
        <v/>
      </c>
      <c r="Z11" s="336" t="str">
        <f>IF(自定义调整栏!$E$36="O","暗影潜行者","")</f>
        <v/>
      </c>
      <c r="AA11" s="152" t="str" cm="1">
        <f t="array" ref="AA11">IFERROR(INDEX($B$1:$B$22,SMALL(IF($B$1:$B$22&lt;&gt;"",ROW($B$1:$B$22),4^8),ROW(11:11)))&amp;"","")</f>
        <v>游荡者</v>
      </c>
      <c r="AC11" s="149" t="str">
        <f>IFERROR(IF(VLOOKUP(AB2,$B$3:$Z$22,12,FALSE)=0,"",VLOOKUP(AB2,$B$3:$Z$22,12,FALSE)),"")</f>
        <v/>
      </c>
      <c r="AD11" s="152" t="str" cm="1">
        <f t="array" ref="AD11">IFERROR(INDEX($AC$1:$AC$24,SMALL(IF($AC$1:$AC$24&lt;&gt;"",ROW($AC$1:$AC$24),4^8),ROW(AC10)))&amp;"","")</f>
        <v/>
      </c>
      <c r="AF11" s="149" t="str">
        <f>IFERROR(IF(VLOOKUP(AE2,$B$3:$Z$22,12,FALSE)=0,"",VLOOKUP(AE2,$B$3:$Z$22,12,FALSE)),"")</f>
        <v/>
      </c>
      <c r="AG11" s="152" t="str" cm="1">
        <f t="array" ref="AG11">IFERROR(INDEX($AF$1:$AF$24,SMALL(IF($AF$1:$AF$24&lt;&gt;"",ROW($AF$1:$AF$24),4^8),ROW(10:10)))&amp;"","")</f>
        <v/>
      </c>
      <c r="AI11" s="149" t="str">
        <f>IFERROR(IF(VLOOKUP(AH2,$B$3:$Z$22,12,FALSE)=0,"",VLOOKUP(AH2,$B$3:$Z$22,12,FALSE)),"")</f>
        <v/>
      </c>
      <c r="AJ11" s="152" t="str" cm="1">
        <f t="array" ref="AJ11">IFERROR(INDEX($AI$1:$AI$24,SMALL(IF($AI$1:$AI$24&lt;&gt;"",ROW($AI$1:$AI$24),4^8),ROW(10:10)))&amp;"","")</f>
        <v/>
      </c>
      <c r="AL11" s="149" t="str">
        <f>IFERROR(IF(VLOOKUP(AK2,$B$3:$Z$22,12,FALSE)=0,"",VLOOKUP(AK2,$B$3:$Z$22,12,FALSE)),"")</f>
        <v/>
      </c>
      <c r="AM11" s="152" t="str" cm="1">
        <f t="array" ref="AM11">IFERROR(INDEX($AL$1:$AL$24,SMALL(IF($AL$1:$AL$24&lt;&gt;"",ROW($AL$1:$AL$24),4^8),ROW(10:10)))&amp;"","")</f>
        <v/>
      </c>
      <c r="AO11" s="194" t="s">
        <v>3640</v>
      </c>
      <c r="AP11" s="195" t="s">
        <v>10154</v>
      </c>
      <c r="AQ11" s="190" t="s">
        <v>3641</v>
      </c>
      <c r="AR11" s="191">
        <f>AT9+AT10+AT11</f>
        <v>0</v>
      </c>
      <c r="AS11" s="180" t="s">
        <v>10748</v>
      </c>
      <c r="AT11" s="148">
        <f>SUM(BC6:BC11)</f>
        <v>0</v>
      </c>
      <c r="AY11" s="148" t="s">
        <v>3642</v>
      </c>
      <c r="AZ11" s="148">
        <f t="shared" si="0"/>
        <v>0</v>
      </c>
      <c r="BA11" s="179" t="s">
        <v>10668</v>
      </c>
      <c r="BB11" s="148">
        <f>IF($BB$2="秘术武者",$BC$2,IF($BB$3="秘术武者",$BC$3,IF($BB$4="秘术武者",$BC$4,0)))</f>
        <v>0</v>
      </c>
      <c r="BC11" s="148">
        <f>IF($AT$9=0,IF($AT$10=0,IF(SUM(BB6:BB10)=0,ROUNDUP(BB11/3,0),ROUNDDOWN(BB11/3,0)),ROUNDDOWN(BB11/3,0)),ROUNDDOWN(BB11/3,0))</f>
        <v>0</v>
      </c>
      <c r="BE11" s="189">
        <v>9</v>
      </c>
      <c r="BF11" s="189">
        <v>4</v>
      </c>
      <c r="BG11" s="189">
        <v>3</v>
      </c>
      <c r="BH11" s="189">
        <v>3</v>
      </c>
      <c r="BI11" s="189">
        <v>3</v>
      </c>
      <c r="BJ11" s="189">
        <v>1</v>
      </c>
      <c r="BK11" s="189"/>
      <c r="BL11" s="189"/>
      <c r="BM11" s="189"/>
      <c r="BN11" s="189"/>
      <c r="BO11" s="65">
        <v>57</v>
      </c>
      <c r="BP11" s="189">
        <v>9</v>
      </c>
      <c r="BQ11" s="189"/>
      <c r="BR11" s="189"/>
      <c r="BS11" s="189"/>
      <c r="BT11" s="189"/>
      <c r="BU11" s="65">
        <v>2</v>
      </c>
      <c r="BV11" s="189">
        <v>9</v>
      </c>
      <c r="BW11" s="189"/>
      <c r="BX11" s="189">
        <v>2</v>
      </c>
      <c r="BY11" s="189"/>
      <c r="BZ11" s="189"/>
      <c r="CA11" s="205">
        <v>9</v>
      </c>
      <c r="CB11" s="189"/>
      <c r="CC11" s="189"/>
      <c r="CD11" s="189"/>
      <c r="CE11" s="189"/>
      <c r="CF11" s="189">
        <v>4</v>
      </c>
      <c r="CH11" s="149" t="s">
        <v>3642</v>
      </c>
      <c r="CI11" s="148">
        <v>28</v>
      </c>
      <c r="CJ11" s="148">
        <v>29</v>
      </c>
      <c r="CK11" s="148">
        <v>30</v>
      </c>
      <c r="CL11" s="148">
        <v>1</v>
      </c>
      <c r="CM11" s="152" cm="1">
        <f t="array" ref="CM11">_xlfn.IFS($AZ$11=20,32,$AZ$11&gt;=19,31,$AZ$11&gt;=7,30,$AZ$11&gt;=5,29,$AZ$11&gt;=4,28,$AZ$11&gt;=3,27,$AZ$11=2,26,$AZ$11=1,14,1,0)</f>
        <v>0</v>
      </c>
      <c r="CN11" s="157">
        <f>IFERROR(IF(CN10+1&gt;CS2,IF(CN10+1&gt;CS2,IF(CR3+CR10&gt;CS3,"",CR3+CR10)),CN10+1),"")</f>
        <v>6</v>
      </c>
      <c r="CO11" s="154" t="str" cm="1">
        <f t="array" ref="CO11">IFERROR(INDEX($B$34:$BO$262,CN11,$CP$2),"")</f>
        <v/>
      </c>
      <c r="CP11" s="154" t="str" cm="1">
        <f t="array" ref="CP11">IFERROR(INDEX($B$34:$BO$262,CN11,$CQ$2),"")</f>
        <v/>
      </c>
      <c r="CQ11" s="154" t="str" cm="1">
        <f t="array" ref="CQ11">IF(IFERROR(INDEX($B$34:$BO$262,CN11,$CO$2),"")=0,"",IFERROR(INDEX($B$34:$BO$262,CN11,$CO$2),""))</f>
        <v/>
      </c>
      <c r="CR11" s="154">
        <f>IFERROR(IF(CN10+1&gt;CS2,CR10+1,0),"")</f>
        <v>0</v>
      </c>
      <c r="CT11" s="155" t="str">
        <f t="shared" si="1"/>
        <v/>
      </c>
      <c r="CU11" s="156" t="str" cm="1">
        <f t="array" ref="CU11">INDEX(CT:CT,SMALL(IF($CT$2:$CT$101&lt;&gt;"",ROW($CT$2:$CT$101),142),ROW(CT10)))&amp;""</f>
        <v/>
      </c>
      <c r="CV11" s="157" t="str">
        <f t="shared" si="3"/>
        <v/>
      </c>
      <c r="CW11" s="154" t="str">
        <f>IF(主要!AX20="","",主要!AX20)</f>
        <v/>
      </c>
      <c r="CX11" s="154" t="str">
        <f t="shared" si="4"/>
        <v/>
      </c>
    </row>
    <row r="12" spans="1:102" ht="16.149999999999999" customHeight="1" x14ac:dyDescent="0.15">
      <c r="A12" s="140">
        <v>10</v>
      </c>
      <c r="B12" s="180" t="s">
        <v>234</v>
      </c>
      <c r="C12" s="180" t="s">
        <v>7285</v>
      </c>
      <c r="D12" s="180" t="s">
        <v>7286</v>
      </c>
      <c r="E12" s="180" t="s">
        <v>541</v>
      </c>
      <c r="F12" s="180" t="s">
        <v>7287</v>
      </c>
      <c r="G12" s="327" t="str">
        <f>IF(自定义调整栏!$E$3="O","神圣之魂","")</f>
        <v>神圣之魂</v>
      </c>
      <c r="H12" s="327" t="str">
        <f>IF(自定义调整栏!$E$3="O","幽影魔法","")</f>
        <v>幽影魔法</v>
      </c>
      <c r="I12" s="327" t="str">
        <f>IF(自定义调整栏!$E$3="O","风暴术法","")</f>
        <v>风暴术法</v>
      </c>
      <c r="J12" s="330" t="str">
        <f>IF(自定义调整栏!$E$26="O","符文之子","")</f>
        <v/>
      </c>
      <c r="N12" s="180"/>
      <c r="O12" s="405" t="str">
        <f>IF(自定义调整栏!$E$39="O","亵渎术法","")</f>
        <v/>
      </c>
      <c r="Q12" s="148" t="str">
        <f>IF(自定义调整栏!$E$10="O","咒火术法","")</f>
        <v>咒火术法</v>
      </c>
      <c r="S12" s="333" t="str">
        <f>IF(自定义调整栏!$E$28="O","妄质之魂","")</f>
        <v/>
      </c>
      <c r="U12" s="309" t="str">
        <f>IF(自定义调整栏!$E$30="O","织光者","")</f>
        <v/>
      </c>
      <c r="W12" s="334" t="str">
        <f>IF(自定义调整栏!$E$35="O","猩红术法","")</f>
        <v/>
      </c>
      <c r="X12" s="323" t="str">
        <f>IF(自定义调整栏!$E$32="O","荒漠之魂","")</f>
        <v/>
      </c>
      <c r="Y12" s="335" t="str">
        <f>IF(自定义调整栏!$E$33="O","鬼之血脉","")</f>
        <v/>
      </c>
      <c r="Z12" s="336" t="str">
        <f>IF(自定义调整栏!$E$36="O","饥欲之暗","")</f>
        <v/>
      </c>
      <c r="AA12" s="152" t="str" cm="1">
        <f t="array" ref="AA12">IFERROR(INDEX($B$1:$B$22,SMALL(IF($B$1:$B$22&lt;&gt;"",ROW($B$1:$B$22),4^8),ROW(12:12)))&amp;"","")</f>
        <v>术士</v>
      </c>
      <c r="AC12" s="149" t="str">
        <f>IFERROR(IF(VLOOKUP(AB2,$B$3:$Z$22,13,FALSE)=0,"",VLOOKUP(AB2,$B$3:$Z$22,13,FALSE)),"")</f>
        <v/>
      </c>
      <c r="AD12" s="152" t="str" cm="1">
        <f t="array" ref="AD12">IFERROR(INDEX($AC$1:$AC$24,SMALL(IF($AC$1:$AC$24&lt;&gt;"",ROW($AC$1:$AC$24),4^8),ROW(AC11)))&amp;"","")</f>
        <v/>
      </c>
      <c r="AF12" s="149" t="str">
        <f>IFERROR(IF(VLOOKUP(AE2,$B$3:$Z$22,13,FALSE)=0,"",VLOOKUP(AE2,$B$3:$Z$22,13,FALSE)),"")</f>
        <v/>
      </c>
      <c r="AG12" s="152" t="str" cm="1">
        <f t="array" ref="AG12">IFERROR(INDEX($AF$1:$AF$24,SMALL(IF($AF$1:$AF$24&lt;&gt;"",ROW($AF$1:$AF$24),4^8),ROW(11:11)))&amp;"","")</f>
        <v/>
      </c>
      <c r="AI12" s="149" t="str">
        <f>IFERROR(IF(VLOOKUP(AH2,$B$3:$Z$22,13,FALSE)=0,"",VLOOKUP(AH2,$B$3:$Z$22,13,FALSE)),"")</f>
        <v/>
      </c>
      <c r="AJ12" s="152" t="str" cm="1">
        <f t="array" ref="AJ12">IFERROR(INDEX($AI$1:$AI$24,SMALL(IF($AI$1:$AI$24&lt;&gt;"",ROW($AI$1:$AI$24),4^8),ROW(11:11)))&amp;"","")</f>
        <v/>
      </c>
      <c r="AL12" s="149" t="str">
        <f>IFERROR(IF(VLOOKUP(AK2,$B$3:$Z$22,13,FALSE)=0,"",VLOOKUP(AK2,$B$3:$Z$22,13,FALSE)),"")</f>
        <v/>
      </c>
      <c r="AM12" s="152" t="str" cm="1">
        <f t="array" ref="AM12">IFERROR(INDEX($AL$1:$AL$24,SMALL(IF($AL$1:$AL$24&lt;&gt;"",ROW($AL$1:$AL$24),4^8),ROW(11:11)))&amp;"","")</f>
        <v/>
      </c>
      <c r="AO12" s="194" t="s">
        <v>5852</v>
      </c>
      <c r="AP12" s="195" t="s">
        <v>10154</v>
      </c>
      <c r="AQ12" s="148" t="s">
        <v>3648</v>
      </c>
      <c r="AR12" s="152">
        <f>IFERROR(VLOOKUP($AR$11,$BE$2:$BO$22,2,FALSE),0)</f>
        <v>0</v>
      </c>
      <c r="AY12" s="148" t="s">
        <v>3649</v>
      </c>
      <c r="AZ12" s="148">
        <f t="shared" si="0"/>
        <v>0</v>
      </c>
      <c r="BE12" s="66">
        <v>10</v>
      </c>
      <c r="BF12" s="66">
        <v>4</v>
      </c>
      <c r="BG12" s="66">
        <v>3</v>
      </c>
      <c r="BH12" s="66">
        <v>3</v>
      </c>
      <c r="BI12" s="66">
        <v>3</v>
      </c>
      <c r="BJ12" s="66">
        <v>2</v>
      </c>
      <c r="BK12" s="66"/>
      <c r="BL12" s="66"/>
      <c r="BM12" s="66"/>
      <c r="BN12" s="66"/>
      <c r="BO12" s="64">
        <v>64</v>
      </c>
      <c r="BP12" s="66">
        <v>10</v>
      </c>
      <c r="BQ12" s="66"/>
      <c r="BR12" s="66"/>
      <c r="BS12" s="66"/>
      <c r="BT12" s="66"/>
      <c r="BU12" s="64">
        <v>2</v>
      </c>
      <c r="BV12" s="66">
        <v>10</v>
      </c>
      <c r="BW12" s="66"/>
      <c r="BX12" s="66">
        <v>2</v>
      </c>
      <c r="BY12" s="66"/>
      <c r="BZ12" s="66"/>
      <c r="CA12" s="206">
        <v>10</v>
      </c>
      <c r="CB12" s="66"/>
      <c r="CC12" s="66"/>
      <c r="CD12" s="66"/>
      <c r="CE12" s="66"/>
      <c r="CF12" s="66">
        <v>4</v>
      </c>
      <c r="CH12" s="149" t="s">
        <v>3649</v>
      </c>
      <c r="CI12" s="148">
        <v>31</v>
      </c>
      <c r="CJ12" s="148">
        <v>32</v>
      </c>
      <c r="CK12" s="148">
        <v>33</v>
      </c>
      <c r="CL12" s="148">
        <v>1</v>
      </c>
      <c r="CM12" s="152" cm="1">
        <f t="array" ref="CM12">_xlfn.IFS($AZ$12=20,73,$AZ$12&gt;=19,72,$AZ$12&gt;=15,71,$AZ$12&gt;=12,69,$AZ$12&gt;=11,67,$AZ$12&gt;=9,66,$AZ$12&gt;=7,61,$AZ$12&gt;=5,55,$AZ$12&gt;=4,42,$AZ$12&gt;=3,41,$AZ$12=2,40,$AZ$12=1,25,1,0)</f>
        <v>0</v>
      </c>
      <c r="CN12" s="157">
        <f>IFERROR(IF(CN11+1&gt;CS2,IF(CN11+1&gt;CS2,IF(CR3+CR11&gt;CS3,"",CR3+CR11)),CN11+1),"")</f>
        <v>7</v>
      </c>
      <c r="CO12" s="154" t="str" cm="1">
        <f t="array" ref="CO12">IFERROR(INDEX($B$34:$BO$262,CN12,$CP$2),"")</f>
        <v/>
      </c>
      <c r="CP12" s="154" t="str" cm="1">
        <f t="array" ref="CP12">IFERROR(INDEX($B$34:$BO$262,CN12,$CQ$2),"")</f>
        <v/>
      </c>
      <c r="CQ12" s="154" t="str" cm="1">
        <f t="array" ref="CQ12">IF(IFERROR(INDEX($B$34:$BO$262,CN12,$CO$2),"")=0,"",IFERROR(INDEX($B$34:$BO$262,CN12,$CO$2),""))</f>
        <v/>
      </c>
      <c r="CR12" s="154">
        <f>IFERROR(IF(CN11+1&gt;CS2,CR11+1,0),"")</f>
        <v>0</v>
      </c>
      <c r="CT12" s="155" t="str">
        <f t="shared" si="1"/>
        <v/>
      </c>
      <c r="CU12" s="156" t="str" cm="1">
        <f t="array" ref="CU12">INDEX(CT:CT,SMALL(IF($CT$2:$CT$101&lt;&gt;"",ROW($CT$2:$CT$101),142),ROW(CT11)))&amp;""</f>
        <v/>
      </c>
      <c r="CV12" s="157" t="str">
        <f t="shared" si="3"/>
        <v/>
      </c>
      <c r="CW12" s="154" t="str">
        <f>IF(主要!AX21="","",主要!AX21)</f>
        <v/>
      </c>
      <c r="CX12" s="154" t="str">
        <f t="shared" si="4"/>
        <v/>
      </c>
    </row>
    <row r="13" spans="1:102" ht="16.149999999999999" customHeight="1" x14ac:dyDescent="0.15">
      <c r="A13" s="140">
        <v>11</v>
      </c>
      <c r="B13" s="180" t="s">
        <v>244</v>
      </c>
      <c r="C13" s="180" t="s">
        <v>7288</v>
      </c>
      <c r="D13" s="180" t="s">
        <v>7289</v>
      </c>
      <c r="E13" s="180" t="s">
        <v>7290</v>
      </c>
      <c r="F13" s="180" t="s">
        <v>7291</v>
      </c>
      <c r="G13" s="327" t="str">
        <f>IF(自定义调整栏!$E$3="O","咒剑","")</f>
        <v>咒剑</v>
      </c>
      <c r="H13" s="328" t="str">
        <f>IF(自定义调整栏!$E$4="O","巨灵宗主","")</f>
        <v>巨灵宗主</v>
      </c>
      <c r="I13" s="328" t="str">
        <f>IF(自定义调整栏!$E$4="O","深海意志","")</f>
        <v>深海意志</v>
      </c>
      <c r="J13" s="337" t="str">
        <f>IF(自定义调整栏!$E$19="O","死灵宗主","")</f>
        <v>死灵宗主</v>
      </c>
      <c r="K13" s="331" t="str">
        <f>IF(自定义调整栏!$E$34="O","未来的你宗主","")</f>
        <v/>
      </c>
      <c r="L13" s="340" t="str">
        <f>IF(自定义调整栏!$E$29="O","猎食者","")</f>
        <v/>
      </c>
      <c r="N13" s="405" t="str">
        <f>IF(自定义调整栏!$E$40="O","契灵宗主","")</f>
        <v/>
      </c>
      <c r="O13" s="405" t="str">
        <f>IF(自定义调整栏!$E$39="O","巫王宗主","")</f>
        <v/>
      </c>
      <c r="S13" s="333" t="str">
        <f>IF(自定义调整栏!$E$28="O","域外天魔","")</f>
        <v/>
      </c>
      <c r="T13" s="333" t="str">
        <f>IF(自定义调整栏!$E$28="O","畸变血肉","")</f>
        <v/>
      </c>
      <c r="U13" s="309" t="str">
        <f>IF(自定义调整栏!$E$30="O","悲伤之母","")</f>
        <v/>
      </c>
      <c r="V13" s="334" t="str">
        <f>IF(自定义调整栏!$E$35="O","愚神宗主","")</f>
        <v/>
      </c>
      <c r="W13" s="334" t="str">
        <f>IF(自定义调整栏!$E$35="O","角之王宗主","")</f>
        <v/>
      </c>
      <c r="X13" s="323" t="str">
        <f>IF(自定义调整栏!$E$32="O","众首","")</f>
        <v/>
      </c>
      <c r="Y13" s="335" t="str">
        <f>IF(自定义调整栏!$E$33="O","灯笼","")</f>
        <v/>
      </c>
      <c r="Z13" s="336" t="str">
        <f>IF(自定义调整栏!$E$36="O","崇高猫猫庭","")</f>
        <v/>
      </c>
      <c r="AA13" s="152" t="str" cm="1">
        <f t="array" ref="AA13">IFERROR(INDEX($B$1:$B$22,SMALL(IF($B$1:$B$22&lt;&gt;"",ROW($B$1:$B$22),4^8),ROW(13:13)))&amp;"","")</f>
        <v>魔契师</v>
      </c>
      <c r="AC13" s="149" t="str">
        <f>IFERROR(IF(VLOOKUP(AB2,$B$3:$Z$22,14,FALSE)=0,"",VLOOKUP(AB2,$B$3:$Z$22,14,FALSE)),"")</f>
        <v/>
      </c>
      <c r="AD13" s="152" t="str" cm="1">
        <f t="array" ref="AD13">IFERROR(INDEX($AC$1:$AC$24,SMALL(IF($AC$1:$AC$24&lt;&gt;"",ROW($AC$1:$AC$24),4^8),ROW(AC12)))&amp;"","")</f>
        <v/>
      </c>
      <c r="AF13" s="149" t="str">
        <f>IFERROR(IF(VLOOKUP(AE2,$B$3:$Z$22,14,FALSE)=0,"",VLOOKUP(AE2,$B$3:$Z$22,14,FALSE)),"")</f>
        <v/>
      </c>
      <c r="AG13" s="152" t="str" cm="1">
        <f t="array" ref="AG13">IFERROR(INDEX($AF$1:$AF$24,SMALL(IF($AF$1:$AF$24&lt;&gt;"",ROW($AF$1:$AF$24),4^8),ROW(12:12)))&amp;"","")</f>
        <v/>
      </c>
      <c r="AI13" s="149" t="str">
        <f>IFERROR(IF(VLOOKUP(AH2,$B$3:$Z$22,14,FALSE)=0,"",VLOOKUP(AH2,$B$3:$Z$22,14,FALSE)),"")</f>
        <v/>
      </c>
      <c r="AJ13" s="152" t="str" cm="1">
        <f t="array" ref="AJ13">IFERROR(INDEX($AI$1:$AI$24,SMALL(IF($AI$1:$AI$24&lt;&gt;"",ROW($AI$1:$AI$24),4^8),ROW(12:12)))&amp;"","")</f>
        <v/>
      </c>
      <c r="AL13" s="149" t="str">
        <f>IFERROR(IF(VLOOKUP(AK2,$B$3:$Z$22,14,FALSE)=0,"",VLOOKUP(AK2,$B$3:$Z$22,14,FALSE)),"")</f>
        <v/>
      </c>
      <c r="AM13" s="152" t="str" cm="1">
        <f t="array" ref="AM13">IFERROR(INDEX($AL$1:$AL$24,SMALL(IF($AL$1:$AL$24&lt;&gt;"",ROW($AL$1:$AL$24),4^8),ROW(12:12)))&amp;"","")</f>
        <v/>
      </c>
      <c r="AO13" s="260" t="s">
        <v>7319</v>
      </c>
      <c r="AP13" s="210" t="s">
        <v>10154</v>
      </c>
      <c r="AQ13" s="148" t="s">
        <v>3655</v>
      </c>
      <c r="AR13" s="152">
        <f>IFERROR(VLOOKUP($AR$11,$BE$2:$BO$22,3,FALSE),0)</f>
        <v>0</v>
      </c>
      <c r="AY13" s="148" t="s">
        <v>3656</v>
      </c>
      <c r="AZ13" s="148">
        <f t="shared" si="0"/>
        <v>0</v>
      </c>
      <c r="BE13" s="189">
        <v>11</v>
      </c>
      <c r="BF13" s="189">
        <v>4</v>
      </c>
      <c r="BG13" s="189">
        <v>3</v>
      </c>
      <c r="BH13" s="189">
        <v>3</v>
      </c>
      <c r="BI13" s="189">
        <v>3</v>
      </c>
      <c r="BJ13" s="189">
        <v>2</v>
      </c>
      <c r="BK13" s="189">
        <v>1</v>
      </c>
      <c r="BL13" s="189"/>
      <c r="BM13" s="189"/>
      <c r="BN13" s="189"/>
      <c r="BO13" s="65">
        <v>73</v>
      </c>
      <c r="BP13" s="189">
        <v>11</v>
      </c>
      <c r="BQ13" s="189"/>
      <c r="BR13" s="189"/>
      <c r="BS13" s="189"/>
      <c r="BT13" s="189"/>
      <c r="BU13" s="65">
        <v>3</v>
      </c>
      <c r="BV13" s="189">
        <v>11</v>
      </c>
      <c r="BW13" s="189"/>
      <c r="BX13" s="189">
        <v>2</v>
      </c>
      <c r="BY13" s="189"/>
      <c r="BZ13" s="189"/>
      <c r="CA13" s="205">
        <v>11</v>
      </c>
      <c r="CB13" s="189"/>
      <c r="CC13" s="189"/>
      <c r="CD13" s="189"/>
      <c r="CE13" s="189"/>
      <c r="CF13" s="189">
        <v>4</v>
      </c>
      <c r="CH13" s="149" t="s">
        <v>3657</v>
      </c>
      <c r="CI13" s="148">
        <v>34</v>
      </c>
      <c r="CJ13" s="148">
        <v>35</v>
      </c>
      <c r="CK13" s="148">
        <v>36</v>
      </c>
      <c r="CL13" s="148">
        <v>1</v>
      </c>
      <c r="CM13" s="152" cm="1">
        <f t="array" ref="CM13">_xlfn.IFS($AZ$13=20,26,$AZ$13&gt;=19,25,$AZ$13&gt;=18,24,$AZ$13&gt;=5,23,$AZ$13&gt;=4,22,$AZ$13&gt;=3,21,$AZ$13=2,20,$AZ$13=1,19,1,0)</f>
        <v>0</v>
      </c>
      <c r="CN13" s="157">
        <f>IFERROR(IF(CN12+1&gt;CS2,IF(CN12+1&gt;CS2,IF(CR3+CR12&gt;CS3,"",CR3+CR12)),CN12+1),"")</f>
        <v>8</v>
      </c>
      <c r="CO13" s="154" t="str" cm="1">
        <f t="array" ref="CO13">IFERROR(INDEX($B$34:$BO$262,CN13,$CP$2),"")</f>
        <v/>
      </c>
      <c r="CP13" s="154" t="str" cm="1">
        <f t="array" ref="CP13">IFERROR(INDEX($B$34:$BO$262,CN13,$CQ$2),"")</f>
        <v/>
      </c>
      <c r="CQ13" s="154" t="str" cm="1">
        <f t="array" ref="CQ13">IF(IFERROR(INDEX($B$34:$BO$262,CN13,$CO$2),"")=0,"",IFERROR(INDEX($B$34:$BO$262,CN13,$CO$2),""))</f>
        <v/>
      </c>
      <c r="CR13" s="154">
        <f>IFERROR(IF(CN12+1&gt;CS2,CR12+1,0),"")</f>
        <v>0</v>
      </c>
      <c r="CT13" s="155" t="str">
        <f t="shared" si="1"/>
        <v/>
      </c>
      <c r="CU13" s="156" t="str" cm="1">
        <f t="array" ref="CU13">INDEX(CT:CT,SMALL(IF($CT$2:$CT$101&lt;&gt;"",ROW($CT$2:$CT$101),142),ROW(CT12)))&amp;""</f>
        <v/>
      </c>
      <c r="CV13" s="157" t="str">
        <f t="shared" si="3"/>
        <v/>
      </c>
      <c r="CW13" s="154" t="str">
        <f>IF(主要!AX22="","",主要!AX22)</f>
        <v/>
      </c>
      <c r="CX13" s="154" t="str">
        <f t="shared" si="4"/>
        <v/>
      </c>
    </row>
    <row r="14" spans="1:102" ht="16.149999999999999" customHeight="1" x14ac:dyDescent="0.15">
      <c r="A14" s="140">
        <v>12</v>
      </c>
      <c r="B14" s="180" t="s">
        <v>252</v>
      </c>
      <c r="C14" s="180" t="s">
        <v>7292</v>
      </c>
      <c r="D14" s="180" t="s">
        <v>7293</v>
      </c>
      <c r="E14" s="180" t="s">
        <v>7294</v>
      </c>
      <c r="F14" s="180" t="s">
        <v>7295</v>
      </c>
      <c r="G14" s="327" t="str">
        <f>IF(自定义调整栏!$E$3="O","战争魔法","")</f>
        <v>战争魔法</v>
      </c>
      <c r="H14" s="328" t="str">
        <f>IF(自定义调整栏!$E$4="O","书士会","")</f>
        <v>书士会</v>
      </c>
      <c r="I14" s="341" t="str">
        <f>IF(自定义调整栏!$E$23="O","时间魔法","")</f>
        <v>时间魔法</v>
      </c>
      <c r="J14" s="341" t="str">
        <f>IF(自定义调整栏!$E$23="O","重力魔法","")</f>
        <v>重力魔法</v>
      </c>
      <c r="K14" s="330" t="str">
        <f>IF(自定义调整栏!$E$26="O","血魔法","")</f>
        <v/>
      </c>
      <c r="L14" s="340" t="str">
        <f>IF(自定义调整栏!$E$29="O","地脉魔法","")</f>
        <v/>
      </c>
      <c r="N14" s="180"/>
      <c r="Q14" s="148" t="str">
        <f>IF(自定义调整栏!$E$10="O","剑咏者","")</f>
        <v>剑咏者</v>
      </c>
      <c r="S14" s="333" t="str">
        <f>IF(自定义调整栏!$E$28="O","叛道法师魔","")</f>
        <v/>
      </c>
      <c r="U14" s="309" t="str">
        <f>IF(自定义调整栏!$E$30="O","暗影","")</f>
        <v/>
      </c>
      <c r="V14" s="334" t="str">
        <f>IF(自定义调整栏!$E$35="O","神秘学者","")</f>
        <v/>
      </c>
      <c r="W14" s="334" t="str">
        <f>IF(自定义调整栏!$E$35="O","贤者","")</f>
        <v/>
      </c>
      <c r="X14" s="323" t="str">
        <f>IF(自定义调整栏!$E$32="O","远古魔杖学","")</f>
        <v/>
      </c>
      <c r="Y14" s="335" t="str">
        <f>IF(自定义调整栏!$E$33="O","折纸魔法师","")</f>
        <v/>
      </c>
      <c r="Z14" s="336" t="str">
        <f>IF(自定义调整栏!$E$36="O","司书","")</f>
        <v/>
      </c>
      <c r="AA14" s="152" t="str" cm="1">
        <f t="array" ref="AA14">IFERROR(INDEX($B$1:$B$22,SMALL(IF($B$1:$B$22&lt;&gt;"",ROW($B$1:$B$22),4^8),ROW(14:14)))&amp;"","")</f>
        <v>法师</v>
      </c>
      <c r="AC14" s="149" t="str">
        <f>IFERROR(IF(VLOOKUP(AB2,$B$3:$Z$22,15,FALSE)=0,"",VLOOKUP(AB2,$B$3:$Z$22,15,FALSE)),"")</f>
        <v/>
      </c>
      <c r="AD14" s="152" t="str" cm="1">
        <f t="array" ref="AD14">IFERROR(INDEX($AC$1:$AC$24,SMALL(IF($AC$1:$AC$24&lt;&gt;"",ROW($AC$1:$AC$24),4^8),ROW(AC13)))&amp;"","")</f>
        <v/>
      </c>
      <c r="AF14" s="149" t="str">
        <f>IFERROR(IF(VLOOKUP(AE2,$B$3:$Z$22,15,FALSE)=0,"",VLOOKUP(AE2,$B$3:$Z$22,15,FALSE)),"")</f>
        <v/>
      </c>
      <c r="AG14" s="152" t="str" cm="1">
        <f t="array" ref="AG14">IFERROR(INDEX($AF$1:$AF$24,SMALL(IF($AF$1:$AF$24&lt;&gt;"",ROW($AF$1:$AF$24),4^8),ROW(13:13)))&amp;"","")</f>
        <v/>
      </c>
      <c r="AI14" s="149" t="str">
        <f>IFERROR(IF(VLOOKUP(AH2,$B$3:$Z$22,15,FALSE)=0,"",VLOOKUP(AH2,$B$3:$Z$22,15,FALSE)),"")</f>
        <v/>
      </c>
      <c r="AJ14" s="152" t="str" cm="1">
        <f t="array" ref="AJ14">IFERROR(INDEX($AI$1:$AI$24,SMALL(IF($AI$1:$AI$24&lt;&gt;"",ROW($AI$1:$AI$24),4^8),ROW(13:13)))&amp;"","")</f>
        <v/>
      </c>
      <c r="AL14" s="149" t="str">
        <f>IFERROR(IF(VLOOKUP(AK2,$B$3:$Z$22,15,FALSE)=0,"",VLOOKUP(AK2,$B$3:$Z$22,15,FALSE)),"")</f>
        <v/>
      </c>
      <c r="AM14" s="152" t="str" cm="1">
        <f t="array" ref="AM14">IFERROR(INDEX($AL$1:$AL$24,SMALL(IF($AL$1:$AL$24&lt;&gt;"",ROW($AL$1:$AL$24),4^8),ROW(13:13)))&amp;"","")</f>
        <v/>
      </c>
      <c r="AO14" s="194" t="s">
        <v>3647</v>
      </c>
      <c r="AP14" s="195" t="s">
        <v>10155</v>
      </c>
      <c r="AQ14" s="148" t="s">
        <v>3663</v>
      </c>
      <c r="AR14" s="152">
        <f>IFERROR(VLOOKUP($AR$11,$BE$2:$BO$22,4,FALSE),0)</f>
        <v>0</v>
      </c>
      <c r="AY14" s="148" t="s">
        <v>3664</v>
      </c>
      <c r="AZ14" s="148">
        <f t="shared" si="0"/>
        <v>0</v>
      </c>
      <c r="BE14" s="66">
        <v>12</v>
      </c>
      <c r="BF14" s="66">
        <v>4</v>
      </c>
      <c r="BG14" s="66">
        <v>3</v>
      </c>
      <c r="BH14" s="66">
        <v>3</v>
      </c>
      <c r="BI14" s="66">
        <v>3</v>
      </c>
      <c r="BJ14" s="66">
        <v>2</v>
      </c>
      <c r="BK14" s="66">
        <v>1</v>
      </c>
      <c r="BL14" s="66"/>
      <c r="BM14" s="66"/>
      <c r="BN14" s="66"/>
      <c r="BO14" s="64">
        <v>73</v>
      </c>
      <c r="BP14" s="66">
        <v>12</v>
      </c>
      <c r="BQ14" s="66"/>
      <c r="BR14" s="66"/>
      <c r="BS14" s="66"/>
      <c r="BT14" s="66"/>
      <c r="BU14" s="64">
        <v>3</v>
      </c>
      <c r="BV14" s="66">
        <v>12</v>
      </c>
      <c r="BW14" s="66"/>
      <c r="BX14" s="66">
        <v>2</v>
      </c>
      <c r="BY14" s="66"/>
      <c r="BZ14" s="66"/>
      <c r="CA14" s="206">
        <v>12</v>
      </c>
      <c r="CB14" s="66"/>
      <c r="CC14" s="66"/>
      <c r="CD14" s="66"/>
      <c r="CE14" s="66"/>
      <c r="CF14" s="66">
        <v>4</v>
      </c>
      <c r="CH14" s="149" t="s">
        <v>3680</v>
      </c>
      <c r="CI14" s="148">
        <v>37</v>
      </c>
      <c r="CJ14" s="148">
        <v>38</v>
      </c>
      <c r="CK14" s="148">
        <v>39</v>
      </c>
      <c r="CL14" s="148">
        <v>1</v>
      </c>
      <c r="CM14" s="152" cm="1">
        <f t="array" ref="CM14">_xlfn.IFS($AZ$14=20,29,$AZ$14&gt;=19,28,$AZ$14&gt;=18,27,$AZ$14&gt;=14,26,$AZ$14&gt;=11,24,$AZ$14&gt;=10,23,$AZ$14&gt;=7,21,$AZ$14&gt;=6,20,$AZ$14&gt;=4,18,$AZ$14&gt;=3,17,$AZ$14=2,16,$AZ$14=1,15,1,0)</f>
        <v>0</v>
      </c>
      <c r="CN14" s="157">
        <f>IFERROR(IF(CN13+1&gt;CS2,IF(CN13+1&gt;CS2,IF(CR3+CR13&gt;CS3,"",CR3+CR13)),CN13+1),"")</f>
        <v>9</v>
      </c>
      <c r="CO14" s="154" t="str" cm="1">
        <f t="array" ref="CO14">IFERROR(INDEX($B$34:$BO$262,CN14,$CP$2),"")</f>
        <v/>
      </c>
      <c r="CP14" s="154" t="str" cm="1">
        <f t="array" ref="CP14">IFERROR(INDEX($B$34:$BO$262,CN14,$CQ$2),"")</f>
        <v/>
      </c>
      <c r="CQ14" s="154" t="str" cm="1">
        <f t="array" ref="CQ14">IF(IFERROR(INDEX($B$34:$BO$262,CN14,$CO$2),"")=0,"",IFERROR(INDEX($B$34:$BO$262,CN14,$CO$2),""))</f>
        <v/>
      </c>
      <c r="CR14" s="154">
        <f>IFERROR(IF(CN13+1&gt;CS2,CR13+1,0),"")</f>
        <v>0</v>
      </c>
      <c r="CT14" s="155" t="str">
        <f t="shared" si="1"/>
        <v/>
      </c>
      <c r="CU14" s="156" t="str" cm="1">
        <f t="array" ref="CU14">INDEX(CT:CT,SMALL(IF($CT$2:$CT$101&lt;&gt;"",ROW($CT$2:$CT$101),142),ROW(CT13)))&amp;""</f>
        <v/>
      </c>
      <c r="CV14" s="157" t="str">
        <f t="shared" si="3"/>
        <v/>
      </c>
      <c r="CW14" s="154" t="str">
        <f>IF(主要!AX23="","",主要!AX23)</f>
        <v/>
      </c>
      <c r="CX14" s="154" t="str">
        <f t="shared" si="4"/>
        <v/>
      </c>
    </row>
    <row r="15" spans="1:102" ht="16.149999999999999" customHeight="1" x14ac:dyDescent="0.15">
      <c r="A15" s="140">
        <v>13</v>
      </c>
      <c r="B15" s="180" t="str">
        <f>IF(自定义调整栏!$E$13="O","奇械师","")</f>
        <v>奇械师</v>
      </c>
      <c r="C15" s="180" t="s">
        <v>7296</v>
      </c>
      <c r="D15" s="180" t="s">
        <v>7297</v>
      </c>
      <c r="E15" s="180" t="s">
        <v>7298</v>
      </c>
      <c r="F15" s="180" t="s">
        <v>10273</v>
      </c>
      <c r="G15" s="180" t="s">
        <v>7299</v>
      </c>
      <c r="H15" s="180"/>
      <c r="I15" s="180"/>
      <c r="J15" s="180"/>
      <c r="K15" s="180"/>
      <c r="L15" s="180"/>
      <c r="M15" s="180"/>
      <c r="N15" s="180"/>
      <c r="O15" s="180"/>
      <c r="P15" s="180"/>
      <c r="Q15" s="180"/>
      <c r="Z15" s="326"/>
      <c r="AA15" s="152" t="str" cm="1">
        <f t="array" ref="AA15">IFERROR(INDEX($B$1:$B$22,SMALL(IF($B$1:$B$22&lt;&gt;"",ROW($B$1:$B$22),4^8),ROW(15:15)))&amp;"","")</f>
        <v>奇械师</v>
      </c>
      <c r="AC15" s="149" t="str">
        <f>IFERROR(IF(VLOOKUP(AB2,$B$3:$Z$22,16,FALSE)=0,"",VLOOKUP(AB2,$B$3:$Z$22,16,FALSE)),"")</f>
        <v/>
      </c>
      <c r="AD15" s="152" t="str" cm="1">
        <f t="array" ref="AD15">IFERROR(INDEX($AC$1:$AC$24,SMALL(IF($AC$1:$AC$24&lt;&gt;"",ROW($AC$1:$AC$24),4^8),ROW(AC14)))&amp;"","")</f>
        <v/>
      </c>
      <c r="AF15" s="149" t="str">
        <f>IFERROR(IF(VLOOKUP(AE2,$B$3:$Z$22,16,FALSE)=0,"",VLOOKUP(AE2,$B$3:$Z$22,16,FALSE)),"")</f>
        <v/>
      </c>
      <c r="AG15" s="152" t="str" cm="1">
        <f t="array" ref="AG15">IFERROR(INDEX($AF$1:$AF$24,SMALL(IF($AF$1:$AF$24&lt;&gt;"",ROW($AF$1:$AF$24),4^8),ROW(14:14)))&amp;"","")</f>
        <v/>
      </c>
      <c r="AI15" s="149" t="str">
        <f>IFERROR(IF(VLOOKUP(AH2,$B$3:$Z$22,16,FALSE)=0,"",VLOOKUP(AH2,$B$3:$Z$22,16,FALSE)),"")</f>
        <v/>
      </c>
      <c r="AJ15" s="152" t="str" cm="1">
        <f t="array" ref="AJ15">IFERROR(INDEX($AI$1:$AI$24,SMALL(IF($AI$1:$AI$24&lt;&gt;"",ROW($AI$1:$AI$24),4^8),ROW(14:14)))&amp;"","")</f>
        <v/>
      </c>
      <c r="AL15" s="149" t="str">
        <f>IFERROR(IF(VLOOKUP(AK2,$B$3:$Z$22,16,FALSE)=0,"",VLOOKUP(AK2,$B$3:$Z$22,16,FALSE)),"")</f>
        <v/>
      </c>
      <c r="AM15" s="152" t="str" cm="1">
        <f t="array" ref="AM15">IFERROR(INDEX($AL$1:$AL$24,SMALL(IF($AL$1:$AL$24&lt;&gt;"",ROW($AL$1:$AL$24),4^8),ROW(14:14)))&amp;"","")</f>
        <v/>
      </c>
      <c r="AO15" s="194" t="s">
        <v>3654</v>
      </c>
      <c r="AP15" s="195" t="s">
        <v>10155</v>
      </c>
      <c r="AQ15" s="148" t="s">
        <v>3667</v>
      </c>
      <c r="AR15" s="152">
        <f>IFERROR(VLOOKUP($AR$11,$BE$2:$BO$22,5,FALSE),0)</f>
        <v>0</v>
      </c>
      <c r="AY15" s="148" t="s">
        <v>3668</v>
      </c>
      <c r="AZ15" s="148">
        <f t="shared" si="0"/>
        <v>0</v>
      </c>
      <c r="BE15" s="189">
        <v>13</v>
      </c>
      <c r="BF15" s="189">
        <v>4</v>
      </c>
      <c r="BG15" s="189">
        <v>3</v>
      </c>
      <c r="BH15" s="189">
        <v>3</v>
      </c>
      <c r="BI15" s="189">
        <v>3</v>
      </c>
      <c r="BJ15" s="189">
        <v>2</v>
      </c>
      <c r="BK15" s="189">
        <v>1</v>
      </c>
      <c r="BL15" s="189">
        <v>1</v>
      </c>
      <c r="BM15" s="189"/>
      <c r="BN15" s="189"/>
      <c r="BO15" s="65">
        <v>83</v>
      </c>
      <c r="BP15" s="189">
        <v>13</v>
      </c>
      <c r="BQ15" s="189"/>
      <c r="BR15" s="189"/>
      <c r="BS15" s="189"/>
      <c r="BT15" s="189"/>
      <c r="BU15" s="65">
        <v>3</v>
      </c>
      <c r="BV15" s="189">
        <v>13</v>
      </c>
      <c r="BW15" s="189"/>
      <c r="BX15" s="189"/>
      <c r="BY15" s="189">
        <v>2</v>
      </c>
      <c r="BZ15" s="189"/>
      <c r="CA15" s="205">
        <v>13</v>
      </c>
      <c r="CB15" s="189"/>
      <c r="CC15" s="189"/>
      <c r="CD15" s="189"/>
      <c r="CE15" s="189"/>
      <c r="CF15" s="189">
        <v>5</v>
      </c>
      <c r="CH15" s="149" t="s">
        <v>3668</v>
      </c>
      <c r="CI15" s="148">
        <v>40</v>
      </c>
      <c r="CJ15" s="148">
        <v>41</v>
      </c>
      <c r="CK15" s="148">
        <v>42</v>
      </c>
      <c r="CL15" s="148">
        <v>1</v>
      </c>
      <c r="CM15" s="152" cm="1">
        <f t="array" ref="CM15">_xlfn.IFS($AZ$15&gt;=20,34,$AZ$15&gt;=19,33,$AZ$15&gt;=18,32,$AZ$15&gt;=7,31,$AZ$15&gt;=5,30,$AZ$15&gt;=4,29,$AZ$15&gt;=3,28,$AZ$15=2,27,$AZ$15=1,15,1,0)</f>
        <v>0</v>
      </c>
      <c r="CN15" s="157">
        <f>IFERROR(IF(CN14+1&gt;CS2,IF(CN14+1&gt;CS2,IF(CR3+CR14&gt;CS3,"",CR3+CR14)),CN14+1),"")</f>
        <v>10</v>
      </c>
      <c r="CO15" s="154" t="str" cm="1">
        <f t="array" ref="CO15">IFERROR(INDEX($B$34:$BO$262,CN15,$CP$2),"")</f>
        <v/>
      </c>
      <c r="CP15" s="154" t="str" cm="1">
        <f t="array" ref="CP15">IFERROR(INDEX($B$34:$BO$262,CN15,$CQ$2),"")</f>
        <v/>
      </c>
      <c r="CQ15" s="154" t="str" cm="1">
        <f t="array" ref="CQ15">IF(IFERROR(INDEX($B$34:$BO$262,CN15,$CO$2),"")=0,"",IFERROR(INDEX($B$34:$BO$262,CN15,$CO$2),""))</f>
        <v/>
      </c>
      <c r="CR15" s="154">
        <f>IFERROR(IF(CN14+1&gt;CS2,CR14+1,0),"")</f>
        <v>0</v>
      </c>
      <c r="CT15" s="155" t="str">
        <f t="shared" si="1"/>
        <v/>
      </c>
      <c r="CU15" s="156" t="str" cm="1">
        <f t="array" ref="CU15">INDEX(CT:CT,SMALL(IF($CT$2:$CT$101&lt;&gt;"",ROW($CT$2:$CT$101),142),ROW(CT14)))&amp;""</f>
        <v/>
      </c>
      <c r="CV15" s="157" t="str">
        <f t="shared" si="3"/>
        <v/>
      </c>
      <c r="CW15" s="154" t="str">
        <f>IF(主要!AX24="","",主要!AX24)</f>
        <v/>
      </c>
      <c r="CX15" s="154" t="str">
        <f t="shared" si="4"/>
        <v/>
      </c>
    </row>
    <row r="16" spans="1:102" ht="16.149999999999999" customHeight="1" x14ac:dyDescent="0.15">
      <c r="A16" s="140">
        <v>14</v>
      </c>
      <c r="B16" s="404" t="str">
        <f>IF(自定义调整栏!$E$41="O","灵能使","")</f>
        <v/>
      </c>
      <c r="C16" s="404" t="s">
        <v>7300</v>
      </c>
      <c r="D16" s="404" t="s">
        <v>10732</v>
      </c>
      <c r="E16" s="404" t="s">
        <v>7301</v>
      </c>
      <c r="F16" s="404" t="s">
        <v>7302</v>
      </c>
      <c r="G16" s="180"/>
      <c r="H16" s="180"/>
      <c r="I16" s="180"/>
      <c r="J16" s="180"/>
      <c r="K16" s="180"/>
      <c r="L16" s="180"/>
      <c r="M16" s="180"/>
      <c r="N16" s="180"/>
      <c r="O16" s="180"/>
      <c r="P16" s="180"/>
      <c r="Q16" s="180"/>
      <c r="Z16" s="326"/>
      <c r="AA16" s="152" t="str" cm="1">
        <f t="array" ref="AA16">IFERROR(INDEX($B$1:$B$22,SMALL(IF($B$1:$B$22&lt;&gt;"",ROW($B$1:$B$22),4^8),ROW(16:16)))&amp;"","")</f>
        <v/>
      </c>
      <c r="AC16" s="149" t="str">
        <f>IFERROR(IF(VLOOKUP(AB2,$B$3:$Z$22,17,FALSE)=0,"",VLOOKUP(AB2,$B$3:$Z$22,17,FALSE)),"")</f>
        <v/>
      </c>
      <c r="AD16" s="152" t="str" cm="1">
        <f t="array" ref="AD16">IFERROR(INDEX($AC$1:$AC$24,SMALL(IF($AC$1:$AC$24&lt;&gt;"",ROW($AC$1:$AC$24),4^8),ROW(AC15)))&amp;"","")</f>
        <v/>
      </c>
      <c r="AF16" s="149" t="str">
        <f>IFERROR(IF(VLOOKUP(AE2,$B$3:$Z$22,17,FALSE)=0,"",VLOOKUP(AE2,$B$3:$Z$22,17,FALSE)),"")</f>
        <v/>
      </c>
      <c r="AG16" s="152" t="str" cm="1">
        <f t="array" ref="AG16">IFERROR(INDEX($AF$1:$AF$24,SMALL(IF($AF$1:$AF$24&lt;&gt;"",ROW($AF$1:$AF$24),4^8),ROW(15:15)))&amp;"","")</f>
        <v/>
      </c>
      <c r="AI16" s="149" t="str">
        <f>IFERROR(IF(VLOOKUP(AH2,$B$3:$Z$22,17,FALSE)=0,"",VLOOKUP(AH2,$B$3:$Z$22,17,FALSE)),"")</f>
        <v/>
      </c>
      <c r="AJ16" s="152" t="str" cm="1">
        <f t="array" ref="AJ16">IFERROR(INDEX($AI$1:$AI$24,SMALL(IF($AI$1:$AI$24&lt;&gt;"",ROW($AI$1:$AI$24),4^8),ROW(15:15)))&amp;"","")</f>
        <v/>
      </c>
      <c r="AL16" s="149" t="str">
        <f>IFERROR(IF(VLOOKUP(AK2,$B$3:$Z$22,17,FALSE)=0,"",VLOOKUP(AK2,$B$3:$Z$22,17,FALSE)),"")</f>
        <v/>
      </c>
      <c r="AM16" s="152" t="str" cm="1">
        <f t="array" ref="AM16">IFERROR(INDEX($AL$1:$AL$24,SMALL(IF($AL$1:$AL$24&lt;&gt;"",ROW($AL$1:$AL$24),4^8),ROW(15:15)))&amp;"","")</f>
        <v/>
      </c>
      <c r="AO16" s="194" t="s">
        <v>3662</v>
      </c>
      <c r="AP16" s="195" t="s">
        <v>10155</v>
      </c>
      <c r="AQ16" s="148" t="s">
        <v>3674</v>
      </c>
      <c r="AR16" s="152">
        <f>IFERROR(VLOOKUP($AR$11,$BE$2:$BO$22,6,FALSE),0)</f>
        <v>0</v>
      </c>
      <c r="AS16" s="161" t="s">
        <v>3649</v>
      </c>
      <c r="AT16" s="150"/>
      <c r="AU16" s="198" t="s">
        <v>5844</v>
      </c>
      <c r="AV16" s="150"/>
      <c r="AY16" s="148" t="s">
        <v>5626</v>
      </c>
      <c r="AZ16" s="148">
        <f t="shared" si="0"/>
        <v>0</v>
      </c>
      <c r="BE16" s="66">
        <v>14</v>
      </c>
      <c r="BF16" s="66">
        <v>4</v>
      </c>
      <c r="BG16" s="66">
        <v>3</v>
      </c>
      <c r="BH16" s="66">
        <v>3</v>
      </c>
      <c r="BI16" s="66">
        <v>3</v>
      </c>
      <c r="BJ16" s="66">
        <v>2</v>
      </c>
      <c r="BK16" s="66">
        <v>1</v>
      </c>
      <c r="BL16" s="66">
        <v>1</v>
      </c>
      <c r="BM16" s="66"/>
      <c r="BN16" s="66"/>
      <c r="BO16" s="64">
        <v>83</v>
      </c>
      <c r="BP16" s="66">
        <v>14</v>
      </c>
      <c r="BQ16" s="66"/>
      <c r="BR16" s="66"/>
      <c r="BS16" s="66"/>
      <c r="BT16" s="66"/>
      <c r="BU16" s="64">
        <v>3</v>
      </c>
      <c r="BV16" s="66">
        <v>14</v>
      </c>
      <c r="BW16" s="66"/>
      <c r="BX16" s="66"/>
      <c r="BY16" s="66">
        <v>2</v>
      </c>
      <c r="BZ16" s="66"/>
      <c r="CA16" s="206">
        <v>14</v>
      </c>
      <c r="CB16" s="66"/>
      <c r="CC16" s="66"/>
      <c r="CD16" s="66"/>
      <c r="CE16" s="66"/>
      <c r="CF16" s="66">
        <v>5</v>
      </c>
      <c r="CH16" s="149" t="s">
        <v>5626</v>
      </c>
      <c r="CI16" s="148">
        <v>43</v>
      </c>
      <c r="CJ16" s="148">
        <v>44</v>
      </c>
      <c r="CK16" s="148">
        <v>45</v>
      </c>
      <c r="CL16" s="148">
        <v>1</v>
      </c>
      <c r="CM16" s="152" cm="1">
        <f t="array" ref="CM16">_xlfn.IFS($AZ$16&gt;=20,38,$AZ$16&gt;=19,37,$AZ$16&gt;=18,36,$AZ$16&gt;=15,34,$AZ$16&gt;=14,32,$AZ$16&gt;=13,28,$AZ$16&gt;=10,27,$AZ$16&gt;=9,26,$AZ$16&gt;=6,25,$AZ$16&gt;=5,24,$AZ$16&gt;=4,23,$AZ$16&gt;=3,22,$AZ$16=2,21,$AZ$16=1,17,1,0)</f>
        <v>0</v>
      </c>
      <c r="CN16" s="157">
        <f>IFERROR(IF(CN15+1&gt;CS2,IF(CN15+1&gt;CS2,IF(CR3+CR15&gt;CS3,"",CR3+CR15)),CN15+1),"")</f>
        <v>11</v>
      </c>
      <c r="CO16" s="154" t="str" cm="1">
        <f t="array" ref="CO16">IFERROR(INDEX($B$34:$BO$262,CN16,$CP$2),"")</f>
        <v/>
      </c>
      <c r="CP16" s="154" t="str" cm="1">
        <f t="array" ref="CP16">IFERROR(INDEX($B$34:$BO$262,CN16,$CQ$2),"")</f>
        <v/>
      </c>
      <c r="CQ16" s="154" t="str" cm="1">
        <f t="array" ref="CQ16">IF(IFERROR(INDEX($B$34:$BO$262,CN16,$CO$2),"")=0,"",IFERROR(INDEX($B$34:$BO$262,CN16,$CO$2),""))</f>
        <v/>
      </c>
      <c r="CR16" s="154">
        <f>IFERROR(IF(CN15+1&gt;CS2,CR15+1,0),"")</f>
        <v>0</v>
      </c>
      <c r="CT16" s="155" t="str">
        <f t="shared" si="1"/>
        <v/>
      </c>
      <c r="CU16" s="156" t="str" cm="1">
        <f t="array" ref="CU16">INDEX(CT:CT,SMALL(IF($CT$2:$CT$101&lt;&gt;"",ROW($CT$2:$CT$101),142),ROW(CT15)))&amp;""</f>
        <v/>
      </c>
      <c r="CV16" s="157" t="str">
        <f t="shared" si="3"/>
        <v/>
      </c>
      <c r="CW16" s="154" t="str">
        <f>IF(主要!AX25="","",主要!AX25)</f>
        <v/>
      </c>
      <c r="CX16" s="154" t="str">
        <f t="shared" si="4"/>
        <v/>
      </c>
    </row>
    <row r="17" spans="1:102" ht="16.149999999999999" customHeight="1" x14ac:dyDescent="0.15">
      <c r="A17" s="140">
        <v>15</v>
      </c>
      <c r="B17" s="180" t="str">
        <f>IF(自定义调整栏!$E$25="O","血猎手","")</f>
        <v/>
      </c>
      <c r="C17" s="180" t="s">
        <v>7303</v>
      </c>
      <c r="D17" s="180" t="s">
        <v>7304</v>
      </c>
      <c r="E17" s="180" t="s">
        <v>7305</v>
      </c>
      <c r="F17" s="180" t="s">
        <v>7306</v>
      </c>
      <c r="G17" s="180"/>
      <c r="H17" s="180"/>
      <c r="I17" s="180"/>
      <c r="J17" s="180"/>
      <c r="K17" s="180"/>
      <c r="L17" s="180"/>
      <c r="M17" s="180"/>
      <c r="N17" s="180"/>
      <c r="O17" s="180"/>
      <c r="P17" s="180"/>
      <c r="Q17" s="180"/>
      <c r="Z17" s="326"/>
      <c r="AA17" s="152" t="str" cm="1">
        <f t="array" ref="AA17">IFERROR(INDEX($B$1:$B$22,SMALL(IF($B$1:$B$22&lt;&gt;"",ROW($B$1:$B$22),4^8),ROW(17:17)))&amp;"","")</f>
        <v/>
      </c>
      <c r="AC17" s="149" t="str">
        <f>IFERROR(IF(VLOOKUP(AB2,$B$3:$Z$22,18,FALSE)=0,"",VLOOKUP(AB2,$B$3:$Z$22,18,FALSE)),"")</f>
        <v/>
      </c>
      <c r="AD17" s="152" t="str" cm="1">
        <f t="array" ref="AD17">IFERROR(INDEX($AC$1:$AC$24,SMALL(IF($AC$1:$AC$24&lt;&gt;"",ROW($AC$1:$AC$24),4^8),ROW(AC16)))&amp;"","")</f>
        <v/>
      </c>
      <c r="AF17" s="149" t="str">
        <f>IFERROR(IF(VLOOKUP(AE2,$B$3:$Z$22,18,FALSE)=0,"",VLOOKUP(AE2,$B$3:$Z$22,18,FALSE)),"")</f>
        <v/>
      </c>
      <c r="AG17" s="152" t="str" cm="1">
        <f t="array" ref="AG17">IFERROR(INDEX($AF$1:$AF$24,SMALL(IF($AF$1:$AF$24&lt;&gt;"",ROW($AF$1:$AF$24),4^8),ROW(16:16)))&amp;"","")</f>
        <v/>
      </c>
      <c r="AI17" s="149" t="str">
        <f>IFERROR(IF(VLOOKUP(AH2,$B$3:$Z$22,18,FALSE)=0,"",VLOOKUP(AH2,$B$3:$Z$22,18,FALSE)),"")</f>
        <v/>
      </c>
      <c r="AJ17" s="152" t="str" cm="1">
        <f t="array" ref="AJ17">IFERROR(INDEX($AI$1:$AI$24,SMALL(IF($AI$1:$AI$24&lt;&gt;"",ROW($AI$1:$AI$24),4^8),ROW(16:16)))&amp;"","")</f>
        <v/>
      </c>
      <c r="AL17" s="149" t="str">
        <f>IFERROR(IF(VLOOKUP(AK2,$B$3:$Z$22,18,FALSE)=0,"",VLOOKUP(AK2,$B$3:$Z$22,18,FALSE)),"")</f>
        <v/>
      </c>
      <c r="AM17" s="152" t="str" cm="1">
        <f t="array" ref="AM17">IFERROR(INDEX($AL$1:$AL$24,SMALL(IF($AL$1:$AL$24&lt;&gt;"",ROW($AL$1:$AL$24),4^8),ROW(16:16)))&amp;"","")</f>
        <v/>
      </c>
      <c r="AO17" s="194" t="s">
        <v>5625</v>
      </c>
      <c r="AP17" s="195" t="s">
        <v>10155</v>
      </c>
      <c r="AQ17" s="149" t="s">
        <v>3675</v>
      </c>
      <c r="AR17" s="152">
        <f>IFERROR(VLOOKUP($AR$11,$BE$2:$BO$22,7,FALSE),0)</f>
        <v>0</v>
      </c>
      <c r="AS17" s="149" t="s">
        <v>3648</v>
      </c>
      <c r="AT17" s="152">
        <f>IFERROR(VLOOKUP($AZ$12,$BP$2:$BU$22,2,FALSE),0)</f>
        <v>0</v>
      </c>
      <c r="AU17" s="149" t="s">
        <v>3648</v>
      </c>
      <c r="AV17" s="152">
        <f>IFERROR(VLOOKUP($AZ$17,$CA$2:$CF$22,2,FALSE),0)</f>
        <v>0</v>
      </c>
      <c r="AW17" s="161" t="s">
        <v>5624</v>
      </c>
      <c r="AX17" s="150">
        <f>IF($BB$2="渎魂圣约",$BC$2,IF($BB$3="渎魂圣约",$BC$3,IF($BB$4="渎魂圣约",$BC$4,0)))</f>
        <v>0</v>
      </c>
      <c r="AY17" s="179" t="s">
        <v>5844</v>
      </c>
      <c r="AZ17" s="148">
        <f t="shared" si="0"/>
        <v>0</v>
      </c>
      <c r="BE17" s="189">
        <v>15</v>
      </c>
      <c r="BF17" s="189">
        <v>4</v>
      </c>
      <c r="BG17" s="189">
        <v>3</v>
      </c>
      <c r="BH17" s="189">
        <v>3</v>
      </c>
      <c r="BI17" s="189">
        <v>3</v>
      </c>
      <c r="BJ17" s="189">
        <v>2</v>
      </c>
      <c r="BK17" s="189">
        <v>1</v>
      </c>
      <c r="BL17" s="189">
        <v>1</v>
      </c>
      <c r="BM17" s="189">
        <v>1</v>
      </c>
      <c r="BN17" s="189"/>
      <c r="BO17" s="65">
        <v>94</v>
      </c>
      <c r="BP17" s="189">
        <v>15</v>
      </c>
      <c r="BQ17" s="189"/>
      <c r="BR17" s="189"/>
      <c r="BS17" s="189"/>
      <c r="BT17" s="189"/>
      <c r="BU17" s="65">
        <v>3</v>
      </c>
      <c r="BV17" s="189">
        <v>15</v>
      </c>
      <c r="BW17" s="189"/>
      <c r="BX17" s="189"/>
      <c r="BY17" s="189">
        <v>2</v>
      </c>
      <c r="BZ17" s="189"/>
      <c r="CA17" s="205">
        <v>15</v>
      </c>
      <c r="CB17" s="189"/>
      <c r="CC17" s="189"/>
      <c r="CD17" s="189"/>
      <c r="CE17" s="189"/>
      <c r="CF17" s="189">
        <v>5</v>
      </c>
      <c r="CH17" s="149" t="s">
        <v>5853</v>
      </c>
      <c r="CI17" s="148">
        <v>46</v>
      </c>
      <c r="CJ17" s="148">
        <v>47</v>
      </c>
      <c r="CK17" s="148">
        <v>48</v>
      </c>
      <c r="CL17" s="148">
        <v>1</v>
      </c>
      <c r="CM17" s="152" cm="1">
        <f t="array" ref="CM17">_xlfn.IFS($AZ$17=20,59,$AZ$17&gt;=19,58,$AZ$17&gt;=14,57,$AZ$17&gt;=11,53,$AZ$17&gt;=10,52,$AZ$17&gt;=6,46,$AZ$17&gt;=4,35,$AZ$17=3,34,$AZ$17=2,33,$AZ$17=1,13,1,0)</f>
        <v>0</v>
      </c>
      <c r="CN17" s="157">
        <f>IFERROR(IF(CN16+1&gt;CS2,IF(CN16+1&gt;CS2,IF(CR3+CR16&gt;CS3,"",CR3+CR16)),CN16+1),"")</f>
        <v>12</v>
      </c>
      <c r="CO17" s="154" t="str" cm="1">
        <f t="array" ref="CO17">IFERROR(INDEX($B$34:$BO$262,CN17,$CP$2),"")</f>
        <v/>
      </c>
      <c r="CP17" s="154" t="str" cm="1">
        <f t="array" ref="CP17">IFERROR(INDEX($B$34:$BO$262,CN17,$CQ$2),"")</f>
        <v/>
      </c>
      <c r="CQ17" s="154" t="str" cm="1">
        <f t="array" ref="CQ17">IF(IFERROR(INDEX($B$34:$BO$262,CN17,$CO$2),"")=0,"",IFERROR(INDEX($B$34:$BO$262,CN17,$CO$2),""))</f>
        <v/>
      </c>
      <c r="CR17" s="154">
        <f>IFERROR(IF(CN16+1&gt;CS2,CR16+1,0),"")</f>
        <v>0</v>
      </c>
      <c r="CT17" s="155" t="str">
        <f t="shared" si="1"/>
        <v/>
      </c>
      <c r="CU17" s="156" t="str" cm="1">
        <f t="array" ref="CU17">INDEX(CT:CT,SMALL(IF($CT$2:$CT$101&lt;&gt;"",ROW($CT$2:$CT$101),142),ROW(CT16)))&amp;""</f>
        <v/>
      </c>
      <c r="CV17" s="157" t="str">
        <f t="shared" si="3"/>
        <v/>
      </c>
      <c r="CW17" s="154" t="str">
        <f>IF(主要!AX26="","",主要!AX26)</f>
        <v/>
      </c>
      <c r="CX17" s="154" t="str">
        <f t="shared" si="4"/>
        <v/>
      </c>
    </row>
    <row r="18" spans="1:102" ht="16.149999999999999" customHeight="1" x14ac:dyDescent="0.15">
      <c r="A18" s="140">
        <v>16</v>
      </c>
      <c r="B18" s="333" t="str">
        <f>IF(自定义调整栏!$E$28="O","药剂师","")</f>
        <v/>
      </c>
      <c r="C18" s="333" t="s">
        <v>7307</v>
      </c>
      <c r="D18" s="333" t="s">
        <v>7308</v>
      </c>
      <c r="E18" s="333" t="s">
        <v>7309</v>
      </c>
      <c r="F18" s="333" t="s">
        <v>7310</v>
      </c>
      <c r="G18" s="333" t="s">
        <v>7311</v>
      </c>
      <c r="H18" s="333" t="s">
        <v>7312</v>
      </c>
      <c r="I18" s="180"/>
      <c r="J18" s="180"/>
      <c r="K18" s="180"/>
      <c r="L18" s="180"/>
      <c r="M18" s="180"/>
      <c r="N18" s="180"/>
      <c r="O18" s="180"/>
      <c r="P18" s="180"/>
      <c r="Q18" s="180"/>
      <c r="Z18" s="326"/>
      <c r="AA18" s="152" t="str" cm="1">
        <f t="array" ref="AA18">IFERROR(INDEX($B$1:$B$22,SMALL(IF($B$1:$B$22&lt;&gt;"",ROW($B$1:$B$22),4^8),ROW(18:18)))&amp;"","")</f>
        <v/>
      </c>
      <c r="AC18" s="149" t="str">
        <f>IFERROR(IF(VLOOKUP(AB2,$B$3:$Z$22,19,FALSE)=0,"",VLOOKUP(AB2,$B$3:$Z$22,19,FALSE)),"")</f>
        <v/>
      </c>
      <c r="AD18" s="152" t="str" cm="1">
        <f t="array" ref="AD18">IFERROR(INDEX($AC$1:$AC$24,SMALL(IF($AC$1:$AC$24&lt;&gt;"",ROW($AC$1:$AC$24),4^8),ROW(AC17)))&amp;"","")</f>
        <v/>
      </c>
      <c r="AF18" s="149" t="str">
        <f>IFERROR(IF(VLOOKUP(AE2,$B$3:$Z$22,19,FALSE)=0,"",VLOOKUP(AE2,$B$3:$Z$22,19,FALSE)),"")</f>
        <v/>
      </c>
      <c r="AG18" s="152" t="str" cm="1">
        <f t="array" ref="AG18">IFERROR(INDEX($AF$1:$AF$24,SMALL(IF($AF$1:$AF$24&lt;&gt;"",ROW($AF$1:$AF$24),4^8),ROW(17:17)))&amp;"","")</f>
        <v/>
      </c>
      <c r="AI18" s="149" t="str">
        <f>IFERROR(IF(VLOOKUP(AH2,$B$3:$Z$22,19,FALSE)=0,"",VLOOKUP(AH2,$B$3:$Z$22,19,FALSE)),"")</f>
        <v/>
      </c>
      <c r="AJ18" s="152" t="str" cm="1">
        <f t="array" ref="AJ18">IFERROR(INDEX($AI$1:$AI$24,SMALL(IF($AI$1:$AI$24&lt;&gt;"",ROW($AI$1:$AI$24),4^8),ROW(17:17)))&amp;"","")</f>
        <v/>
      </c>
      <c r="AL18" s="149" t="str">
        <f>IFERROR(IF(VLOOKUP(AK2,$B$3:$Z$22,19,FALSE)=0,"",VLOOKUP(AK2,$B$3:$Z$22,19,FALSE)),"")</f>
        <v/>
      </c>
      <c r="AM18" s="152" t="str" cm="1">
        <f t="array" ref="AM18">IFERROR(INDEX($AL$1:$AL$24,SMALL(IF($AL$1:$AL$24&lt;&gt;"",ROW($AL$1:$AL$24),4^8),ROW(17:17)))&amp;"","")</f>
        <v/>
      </c>
      <c r="AO18" s="279" t="s">
        <v>8316</v>
      </c>
      <c r="AP18" s="195" t="s">
        <v>10155</v>
      </c>
      <c r="AQ18" s="149" t="s">
        <v>3676</v>
      </c>
      <c r="AR18" s="152">
        <f>IFERROR(VLOOKUP($AR$11,$BE$2:$BO$22,8,FALSE),0)</f>
        <v>0</v>
      </c>
      <c r="AS18" s="149" t="s">
        <v>3655</v>
      </c>
      <c r="AT18" s="152">
        <f>IFERROR(VLOOKUP($AZ$12,$BP$2:$BU$22,3,FALSE),0)</f>
        <v>0</v>
      </c>
      <c r="AU18" s="149" t="s">
        <v>3655</v>
      </c>
      <c r="AV18" s="152">
        <f>IFERROR(VLOOKUP($AZ$17,$CA$2:$CF$22,3,FALSE),0)</f>
        <v>0</v>
      </c>
      <c r="AW18" s="149" t="s">
        <v>3648</v>
      </c>
      <c r="AX18" s="152">
        <f>IFERROR(VLOOKUP($AX$17,$BV$2:$BZ$22,2,FALSE),0)</f>
        <v>0</v>
      </c>
      <c r="AY18" s="179" t="s">
        <v>7319</v>
      </c>
      <c r="AZ18" s="148">
        <f t="shared" si="0"/>
        <v>0</v>
      </c>
      <c r="BE18" s="66">
        <v>16</v>
      </c>
      <c r="BF18" s="66">
        <v>4</v>
      </c>
      <c r="BG18" s="66">
        <v>3</v>
      </c>
      <c r="BH18" s="66">
        <v>3</v>
      </c>
      <c r="BI18" s="66">
        <v>3</v>
      </c>
      <c r="BJ18" s="66">
        <v>2</v>
      </c>
      <c r="BK18" s="66">
        <v>1</v>
      </c>
      <c r="BL18" s="66">
        <v>1</v>
      </c>
      <c r="BM18" s="66">
        <v>1</v>
      </c>
      <c r="BN18" s="66"/>
      <c r="BO18" s="64">
        <v>94</v>
      </c>
      <c r="BP18" s="66">
        <v>16</v>
      </c>
      <c r="BQ18" s="66"/>
      <c r="BR18" s="66"/>
      <c r="BS18" s="66"/>
      <c r="BT18" s="66"/>
      <c r="BU18" s="64">
        <v>3</v>
      </c>
      <c r="BV18" s="66">
        <v>16</v>
      </c>
      <c r="BW18" s="66"/>
      <c r="BX18" s="66"/>
      <c r="BY18" s="66">
        <v>2</v>
      </c>
      <c r="BZ18" s="66"/>
      <c r="CA18" s="206">
        <v>16</v>
      </c>
      <c r="CB18" s="66"/>
      <c r="CC18" s="66"/>
      <c r="CD18" s="66"/>
      <c r="CE18" s="66"/>
      <c r="CF18" s="66">
        <v>5</v>
      </c>
      <c r="CH18" s="271" t="s">
        <v>7319</v>
      </c>
      <c r="CI18" s="148">
        <v>49</v>
      </c>
      <c r="CJ18" s="148">
        <v>50</v>
      </c>
      <c r="CK18" s="148">
        <v>51</v>
      </c>
      <c r="CL18" s="148">
        <v>1</v>
      </c>
      <c r="CM18" s="152" cm="1">
        <f t="array" ref="CM18">_xlfn.IFS($AZ$18=20,28,$AZ$18&gt;=19,27,$AZ$18&gt;=18,26,$AZ$18&gt;=15,25,$AZ$18&gt;=13,24,$AZ$18&gt;=11,23,$AZ$18&gt;=7,22,$AZ$18&gt;=5,21,$AZ$18&gt;=4,19,$AZ$18=3,18,$AZ$18=2,17,$AZ$18=1,9,1,0)</f>
        <v>0</v>
      </c>
      <c r="CN18" s="157">
        <f>IFERROR(IF(CN17+1&gt;CS2,IF(CN17+1&gt;CS2,IF(CR3+CR17&gt;CS3,"",CR3+CR17)),CN17+1),"")</f>
        <v>13</v>
      </c>
      <c r="CO18" s="154" t="str" cm="1">
        <f t="array" ref="CO18">IFERROR(INDEX($B$34:$BO$262,CN18,$CP$2),"")</f>
        <v/>
      </c>
      <c r="CP18" s="154" t="str" cm="1">
        <f t="array" ref="CP18">IFERROR(INDEX($B$34:$BO$262,CN18,$CQ$2),"")</f>
        <v/>
      </c>
      <c r="CQ18" s="154" t="str" cm="1">
        <f t="array" ref="CQ18">IF(IFERROR(INDEX($B$34:$BO$262,CN18,$CO$2),"")=0,"",IFERROR(INDEX($B$34:$BO$262,CN18,$CO$2),""))</f>
        <v/>
      </c>
      <c r="CR18" s="154">
        <f>IFERROR(IF(CN17+1&gt;CS2,CR17+1,0),"")</f>
        <v>0</v>
      </c>
      <c r="CT18" s="155" t="str">
        <f t="shared" si="1"/>
        <v/>
      </c>
      <c r="CU18" s="156" t="str" cm="1">
        <f t="array" ref="CU18">INDEX(CT:CT,SMALL(IF($CT$2:$CT$101&lt;&gt;"",ROW($CT$2:$CT$101),142),ROW(CT17)))&amp;""</f>
        <v/>
      </c>
      <c r="CV18" s="157" t="str">
        <f t="shared" si="3"/>
        <v/>
      </c>
      <c r="CW18" s="154" t="str">
        <f>IF(主要!AX27="","",主要!AX27)</f>
        <v/>
      </c>
      <c r="CX18" s="154" t="str">
        <f t="shared" si="4"/>
        <v/>
      </c>
    </row>
    <row r="19" spans="1:102" ht="16.149999999999999" customHeight="1" x14ac:dyDescent="0.15">
      <c r="A19" s="140">
        <v>17</v>
      </c>
      <c r="B19" s="331" t="str">
        <f>IF(自定义调整栏!$E$34="O","铳士","")</f>
        <v/>
      </c>
      <c r="C19" s="331" t="s">
        <v>7313</v>
      </c>
      <c r="D19" s="331" t="s">
        <v>7314</v>
      </c>
      <c r="E19" s="331" t="s">
        <v>7315</v>
      </c>
      <c r="F19" s="331" t="s">
        <v>7316</v>
      </c>
      <c r="G19" s="331" t="s">
        <v>7317</v>
      </c>
      <c r="H19" s="331" t="s">
        <v>7318</v>
      </c>
      <c r="I19" s="180"/>
      <c r="J19" s="180"/>
      <c r="K19" s="180"/>
      <c r="L19" s="180"/>
      <c r="M19" s="180"/>
      <c r="N19" s="180"/>
      <c r="O19" s="180"/>
      <c r="P19" s="180"/>
      <c r="Q19" s="180"/>
      <c r="Z19" s="326"/>
      <c r="AA19" s="152" t="str" cm="1">
        <f t="array" ref="AA19">IFERROR(INDEX($B$1:$B$22,SMALL(IF($B$1:$B$22&lt;&gt;"",ROW($B$1:$B$22),4^8),ROW(19:19)))&amp;"","")</f>
        <v/>
      </c>
      <c r="AC19" s="149" t="str">
        <f>IFERROR(IF(VLOOKUP(AB2,$B$3:$Z$22,20,FALSE)=0,"",VLOOKUP(AB2,$B$3:$Z$22,20,FALSE)),"")</f>
        <v/>
      </c>
      <c r="AD19" s="152" t="str" cm="1">
        <f t="array" ref="AD19">IFERROR(INDEX($AC$1:$AC$24,SMALL(IF($AC$1:$AC$24&lt;&gt;"",ROW($AC$1:$AC$24),4^8),ROW(AC18)))&amp;"","")</f>
        <v/>
      </c>
      <c r="AF19" s="149" t="str">
        <f>IFERROR(IF(VLOOKUP(AE2,$B$3:$Z$22,20,FALSE)=0,"",VLOOKUP(AE2,$B$3:$Z$22,20,FALSE)),"")</f>
        <v/>
      </c>
      <c r="AG19" s="152" t="str" cm="1">
        <f t="array" ref="AG19">IFERROR(INDEX($AF$1:$AF$24,SMALL(IF($AF$1:$AF$24&lt;&gt;"",ROW($AF$1:$AF$24),4^8),ROW(18:18)))&amp;"","")</f>
        <v/>
      </c>
      <c r="AI19" s="149" t="str">
        <f>IFERROR(IF(VLOOKUP(AH2,$B$3:$Z$22,20,FALSE)=0,"",VLOOKUP(AH2,$B$3:$Z$22,20,FALSE)),"")</f>
        <v/>
      </c>
      <c r="AJ19" s="152" t="str" cm="1">
        <f t="array" ref="AJ19">IFERROR(INDEX($AI$1:$AI$24,SMALL(IF($AI$1:$AI$24&lt;&gt;"",ROW($AI$1:$AI$24),4^8),ROW(18:18)))&amp;"","")</f>
        <v/>
      </c>
      <c r="AL19" s="149" t="str">
        <f>IFERROR(IF(VLOOKUP(AK2,$B$3:$Z$22,20,FALSE)=0,"",VLOOKUP(AK2,$B$3:$Z$22,20,FALSE)),"")</f>
        <v/>
      </c>
      <c r="AM19" s="152" t="str" cm="1">
        <f t="array" ref="AM19">IFERROR(INDEX($AL$1:$AL$24,SMALL(IF($AL$1:$AL$24&lt;&gt;"",ROW($AL$1:$AL$24),4^8),ROW(18:18)))&amp;"","")</f>
        <v/>
      </c>
      <c r="AO19" s="279" t="s">
        <v>10188</v>
      </c>
      <c r="AP19" s="195" t="s">
        <v>10155</v>
      </c>
      <c r="AQ19" s="149" t="s">
        <v>3677</v>
      </c>
      <c r="AR19" s="152">
        <f>IFERROR(VLOOKUP($AR$11,$BE$2:$BO$22,9,FALSE),0)</f>
        <v>0</v>
      </c>
      <c r="AS19" s="149" t="s">
        <v>3663</v>
      </c>
      <c r="AT19" s="152">
        <f>IFERROR(VLOOKUP($AZ$12,$BP$2:$BU$22,4,FALSE),0)</f>
        <v>0</v>
      </c>
      <c r="AU19" s="149" t="s">
        <v>3663</v>
      </c>
      <c r="AV19" s="152">
        <f>IFERROR(VLOOKUP($AZ$17,$CA$2:$CF$22,4,FALSE),0)</f>
        <v>0</v>
      </c>
      <c r="AW19" s="149" t="s">
        <v>3655</v>
      </c>
      <c r="AX19" s="152">
        <f>IFERROR(VLOOKUP($AX$17,$BV$2:$BZ$22,3,FALSE),0)</f>
        <v>0</v>
      </c>
      <c r="AY19" s="179" t="s">
        <v>8316</v>
      </c>
      <c r="AZ19" s="148">
        <f>IFERROR(VLOOKUP(AY19,$BA$2:$BC$4,3,0),0)</f>
        <v>0</v>
      </c>
      <c r="BE19" s="189">
        <v>17</v>
      </c>
      <c r="BF19" s="189">
        <v>4</v>
      </c>
      <c r="BG19" s="189">
        <v>3</v>
      </c>
      <c r="BH19" s="189">
        <v>3</v>
      </c>
      <c r="BI19" s="189">
        <v>3</v>
      </c>
      <c r="BJ19" s="189">
        <v>2</v>
      </c>
      <c r="BK19" s="189">
        <v>1</v>
      </c>
      <c r="BL19" s="189">
        <v>1</v>
      </c>
      <c r="BM19" s="189">
        <v>1</v>
      </c>
      <c r="BN19" s="189">
        <v>1</v>
      </c>
      <c r="BO19" s="65">
        <v>107</v>
      </c>
      <c r="BP19" s="189">
        <v>17</v>
      </c>
      <c r="BQ19" s="189"/>
      <c r="BR19" s="189"/>
      <c r="BS19" s="189"/>
      <c r="BT19" s="189"/>
      <c r="BU19" s="65">
        <v>4</v>
      </c>
      <c r="BV19" s="189">
        <v>17</v>
      </c>
      <c r="BW19" s="189"/>
      <c r="BX19" s="189"/>
      <c r="BY19" s="189">
        <v>2</v>
      </c>
      <c r="BZ19" s="189"/>
      <c r="CA19" s="205">
        <v>17</v>
      </c>
      <c r="CB19" s="189"/>
      <c r="CC19" s="189"/>
      <c r="CD19" s="189"/>
      <c r="CE19" s="189"/>
      <c r="CF19" s="189">
        <v>6</v>
      </c>
      <c r="CH19" s="271" t="s">
        <v>8316</v>
      </c>
      <c r="CI19" s="148">
        <v>52</v>
      </c>
      <c r="CJ19" s="148">
        <v>53</v>
      </c>
      <c r="CK19" s="148">
        <v>54</v>
      </c>
      <c r="CL19" s="148">
        <v>1</v>
      </c>
      <c r="CM19" s="152" cm="1">
        <f t="array" ref="CM19">_xlfn.IFS($AZ$19&gt;=20,41,$AZ$19&gt;=19,40,$AZ$19&gt;=14,39,$AZ$19&gt;=13,38,$AZ$19&gt;=11,30,$AZ$19&gt;=10,29,$AZ$19&gt;=7,28,$AZ$19&gt;=6,22,$AZ$19&gt;=5,21,$AZ$19&gt;=4,20,$AZ$19&gt;=3,19,$AZ$19&gt;=2,17,$AZ$19&gt;=1,10,1,0)</f>
        <v>0</v>
      </c>
      <c r="CN19" s="157">
        <f>IFERROR(IF(CN18+1&gt;CS2,IF(CN18+1&gt;CS2,IF(CR3+CR18&gt;CS3,"",CR3+CR18)),CN18+1),"")</f>
        <v>14</v>
      </c>
      <c r="CO19" s="154" t="str" cm="1">
        <f t="array" ref="CO19">IFERROR(INDEX($B$34:$BO$262,CN19,$CP$2),"")</f>
        <v/>
      </c>
      <c r="CP19" s="154" t="str" cm="1">
        <f t="array" ref="CP19">IFERROR(INDEX($B$34:$BO$262,CN19,$CQ$2),"")</f>
        <v/>
      </c>
      <c r="CQ19" s="154" t="str" cm="1">
        <f t="array" ref="CQ19">IF(IFERROR(INDEX($B$34:$BO$262,CN19,$CO$2),"")=0,"",IFERROR(INDEX($B$34:$BO$262,CN19,$CO$2),""))</f>
        <v/>
      </c>
      <c r="CR19" s="154">
        <f>IFERROR(IF(CN18+1&gt;CS2,CR18+1,0),"")</f>
        <v>0</v>
      </c>
      <c r="CT19" s="155" t="str">
        <f t="shared" si="1"/>
        <v/>
      </c>
      <c r="CU19" s="156" t="str" cm="1">
        <f t="array" ref="CU19">INDEX(CT:CT,SMALL(IF($CT$2:$CT$101&lt;&gt;"",ROW($CT$2:$CT$101),142),ROW(CT18)))&amp;""</f>
        <v/>
      </c>
      <c r="CV19" s="157" t="str">
        <f t="shared" si="3"/>
        <v/>
      </c>
      <c r="CW19" s="154" t="str">
        <f>IF(主要!AX28="","",主要!AX28)</f>
        <v/>
      </c>
      <c r="CX19" s="154" t="str">
        <f t="shared" si="4"/>
        <v/>
      </c>
    </row>
    <row r="20" spans="1:102" ht="16.149999999999999" customHeight="1" x14ac:dyDescent="0.15">
      <c r="A20" s="140">
        <v>18</v>
      </c>
      <c r="B20" s="180" t="str">
        <f>IF(自定义调整栏!$E$31="O","邪狱使","")</f>
        <v/>
      </c>
      <c r="C20" s="180" t="s">
        <v>8311</v>
      </c>
      <c r="D20" s="180" t="s">
        <v>8312</v>
      </c>
      <c r="E20" s="180" t="s">
        <v>8313</v>
      </c>
      <c r="F20" s="180" t="s">
        <v>8314</v>
      </c>
      <c r="G20" s="180" t="s">
        <v>8315</v>
      </c>
      <c r="H20" s="180"/>
      <c r="I20" s="180"/>
      <c r="J20" s="180"/>
      <c r="K20" s="180"/>
      <c r="L20" s="180"/>
      <c r="M20" s="180"/>
      <c r="N20" s="180"/>
      <c r="O20" s="180"/>
      <c r="P20" s="180"/>
      <c r="Q20" s="180"/>
      <c r="Z20" s="326"/>
      <c r="AA20" s="152" t="str" cm="1">
        <f t="array" ref="AA20">IFERROR(INDEX($B$1:$B$22,SMALL(IF($B$1:$B$22&lt;&gt;"",ROW($B$1:$B$22),4^8),ROW(20:20)))&amp;"","")</f>
        <v/>
      </c>
      <c r="AC20" s="149" t="str">
        <f>IFERROR(IF(VLOOKUP(AB2,$B$3:$Z$22,21,FALSE)=0,"",VLOOKUP(AB2,$B$3:$Z$22,21,FALSE)),"")</f>
        <v/>
      </c>
      <c r="AD20" s="152" t="str" cm="1">
        <f t="array" ref="AD20">IFERROR(INDEX($AC$1:$AC$24,SMALL(IF($AC$1:$AC$24&lt;&gt;"",ROW($AC$1:$AC$24),4^8),ROW(AC19)))&amp;"","")</f>
        <v/>
      </c>
      <c r="AF20" s="149" t="str">
        <f>IFERROR(IF(VLOOKUP(AE2,$B$3:$Z$22,21,FALSE)=0,"",VLOOKUP(AE2,$B$3:$Z$22,21,FALSE)),"")</f>
        <v/>
      </c>
      <c r="AG20" s="152" t="str" cm="1">
        <f t="array" ref="AG20">IFERROR(INDEX($AF$1:$AF$24,SMALL(IF($AF$1:$AF$24&lt;&gt;"",ROW($AF$1:$AF$24),4^8),ROW(19:19)))&amp;"","")</f>
        <v/>
      </c>
      <c r="AI20" s="149" t="str">
        <f>IFERROR(IF(VLOOKUP(AH2,$B$3:$Z$22,21,FALSE)=0,"",VLOOKUP(AH2,$B$3:$Z$22,21,FALSE)),"")</f>
        <v/>
      </c>
      <c r="AJ20" s="152" t="str" cm="1">
        <f t="array" ref="AJ20">IFERROR(INDEX($AI$1:$AI$24,SMALL(IF($AI$1:$AI$24&lt;&gt;"",ROW($AI$1:$AI$24),4^8),ROW(19:19)))&amp;"","")</f>
        <v/>
      </c>
      <c r="AL20" s="149" t="str">
        <f>IFERROR(IF(VLOOKUP(AK2,$B$3:$Z$22,21,FALSE)=0,"",VLOOKUP(AK2,$B$3:$Z$22,21,FALSE)),"")</f>
        <v/>
      </c>
      <c r="AM20" s="152" t="str" cm="1">
        <f t="array" ref="AM20">IFERROR(INDEX($AL$1:$AL$24,SMALL(IF($AL$1:$AL$24&lt;&gt;"",ROW($AL$1:$AL$24),4^8),ROW(19:19)))&amp;"","")</f>
        <v/>
      </c>
      <c r="AO20" s="194"/>
      <c r="AP20" s="195"/>
      <c r="AQ20" s="149" t="s">
        <v>3678</v>
      </c>
      <c r="AR20" s="152">
        <f>IFERROR(VLOOKUP($AR$11,$BE$2:$BO$22,10,FALSE),0)</f>
        <v>0</v>
      </c>
      <c r="AS20" s="149" t="s">
        <v>3667</v>
      </c>
      <c r="AT20" s="152">
        <f>IFERROR(VLOOKUP($AZ$12,$BP$2:$BU$22,5,FALSE),0)</f>
        <v>0</v>
      </c>
      <c r="AU20" s="149" t="s">
        <v>3667</v>
      </c>
      <c r="AV20" s="152">
        <f>IFERROR(VLOOKUP($AZ$17,$CA$2:$CF$22,5,FALSE),0)</f>
        <v>0</v>
      </c>
      <c r="AW20" s="149" t="s">
        <v>3663</v>
      </c>
      <c r="AX20" s="152">
        <f>IFERROR(VLOOKUP($AX$17,$BV$2:$BZ$22,4,FALSE),0)</f>
        <v>0</v>
      </c>
      <c r="AY20" s="179" t="s">
        <v>10188</v>
      </c>
      <c r="AZ20" s="148">
        <f>IFERROR(VLOOKUP(AY20,$BA$2:$BC$4,3,0),0)</f>
        <v>0</v>
      </c>
      <c r="BE20" s="66">
        <v>18</v>
      </c>
      <c r="BF20" s="66">
        <v>4</v>
      </c>
      <c r="BG20" s="66">
        <v>3</v>
      </c>
      <c r="BH20" s="66">
        <v>3</v>
      </c>
      <c r="BI20" s="66">
        <v>3</v>
      </c>
      <c r="BJ20" s="66">
        <v>3</v>
      </c>
      <c r="BK20" s="66">
        <v>1</v>
      </c>
      <c r="BL20" s="66">
        <v>1</v>
      </c>
      <c r="BM20" s="66">
        <v>1</v>
      </c>
      <c r="BN20" s="66">
        <v>1</v>
      </c>
      <c r="BO20" s="64">
        <v>114</v>
      </c>
      <c r="BP20" s="66">
        <v>18</v>
      </c>
      <c r="BQ20" s="66"/>
      <c r="BR20" s="66"/>
      <c r="BS20" s="66"/>
      <c r="BT20" s="66"/>
      <c r="BU20" s="64">
        <v>4</v>
      </c>
      <c r="BV20" s="66">
        <v>18</v>
      </c>
      <c r="BW20" s="66"/>
      <c r="BX20" s="66"/>
      <c r="BY20" s="66">
        <v>2</v>
      </c>
      <c r="BZ20" s="66"/>
      <c r="CA20" s="206">
        <v>18</v>
      </c>
      <c r="CB20" s="66"/>
      <c r="CC20" s="66"/>
      <c r="CD20" s="66"/>
      <c r="CE20" s="66"/>
      <c r="CF20" s="66">
        <v>6</v>
      </c>
      <c r="CH20" s="271" t="s">
        <v>10188</v>
      </c>
      <c r="CI20" s="148">
        <v>55</v>
      </c>
      <c r="CJ20" s="148">
        <v>56</v>
      </c>
      <c r="CK20" s="148">
        <v>57</v>
      </c>
      <c r="CL20" s="148">
        <v>1</v>
      </c>
      <c r="CM20" s="152" cm="1">
        <f t="array" ref="CM20">_xlfn.IFS($AZ$20&gt;=20,28,$AZ$20&gt;=19,27,$AZ$20&gt;=18,26,$AZ$20&gt;=15,25,$AZ$20&gt;=14,24,$AZ$20&gt;=13,23,$AZ$20&gt;=10,22,$AZ$20&gt;=9,20,$AZ$20&gt;=7,19,$AZ$20&gt;=6,18,$AZ$20&gt;=5,17,$AZ$20&gt;=4,15,$AZ$20&gt;=3,13,$AZ$20&gt;=2,11,$AZ$20&gt;=1,8,1,0)</f>
        <v>0</v>
      </c>
      <c r="CN20" s="157">
        <f>IFERROR(IF(CN19+1&gt;CS2,IF(CN19+1&gt;CS2,IF(CR3+CR19&gt;CS3,"",CR3+CR19)),CN19+1),"")</f>
        <v>15</v>
      </c>
      <c r="CO20" s="154" t="str" cm="1">
        <f t="array" ref="CO20">IFERROR(INDEX($B$34:$BO$262,CN20,$CP$2),"")</f>
        <v/>
      </c>
      <c r="CP20" s="154" t="str" cm="1">
        <f t="array" ref="CP20">IFERROR(INDEX($B$34:$BO$262,CN20,$CQ$2),"")</f>
        <v/>
      </c>
      <c r="CQ20" s="154" t="str" cm="1">
        <f t="array" ref="CQ20">IF(IFERROR(INDEX($B$34:$BO$262,CN20,$CO$2),"")=0,"",IFERROR(INDEX($B$34:$BO$262,CN20,$CO$2),""))</f>
        <v/>
      </c>
      <c r="CR20" s="154">
        <f>IFERROR(IF(CN19+1&gt;CS2,CR19+1,0),"")</f>
        <v>0</v>
      </c>
      <c r="CT20" s="155" t="str">
        <f t="shared" si="1"/>
        <v/>
      </c>
      <c r="CU20" s="156" t="str" cm="1">
        <f t="array" ref="CU20">INDEX(CT:CT,SMALL(IF($CT$2:$CT$101&lt;&gt;"",ROW($CT$2:$CT$101),142),ROW(CT19)))&amp;""</f>
        <v/>
      </c>
      <c r="CV20" s="157" t="str">
        <f t="shared" si="3"/>
        <v/>
      </c>
      <c r="CW20" s="154" t="str">
        <f>IF(主要!AX29="","",主要!AX29)</f>
        <v/>
      </c>
      <c r="CX20" s="154" t="str">
        <f t="shared" si="4"/>
        <v/>
      </c>
    </row>
    <row r="21" spans="1:102" ht="16.149999999999999" customHeight="1" x14ac:dyDescent="0.15">
      <c r="A21" s="140">
        <v>19</v>
      </c>
      <c r="B21" s="180" t="str">
        <f>IF(自定义调整栏!$E$38="O","拳斗士","")</f>
        <v/>
      </c>
      <c r="C21" s="180" t="s">
        <v>10443</v>
      </c>
      <c r="D21" s="180" t="s">
        <v>10444</v>
      </c>
      <c r="E21" s="180" t="s">
        <v>10445</v>
      </c>
      <c r="F21" s="180" t="s">
        <v>10446</v>
      </c>
      <c r="G21" s="180" t="s">
        <v>10447</v>
      </c>
      <c r="H21" s="180" t="s">
        <v>10448</v>
      </c>
      <c r="I21" s="180"/>
      <c r="J21" s="180"/>
      <c r="K21" s="180"/>
      <c r="L21" s="180"/>
      <c r="M21" s="180"/>
      <c r="N21" s="180"/>
      <c r="O21" s="180"/>
      <c r="P21" s="180"/>
      <c r="Q21" s="180"/>
      <c r="Z21" s="326"/>
      <c r="AA21" s="152" t="str" cm="1">
        <f t="array" ref="AA21">IFERROR(INDEX($B$1:$B$22,SMALL(IF($B$1:$B$22&lt;&gt;"",ROW($B$1:$B$22),4^8),ROW(21:21)))&amp;"","")</f>
        <v/>
      </c>
      <c r="AC21" s="149" t="str">
        <f>IFERROR(IF(VLOOKUP(AB2,$B$3:$Z$22,22,FALSE)=0,"",VLOOKUP(AB2,$B$3:$Z$22,22,FALSE)),"")</f>
        <v/>
      </c>
      <c r="AD21" s="152" t="str" cm="1">
        <f t="array" ref="AD21">IFERROR(INDEX($AC$1:$AC$24,SMALL(IF($AC$1:$AC$24&lt;&gt;"",ROW($AC$1:$AC$24),4^8),ROW(AC20)))&amp;"","")</f>
        <v/>
      </c>
      <c r="AF21" s="149" t="str">
        <f>IFERROR(IF(VLOOKUP(AE2,$B$3:$Z$22,22,FALSE)=0,"",VLOOKUP(AE2,$B$3:$Z$22,22,FALSE)),"")</f>
        <v/>
      </c>
      <c r="AG21" s="152" t="str" cm="1">
        <f t="array" ref="AG21">IFERROR(INDEX($AF$1:$AF$24,SMALL(IF($AF$1:$AF$24&lt;&gt;"",ROW($AF$1:$AF$24),4^8),ROW(20:20)))&amp;"","")</f>
        <v/>
      </c>
      <c r="AI21" s="149" t="str">
        <f>IFERROR(IF(VLOOKUP(AH2,$B$3:$Z$22,22,FALSE)=0,"",VLOOKUP(AH2,$B$3:$Z$22,22,FALSE)),"")</f>
        <v/>
      </c>
      <c r="AJ21" s="152" t="str" cm="1">
        <f t="array" ref="AJ21">IFERROR(INDEX($AI$1:$AI$24,SMALL(IF($AI$1:$AI$24&lt;&gt;"",ROW($AI$1:$AI$24),4^8),ROW(20:20)))&amp;"","")</f>
        <v/>
      </c>
      <c r="AL21" s="149" t="str">
        <f>IFERROR(IF(VLOOKUP(AK2,$B$3:$Z$22,22,FALSE)=0,"",VLOOKUP(AK2,$B$3:$Z$22,22,FALSE)),"")</f>
        <v/>
      </c>
      <c r="AM21" s="152" t="str" cm="1">
        <f t="array" ref="AM21">IFERROR(INDEX($AL$1:$AL$24,SMALL(IF($AL$1:$AL$24&lt;&gt;"",ROW($AL$1:$AL$24),4^8),ROW(20:20)))&amp;"","")</f>
        <v/>
      </c>
      <c r="AO21" s="194" t="s">
        <v>3666</v>
      </c>
      <c r="AP21" s="195" t="s">
        <v>10156</v>
      </c>
      <c r="AQ21" s="159" t="s">
        <v>3679</v>
      </c>
      <c r="AR21" s="162">
        <f>IFERROR(VLOOKUP($AR$11,$BE$2:$BO$22,11,FALSE),0)</f>
        <v>0</v>
      </c>
      <c r="AS21" s="159" t="s">
        <v>3674</v>
      </c>
      <c r="AT21" s="162">
        <f>IFERROR(VLOOKUP($AZ$12,$BP$2:$BU$22,6,FALSE),0)</f>
        <v>0</v>
      </c>
      <c r="AU21" s="159" t="s">
        <v>3674</v>
      </c>
      <c r="AV21" s="162">
        <f>IFERROR(VLOOKUP($AZ$17,$CA$2:$CF$22,6,FALSE),0)</f>
        <v>0</v>
      </c>
      <c r="AW21" s="159" t="s">
        <v>3667</v>
      </c>
      <c r="AX21" s="162">
        <f>IFERROR(VLOOKUP($AX$17,$BV$2:$BZ$22,5,FALSE),0)</f>
        <v>0</v>
      </c>
      <c r="AZ21" s="148">
        <f>IFERROR(VLOOKUP(AY21,$BA$2:$BC$4,3,0),0)</f>
        <v>1</v>
      </c>
      <c r="BE21" s="189">
        <v>19</v>
      </c>
      <c r="BF21" s="189">
        <v>4</v>
      </c>
      <c r="BG21" s="189">
        <v>3</v>
      </c>
      <c r="BH21" s="189">
        <v>3</v>
      </c>
      <c r="BI21" s="189">
        <v>3</v>
      </c>
      <c r="BJ21" s="189">
        <v>3</v>
      </c>
      <c r="BK21" s="189">
        <v>2</v>
      </c>
      <c r="BL21" s="189">
        <v>1</v>
      </c>
      <c r="BM21" s="189">
        <v>1</v>
      </c>
      <c r="BN21" s="189">
        <v>1</v>
      </c>
      <c r="BO21" s="65">
        <v>123</v>
      </c>
      <c r="BP21" s="189">
        <v>19</v>
      </c>
      <c r="BQ21" s="189"/>
      <c r="BR21" s="189"/>
      <c r="BS21" s="189"/>
      <c r="BT21" s="189"/>
      <c r="BU21" s="65">
        <v>4</v>
      </c>
      <c r="BV21" s="189">
        <v>19</v>
      </c>
      <c r="BW21" s="189"/>
      <c r="BX21" s="189"/>
      <c r="BY21" s="189"/>
      <c r="BZ21" s="189">
        <v>2</v>
      </c>
      <c r="CA21" s="205">
        <v>19</v>
      </c>
      <c r="CB21" s="189"/>
      <c r="CC21" s="189"/>
      <c r="CD21" s="189"/>
      <c r="CE21" s="189"/>
      <c r="CF21" s="189">
        <v>6</v>
      </c>
      <c r="CH21" s="149"/>
      <c r="CM21" s="152"/>
      <c r="CN21" s="157">
        <f>IFERROR(IF(CN20+1&gt;CS2,IF(CN20+1&gt;CS2,IF(CR3+CR20&gt;CS3,"",CR3+CR20)),CN20+1),"")</f>
        <v>16</v>
      </c>
      <c r="CO21" s="154" t="str" cm="1">
        <f t="array" ref="CO21">IFERROR(INDEX($B$34:$BO$262,CN21,$CP$2),"")</f>
        <v/>
      </c>
      <c r="CP21" s="154" t="str" cm="1">
        <f t="array" ref="CP21">IFERROR(INDEX($B$34:$BO$262,CN21,$CQ$2),"")</f>
        <v/>
      </c>
      <c r="CQ21" s="154" t="str" cm="1">
        <f t="array" ref="CQ21">IF(IFERROR(INDEX($B$34:$BO$262,CN21,$CO$2),"")=0,"",IFERROR(INDEX($B$34:$BO$262,CN21,$CO$2),""))</f>
        <v/>
      </c>
      <c r="CR21" s="154">
        <f>IFERROR(IF(CN20+1&gt;CS2,CR20+1,0),"")</f>
        <v>0</v>
      </c>
      <c r="CT21" s="155" t="str">
        <f t="shared" si="1"/>
        <v/>
      </c>
      <c r="CU21" s="156" t="str" cm="1">
        <f t="array" ref="CU21">INDEX(CT:CT,SMALL(IF($CT$2:$CT$101&lt;&gt;"",ROW($CT$2:$CT$101),142),ROW(CT20)))&amp;""</f>
        <v/>
      </c>
      <c r="CV21" s="157" t="str">
        <f t="shared" si="3"/>
        <v/>
      </c>
      <c r="CW21" s="154" t="str">
        <f>IF(主要!AX30="","",主要!AX30)</f>
        <v/>
      </c>
      <c r="CX21" s="154" t="str">
        <f t="shared" si="4"/>
        <v/>
      </c>
    </row>
    <row r="22" spans="1:102" ht="16.149999999999999" customHeight="1" x14ac:dyDescent="0.15">
      <c r="A22" s="343">
        <v>20</v>
      </c>
      <c r="B22" s="344" t="str">
        <f>""</f>
        <v/>
      </c>
      <c r="C22" s="344"/>
      <c r="D22" s="344"/>
      <c r="E22" s="344"/>
      <c r="F22" s="344"/>
      <c r="G22" s="344"/>
      <c r="H22" s="344"/>
      <c r="I22" s="344"/>
      <c r="J22" s="344"/>
      <c r="K22" s="344"/>
      <c r="L22" s="344"/>
      <c r="M22" s="344"/>
      <c r="N22" s="344"/>
      <c r="O22" s="344"/>
      <c r="P22" s="344"/>
      <c r="Q22" s="344"/>
      <c r="R22" s="344"/>
      <c r="S22" s="345"/>
      <c r="T22" s="345"/>
      <c r="U22" s="345"/>
      <c r="V22" s="345"/>
      <c r="W22" s="345"/>
      <c r="X22" s="345"/>
      <c r="Y22" s="345"/>
      <c r="Z22" s="346"/>
      <c r="AA22" s="162" t="str" cm="1">
        <f t="array" ref="AA22">IFERROR(INDEX($B$1:$B$22,SMALL(IF($B$1:$B$22&lt;&gt;"",ROW($B$1:$B$22),4^8),ROW(22:22)))&amp;"","")</f>
        <v/>
      </c>
      <c r="AC22" s="149" t="str">
        <f>IFERROR(IF(VLOOKUP(AB2,$B$3:$Z$22,23,FALSE)=0,"",VLOOKUP(AB2,$B$3:$Z$22,23,FALSE)),"")</f>
        <v/>
      </c>
      <c r="AD22" s="152" t="str" cm="1">
        <f t="array" ref="AD22">IFERROR(INDEX($AC$1:$AC$24,SMALL(IF($AC$1:$AC$24&lt;&gt;"",ROW($AC$1:$AC$24),4^8),ROW(AC21)))&amp;"","")</f>
        <v/>
      </c>
      <c r="AF22" s="149" t="str">
        <f>IFERROR(IF(VLOOKUP(AE2,$B$3:$Z$22,23,FALSE)=0,"",VLOOKUP(AE2,$B$3:$Z$22,23,FALSE)),"")</f>
        <v/>
      </c>
      <c r="AG22" s="152" t="str" cm="1">
        <f t="array" ref="AG22">IFERROR(INDEX($AF$1:$AF$24,SMALL(IF($AF$1:$AF$24&lt;&gt;"",ROW($AF$1:$AF$24),4^8),ROW(21:21)))&amp;"","")</f>
        <v/>
      </c>
      <c r="AI22" s="149" t="str">
        <f>IFERROR(IF(VLOOKUP(AH2,$B$3:$Z$22,23,FALSE)=0,"",VLOOKUP(AH2,$B$3:$Z$22,23,FALSE)),"")</f>
        <v/>
      </c>
      <c r="AJ22" s="152" t="str" cm="1">
        <f t="array" ref="AJ22">IFERROR(INDEX($AI$1:$AI$24,SMALL(IF($AI$1:$AI$24&lt;&gt;"",ROW($AI$1:$AI$24),4^8),ROW(21:21)))&amp;"","")</f>
        <v/>
      </c>
      <c r="AL22" s="149" t="str">
        <f>IFERROR(IF(VLOOKUP(AK2,$B$3:$Z$22,23,FALSE)=0,"",VLOOKUP(AK2,$B$3:$Z$22,23,FALSE)),"")</f>
        <v/>
      </c>
      <c r="AM22" s="152" t="str" cm="1">
        <f t="array" ref="AM22">IFERROR(INDEX($AL$1:$AL$24,SMALL(IF($AL$1:$AL$24&lt;&gt;"",ROW($AL$1:$AL$24),4^8),ROW(21:21)))&amp;"","")</f>
        <v/>
      </c>
      <c r="BE22" s="66">
        <v>20</v>
      </c>
      <c r="BF22" s="66">
        <v>4</v>
      </c>
      <c r="BG22" s="66">
        <v>3</v>
      </c>
      <c r="BH22" s="66">
        <v>3</v>
      </c>
      <c r="BI22" s="66">
        <v>3</v>
      </c>
      <c r="BJ22" s="66">
        <v>3</v>
      </c>
      <c r="BK22" s="66">
        <v>2</v>
      </c>
      <c r="BL22" s="66">
        <v>2</v>
      </c>
      <c r="BM22" s="66">
        <v>1</v>
      </c>
      <c r="BN22" s="66">
        <v>1</v>
      </c>
      <c r="BO22" s="64">
        <v>133</v>
      </c>
      <c r="BP22" s="66">
        <v>20</v>
      </c>
      <c r="BQ22" s="66" t="str">
        <f>""</f>
        <v/>
      </c>
      <c r="BR22" s="66" t="str">
        <f>""</f>
        <v/>
      </c>
      <c r="BS22" s="66" t="str">
        <f>""</f>
        <v/>
      </c>
      <c r="BT22" s="66" t="str">
        <f>""</f>
        <v/>
      </c>
      <c r="BU22" s="64">
        <v>4</v>
      </c>
      <c r="BV22" s="66">
        <v>20</v>
      </c>
      <c r="BW22" s="66" t="str">
        <f>""</f>
        <v/>
      </c>
      <c r="BX22" s="66" t="str">
        <f>""</f>
        <v/>
      </c>
      <c r="BY22" s="66" t="str">
        <f>""</f>
        <v/>
      </c>
      <c r="BZ22" s="66">
        <v>2</v>
      </c>
      <c r="CA22" s="206">
        <v>20</v>
      </c>
      <c r="CB22" s="66" t="str">
        <f>""</f>
        <v/>
      </c>
      <c r="CC22" s="66" t="str">
        <f>""</f>
        <v/>
      </c>
      <c r="CD22" s="66" t="str">
        <f>""</f>
        <v/>
      </c>
      <c r="CE22" s="66" t="str">
        <f>""</f>
        <v/>
      </c>
      <c r="CF22" s="66">
        <v>6</v>
      </c>
      <c r="CH22" s="149"/>
      <c r="CM22" s="152"/>
      <c r="CN22" s="157">
        <f>IFERROR(IF(CN21+1&gt;CS2,IF(CN21+1&gt;CS2,IF(CR3+CR21&gt;CS3,"",CR3+CR21)),CN21+1),"")</f>
        <v>17</v>
      </c>
      <c r="CO22" s="154" t="str" cm="1">
        <f t="array" ref="CO22">IFERROR(INDEX($B$34:$BO$262,CN22,$CP$2),"")</f>
        <v/>
      </c>
      <c r="CP22" s="154" t="str" cm="1">
        <f t="array" ref="CP22">IFERROR(INDEX($B$34:$BO$262,CN22,$CQ$2),"")</f>
        <v/>
      </c>
      <c r="CQ22" s="154" t="str" cm="1">
        <f t="array" ref="CQ22">IF(IFERROR(INDEX($B$34:$BO$262,CN22,$CO$2),"")=0,"",IFERROR(INDEX($B$34:$BO$262,CN22,$CO$2),""))</f>
        <v/>
      </c>
      <c r="CR22" s="154">
        <f>IFERROR(IF(CN21+1&gt;CS2,CR21+1,0),"")</f>
        <v>0</v>
      </c>
      <c r="CT22" s="155" t="str">
        <f t="shared" si="1"/>
        <v/>
      </c>
      <c r="CU22" s="156" t="str" cm="1">
        <f t="array" ref="CU22">INDEX(CT:CT,SMALL(IF($CT$2:$CT$101&lt;&gt;"",ROW($CT$2:$CT$101),142),ROW(CT21)))&amp;""</f>
        <v/>
      </c>
      <c r="CV22" s="157" t="str">
        <f t="shared" si="3"/>
        <v/>
      </c>
      <c r="CW22" s="154" t="str">
        <f>IF(主要!AX31="","",主要!AX31)</f>
        <v/>
      </c>
      <c r="CX22" s="154" t="str">
        <f t="shared" si="4"/>
        <v/>
      </c>
    </row>
    <row r="23" spans="1:102" ht="16.149999999999999" customHeight="1" x14ac:dyDescent="0.15">
      <c r="AC23" s="149" t="str">
        <f>IFERROR(IF(VLOOKUP(AB2,$B$3:$Z$22,24,FALSE)=0,"",VLOOKUP(AB2,$B$3:$Z$22,24,FALSE)),"")</f>
        <v/>
      </c>
      <c r="AD23" s="152" t="str" cm="1">
        <f t="array" ref="AD23">IFERROR(INDEX($AC$1:$AC$24,SMALL(IF($AC$1:$AC$24&lt;&gt;"",ROW($AC$1:$AC$24),4^8),ROW(AC22)))&amp;"","")</f>
        <v/>
      </c>
      <c r="AF23" s="149" t="str">
        <f>IFERROR(IF(VLOOKUP(AE2,$B$3:$Z$22,24,FALSE)=0,"",VLOOKUP(AE2,$B$3:$Z$22,24,FALSE)),"")</f>
        <v/>
      </c>
      <c r="AG23" s="152" t="str" cm="1">
        <f t="array" ref="AG23">IFERROR(INDEX($AF$1:$AF$24,SMALL(IF($AF$1:$AF$24&lt;&gt;"",ROW($AF$1:$AF$24),4^8),ROW(22:22)))&amp;"","")</f>
        <v/>
      </c>
      <c r="AI23" s="149" t="str">
        <f>IFERROR(IF(VLOOKUP(AH2,$B$3:$Z$22,24,FALSE)=0,"",VLOOKUP(AH2,$B$3:$Z$22,24,FALSE)),"")</f>
        <v/>
      </c>
      <c r="AJ23" s="152" t="str" cm="1">
        <f t="array" ref="AJ23">IFERROR(INDEX($AI$1:$AI$24,SMALL(IF($AI$1:$AI$24&lt;&gt;"",ROW($AI$1:$AI$24),4^8),ROW(22:22)))&amp;"","")</f>
        <v/>
      </c>
      <c r="AL23" s="149" t="str">
        <f>IFERROR(IF(VLOOKUP(AK2,$B$3:$Z$22,24,FALSE)=0,"",VLOOKUP(AK2,$B$3:$Z$22,24,FALSE)),"")</f>
        <v/>
      </c>
      <c r="AM23" s="152" t="str" cm="1">
        <f t="array" ref="AM23">IFERROR(INDEX($AL$1:$AL$24,SMALL(IF($AL$1:$AL$24&lt;&gt;"",ROW($AL$1:$AL$24),4^8),ROW(22:22)))&amp;"","")</f>
        <v/>
      </c>
      <c r="BQ23" s="67" t="s">
        <v>9833</v>
      </c>
      <c r="BW23" s="148" t="s">
        <v>5624</v>
      </c>
      <c r="CB23" s="67" t="s">
        <v>5844</v>
      </c>
      <c r="CN23" s="154">
        <f>IFERROR(IF(CN22+1&gt;CS2,IF(CN22+1&gt;CS2,IF(CR3+CR22&gt;CS3,"",CR3+CR22)),CN22+1),"")</f>
        <v>18</v>
      </c>
      <c r="CO23" s="154" t="str" cm="1">
        <f t="array" ref="CO23">IFERROR(INDEX($B$34:$BO$262,CN23,$CP$2),"")</f>
        <v/>
      </c>
      <c r="CP23" s="154" t="str" cm="1">
        <f t="array" ref="CP23">IFERROR(INDEX($B$34:$BO$262,CN23,$CQ$2),"")</f>
        <v/>
      </c>
      <c r="CQ23" s="154" t="str" cm="1">
        <f t="array" ref="CQ23">IF(IFERROR(INDEX($B$34:$BO$262,CN23,$CO$2),"")=0,"",IFERROR(INDEX($B$34:$BO$262,CN23,$CO$2),""))</f>
        <v/>
      </c>
      <c r="CR23" s="154">
        <f>IFERROR(IF(CN22+1&gt;CS2,CR22+1,0),"")</f>
        <v>0</v>
      </c>
      <c r="CT23" s="155" t="str">
        <f t="shared" si="1"/>
        <v/>
      </c>
      <c r="CU23" s="156" t="str" cm="1">
        <f t="array" ref="CU23">INDEX(CT:CT,SMALL(IF($CT$2:$CT$101&lt;&gt;"",ROW($CT$2:$CT$101),142),ROW(CT22)))&amp;""</f>
        <v/>
      </c>
      <c r="CV23" s="157" t="str">
        <f t="shared" si="3"/>
        <v/>
      </c>
      <c r="CW23" s="154" t="str">
        <f>IF(主要!AX32="","",主要!AX32)</f>
        <v/>
      </c>
      <c r="CX23" s="154" t="str">
        <f t="shared" si="4"/>
        <v/>
      </c>
    </row>
    <row r="24" spans="1:102" ht="16.149999999999999" customHeight="1" x14ac:dyDescent="0.15">
      <c r="AC24" s="149" t="str">
        <f>IFERROR(IF(VLOOKUP(AB2,$B$3:$Z$22,25,FALSE)=0,"",VLOOKUP(AB2,$B$3:$Z$22,25,FALSE)),"")</f>
        <v/>
      </c>
      <c r="AD24" s="152" t="str" cm="1">
        <f t="array" ref="AD24">IFERROR(INDEX($AC$1:$AC$24,SMALL(IF($AC$1:$AC$24&lt;&gt;"",ROW($AC$1:$AC$24),4^8),ROW(AC23)))&amp;"","")</f>
        <v/>
      </c>
      <c r="AF24" s="149" t="str">
        <f>IFERROR(IF(VLOOKUP(AE2,$B$3:$Z$22,25,FALSE)=0,"",VLOOKUP(AE2,$B$3:$Z$22,25,FALSE)),"")</f>
        <v/>
      </c>
      <c r="AG24" s="152" t="str" cm="1">
        <f t="array" ref="AG24">IFERROR(INDEX($AF$1:$AF$24,SMALL(IF($AF$1:$AF$24&lt;&gt;"",ROW($AF$1:$AF$24),4^8),ROW(23:23)))&amp;"","")</f>
        <v/>
      </c>
      <c r="AI24" s="149" t="str">
        <f>IFERROR(IF(VLOOKUP(AH2,$B$3:$Z$22,25,FALSE)=0,"",VLOOKUP(AH2,$B$3:$Z$22,25,FALSE)),"")</f>
        <v/>
      </c>
      <c r="AJ24" s="152" t="str" cm="1">
        <f t="array" ref="AJ24">IFERROR(INDEX($AI$1:$AI$24,SMALL(IF($AI$1:$AI$24&lt;&gt;"",ROW($AI$1:$AI$24),4^8),ROW(23:23)))&amp;"","")</f>
        <v/>
      </c>
      <c r="AL24" s="149" t="str">
        <f>IFERROR(IF(VLOOKUP(AK2,$B$3:$Z$22,25,FALSE)=0,"",VLOOKUP(AK2,$B$3:$Z$22,25,FALSE)),"")</f>
        <v/>
      </c>
      <c r="AM24" s="152" t="str" cm="1">
        <f t="array" ref="AM24">IFERROR(INDEX($AL$1:$AL$24,SMALL(IF($AL$1:$AL$24&lt;&gt;"",ROW($AL$1:$AL$24),4^8),ROW(23:23)))&amp;"","")</f>
        <v/>
      </c>
      <c r="CN24" s="154">
        <f>IFERROR(IF(CN23+1&gt;CS2,IF(CN23+1&gt;CS2,IF(CR3+CR23&gt;CS3,"",CR3+CR23)),CN23+1),"")</f>
        <v>19</v>
      </c>
      <c r="CO24" s="154" t="str" cm="1">
        <f t="array" ref="CO24">IFERROR(INDEX($B$34:$BO$262,CN24,$CP$2),"")</f>
        <v/>
      </c>
      <c r="CP24" s="154" t="str" cm="1">
        <f t="array" ref="CP24">IFERROR(INDEX($B$34:$BO$262,CN24,$CQ$2),"")</f>
        <v/>
      </c>
      <c r="CQ24" s="154" t="str" cm="1">
        <f t="array" ref="CQ24">IF(IFERROR(INDEX($B$34:$BO$262,CN24,$CO$2),"")=0,"",IFERROR(INDEX($B$34:$BO$262,CN24,$CO$2),""))</f>
        <v/>
      </c>
      <c r="CR24" s="154">
        <f>IFERROR(IF(CN23+1&gt;CS2,CR23+1,0),"")</f>
        <v>0</v>
      </c>
      <c r="CT24" s="155" t="str">
        <f t="shared" si="1"/>
        <v/>
      </c>
      <c r="CU24" s="156" t="str" cm="1">
        <f t="array" ref="CU24">INDEX(CT:CT,SMALL(IF($CT$2:$CT$101&lt;&gt;"",ROW($CT$2:$CT$101),142),ROW(CT23)))&amp;""</f>
        <v/>
      </c>
      <c r="CV24" s="157" t="str">
        <f t="shared" si="3"/>
        <v/>
      </c>
      <c r="CW24" s="154" t="str">
        <f>IF(主要!AX33="","",主要!AX33)</f>
        <v/>
      </c>
      <c r="CX24" s="154" t="str">
        <f t="shared" si="4"/>
        <v/>
      </c>
    </row>
    <row r="25" spans="1:102" ht="16.149999999999999" customHeight="1" x14ac:dyDescent="0.15">
      <c r="CN25" s="154">
        <f>IFERROR(IF(CN24+1&gt;CS2,IF(CN24+1&gt;CS2,IF(CR3+CR24&gt;CS3,"",CR3+CR24)),CN24+1),"")</f>
        <v>20</v>
      </c>
      <c r="CO25" s="154" t="str" cm="1">
        <f t="array" ref="CO25">IFERROR(INDEX($B$34:$BO$262,CN25,$CP$2),"")</f>
        <v/>
      </c>
      <c r="CP25" s="154" t="str" cm="1">
        <f t="array" ref="CP25">IFERROR(INDEX($B$34:$BO$262,CN25,$CQ$2),"")</f>
        <v/>
      </c>
      <c r="CQ25" s="154" t="str" cm="1">
        <f t="array" ref="CQ25">IF(IFERROR(INDEX($B$34:$BO$262,CN25,$CO$2),"")=0,"",IFERROR(INDEX($B$34:$BO$262,CN25,$CO$2),""))</f>
        <v/>
      </c>
      <c r="CR25" s="154">
        <f>IFERROR(IF(CN24+1&gt;CS2,CR24+1,0),"")</f>
        <v>0</v>
      </c>
      <c r="CT25" s="155" t="str">
        <f t="shared" si="1"/>
        <v/>
      </c>
      <c r="CU25" s="156" t="str" cm="1">
        <f t="array" ref="CU25">INDEX(CT:CT,SMALL(IF($CT$2:$CT$101&lt;&gt;"",ROW($CT$2:$CT$101),142),ROW(CT24)))&amp;""</f>
        <v/>
      </c>
      <c r="CV25" s="157" t="str">
        <f t="shared" si="3"/>
        <v/>
      </c>
      <c r="CW25" s="154" t="str">
        <f>IF(主要!AX34="","",主要!AX34)</f>
        <v/>
      </c>
      <c r="CX25" s="154" t="str">
        <f t="shared" si="4"/>
        <v/>
      </c>
    </row>
    <row r="26" spans="1:102" ht="16.149999999999999" customHeight="1" x14ac:dyDescent="0.15">
      <c r="CN26" s="154">
        <f>IFERROR(IF(CN25+1&gt;CS2,IF(CN25+1&gt;CS2,IF(CR3+CR25&gt;CS3,"",CR3+CR25)),CN25+1),"")</f>
        <v>21</v>
      </c>
      <c r="CO26" s="154" t="str" cm="1">
        <f t="array" ref="CO26">IFERROR(INDEX($B$34:$BO$262,CN26,$CP$2),"")</f>
        <v/>
      </c>
      <c r="CP26" s="154" t="str" cm="1">
        <f t="array" ref="CP26">IFERROR(INDEX($B$34:$BO$262,CN26,$CQ$2),"")</f>
        <v/>
      </c>
      <c r="CQ26" s="154" t="str" cm="1">
        <f t="array" ref="CQ26">IF(IFERROR(INDEX($B$34:$BO$262,CN26,$CO$2),"")=0,"",IFERROR(INDEX($B$34:$BO$262,CN26,$CO$2),""))</f>
        <v/>
      </c>
      <c r="CR26" s="154">
        <f>IFERROR(IF(CN25+1&gt;CS2,CR25+1,0),"")</f>
        <v>0</v>
      </c>
      <c r="CT26" s="155" t="str">
        <f t="shared" si="1"/>
        <v/>
      </c>
      <c r="CU26" s="156" t="str" cm="1">
        <f t="array" ref="CU26">INDEX(CT:CT,SMALL(IF($CT$2:$CT$101&lt;&gt;"",ROW($CT$2:$CT$101),142),ROW(CT25)))&amp;""</f>
        <v/>
      </c>
      <c r="CV26" s="157" t="str">
        <f t="shared" si="3"/>
        <v/>
      </c>
      <c r="CW26" s="154" t="str">
        <f>IF(主要!AX35="","",主要!AX35)</f>
        <v/>
      </c>
      <c r="CX26" s="154" t="str">
        <f t="shared" si="4"/>
        <v/>
      </c>
    </row>
    <row r="27" spans="1:102" ht="16.149999999999999" customHeight="1" x14ac:dyDescent="0.15">
      <c r="CN27" s="154">
        <f>IFERROR(IF(CN26+1&gt;CS2,IF(CN26+1&gt;CS2,IF(CR3+CR26&gt;CS3,"",CR3+CR26)),CN26+1),"")</f>
        <v>22</v>
      </c>
      <c r="CO27" s="154" t="str" cm="1">
        <f t="array" ref="CO27">IFERROR(INDEX($B$34:$BO$262,CN27,$CP$2),"")</f>
        <v/>
      </c>
      <c r="CP27" s="154" t="str" cm="1">
        <f t="array" ref="CP27">IFERROR(INDEX($B$34:$BO$262,CN27,$CQ$2),"")</f>
        <v/>
      </c>
      <c r="CQ27" s="154" t="str" cm="1">
        <f t="array" ref="CQ27">IF(IFERROR(INDEX($B$34:$BO$262,CN27,$CO$2),"")=0,"",IFERROR(INDEX($B$34:$BO$262,CN27,$CO$2),""))</f>
        <v/>
      </c>
      <c r="CR27" s="154">
        <f>IFERROR(IF(CN26+1&gt;CS2,CR26+1,0),"")</f>
        <v>0</v>
      </c>
      <c r="CT27" s="155" t="str">
        <f t="shared" si="1"/>
        <v/>
      </c>
      <c r="CU27" s="156" t="str" cm="1">
        <f t="array" ref="CU27">INDEX(CT:CT,SMALL(IF($CT$2:$CT$101&lt;&gt;"",ROW($CT$2:$CT$101),142),ROW(CT26)))&amp;""</f>
        <v/>
      </c>
      <c r="CV27" s="157" t="str">
        <f t="shared" si="3"/>
        <v/>
      </c>
      <c r="CW27" s="154" t="str">
        <f>IF(主要!AX36="","",主要!AX36)</f>
        <v/>
      </c>
      <c r="CX27" s="154" t="str">
        <f t="shared" si="4"/>
        <v/>
      </c>
    </row>
    <row r="28" spans="1:102" ht="16.149999999999999" customHeight="1" x14ac:dyDescent="0.15">
      <c r="CN28" s="154">
        <f>IFERROR(IF(CN27+1&gt;CS2,IF(CN27+1&gt;CS2,IF(CR3+CR27&gt;CS3,"",CR3+CR27)),CN27+1),"")</f>
        <v>23</v>
      </c>
      <c r="CO28" s="154" t="str" cm="1">
        <f t="array" ref="CO28">IFERROR(INDEX($B$34:$BO$262,CN28,$CP$2),"")</f>
        <v/>
      </c>
      <c r="CP28" s="154" t="str" cm="1">
        <f t="array" ref="CP28">IFERROR(INDEX($B$34:$BO$262,CN28,$CQ$2),"")</f>
        <v/>
      </c>
      <c r="CQ28" s="154" t="str" cm="1">
        <f t="array" ref="CQ28">IF(IFERROR(INDEX($B$34:$BO$262,CN28,$CO$2),"")=0,"",IFERROR(INDEX($B$34:$BO$262,CN28,$CO$2),""))</f>
        <v/>
      </c>
      <c r="CR28" s="154">
        <f>IFERROR(IF(CN27+1&gt;CS2,CR27+1,0),"")</f>
        <v>0</v>
      </c>
      <c r="CT28" s="155" t="str">
        <f t="shared" si="1"/>
        <v/>
      </c>
      <c r="CU28" s="156" t="str" cm="1">
        <f t="array" ref="CU28">INDEX(CT:CT,SMALL(IF($CT$2:$CT$101&lt;&gt;"",ROW($CT$2:$CT$101),142),ROW(CT27)))&amp;""</f>
        <v/>
      </c>
      <c r="CV28" s="157" t="str">
        <f t="shared" si="3"/>
        <v/>
      </c>
      <c r="CW28" s="154" t="str">
        <f>IF(主要!AX37="","",主要!AX37)</f>
        <v/>
      </c>
      <c r="CX28" s="154" t="str">
        <f t="shared" si="4"/>
        <v/>
      </c>
    </row>
    <row r="29" spans="1:102" ht="16.149999999999999" customHeight="1" x14ac:dyDescent="0.15">
      <c r="CN29" s="154">
        <f>IFERROR(IF(CN28+1&gt;CS2,IF(CN28+1&gt;CS2,IF(CR3+CR28&gt;CS3,"",CR3+CR28)),CN28+1),"")</f>
        <v>24</v>
      </c>
      <c r="CO29" s="154" t="str" cm="1">
        <f t="array" ref="CO29">IFERROR(INDEX($B$34:$BO$262,CN29,$CP$2),"")</f>
        <v/>
      </c>
      <c r="CP29" s="154" t="str" cm="1">
        <f t="array" ref="CP29">IFERROR(INDEX($B$34:$BO$262,CN29,$CQ$2),"")</f>
        <v/>
      </c>
      <c r="CQ29" s="154" t="str" cm="1">
        <f t="array" ref="CQ29">IF(IFERROR(INDEX($B$34:$BO$262,CN29,$CO$2),"")=0,"",IFERROR(INDEX($B$34:$BO$262,CN29,$CO$2),""))</f>
        <v/>
      </c>
      <c r="CR29" s="154">
        <f>IFERROR(IF(CN28+1&gt;CS2,CR28+1,0),"")</f>
        <v>0</v>
      </c>
      <c r="CT29" s="155" t="str">
        <f t="shared" si="1"/>
        <v/>
      </c>
      <c r="CU29" s="156" t="str" cm="1">
        <f t="array" ref="CU29">INDEX(CT:CT,SMALL(IF($CT$2:$CT$101&lt;&gt;"",ROW($CT$2:$CT$101),142),ROW(CT28)))&amp;""</f>
        <v/>
      </c>
      <c r="CV29" s="157" t="str">
        <f t="shared" si="3"/>
        <v/>
      </c>
      <c r="CW29" s="154" t="str">
        <f>IF(主要!AX38="","",主要!AX38)</f>
        <v/>
      </c>
      <c r="CX29" s="154" t="str">
        <f t="shared" si="4"/>
        <v/>
      </c>
    </row>
    <row r="30" spans="1:102" ht="16.149999999999999" customHeight="1" x14ac:dyDescent="0.15">
      <c r="CH30" s="148" t="s">
        <v>3583</v>
      </c>
      <c r="CI30" s="148">
        <v>27</v>
      </c>
      <c r="CJ30" s="148" cm="1">
        <f t="array" ref="CJ30">_xlfn.IFS($AZ$2&gt;=14,30,$AZ$2&gt;=10,29,$AZ$2&gt;=6,28,$AZ$2&gt;=3,27,1,0)</f>
        <v>0</v>
      </c>
      <c r="CN30" s="154">
        <f>IFERROR(IF(CN29+1&gt;CS2,IF(CN29+1&gt;CS2,IF(CR3+CR29&gt;CS3,"",CR3+CR29)),CN29+1),"")</f>
        <v>25</v>
      </c>
      <c r="CO30" s="154" t="str" cm="1">
        <f t="array" ref="CO30">IFERROR(INDEX($B$34:$BO$262,CN30,$CP$2),"")</f>
        <v/>
      </c>
      <c r="CP30" s="154" t="str" cm="1">
        <f t="array" ref="CP30">IFERROR(INDEX($B$34:$BO$262,CN30,$CQ$2),"")</f>
        <v/>
      </c>
      <c r="CQ30" s="154" t="str" cm="1">
        <f t="array" ref="CQ30">IF(IFERROR(INDEX($B$34:$BO$262,CN30,$CO$2),"")=0,"",IFERROR(INDEX($B$34:$BO$262,CN30,$CO$2),""))</f>
        <v/>
      </c>
      <c r="CR30" s="154">
        <f>IFERROR(IF(CN29+1&gt;CS2,CR29+1,0),"")</f>
        <v>0</v>
      </c>
      <c r="CT30" s="155" t="str">
        <f t="shared" si="1"/>
        <v/>
      </c>
      <c r="CU30" s="156" t="str" cm="1">
        <f t="array" ref="CU30">INDEX(CT:CT,SMALL(IF($CT$2:$CT$101&lt;&gt;"",ROW($CT$2:$CT$101),142),ROW(CT29)))&amp;""</f>
        <v/>
      </c>
      <c r="CV30" s="157" t="str">
        <f t="shared" si="3"/>
        <v/>
      </c>
      <c r="CW30" s="154" t="str">
        <f>IF(主要!AX39="","",主要!AX39)</f>
        <v/>
      </c>
      <c r="CX30" s="154" t="str">
        <f t="shared" si="4"/>
        <v/>
      </c>
    </row>
    <row r="31" spans="1:102" ht="16.149999999999999" customHeight="1" x14ac:dyDescent="0.15">
      <c r="CH31" s="148" t="s">
        <v>3584</v>
      </c>
      <c r="CI31" s="148">
        <v>31</v>
      </c>
      <c r="CJ31" s="148" cm="1">
        <f t="array" ref="CJ31">_xlfn.IFS($AZ$2&gt;=14,35,$AZ$2&gt;=10,34,$AZ$2&gt;=6,33,$AZ$2&gt;=3,32,1,0)</f>
        <v>0</v>
      </c>
      <c r="CN31" s="154">
        <f>IFERROR(IF(CN30+1&gt;CS2,IF(CN30+1&gt;CS2,IF(CR3+CR30&gt;CS3,"",CR3+CR30)),CN30+1),"")</f>
        <v>26</v>
      </c>
      <c r="CO31" s="154" t="str" cm="1">
        <f t="array" ref="CO31">IFERROR(INDEX($B$34:$BO$262,CN31,$CP$2),"")</f>
        <v/>
      </c>
      <c r="CP31" s="154" t="str" cm="1">
        <f t="array" ref="CP31">IFERROR(INDEX($B$34:$BO$262,CN31,$CQ$2),"")</f>
        <v/>
      </c>
      <c r="CQ31" s="154" t="str" cm="1">
        <f t="array" ref="CQ31">IF(IFERROR(INDEX($B$34:$BO$262,CN31,$CO$2),"")=0,"",IFERROR(INDEX($B$34:$BO$262,CN31,$CO$2),""))</f>
        <v/>
      </c>
      <c r="CR31" s="154">
        <f>IFERROR(IF(CN30+1&gt;CS2,CR30+1,0),"")</f>
        <v>0</v>
      </c>
      <c r="CT31" s="155" t="str">
        <f t="shared" si="1"/>
        <v/>
      </c>
      <c r="CU31" s="156" t="str" cm="1">
        <f t="array" ref="CU31">INDEX(CT:CT,SMALL(IF($CT$2:$CT$101&lt;&gt;"",ROW($CT$2:$CT$101),142),ROW(CT30)))&amp;""</f>
        <v/>
      </c>
      <c r="CV31" s="157" t="str">
        <f t="shared" si="3"/>
        <v/>
      </c>
      <c r="CW31" s="154" t="str">
        <f>IF(主要!AX40="","",主要!AX40)</f>
        <v/>
      </c>
      <c r="CX31" s="154" t="str">
        <f t="shared" si="4"/>
        <v/>
      </c>
    </row>
    <row r="32" spans="1:102" ht="16.149999999999999" customHeight="1" thickBot="1" x14ac:dyDescent="0.2">
      <c r="B32" s="148">
        <v>1</v>
      </c>
      <c r="C32" s="148">
        <v>2</v>
      </c>
      <c r="D32" s="148">
        <v>3</v>
      </c>
      <c r="E32" s="148">
        <v>4</v>
      </c>
      <c r="F32" s="148">
        <v>5</v>
      </c>
      <c r="G32" s="148">
        <v>6</v>
      </c>
      <c r="H32" s="148">
        <v>7</v>
      </c>
      <c r="I32" s="148">
        <v>8</v>
      </c>
      <c r="J32" s="148">
        <v>9</v>
      </c>
      <c r="K32" s="148">
        <v>10</v>
      </c>
      <c r="L32" s="148">
        <v>11</v>
      </c>
      <c r="M32" s="148">
        <v>12</v>
      </c>
      <c r="N32" s="148">
        <v>13</v>
      </c>
      <c r="O32" s="148">
        <v>14</v>
      </c>
      <c r="P32" s="148">
        <v>15</v>
      </c>
      <c r="Q32" s="148">
        <v>16</v>
      </c>
      <c r="R32" s="148">
        <v>17</v>
      </c>
      <c r="S32" s="148">
        <v>18</v>
      </c>
      <c r="T32" s="148">
        <v>19</v>
      </c>
      <c r="U32" s="148">
        <v>20</v>
      </c>
      <c r="V32" s="148">
        <v>21</v>
      </c>
      <c r="W32" s="148">
        <v>22</v>
      </c>
      <c r="X32" s="148">
        <v>23</v>
      </c>
      <c r="Y32" s="148">
        <v>24</v>
      </c>
      <c r="Z32" s="148">
        <v>25</v>
      </c>
      <c r="AA32" s="148">
        <v>26</v>
      </c>
      <c r="AB32" s="148">
        <v>27</v>
      </c>
      <c r="AC32" s="148">
        <v>28</v>
      </c>
      <c r="AD32" s="148">
        <v>29</v>
      </c>
      <c r="AE32" s="148">
        <v>30</v>
      </c>
      <c r="AF32" s="148">
        <v>31</v>
      </c>
      <c r="AG32" s="148">
        <v>32</v>
      </c>
      <c r="AH32" s="148">
        <v>33</v>
      </c>
      <c r="AI32" s="148">
        <v>34</v>
      </c>
      <c r="AJ32" s="148">
        <v>35</v>
      </c>
      <c r="AK32" s="148">
        <v>36</v>
      </c>
      <c r="AL32" s="148">
        <v>37</v>
      </c>
      <c r="AM32" s="148">
        <v>38</v>
      </c>
      <c r="AN32" s="148">
        <v>39</v>
      </c>
      <c r="AO32" s="148">
        <v>40</v>
      </c>
      <c r="AP32" s="148">
        <v>41</v>
      </c>
      <c r="AQ32" s="148">
        <v>42</v>
      </c>
      <c r="AR32" s="148">
        <v>43</v>
      </c>
      <c r="AS32" s="148">
        <v>44</v>
      </c>
      <c r="AT32" s="148">
        <v>45</v>
      </c>
      <c r="AU32" s="148">
        <v>46</v>
      </c>
      <c r="AV32" s="148">
        <v>47</v>
      </c>
      <c r="AW32" s="148">
        <v>48</v>
      </c>
      <c r="AX32" s="148">
        <v>49</v>
      </c>
      <c r="AY32" s="148">
        <v>50</v>
      </c>
      <c r="AZ32" s="148">
        <v>51</v>
      </c>
      <c r="BA32" s="148">
        <v>52</v>
      </c>
      <c r="BB32" s="148">
        <v>53</v>
      </c>
      <c r="BC32" s="148">
        <v>54</v>
      </c>
      <c r="BD32" s="148">
        <v>55</v>
      </c>
      <c r="BE32" s="148">
        <v>56</v>
      </c>
      <c r="BF32" s="148">
        <v>57</v>
      </c>
      <c r="BG32" s="148">
        <v>58</v>
      </c>
      <c r="BH32" s="148">
        <v>59</v>
      </c>
      <c r="BI32" s="148">
        <v>60</v>
      </c>
      <c r="BJ32" s="148">
        <v>61</v>
      </c>
      <c r="BK32" s="148">
        <v>62</v>
      </c>
      <c r="BL32" s="148">
        <v>63</v>
      </c>
      <c r="BM32" s="148">
        <v>64</v>
      </c>
      <c r="BN32" s="148">
        <v>65</v>
      </c>
      <c r="BO32" s="148">
        <v>66</v>
      </c>
      <c r="CH32" s="148" t="s">
        <v>3585</v>
      </c>
      <c r="CI32" s="148">
        <v>36</v>
      </c>
      <c r="CJ32" s="148" cm="1">
        <f t="array" ref="CJ32">_xlfn.IFS($AZ$2&gt;=14,39,$AZ$2&gt;=10,38,$AZ$2&gt;=6,37,$AZ$2&gt;=3,36,1,0)</f>
        <v>0</v>
      </c>
      <c r="CN32" s="154">
        <f>IFERROR(IF(CN31+1&gt;CS2,IF(CN31+1&gt;CS2,IF(CR3+CR31&gt;CS3,"",CR3+CR31)),CN31+1),"")</f>
        <v>27</v>
      </c>
      <c r="CO32" s="154" t="str" cm="1">
        <f t="array" ref="CO32">IFERROR(INDEX($B$34:$BO$262,CN32,$CP$2),"")</f>
        <v/>
      </c>
      <c r="CP32" s="154" t="str" cm="1">
        <f t="array" ref="CP32">IFERROR(INDEX($B$34:$BO$262,CN32,$CQ$2),"")</f>
        <v/>
      </c>
      <c r="CQ32" s="154" t="str" cm="1">
        <f t="array" ref="CQ32">IF(IFERROR(INDEX($B$34:$BO$262,CN32,$CO$2),"")=0,"",IFERROR(INDEX($B$34:$BO$262,CN32,$CO$2),""))</f>
        <v/>
      </c>
      <c r="CR32" s="154">
        <f>IFERROR(IF(CN31+1&gt;CS2,CR31+1,0),"")</f>
        <v>0</v>
      </c>
      <c r="CT32" s="155" t="str">
        <f t="shared" si="1"/>
        <v/>
      </c>
      <c r="CU32" s="156" t="str" cm="1">
        <f t="array" ref="CU32">INDEX(CT:CT,SMALL(IF($CT$2:$CT$101&lt;&gt;"",ROW($CT$2:$CT$101),142),ROW(CT31)))&amp;""</f>
        <v/>
      </c>
      <c r="CV32" s="157" t="str">
        <f t="shared" si="3"/>
        <v/>
      </c>
      <c r="CW32" s="154" t="str">
        <f>IF(主要!AX41="","",主要!AX41)</f>
        <v/>
      </c>
      <c r="CX32" s="154" t="str">
        <f t="shared" si="4"/>
        <v/>
      </c>
    </row>
    <row r="33" spans="1:102" ht="16.149999999999999" customHeight="1" thickBot="1" x14ac:dyDescent="0.2">
      <c r="B33" s="824" t="s">
        <v>3582</v>
      </c>
      <c r="C33" s="825"/>
      <c r="D33" s="826"/>
      <c r="E33" s="824" t="s">
        <v>3588</v>
      </c>
      <c r="F33" s="825"/>
      <c r="G33" s="826"/>
      <c r="H33" s="824" t="s">
        <v>3594</v>
      </c>
      <c r="I33" s="825"/>
      <c r="J33" s="826"/>
      <c r="K33" s="824" t="s">
        <v>3600</v>
      </c>
      <c r="L33" s="825"/>
      <c r="M33" s="826"/>
      <c r="N33" s="824" t="s">
        <v>3608</v>
      </c>
      <c r="O33" s="825"/>
      <c r="P33" s="826"/>
      <c r="Q33" s="824" t="s">
        <v>3615</v>
      </c>
      <c r="R33" s="825"/>
      <c r="S33" s="826"/>
      <c r="T33" s="824" t="s">
        <v>3622</v>
      </c>
      <c r="U33" s="825"/>
      <c r="V33" s="826"/>
      <c r="W33" s="824" t="s">
        <v>3629</v>
      </c>
      <c r="X33" s="825"/>
      <c r="Y33" s="826"/>
      <c r="Z33" s="824" t="s">
        <v>3636</v>
      </c>
      <c r="AA33" s="825"/>
      <c r="AB33" s="826"/>
      <c r="AC33" s="824" t="s">
        <v>3642</v>
      </c>
      <c r="AD33" s="825"/>
      <c r="AE33" s="826"/>
      <c r="AF33" s="824" t="s">
        <v>3649</v>
      </c>
      <c r="AG33" s="825"/>
      <c r="AH33" s="826"/>
      <c r="AI33" s="824" t="s">
        <v>3657</v>
      </c>
      <c r="AJ33" s="825"/>
      <c r="AK33" s="826"/>
      <c r="AL33" s="824" t="s">
        <v>3664</v>
      </c>
      <c r="AM33" s="825"/>
      <c r="AN33" s="826"/>
      <c r="AO33" s="824" t="s">
        <v>3668</v>
      </c>
      <c r="AP33" s="825"/>
      <c r="AQ33" s="826"/>
      <c r="AR33" s="824" t="s">
        <v>5626</v>
      </c>
      <c r="AS33" s="825"/>
      <c r="AT33" s="826"/>
      <c r="AU33" s="824" t="s">
        <v>5853</v>
      </c>
      <c r="AV33" s="825"/>
      <c r="AW33" s="826"/>
      <c r="AX33" s="833" t="s">
        <v>7319</v>
      </c>
      <c r="AY33" s="834"/>
      <c r="AZ33" s="835"/>
      <c r="BA33" s="836" t="s">
        <v>8316</v>
      </c>
      <c r="BB33" s="825"/>
      <c r="BC33" s="826"/>
      <c r="BD33" s="836" t="s">
        <v>10188</v>
      </c>
      <c r="BE33" s="825"/>
      <c r="BF33" s="826"/>
      <c r="BG33" s="824"/>
      <c r="BH33" s="825"/>
      <c r="BI33" s="826"/>
      <c r="BJ33" s="824"/>
      <c r="BK33" s="825"/>
      <c r="BL33" s="826"/>
      <c r="BM33" s="824"/>
      <c r="BN33" s="825"/>
      <c r="BO33" s="826"/>
      <c r="CH33" s="148" t="s">
        <v>3586</v>
      </c>
      <c r="CI33" s="148">
        <v>40</v>
      </c>
      <c r="CJ33" s="148" cm="1">
        <f t="array" ref="CJ33">_xlfn.IFS($AZ$2&gt;=14,44,$AZ$2&gt;=10,43,$AZ$2&gt;=6,42,$AZ$2&gt;=3,41,1,0)</f>
        <v>0</v>
      </c>
      <c r="CN33" s="154">
        <f>IFERROR(IF(CN32+1&gt;CS2,IF(CN32+1&gt;CS2,IF(CR3+CR32&gt;CS3,"",CR3+CR32)),CN32+1),"")</f>
        <v>28</v>
      </c>
      <c r="CO33" s="154" t="str" cm="1">
        <f t="array" ref="CO33">IFERROR(INDEX($B$34:$BO$262,CN33,$CP$2),"")</f>
        <v/>
      </c>
      <c r="CP33" s="154" t="str" cm="1">
        <f t="array" ref="CP33">IFERROR(INDEX($B$34:$BO$262,CN33,$CQ$2),"")</f>
        <v/>
      </c>
      <c r="CQ33" s="154" t="str" cm="1">
        <f t="array" ref="CQ33">IF(IFERROR(INDEX($B$34:$BO$262,CN33,$CO$2),"")=0,"",IFERROR(INDEX($B$34:$BO$262,CN33,$CO$2),""))</f>
        <v/>
      </c>
      <c r="CR33" s="154">
        <f>IFERROR(IF(CN32+1&gt;CS2,CR32+1,0),"")</f>
        <v>0</v>
      </c>
      <c r="CT33" s="155" t="str">
        <f t="shared" si="1"/>
        <v/>
      </c>
      <c r="CU33" s="156" t="str" cm="1">
        <f t="array" ref="CU33">INDEX(CT:CT,SMALL(IF($CT$2:$CT$101&lt;&gt;"",ROW($CT$2:$CT$101),142),ROW(CT32)))&amp;""</f>
        <v/>
      </c>
      <c r="CV33" s="157" t="str">
        <f t="shared" si="3"/>
        <v/>
      </c>
      <c r="CW33" s="154" t="str">
        <f>IF(主要!AX42="","",主要!AX42)</f>
        <v/>
      </c>
      <c r="CX33" s="154" t="str">
        <f t="shared" si="4"/>
        <v/>
      </c>
    </row>
    <row r="34" spans="1:102" ht="16.149999999999999" customHeight="1" x14ac:dyDescent="0.15">
      <c r="A34" s="140">
        <v>1</v>
      </c>
      <c r="B34" s="164"/>
      <c r="C34" s="165" t="s">
        <v>3681</v>
      </c>
      <c r="D34" s="182" t="s">
        <v>3682</v>
      </c>
      <c r="E34" s="163"/>
      <c r="F34" s="165" t="s">
        <v>3681</v>
      </c>
      <c r="G34" s="184" t="s">
        <v>3683</v>
      </c>
      <c r="H34" s="163"/>
      <c r="I34" s="165" t="s">
        <v>3681</v>
      </c>
      <c r="J34" s="184" t="s">
        <v>3684</v>
      </c>
      <c r="K34" s="163"/>
      <c r="L34" s="165" t="s">
        <v>3681</v>
      </c>
      <c r="M34" s="184" t="s">
        <v>3685</v>
      </c>
      <c r="N34" s="163"/>
      <c r="O34" s="165" t="s">
        <v>3681</v>
      </c>
      <c r="P34" s="184" t="s">
        <v>3682</v>
      </c>
      <c r="Q34" s="163"/>
      <c r="R34" s="165" t="s">
        <v>3681</v>
      </c>
      <c r="S34" s="184" t="s">
        <v>3686</v>
      </c>
      <c r="T34" s="163"/>
      <c r="U34" s="165" t="s">
        <v>3681</v>
      </c>
      <c r="V34" s="184" t="s">
        <v>3684</v>
      </c>
      <c r="W34" s="163"/>
      <c r="X34" s="165" t="s">
        <v>3681</v>
      </c>
      <c r="Y34" s="184" t="s">
        <v>3686</v>
      </c>
      <c r="Z34" s="163"/>
      <c r="AA34" s="165" t="s">
        <v>3681</v>
      </c>
      <c r="AB34" s="184" t="s">
        <v>3687</v>
      </c>
      <c r="AC34" s="163"/>
      <c r="AD34" s="165" t="s">
        <v>3681</v>
      </c>
      <c r="AE34" s="184" t="s">
        <v>3688</v>
      </c>
      <c r="AF34" s="163"/>
      <c r="AG34" s="165" t="s">
        <v>3681</v>
      </c>
      <c r="AH34" s="184" t="s">
        <v>3684</v>
      </c>
      <c r="AI34" s="163"/>
      <c r="AJ34" s="165" t="s">
        <v>3681</v>
      </c>
      <c r="AK34" s="184" t="s">
        <v>3685</v>
      </c>
      <c r="AL34" s="163"/>
      <c r="AM34" s="165" t="s">
        <v>3681</v>
      </c>
      <c r="AN34" s="184" t="s">
        <v>3689</v>
      </c>
      <c r="AO34" s="163"/>
      <c r="AP34" s="165" t="s">
        <v>3681</v>
      </c>
      <c r="AQ34" s="184" t="s">
        <v>3690</v>
      </c>
      <c r="AR34" s="163"/>
      <c r="AS34" s="165" t="s">
        <v>3681</v>
      </c>
      <c r="AT34" s="203" t="s">
        <v>5627</v>
      </c>
      <c r="AU34" s="164"/>
      <c r="AV34" s="165" t="s">
        <v>3681</v>
      </c>
      <c r="AW34" s="184" t="s">
        <v>3690</v>
      </c>
      <c r="AX34" s="261"/>
      <c r="AY34" s="262" t="s">
        <v>543</v>
      </c>
      <c r="AZ34" s="263" t="s">
        <v>7320</v>
      </c>
      <c r="BA34" s="163"/>
      <c r="BB34" s="165" t="s">
        <v>3681</v>
      </c>
      <c r="BC34" s="276" t="s">
        <v>8348</v>
      </c>
      <c r="BD34" s="163"/>
      <c r="BE34" s="165" t="s">
        <v>3681</v>
      </c>
      <c r="BF34" s="392" t="s">
        <v>10449</v>
      </c>
      <c r="BG34" s="163"/>
      <c r="BH34" s="165" t="s">
        <v>3681</v>
      </c>
      <c r="BI34" s="184"/>
      <c r="BJ34" s="163"/>
      <c r="BK34" s="165" t="s">
        <v>3681</v>
      </c>
      <c r="BL34" s="184"/>
      <c r="BM34" s="163"/>
      <c r="BN34" s="165" t="s">
        <v>3681</v>
      </c>
      <c r="BO34" s="184"/>
      <c r="CH34" s="148" t="s">
        <v>3724</v>
      </c>
      <c r="CI34" s="148">
        <v>45</v>
      </c>
      <c r="CJ34" s="148" cm="1">
        <f t="array" ref="CJ34">_xlfn.IFS($AZ$2&gt;=14,48,$AZ$2&gt;=10,47,$AZ$2&gt;=6,46,$AZ$2&gt;=3,45,1,0)</f>
        <v>0</v>
      </c>
      <c r="CN34" s="154">
        <f>IFERROR(IF(CN33+1&gt;CS2,IF(CN33+1&gt;CS2,IF(CR3+CR33&gt;CS3,"",CR3+CR33)),CN33+1),"")</f>
        <v>29</v>
      </c>
      <c r="CO34" s="154" t="str" cm="1">
        <f t="array" ref="CO34">IFERROR(INDEX($B$34:$BO$262,CN34,$CP$2),"")</f>
        <v/>
      </c>
      <c r="CP34" s="154" t="str" cm="1">
        <f t="array" ref="CP34">IFERROR(INDEX($B$34:$BO$262,CN34,$CQ$2),"")</f>
        <v/>
      </c>
      <c r="CQ34" s="154" t="str" cm="1">
        <f t="array" ref="CQ34">IF(IFERROR(INDEX($B$34:$BO$262,CN34,$CO$2),"")=0,"",IFERROR(INDEX($B$34:$BO$262,CN34,$CO$2),""))</f>
        <v/>
      </c>
      <c r="CR34" s="154">
        <f>IFERROR(IF(CN33+1&gt;CS2,CR33+1,0),"")</f>
        <v>0</v>
      </c>
      <c r="CT34" s="155" t="str">
        <f t="shared" ref="CT34:CT65" si="5">IFERROR(IF(OR(CO38="",COUNTIF($CW$2:$CW$81,CO38)),"",CO38),"")</f>
        <v/>
      </c>
      <c r="CU34" s="156" t="str" cm="1">
        <f t="array" ref="CU34">INDEX(CT:CT,SMALL(IF($CT$2:$CT$101&lt;&gt;"",ROW($CT$2:$CT$101),142),ROW(CT33)))&amp;""</f>
        <v/>
      </c>
      <c r="CV34" s="157" t="str">
        <f t="shared" si="3"/>
        <v/>
      </c>
      <c r="CW34" s="154" t="str">
        <f>IF(主要!AX43="","",主要!AX43)</f>
        <v/>
      </c>
      <c r="CX34" s="154" t="str">
        <f t="shared" si="4"/>
        <v/>
      </c>
    </row>
    <row r="35" spans="1:102" ht="16.149999999999999" customHeight="1" x14ac:dyDescent="0.15">
      <c r="A35" s="140">
        <v>2</v>
      </c>
      <c r="B35" s="166"/>
      <c r="C35" s="165" t="s">
        <v>3691</v>
      </c>
      <c r="D35" s="182" t="s">
        <v>3692</v>
      </c>
      <c r="F35" s="165" t="s">
        <v>3691</v>
      </c>
      <c r="G35" s="182" t="s">
        <v>3693</v>
      </c>
      <c r="I35" s="165" t="s">
        <v>3691</v>
      </c>
      <c r="J35" s="182" t="s">
        <v>3694</v>
      </c>
      <c r="L35" s="165" t="s">
        <v>3691</v>
      </c>
      <c r="M35" s="182" t="s">
        <v>3695</v>
      </c>
      <c r="O35" s="165" t="s">
        <v>3691</v>
      </c>
      <c r="P35" s="182" t="s">
        <v>3696</v>
      </c>
      <c r="R35" s="165" t="s">
        <v>3691</v>
      </c>
      <c r="S35" s="182" t="s">
        <v>3697</v>
      </c>
      <c r="U35" s="165" t="s">
        <v>3691</v>
      </c>
      <c r="V35" s="182" t="s">
        <v>3698</v>
      </c>
      <c r="X35" s="165" t="s">
        <v>3691</v>
      </c>
      <c r="Y35" s="182" t="s">
        <v>3699</v>
      </c>
      <c r="AA35" s="165" t="s">
        <v>3691</v>
      </c>
      <c r="AB35" s="182" t="s">
        <v>3700</v>
      </c>
      <c r="AD35" s="165" t="s">
        <v>3691</v>
      </c>
      <c r="AE35" s="182" t="s">
        <v>3701</v>
      </c>
      <c r="AG35" s="165" t="s">
        <v>3691</v>
      </c>
      <c r="AH35" s="182" t="s">
        <v>3702</v>
      </c>
      <c r="AJ35" s="165" t="s">
        <v>3691</v>
      </c>
      <c r="AK35" s="182" t="s">
        <v>3703</v>
      </c>
      <c r="AM35" s="165" t="s">
        <v>3691</v>
      </c>
      <c r="AN35" s="182" t="s">
        <v>5617</v>
      </c>
      <c r="AP35" s="165" t="s">
        <v>3691</v>
      </c>
      <c r="AQ35" s="182" t="s">
        <v>5618</v>
      </c>
      <c r="AS35" s="165" t="s">
        <v>3691</v>
      </c>
      <c r="AT35" s="165" t="s">
        <v>5628</v>
      </c>
      <c r="AU35" s="166"/>
      <c r="AV35" s="165" t="s">
        <v>3691</v>
      </c>
      <c r="AW35" s="182" t="s">
        <v>5860</v>
      </c>
      <c r="AX35" s="180"/>
      <c r="AY35" s="262" t="s">
        <v>18</v>
      </c>
      <c r="AZ35" s="264" t="s">
        <v>7321</v>
      </c>
      <c r="BB35" s="165" t="s">
        <v>3691</v>
      </c>
      <c r="BC35" s="278" t="s">
        <v>8351</v>
      </c>
      <c r="BE35" s="165" t="s">
        <v>3691</v>
      </c>
      <c r="BF35" s="278" t="s">
        <v>10451</v>
      </c>
      <c r="BH35" s="165" t="s">
        <v>3691</v>
      </c>
      <c r="BI35" s="182"/>
      <c r="BK35" s="165" t="s">
        <v>3691</v>
      </c>
      <c r="BL35" s="182"/>
      <c r="BN35" s="165" t="s">
        <v>3691</v>
      </c>
      <c r="BO35" s="182"/>
      <c r="CH35" s="148" t="s">
        <v>3739</v>
      </c>
      <c r="CI35" s="148">
        <v>49</v>
      </c>
      <c r="CJ35" s="148" cm="1">
        <f t="array" ref="CJ35">_xlfn.IFS($AZ$2&gt;=14,52,$AZ$2&gt;=10,51,$AZ$2&gt;=6,50,$AZ$2&gt;=3,49,1,0)</f>
        <v>0</v>
      </c>
      <c r="CN35" s="154">
        <f>IFERROR(IF(CN34+1&gt;CS2,IF(CN34+1&gt;CS2,IF(CR3+CR34&gt;CS3,"",CR3+CR34)),CN34+1),"")</f>
        <v>30</v>
      </c>
      <c r="CO35" s="154" t="str" cm="1">
        <f t="array" ref="CO35">IFERROR(INDEX($B$34:$BO$262,CN35,$CP$2),"")</f>
        <v/>
      </c>
      <c r="CP35" s="154" t="str" cm="1">
        <f t="array" ref="CP35">IFERROR(INDEX($B$34:$BO$262,CN35,$CQ$2),"")</f>
        <v/>
      </c>
      <c r="CQ35" s="154" t="str" cm="1">
        <f t="array" ref="CQ35">IF(IFERROR(INDEX($B$34:$BO$262,CN35,$CO$2),"")=0,"",IFERROR(INDEX($B$34:$BO$262,CN35,$CO$2),""))</f>
        <v/>
      </c>
      <c r="CR35" s="154">
        <f>IFERROR(IF(CN34+1&gt;CS2,CR34+1,0),"")</f>
        <v>0</v>
      </c>
      <c r="CT35" s="155" t="str">
        <f t="shared" si="5"/>
        <v/>
      </c>
      <c r="CU35" s="156" t="str" cm="1">
        <f t="array" ref="CU35">INDEX(CT:CT,SMALL(IF($CT$2:$CT$101&lt;&gt;"",ROW($CT$2:$CT$101),142),ROW(CT34)))&amp;""</f>
        <v/>
      </c>
      <c r="CV35" s="157" t="str">
        <f t="shared" si="3"/>
        <v/>
      </c>
      <c r="CW35" s="154" t="str">
        <f>IF(主要!AX44="","",主要!AX44)</f>
        <v/>
      </c>
      <c r="CX35" s="154" t="str">
        <f t="shared" si="4"/>
        <v/>
      </c>
    </row>
    <row r="36" spans="1:102" ht="16.149999999999999" customHeight="1" x14ac:dyDescent="0.15">
      <c r="A36" s="140">
        <v>3</v>
      </c>
      <c r="B36" s="166"/>
      <c r="C36" s="165" t="s">
        <v>3704</v>
      </c>
      <c r="D36" s="182" t="s">
        <v>3705</v>
      </c>
      <c r="F36" s="165" t="s">
        <v>3704</v>
      </c>
      <c r="G36" s="182" t="s">
        <v>3706</v>
      </c>
      <c r="I36" s="165" t="s">
        <v>3704</v>
      </c>
      <c r="J36" s="182" t="s">
        <v>3706</v>
      </c>
      <c r="L36" s="165" t="s">
        <v>3704</v>
      </c>
      <c r="M36" s="182" t="s">
        <v>3706</v>
      </c>
      <c r="O36" s="165" t="s">
        <v>3704</v>
      </c>
      <c r="P36" s="182" t="s">
        <v>3705</v>
      </c>
      <c r="R36" s="165" t="s">
        <v>3704</v>
      </c>
      <c r="S36" s="182" t="s">
        <v>3707</v>
      </c>
      <c r="U36" s="165" t="s">
        <v>3704</v>
      </c>
      <c r="V36" s="182" t="s">
        <v>3705</v>
      </c>
      <c r="X36" s="165" t="s">
        <v>3704</v>
      </c>
      <c r="Y36" s="182" t="s">
        <v>3705</v>
      </c>
      <c r="AA36" s="165" t="s">
        <v>3704</v>
      </c>
      <c r="AB36" s="182" t="s">
        <v>3708</v>
      </c>
      <c r="AD36" s="165" t="s">
        <v>3704</v>
      </c>
      <c r="AE36" s="182" t="s">
        <v>3706</v>
      </c>
      <c r="AG36" s="165" t="s">
        <v>3704</v>
      </c>
      <c r="AH36" s="182" t="s">
        <v>3706</v>
      </c>
      <c r="AJ36" s="165" t="s">
        <v>3704</v>
      </c>
      <c r="AK36" s="182" t="s">
        <v>3706</v>
      </c>
      <c r="AM36" s="165" t="s">
        <v>3704</v>
      </c>
      <c r="AN36" s="182" t="s">
        <v>3709</v>
      </c>
      <c r="AP36" s="165" t="s">
        <v>3704</v>
      </c>
      <c r="AQ36" s="182" t="s">
        <v>3709</v>
      </c>
      <c r="AS36" s="165" t="s">
        <v>3704</v>
      </c>
      <c r="AT36" s="165" t="s">
        <v>5629</v>
      </c>
      <c r="AU36" s="166"/>
      <c r="AV36" s="165" t="s">
        <v>3704</v>
      </c>
      <c r="AW36" s="182" t="s">
        <v>5861</v>
      </c>
      <c r="AX36" s="180"/>
      <c r="AY36" s="262" t="s">
        <v>544</v>
      </c>
      <c r="AZ36" s="264" t="s">
        <v>7322</v>
      </c>
      <c r="BB36" s="165" t="s">
        <v>3704</v>
      </c>
      <c r="BC36" s="277" t="s">
        <v>8350</v>
      </c>
      <c r="BE36" s="165" t="s">
        <v>3704</v>
      </c>
      <c r="BF36" s="277" t="s">
        <v>10452</v>
      </c>
      <c r="BH36" s="165" t="s">
        <v>3704</v>
      </c>
      <c r="BI36" s="182"/>
      <c r="BK36" s="165" t="s">
        <v>3704</v>
      </c>
      <c r="BL36" s="182"/>
      <c r="BN36" s="165" t="s">
        <v>3704</v>
      </c>
      <c r="BO36" s="182"/>
      <c r="CH36" s="148" t="s">
        <v>3760</v>
      </c>
      <c r="CI36" s="148">
        <v>53</v>
      </c>
      <c r="CJ36" s="148" cm="1">
        <f t="array" ref="CJ36">_xlfn.IFS($AZ$2&gt;=14,57,$AZ$2&gt;=10,56,$AZ$2&gt;=6,55,$AZ$2&gt;=3,54,1,0)</f>
        <v>0</v>
      </c>
      <c r="CN36" s="154">
        <f>IFERROR(IF(CN35+1&gt;CS2,IF(CN35+1&gt;CS2,IF(CR3+CR35&gt;CS3,"",CR3+CR35)),CN35+1),"")</f>
        <v>31</v>
      </c>
      <c r="CO36" s="154" t="str" cm="1">
        <f t="array" ref="CO36">IFERROR(INDEX($B$34:$BO$262,CN36,$CP$2),"")</f>
        <v/>
      </c>
      <c r="CP36" s="154" t="str" cm="1">
        <f t="array" ref="CP36">IFERROR(INDEX($B$34:$BO$262,CN36,$CQ$2),"")</f>
        <v/>
      </c>
      <c r="CQ36" s="154" t="str" cm="1">
        <f t="array" ref="CQ36">IF(IFERROR(INDEX($B$34:$BO$262,CN36,$CO$2),"")=0,"",IFERROR(INDEX($B$34:$BO$262,CN36,$CO$2),""))</f>
        <v/>
      </c>
      <c r="CR36" s="154">
        <f>IFERROR(IF(CN35+1&gt;CS2,CR35+1,0),"")</f>
        <v>0</v>
      </c>
      <c r="CT36" s="155" t="str">
        <f t="shared" si="5"/>
        <v/>
      </c>
      <c r="CU36" s="156" t="str" cm="1">
        <f t="array" ref="CU36">INDEX(CT:CT,SMALL(IF($CT$2:$CT$101&lt;&gt;"",ROW($CT$2:$CT$101),142),ROW(CT35)))&amp;""</f>
        <v/>
      </c>
      <c r="CV36" s="157" t="str">
        <f t="shared" si="3"/>
        <v/>
      </c>
      <c r="CW36" s="154" t="str">
        <f>IF(主要!AX45="","",主要!AX45)</f>
        <v/>
      </c>
      <c r="CX36" s="154" t="str">
        <f t="shared" si="4"/>
        <v/>
      </c>
    </row>
    <row r="37" spans="1:102" ht="16.149999999999999" customHeight="1" x14ac:dyDescent="0.15">
      <c r="A37" s="140">
        <v>4</v>
      </c>
      <c r="B37" s="166"/>
      <c r="C37" s="165" t="s">
        <v>3710</v>
      </c>
      <c r="D37" s="182" t="s">
        <v>3711</v>
      </c>
      <c r="F37" s="165" t="s">
        <v>3710</v>
      </c>
      <c r="G37" s="182" t="s">
        <v>3712</v>
      </c>
      <c r="I37" s="165" t="s">
        <v>3710</v>
      </c>
      <c r="J37" s="182" t="s">
        <v>3711</v>
      </c>
      <c r="L37" s="165" t="s">
        <v>3710</v>
      </c>
      <c r="M37" s="182" t="s">
        <v>3713</v>
      </c>
      <c r="O37" s="165" t="s">
        <v>3710</v>
      </c>
      <c r="P37" s="182" t="s">
        <v>3711</v>
      </c>
      <c r="R37" s="165" t="s">
        <v>3710</v>
      </c>
      <c r="S37" s="182" t="s">
        <v>3714</v>
      </c>
      <c r="U37" s="165" t="s">
        <v>3710</v>
      </c>
      <c r="V37" s="182" t="s">
        <v>3711</v>
      </c>
      <c r="X37" s="165" t="s">
        <v>3710</v>
      </c>
      <c r="Y37" s="182" t="s">
        <v>3711</v>
      </c>
      <c r="AA37" s="165" t="s">
        <v>3710</v>
      </c>
      <c r="AB37" s="182" t="s">
        <v>3715</v>
      </c>
      <c r="AD37" s="165" t="s">
        <v>3710</v>
      </c>
      <c r="AE37" s="182" t="s">
        <v>3711</v>
      </c>
      <c r="AG37" s="165" t="s">
        <v>3710</v>
      </c>
      <c r="AH37" s="182" t="s">
        <v>3711</v>
      </c>
      <c r="AJ37" s="165" t="s">
        <v>3710</v>
      </c>
      <c r="AK37" s="182" t="s">
        <v>3711</v>
      </c>
      <c r="AM37" s="165" t="s">
        <v>3710</v>
      </c>
      <c r="AN37" s="182" t="s">
        <v>3716</v>
      </c>
      <c r="AP37" s="165" t="s">
        <v>3710</v>
      </c>
      <c r="AQ37" s="182" t="s">
        <v>3717</v>
      </c>
      <c r="AS37" s="165" t="s">
        <v>3710</v>
      </c>
      <c r="AT37" s="165" t="s">
        <v>5630</v>
      </c>
      <c r="AU37" s="166"/>
      <c r="AV37" s="165" t="s">
        <v>3710</v>
      </c>
      <c r="AW37" s="182" t="s">
        <v>5862</v>
      </c>
      <c r="AX37" s="180"/>
      <c r="AY37" s="262" t="s">
        <v>20</v>
      </c>
      <c r="AZ37" s="264" t="s">
        <v>7323</v>
      </c>
      <c r="BB37" s="165" t="s">
        <v>3710</v>
      </c>
      <c r="BC37" s="277" t="s">
        <v>7323</v>
      </c>
      <c r="BE37" s="165" t="s">
        <v>3710</v>
      </c>
      <c r="BF37" s="278" t="s">
        <v>10453</v>
      </c>
      <c r="BH37" s="165" t="s">
        <v>3710</v>
      </c>
      <c r="BI37" s="182"/>
      <c r="BK37" s="165" t="s">
        <v>3710</v>
      </c>
      <c r="BL37" s="182"/>
      <c r="BN37" s="165" t="s">
        <v>3710</v>
      </c>
      <c r="BO37" s="182"/>
      <c r="CH37" s="148" t="s">
        <v>3780</v>
      </c>
      <c r="CI37" s="148">
        <v>58</v>
      </c>
      <c r="CJ37" s="148" cm="1">
        <f t="array" ref="CJ37">_xlfn.IFS($AZ$2&gt;=14,62,$AZ$2&gt;=10,61,$AZ$2&gt;=6,60,$AZ$2&gt;=3,59,1,0)</f>
        <v>0</v>
      </c>
      <c r="CN37" s="154">
        <f>IFERROR(IF(CN36+1&gt;CS2,IF(CN36+1&gt;CS2,IF(CR3+CR36&gt;CS3,"",CR3+CR36)),CN36+1),"")</f>
        <v>32</v>
      </c>
      <c r="CO37" s="154" t="str" cm="1">
        <f t="array" ref="CO37">IFERROR(INDEX($B$34:$BO$262,CN37,$CP$2),"")</f>
        <v/>
      </c>
      <c r="CP37" s="154" t="str" cm="1">
        <f t="array" ref="CP37">IFERROR(INDEX($B$34:$BO$262,CN37,$CQ$2),"")</f>
        <v/>
      </c>
      <c r="CQ37" s="154" t="str" cm="1">
        <f t="array" ref="CQ37">IF(IFERROR(INDEX($B$34:$BO$262,CN37,$CO$2),"")=0,"",IFERROR(INDEX($B$34:$BO$262,CN37,$CO$2),""))</f>
        <v/>
      </c>
      <c r="CR37" s="154">
        <f>IFERROR(IF(CN36+1&gt;CS2,CR36+1,0),"")</f>
        <v>0</v>
      </c>
      <c r="CT37" s="155" t="str">
        <f t="shared" si="5"/>
        <v/>
      </c>
      <c r="CU37" s="156" t="str" cm="1">
        <f t="array" ref="CU37">INDEX(CT:CT,SMALL(IF($CT$2:$CT$101&lt;&gt;"",ROW($CT$2:$CT$101),142),ROW(CT36)))&amp;""</f>
        <v/>
      </c>
      <c r="CV37" s="157" t="str">
        <f t="shared" si="3"/>
        <v/>
      </c>
      <c r="CW37" s="154" t="str">
        <f>IF(主要!AX46="","",主要!AX46)</f>
        <v/>
      </c>
      <c r="CX37" s="154" t="str">
        <f t="shared" si="4"/>
        <v/>
      </c>
    </row>
    <row r="38" spans="1:102" ht="16.149999999999999" customHeight="1" x14ac:dyDescent="0.15">
      <c r="A38" s="140">
        <v>5</v>
      </c>
      <c r="B38" s="166"/>
      <c r="C38" s="165" t="s">
        <v>3718</v>
      </c>
      <c r="D38" s="182" t="s">
        <v>3719</v>
      </c>
      <c r="F38" s="165" t="s">
        <v>3718</v>
      </c>
      <c r="G38" s="182" t="s">
        <v>3720</v>
      </c>
      <c r="I38" s="165" t="s">
        <v>3718</v>
      </c>
      <c r="J38" s="182" t="s">
        <v>3719</v>
      </c>
      <c r="L38" s="165" t="s">
        <v>3718</v>
      </c>
      <c r="M38" s="182" t="s">
        <v>3721</v>
      </c>
      <c r="O38" s="165" t="s">
        <v>3718</v>
      </c>
      <c r="P38" s="182" t="s">
        <v>3722</v>
      </c>
      <c r="R38" s="165" t="s">
        <v>3718</v>
      </c>
      <c r="S38" s="182" t="s">
        <v>3711</v>
      </c>
      <c r="U38" s="165" t="s">
        <v>3718</v>
      </c>
      <c r="V38" s="182" t="s">
        <v>3722</v>
      </c>
      <c r="X38" s="165" t="s">
        <v>3718</v>
      </c>
      <c r="Y38" s="182" t="s">
        <v>3719</v>
      </c>
      <c r="AA38" s="165" t="s">
        <v>3718</v>
      </c>
      <c r="AB38" s="182" t="s">
        <v>3720</v>
      </c>
      <c r="AD38" s="165" t="s">
        <v>3718</v>
      </c>
      <c r="AE38" s="182" t="s">
        <v>3711</v>
      </c>
      <c r="AG38" s="165" t="s">
        <v>3718</v>
      </c>
      <c r="AH38" s="182" t="s">
        <v>3720</v>
      </c>
      <c r="AJ38" s="165" t="s">
        <v>3718</v>
      </c>
      <c r="AK38" s="182" t="s">
        <v>3711</v>
      </c>
      <c r="AM38" s="165" t="s">
        <v>3718</v>
      </c>
      <c r="AN38" s="182" t="s">
        <v>3723</v>
      </c>
      <c r="AP38" s="165" t="s">
        <v>3718</v>
      </c>
      <c r="AQ38" s="182" t="s">
        <v>3717</v>
      </c>
      <c r="AS38" s="165" t="s">
        <v>3718</v>
      </c>
      <c r="AT38" s="165" t="s">
        <v>3723</v>
      </c>
      <c r="AU38" s="166"/>
      <c r="AV38" s="165" t="s">
        <v>3718</v>
      </c>
      <c r="AW38" s="182" t="s">
        <v>5863</v>
      </c>
      <c r="AX38" s="180"/>
      <c r="AY38" s="262" t="s">
        <v>546</v>
      </c>
      <c r="AZ38" s="264" t="s">
        <v>7324</v>
      </c>
      <c r="BB38" s="165" t="s">
        <v>3718</v>
      </c>
      <c r="BC38" s="277" t="s">
        <v>8349</v>
      </c>
      <c r="BE38" s="165" t="s">
        <v>3718</v>
      </c>
      <c r="BF38" s="277" t="s">
        <v>7324</v>
      </c>
      <c r="BH38" s="165" t="s">
        <v>3718</v>
      </c>
      <c r="BI38" s="182"/>
      <c r="BK38" s="165" t="s">
        <v>3718</v>
      </c>
      <c r="BL38" s="182"/>
      <c r="BN38" s="165" t="s">
        <v>3718</v>
      </c>
      <c r="BO38" s="182"/>
      <c r="CH38" s="148" t="s">
        <v>3802</v>
      </c>
      <c r="CI38" s="148">
        <v>63</v>
      </c>
      <c r="CJ38" s="148" cm="1">
        <f t="array" ref="CJ38">_xlfn.IFS($AZ$2&gt;=14,67,$AZ$2&gt;=10,66,$AZ$2&gt;=6,65,$AZ$2&gt;=3,64,1,0)</f>
        <v>0</v>
      </c>
      <c r="CN38" s="154">
        <f>IFERROR(IF(CN37+1&gt;CS2,IF(CN37+1&gt;CS2,IF(CR3+CR37&gt;CS3,"",CR3+CR37)),CN37+1),"")</f>
        <v>33</v>
      </c>
      <c r="CO38" s="154" t="str" cm="1">
        <f t="array" ref="CO38">IFERROR(INDEX($B$34:$BO$262,CN38,$CP$2),"")</f>
        <v/>
      </c>
      <c r="CP38" s="154" t="str" cm="1">
        <f t="array" ref="CP38">IFERROR(INDEX($B$34:$BO$262,CN38,$CQ$2),"")</f>
        <v/>
      </c>
      <c r="CQ38" s="154" t="str" cm="1">
        <f t="array" ref="CQ38">IF(IFERROR(INDEX($B$34:$BO$262,CN38,$CO$2),"")=0,"",IFERROR(INDEX($B$34:$BO$262,CN38,$CO$2),""))</f>
        <v/>
      </c>
      <c r="CR38" s="154">
        <f>IFERROR(IF(CN37+1&gt;CS2,CR37+1,0),"")</f>
        <v>0</v>
      </c>
      <c r="CT38" s="155" t="str">
        <f t="shared" si="5"/>
        <v/>
      </c>
      <c r="CU38" s="156" t="str" cm="1">
        <f t="array" ref="CU38">INDEX(CT:CT,SMALL(IF($CT$2:$CT$101&lt;&gt;"",ROW($CT$2:$CT$101),142),ROW(CT37)))&amp;""</f>
        <v/>
      </c>
      <c r="CV38" s="157" t="str">
        <f t="shared" si="3"/>
        <v/>
      </c>
      <c r="CW38" s="154" t="str">
        <f>IF(主要!AX47="","",主要!AX47)</f>
        <v/>
      </c>
      <c r="CX38" s="154" t="str">
        <f t="shared" si="4"/>
        <v/>
      </c>
    </row>
    <row r="39" spans="1:102" ht="16.149999999999999" customHeight="1" x14ac:dyDescent="0.15">
      <c r="A39" s="140">
        <v>6</v>
      </c>
      <c r="B39" s="166"/>
      <c r="C39" s="165" t="s">
        <v>3725</v>
      </c>
      <c r="D39" s="182" t="s">
        <v>3726</v>
      </c>
      <c r="F39" s="165" t="s">
        <v>3725</v>
      </c>
      <c r="G39" s="182" t="s">
        <v>3727</v>
      </c>
      <c r="I39" s="165" t="s">
        <v>3725</v>
      </c>
      <c r="J39" s="182" t="s">
        <v>3728</v>
      </c>
      <c r="L39" s="165" t="s">
        <v>3725</v>
      </c>
      <c r="M39" s="182" t="s">
        <v>3729</v>
      </c>
      <c r="O39" s="165" t="s">
        <v>3725</v>
      </c>
      <c r="P39" s="182" t="s">
        <v>3730</v>
      </c>
      <c r="R39" s="165" t="s">
        <v>3725</v>
      </c>
      <c r="S39" s="182" t="s">
        <v>3731</v>
      </c>
      <c r="U39" s="165" t="s">
        <v>3725</v>
      </c>
      <c r="V39" s="182" t="s">
        <v>3732</v>
      </c>
      <c r="X39" s="165" t="s">
        <v>3725</v>
      </c>
      <c r="Y39" s="182" t="s">
        <v>3733</v>
      </c>
      <c r="AA39" s="165" t="s">
        <v>3725</v>
      </c>
      <c r="AB39" s="182" t="s">
        <v>3734</v>
      </c>
      <c r="AD39" s="165" t="s">
        <v>3725</v>
      </c>
      <c r="AE39" s="182" t="s">
        <v>3735</v>
      </c>
      <c r="AG39" s="165" t="s">
        <v>3725</v>
      </c>
      <c r="AH39" s="182" t="s">
        <v>3736</v>
      </c>
      <c r="AJ39" s="165" t="s">
        <v>3725</v>
      </c>
      <c r="AK39" s="182" t="s">
        <v>3737</v>
      </c>
      <c r="AM39" s="165" t="s">
        <v>3725</v>
      </c>
      <c r="AN39" s="182" t="s">
        <v>3738</v>
      </c>
      <c r="AP39" s="165" t="s">
        <v>3725</v>
      </c>
      <c r="AQ39" s="182" t="s">
        <v>5619</v>
      </c>
      <c r="AS39" s="165" t="s">
        <v>3725</v>
      </c>
      <c r="AT39" s="165" t="s">
        <v>5631</v>
      </c>
      <c r="AU39" s="166"/>
      <c r="AV39" s="165" t="s">
        <v>3725</v>
      </c>
      <c r="AW39" s="182" t="s">
        <v>5864</v>
      </c>
      <c r="AX39" s="180"/>
      <c r="AY39" s="262" t="s">
        <v>547</v>
      </c>
      <c r="AZ39" s="264" t="s">
        <v>7325</v>
      </c>
      <c r="BB39" s="165" t="s">
        <v>3725</v>
      </c>
      <c r="BC39" s="278" t="s">
        <v>8390</v>
      </c>
      <c r="BE39" s="165" t="s">
        <v>3725</v>
      </c>
      <c r="BF39" s="278" t="s">
        <v>10454</v>
      </c>
      <c r="BH39" s="165" t="s">
        <v>3725</v>
      </c>
      <c r="BI39" s="182"/>
      <c r="BK39" s="165" t="s">
        <v>3725</v>
      </c>
      <c r="BL39" s="182"/>
      <c r="BN39" s="165" t="s">
        <v>3725</v>
      </c>
      <c r="BO39" s="182"/>
      <c r="CH39" s="148" t="s">
        <v>3821</v>
      </c>
      <c r="CI39" s="148">
        <v>68</v>
      </c>
      <c r="CJ39" s="148" cm="1">
        <f t="array" ref="CJ39">_xlfn.IFS($AZ$2&gt;=14,73,$AZ$2&gt;=10,72,$AZ$2&gt;=6,71,$AZ$2&gt;=3,70,1,0)</f>
        <v>0</v>
      </c>
      <c r="CN39" s="154">
        <f>IFERROR(IF(CN38+1&gt;CS2,IF(CN38+1&gt;CS2,IF(CR3+CR38&gt;CS3,"",CR3+CR38)),CN38+1),"")</f>
        <v>34</v>
      </c>
      <c r="CO39" s="154" t="str" cm="1">
        <f t="array" ref="CO39">IFERROR(INDEX($B$34:$BO$262,CN39,$CP$2),"")</f>
        <v/>
      </c>
      <c r="CP39" s="154" t="str" cm="1">
        <f t="array" ref="CP39">IFERROR(INDEX($B$34:$BO$262,CN39,$CQ$2),"")</f>
        <v/>
      </c>
      <c r="CQ39" s="154" t="str" cm="1">
        <f t="array" ref="CQ39">IF(IFERROR(INDEX($B$34:$BO$262,CN39,$CO$2),"")=0,"",IFERROR(INDEX($B$34:$BO$262,CN39,$CO$2),""))</f>
        <v/>
      </c>
      <c r="CR39" s="154">
        <f>IFERROR(IF(CN38+1&gt;CS2,CR38+1,0),"")</f>
        <v>0</v>
      </c>
      <c r="CT39" s="155" t="str">
        <f t="shared" si="5"/>
        <v/>
      </c>
      <c r="CU39" s="156" t="str" cm="1">
        <f t="array" ref="CU39">INDEX(CT:CT,SMALL(IF($CT$2:$CT$101&lt;&gt;"",ROW($CT$2:$CT$101),142),ROW(CT38)))&amp;""</f>
        <v/>
      </c>
      <c r="CV39" s="157" t="str">
        <f t="shared" si="3"/>
        <v/>
      </c>
      <c r="CW39" s="154" t="str">
        <f>IF(主要!AX48="","",主要!AX48)</f>
        <v/>
      </c>
      <c r="CX39" s="154" t="str">
        <f t="shared" si="4"/>
        <v/>
      </c>
    </row>
    <row r="40" spans="1:102" ht="16.149999999999999" customHeight="1" x14ac:dyDescent="0.15">
      <c r="A40" s="140">
        <v>7</v>
      </c>
      <c r="B40" s="166">
        <v>1</v>
      </c>
      <c r="C40" s="148" t="s">
        <v>3740</v>
      </c>
      <c r="D40" s="234" t="s">
        <v>9831</v>
      </c>
      <c r="E40" s="148">
        <v>1</v>
      </c>
      <c r="F40" s="148" t="s">
        <v>3741</v>
      </c>
      <c r="G40" s="153" t="s">
        <v>3742</v>
      </c>
      <c r="H40" s="148">
        <v>1</v>
      </c>
      <c r="I40" s="148" t="s">
        <v>3743</v>
      </c>
      <c r="J40" s="153" t="s">
        <v>3744</v>
      </c>
      <c r="K40" s="148">
        <v>1</v>
      </c>
      <c r="L40" s="148" t="s">
        <v>3743</v>
      </c>
      <c r="M40" s="153" t="s">
        <v>3745</v>
      </c>
      <c r="N40" s="148">
        <v>1</v>
      </c>
      <c r="O40" s="148" t="s">
        <v>3746</v>
      </c>
      <c r="P40" s="153" t="s">
        <v>3747</v>
      </c>
      <c r="Q40" s="148">
        <v>1</v>
      </c>
      <c r="R40" s="148" t="s">
        <v>3748</v>
      </c>
      <c r="S40" s="153" t="s">
        <v>3749</v>
      </c>
      <c r="T40" s="148">
        <v>1</v>
      </c>
      <c r="U40" s="148" t="s">
        <v>3750</v>
      </c>
      <c r="V40" s="153" t="s">
        <v>3751</v>
      </c>
      <c r="W40" s="148">
        <v>1</v>
      </c>
      <c r="X40" s="148" t="s">
        <v>3743</v>
      </c>
      <c r="Y40" s="153" t="s">
        <v>3752</v>
      </c>
      <c r="Z40" s="148">
        <v>1</v>
      </c>
      <c r="AA40" s="148" t="s">
        <v>3753</v>
      </c>
      <c r="AB40" s="153" t="s">
        <v>3754</v>
      </c>
      <c r="AC40" s="148">
        <v>1</v>
      </c>
      <c r="AD40" s="148" t="s">
        <v>3743</v>
      </c>
      <c r="AE40" s="153" t="s">
        <v>3755</v>
      </c>
      <c r="AF40" s="148">
        <v>1</v>
      </c>
      <c r="AG40" s="148" t="s">
        <v>3756</v>
      </c>
      <c r="AH40" s="153" t="s">
        <v>3757</v>
      </c>
      <c r="AI40" s="148">
        <v>1</v>
      </c>
      <c r="AJ40" s="148" t="s">
        <v>3743</v>
      </c>
      <c r="AK40" s="153" t="s">
        <v>3758</v>
      </c>
      <c r="AL40" s="148">
        <v>1</v>
      </c>
      <c r="AM40" s="180" t="s">
        <v>10274</v>
      </c>
      <c r="AN40" s="234" t="s">
        <v>10275</v>
      </c>
      <c r="AO40" s="148">
        <v>1</v>
      </c>
      <c r="AP40" s="148" t="s">
        <v>3743</v>
      </c>
      <c r="AQ40" s="153" t="s">
        <v>3759</v>
      </c>
      <c r="AR40" s="148">
        <v>1</v>
      </c>
      <c r="AS40" s="148" t="s">
        <v>5632</v>
      </c>
      <c r="AT40" s="153" t="s">
        <v>5633</v>
      </c>
      <c r="AU40" s="148">
        <v>1</v>
      </c>
      <c r="AV40" s="148" t="s">
        <v>5865</v>
      </c>
      <c r="AW40" s="153" t="s">
        <v>5866</v>
      </c>
      <c r="AX40" s="180">
        <v>1</v>
      </c>
      <c r="AY40" s="180" t="s">
        <v>7326</v>
      </c>
      <c r="AZ40" s="233" t="s">
        <v>7327</v>
      </c>
      <c r="BA40" s="148">
        <v>1</v>
      </c>
      <c r="BB40" s="180" t="s">
        <v>8317</v>
      </c>
      <c r="BC40" s="233" t="s">
        <v>8318</v>
      </c>
      <c r="BD40" s="148">
        <v>1</v>
      </c>
      <c r="BE40" s="180" t="s">
        <v>10476</v>
      </c>
      <c r="BF40" s="233" t="s">
        <v>10464</v>
      </c>
      <c r="BO40" s="153"/>
      <c r="CH40" s="148" t="s">
        <v>6308</v>
      </c>
      <c r="CI40" s="148">
        <v>74</v>
      </c>
      <c r="CJ40" s="148" cm="1">
        <f t="array" ref="CJ40">_xlfn.IFS($AZ$2&gt;=14,79,$AZ$2&gt;=10,78,$AZ$2&gt;=6,77,$AZ$2&gt;=3,75,1,0)</f>
        <v>0</v>
      </c>
      <c r="CN40" s="154">
        <f>IFERROR(IF(CN39+1&gt;CS2,IF(CN39+1&gt;CS2,IF(CR3+CR39&gt;CS3,"",CR3+CR39)),CN39+1),"")</f>
        <v>35</v>
      </c>
      <c r="CO40" s="154" t="str" cm="1">
        <f t="array" ref="CO40">IFERROR(INDEX($B$34:$BO$262,CN40,$CP$2),"")</f>
        <v/>
      </c>
      <c r="CP40" s="154" t="str" cm="1">
        <f t="array" ref="CP40">IFERROR(INDEX($B$34:$BO$262,CN40,$CQ$2),"")</f>
        <v/>
      </c>
      <c r="CQ40" s="154" t="str" cm="1">
        <f t="array" ref="CQ40">IF(IFERROR(INDEX($B$34:$BO$262,CN40,$CO$2),"")=0,"",IFERROR(INDEX($B$34:$BO$262,CN40,$CO$2),""))</f>
        <v/>
      </c>
      <c r="CR40" s="154">
        <f>IFERROR(IF(CN39+1&gt;CS2,CR39+1,0),"")</f>
        <v>0</v>
      </c>
      <c r="CT40" s="155" t="str">
        <f t="shared" si="5"/>
        <v/>
      </c>
      <c r="CU40" s="156" t="str" cm="1">
        <f t="array" ref="CU40">INDEX(CT:CT,SMALL(IF($CT$2:$CT$101&lt;&gt;"",ROW($CT$2:$CT$101),142),ROW(CT39)))&amp;""</f>
        <v/>
      </c>
      <c r="CV40" s="157" t="str">
        <f t="shared" si="3"/>
        <v/>
      </c>
      <c r="CW40" s="154" t="str">
        <f>IF(主要!AX49="","",主要!AX49)</f>
        <v/>
      </c>
      <c r="CX40" s="154" t="str">
        <f t="shared" si="4"/>
        <v/>
      </c>
    </row>
    <row r="41" spans="1:102" ht="16.149999999999999" customHeight="1" x14ac:dyDescent="0.15">
      <c r="A41" s="140">
        <v>8</v>
      </c>
      <c r="B41" s="166">
        <v>1</v>
      </c>
      <c r="C41" s="148" t="s">
        <v>3761</v>
      </c>
      <c r="D41" s="153" t="s">
        <v>3762</v>
      </c>
      <c r="E41" s="148">
        <v>1</v>
      </c>
      <c r="F41" s="148" t="s">
        <v>3743</v>
      </c>
      <c r="G41" s="153" t="s">
        <v>3763</v>
      </c>
      <c r="I41" s="148" t="s">
        <v>3764</v>
      </c>
      <c r="J41" s="153" t="s">
        <v>3765</v>
      </c>
      <c r="L41" s="148" t="s">
        <v>3764</v>
      </c>
      <c r="M41" s="153" t="s">
        <v>3766</v>
      </c>
      <c r="N41" s="148">
        <v>1</v>
      </c>
      <c r="O41" s="148" t="s">
        <v>3767</v>
      </c>
      <c r="P41" s="153" t="s">
        <v>3768</v>
      </c>
      <c r="Q41" s="148">
        <v>1</v>
      </c>
      <c r="R41" s="148" t="s">
        <v>3761</v>
      </c>
      <c r="S41" s="153" t="s">
        <v>3769</v>
      </c>
      <c r="T41" s="148">
        <v>1</v>
      </c>
      <c r="U41" s="148" t="s">
        <v>3743</v>
      </c>
      <c r="V41" s="153" t="s">
        <v>3770</v>
      </c>
      <c r="X41" s="148" t="s">
        <v>3771</v>
      </c>
      <c r="Y41" s="153" t="s">
        <v>3772</v>
      </c>
      <c r="Z41" s="148">
        <v>1</v>
      </c>
      <c r="AA41" s="148" t="s">
        <v>3773</v>
      </c>
      <c r="AB41" s="153" t="s">
        <v>3774</v>
      </c>
      <c r="AD41" s="148" t="s">
        <v>3764</v>
      </c>
      <c r="AE41" s="153" t="s">
        <v>3775</v>
      </c>
      <c r="AG41" s="181" t="s">
        <v>3776</v>
      </c>
      <c r="AH41" s="185" t="s">
        <v>3777</v>
      </c>
      <c r="AJ41" s="148" t="s">
        <v>3764</v>
      </c>
      <c r="AK41" s="153" t="s">
        <v>3778</v>
      </c>
      <c r="AL41" s="148">
        <v>1</v>
      </c>
      <c r="AM41" s="148" t="s">
        <v>3743</v>
      </c>
      <c r="AN41" s="233" t="s">
        <v>10276</v>
      </c>
      <c r="AP41" s="148" t="s">
        <v>3764</v>
      </c>
      <c r="AQ41" s="153" t="s">
        <v>3779</v>
      </c>
      <c r="AR41" s="148">
        <v>1</v>
      </c>
      <c r="AS41" s="148" t="s">
        <v>5634</v>
      </c>
      <c r="AT41" s="153" t="s">
        <v>5635</v>
      </c>
      <c r="AV41" s="148" t="s">
        <v>5777</v>
      </c>
      <c r="AW41" s="153" t="s">
        <v>5867</v>
      </c>
      <c r="AX41" s="180">
        <v>1</v>
      </c>
      <c r="AY41" s="180" t="s">
        <v>7328</v>
      </c>
      <c r="AZ41" s="233" t="s">
        <v>7329</v>
      </c>
      <c r="BB41" s="180" t="s">
        <v>8319</v>
      </c>
      <c r="BC41" s="233" t="s">
        <v>8320</v>
      </c>
      <c r="BD41" s="148">
        <v>1</v>
      </c>
      <c r="BE41" s="180" t="s">
        <v>10477</v>
      </c>
      <c r="BF41" s="233" t="s">
        <v>10455</v>
      </c>
      <c r="BO41" s="153"/>
      <c r="CH41" s="148" t="s">
        <v>6309</v>
      </c>
      <c r="CI41" s="148">
        <v>80</v>
      </c>
      <c r="CJ41" s="148" cm="1">
        <f t="array" ref="CJ41">_xlfn.IFS($AZ$2&gt;=14,86,$AZ$2&gt;=10,84,$AZ$2&gt;=6,83,$AZ$2&gt;=3,81,1,0)</f>
        <v>0</v>
      </c>
      <c r="CN41" s="154">
        <f>IFERROR(IF(CN40+1&gt;CS2,IF(CN40+1&gt;CS2,IF(CR3+CR40&gt;CS3,"",CR3+CR40)),CN40+1),"")</f>
        <v>36</v>
      </c>
      <c r="CO41" s="154" t="str" cm="1">
        <f t="array" ref="CO41">IFERROR(INDEX($B$34:$BO$262,CN41,$CP$2),"")</f>
        <v/>
      </c>
      <c r="CP41" s="154" t="str" cm="1">
        <f t="array" ref="CP41">IFERROR(INDEX($B$34:$BO$262,CN41,$CQ$2),"")</f>
        <v/>
      </c>
      <c r="CQ41" s="154" t="str" cm="1">
        <f t="array" ref="CQ41">IF(IFERROR(INDEX($B$34:$BO$262,CN41,$CO$2),"")=0,"",IFERROR(INDEX($B$34:$BO$262,CN41,$CO$2),""))</f>
        <v/>
      </c>
      <c r="CR41" s="154">
        <f>IFERROR(IF(CN40+1&gt;CS2,CR40+1,0),"")</f>
        <v>0</v>
      </c>
      <c r="CT41" s="155" t="str">
        <f t="shared" si="5"/>
        <v/>
      </c>
      <c r="CU41" s="156" t="str" cm="1">
        <f t="array" ref="CU41">INDEX(CT:CT,SMALL(IF($CT$2:$CT$101&lt;&gt;"",ROW($CT$2:$CT$101),142),ROW(CT40)))&amp;""</f>
        <v/>
      </c>
      <c r="CV41" s="157" t="str">
        <f t="shared" si="3"/>
        <v/>
      </c>
      <c r="CW41" s="154" t="str">
        <f>IF(主要!AX50="","",主要!AX50)</f>
        <v/>
      </c>
      <c r="CX41" s="154" t="str">
        <f t="shared" si="4"/>
        <v/>
      </c>
    </row>
    <row r="42" spans="1:102" ht="16.149999999999999" customHeight="1" x14ac:dyDescent="0.15">
      <c r="A42" s="140">
        <v>9</v>
      </c>
      <c r="B42" s="166">
        <v>1</v>
      </c>
      <c r="C42" s="148" t="s">
        <v>3781</v>
      </c>
      <c r="D42" s="153" t="s">
        <v>3782</v>
      </c>
      <c r="F42" s="148" t="s">
        <v>3764</v>
      </c>
      <c r="G42" s="153" t="s">
        <v>3783</v>
      </c>
      <c r="I42" s="148" t="s">
        <v>3771</v>
      </c>
      <c r="J42" s="153" t="s">
        <v>3784</v>
      </c>
      <c r="L42" s="148" t="s">
        <v>3771</v>
      </c>
      <c r="M42" s="153" t="s">
        <v>3785</v>
      </c>
      <c r="N42" s="148">
        <v>1</v>
      </c>
      <c r="O42" s="148" t="s">
        <v>3781</v>
      </c>
      <c r="P42" s="153" t="s">
        <v>3786</v>
      </c>
      <c r="Q42" s="148">
        <v>2</v>
      </c>
      <c r="R42" s="148" t="s">
        <v>3787</v>
      </c>
      <c r="S42" s="153" t="s">
        <v>3788</v>
      </c>
      <c r="U42" s="148" t="s">
        <v>3771</v>
      </c>
      <c r="V42" s="153" t="s">
        <v>3789</v>
      </c>
      <c r="X42" s="148" t="s">
        <v>3790</v>
      </c>
      <c r="Y42" s="153" t="s">
        <v>3791</v>
      </c>
      <c r="Z42" s="148">
        <v>1</v>
      </c>
      <c r="AA42" s="148" t="s">
        <v>3792</v>
      </c>
      <c r="AB42" s="153" t="s">
        <v>3793</v>
      </c>
      <c r="AD42" s="148" t="s">
        <v>3771</v>
      </c>
      <c r="AE42" s="153" t="s">
        <v>3794</v>
      </c>
      <c r="AG42" s="142" t="s">
        <v>3795</v>
      </c>
      <c r="AH42" s="185" t="s">
        <v>3796</v>
      </c>
      <c r="AJ42" s="148" t="s">
        <v>3797</v>
      </c>
      <c r="AK42" s="153" t="s">
        <v>3798</v>
      </c>
      <c r="AM42" s="148" t="s">
        <v>3799</v>
      </c>
      <c r="AN42" s="153" t="s">
        <v>3800</v>
      </c>
      <c r="AP42" s="148" t="s">
        <v>3771</v>
      </c>
      <c r="AQ42" s="153" t="s">
        <v>3801</v>
      </c>
      <c r="AS42" s="181" t="s">
        <v>5636</v>
      </c>
      <c r="AT42" s="188" t="s">
        <v>5637</v>
      </c>
      <c r="AV42" s="148" t="s">
        <v>5868</v>
      </c>
      <c r="AW42" s="153" t="s">
        <v>5869</v>
      </c>
      <c r="AX42" s="180">
        <v>1</v>
      </c>
      <c r="AY42" s="180" t="s">
        <v>7330</v>
      </c>
      <c r="AZ42" s="233" t="s">
        <v>7331</v>
      </c>
      <c r="BB42" s="180" t="s">
        <v>8321</v>
      </c>
      <c r="BC42" s="233" t="s">
        <v>8322</v>
      </c>
      <c r="BD42" s="148">
        <v>2</v>
      </c>
      <c r="BE42" s="180" t="s">
        <v>10478</v>
      </c>
      <c r="BF42" s="233" t="s">
        <v>10465</v>
      </c>
      <c r="BO42" s="153"/>
      <c r="CH42" s="179" t="s">
        <v>6539</v>
      </c>
      <c r="CI42" s="148">
        <v>87</v>
      </c>
      <c r="CJ42" s="148" cm="1">
        <f t="array" ref="CJ42">_xlfn.IFS($AZ$2&gt;=14,92,$AZ$2&gt;=10,91,$AZ$2&gt;=6,90,$AZ$2&gt;=3,88,1,0)</f>
        <v>0</v>
      </c>
      <c r="CN42" s="154">
        <f>IFERROR(IF(CN41+1&gt;CS2,IF(CN41+1&gt;CS2,IF(CR3+CR41&gt;CS3,"",CR3+CR41)),CN41+1),"")</f>
        <v>37</v>
      </c>
      <c r="CO42" s="154" t="str" cm="1">
        <f t="array" ref="CO42">IFERROR(INDEX($B$34:$BO$262,CN42,$CP$2),"")</f>
        <v/>
      </c>
      <c r="CP42" s="154" t="str" cm="1">
        <f t="array" ref="CP42">IFERROR(INDEX($B$34:$BO$262,CN42,$CQ$2),"")</f>
        <v/>
      </c>
      <c r="CQ42" s="154" t="str" cm="1">
        <f t="array" ref="CQ42">IF(IFERROR(INDEX($B$34:$BO$262,CN42,$CO$2),"")=0,"",IFERROR(INDEX($B$34:$BO$262,CN42,$CO$2),""))</f>
        <v/>
      </c>
      <c r="CR42" s="154">
        <f>IFERROR(IF(CN41+1&gt;CS2,CR41+1,0),"")</f>
        <v>0</v>
      </c>
      <c r="CT42" s="155" t="str">
        <f t="shared" si="5"/>
        <v/>
      </c>
      <c r="CU42" s="156" t="str" cm="1">
        <f t="array" ref="CU42">INDEX(CT:CT,SMALL(IF($CT$2:$CT$101&lt;&gt;"",ROW($CT$2:$CT$101),142),ROW(CT41)))&amp;""</f>
        <v/>
      </c>
      <c r="CV42" s="157" t="str">
        <f t="shared" si="3"/>
        <v/>
      </c>
      <c r="CW42" s="154" t="str">
        <f>IF(主要!AX51="","",主要!AX51)</f>
        <v/>
      </c>
      <c r="CX42" s="154" t="str">
        <f t="shared" si="4"/>
        <v/>
      </c>
    </row>
    <row r="43" spans="1:102" ht="16.149999999999999" customHeight="1" x14ac:dyDescent="0.15">
      <c r="A43" s="140">
        <v>10</v>
      </c>
      <c r="B43" s="166">
        <v>2</v>
      </c>
      <c r="C43" s="148" t="s">
        <v>3803</v>
      </c>
      <c r="D43" s="153" t="s">
        <v>3804</v>
      </c>
      <c r="F43" s="148" t="s">
        <v>3771</v>
      </c>
      <c r="G43" s="153" t="s">
        <v>3805</v>
      </c>
      <c r="I43" s="148" t="s">
        <v>3790</v>
      </c>
      <c r="J43" s="153" t="s">
        <v>3806</v>
      </c>
      <c r="L43" s="148" t="s">
        <v>3790</v>
      </c>
      <c r="M43" s="153" t="s">
        <v>3807</v>
      </c>
      <c r="N43" s="148">
        <v>2</v>
      </c>
      <c r="O43" s="148" t="s">
        <v>3808</v>
      </c>
      <c r="P43" s="153" t="s">
        <v>3809</v>
      </c>
      <c r="Q43" s="148">
        <v>2</v>
      </c>
      <c r="R43" s="148" t="s">
        <v>3810</v>
      </c>
      <c r="S43" s="153" t="s">
        <v>3811</v>
      </c>
      <c r="U43" s="148" t="s">
        <v>3790</v>
      </c>
      <c r="V43" s="153" t="s">
        <v>3812</v>
      </c>
      <c r="X43" s="148" t="s">
        <v>3813</v>
      </c>
      <c r="Y43" s="234" t="s">
        <v>9832</v>
      </c>
      <c r="Z43" s="148">
        <v>1</v>
      </c>
      <c r="AA43" s="148" t="s">
        <v>3781</v>
      </c>
      <c r="AB43" s="153" t="s">
        <v>3814</v>
      </c>
      <c r="AD43" s="148" t="s">
        <v>3790</v>
      </c>
      <c r="AE43" s="153" t="s">
        <v>5638</v>
      </c>
      <c r="AG43" s="142" t="s">
        <v>3815</v>
      </c>
      <c r="AH43" s="185" t="s">
        <v>3816</v>
      </c>
      <c r="AJ43" s="148" t="s">
        <v>3771</v>
      </c>
      <c r="AK43" s="153" t="s">
        <v>3817</v>
      </c>
      <c r="AM43" s="148" t="s">
        <v>3764</v>
      </c>
      <c r="AN43" s="153" t="s">
        <v>3818</v>
      </c>
      <c r="AP43" s="148" t="s">
        <v>3819</v>
      </c>
      <c r="AQ43" s="153" t="s">
        <v>3820</v>
      </c>
      <c r="AS43" s="181" t="s">
        <v>5639</v>
      </c>
      <c r="AT43" s="188" t="s">
        <v>5640</v>
      </c>
      <c r="AV43" s="148" t="s">
        <v>5870</v>
      </c>
      <c r="AW43" s="153" t="s">
        <v>5871</v>
      </c>
      <c r="AX43" s="180">
        <v>2</v>
      </c>
      <c r="AY43" s="180" t="s">
        <v>7332</v>
      </c>
      <c r="AZ43" s="233" t="s">
        <v>7333</v>
      </c>
      <c r="BA43" s="148">
        <v>1</v>
      </c>
      <c r="BB43" s="180" t="s">
        <v>8323</v>
      </c>
      <c r="BC43" s="233" t="s">
        <v>8324</v>
      </c>
      <c r="BD43" s="148">
        <v>2</v>
      </c>
      <c r="BE43" s="180" t="s">
        <v>10479</v>
      </c>
      <c r="BF43" s="233" t="s">
        <v>10466</v>
      </c>
      <c r="BO43" s="153"/>
      <c r="CH43" s="179" t="s">
        <v>7443</v>
      </c>
      <c r="CI43" s="148">
        <v>93</v>
      </c>
      <c r="CJ43" s="148" cm="1">
        <f t="array" ref="CJ43">_xlfn.IFS($AZ$2&gt;=14,97,$AZ$2&gt;=10,96,$AZ$2&gt;=6,95,$AZ$2&gt;=3,94,1,0)</f>
        <v>0</v>
      </c>
      <c r="CN43" s="154">
        <f>IFERROR(IF(CN42+1&gt;CS2,IF(CN42+1&gt;CS2,IF(CR3+CR42&gt;CS3,"",CR3+CR42)),CN42+1),"")</f>
        <v>38</v>
      </c>
      <c r="CO43" s="154" t="str" cm="1">
        <f t="array" ref="CO43">IFERROR(INDEX($B$34:$BO$262,CN43,$CP$2),"")</f>
        <v/>
      </c>
      <c r="CP43" s="154" t="str" cm="1">
        <f t="array" ref="CP43">IFERROR(INDEX($B$34:$BO$262,CN43,$CQ$2),"")</f>
        <v/>
      </c>
      <c r="CQ43" s="154" t="str" cm="1">
        <f t="array" ref="CQ43">IF(IFERROR(INDEX($B$34:$BO$262,CN43,$CO$2),"")=0,"",IFERROR(INDEX($B$34:$BO$262,CN43,$CO$2),""))</f>
        <v/>
      </c>
      <c r="CR43" s="154">
        <f>IFERROR(IF(CN42+1&gt;CS2,CR42+1,0),"")</f>
        <v>0</v>
      </c>
      <c r="CT43" s="155" t="str">
        <f t="shared" si="5"/>
        <v/>
      </c>
      <c r="CU43" s="156" t="str" cm="1">
        <f t="array" ref="CU43">INDEX(CT:CT,SMALL(IF($CT$2:$CT$101&lt;&gt;"",ROW($CT$2:$CT$101),142),ROW(CT42)))&amp;""</f>
        <v/>
      </c>
      <c r="CV43" s="157" t="str">
        <f t="shared" si="3"/>
        <v/>
      </c>
      <c r="CW43" s="154" t="str">
        <f>IF(主要!AX52="","",主要!AX52)</f>
        <v/>
      </c>
      <c r="CX43" s="154" t="str">
        <f t="shared" si="4"/>
        <v/>
      </c>
    </row>
    <row r="44" spans="1:102" ht="16.149999999999999" customHeight="1" x14ac:dyDescent="0.15">
      <c r="A44" s="140">
        <v>11</v>
      </c>
      <c r="B44" s="166">
        <v>2</v>
      </c>
      <c r="C44" s="148" t="s">
        <v>3822</v>
      </c>
      <c r="D44" s="153" t="s">
        <v>3823</v>
      </c>
      <c r="F44" s="148" t="s">
        <v>3790</v>
      </c>
      <c r="G44" s="153" t="s">
        <v>3824</v>
      </c>
      <c r="I44" s="148" t="s">
        <v>3813</v>
      </c>
      <c r="J44" s="153" t="s">
        <v>3825</v>
      </c>
      <c r="L44" s="148" t="s">
        <v>3813</v>
      </c>
      <c r="M44" s="153" t="s">
        <v>3826</v>
      </c>
      <c r="N44" s="148">
        <v>2</v>
      </c>
      <c r="O44" s="148" t="s">
        <v>3827</v>
      </c>
      <c r="P44" s="153" t="s">
        <v>3828</v>
      </c>
      <c r="Q44" s="148">
        <v>2</v>
      </c>
      <c r="R44" s="148" t="s">
        <v>3829</v>
      </c>
      <c r="S44" s="153" t="s">
        <v>3830</v>
      </c>
      <c r="U44" s="148" t="s">
        <v>3813</v>
      </c>
      <c r="V44" s="153" t="s">
        <v>3831</v>
      </c>
      <c r="X44" s="148" t="s">
        <v>3832</v>
      </c>
      <c r="Y44" s="153" t="s">
        <v>3833</v>
      </c>
      <c r="Z44" s="148">
        <v>2</v>
      </c>
      <c r="AA44" s="148" t="s">
        <v>3834</v>
      </c>
      <c r="AB44" s="153" t="s">
        <v>3835</v>
      </c>
      <c r="AD44" s="148" t="s">
        <v>3813</v>
      </c>
      <c r="AE44" s="153" t="s">
        <v>3836</v>
      </c>
      <c r="AG44" s="142" t="s">
        <v>3837</v>
      </c>
      <c r="AH44" s="384" t="s">
        <v>9828</v>
      </c>
      <c r="AJ44" s="148" t="s">
        <v>3790</v>
      </c>
      <c r="AK44" s="153" t="s">
        <v>3838</v>
      </c>
      <c r="AM44" s="148" t="s">
        <v>3771</v>
      </c>
      <c r="AN44" s="153" t="s">
        <v>3839</v>
      </c>
      <c r="AP44" s="148" t="s">
        <v>3813</v>
      </c>
      <c r="AQ44" s="153" t="s">
        <v>3840</v>
      </c>
      <c r="AS44" s="181" t="s">
        <v>5641</v>
      </c>
      <c r="AT44" s="188" t="s">
        <v>5642</v>
      </c>
      <c r="AV44" s="148" t="s">
        <v>5872</v>
      </c>
      <c r="AW44" s="153" t="s">
        <v>5873</v>
      </c>
      <c r="AX44" s="180">
        <v>2</v>
      </c>
      <c r="AY44" s="180" t="s">
        <v>7334</v>
      </c>
      <c r="AZ44" s="233" t="s">
        <v>7335</v>
      </c>
      <c r="BA44" s="148">
        <v>2</v>
      </c>
      <c r="BB44" s="180" t="s">
        <v>8325</v>
      </c>
      <c r="BC44" s="233" t="s">
        <v>8326</v>
      </c>
      <c r="BD44" s="148">
        <v>2</v>
      </c>
      <c r="BE44" s="180" t="s">
        <v>10480</v>
      </c>
      <c r="BF44" s="233" t="s">
        <v>10456</v>
      </c>
      <c r="BO44" s="153"/>
      <c r="CH44" s="179" t="s">
        <v>8763</v>
      </c>
      <c r="CI44" s="148">
        <v>98</v>
      </c>
      <c r="CJ44" s="148" cm="1">
        <f t="array" ref="CJ44">_xlfn.IFS($AZ$2&gt;=14,102,$AZ$2&gt;=10,101,$AZ$2&gt;=6,100,$AZ$2&gt;=3,99,1,0)</f>
        <v>0</v>
      </c>
      <c r="CN44" s="154">
        <f>IFERROR(IF(CN43+1&gt;CS2,IF(CN43+1&gt;CS2,IF(CR3+CR43&gt;CS3,"",CR3+CR43)),CN43+1),"")</f>
        <v>39</v>
      </c>
      <c r="CO44" s="154" t="str" cm="1">
        <f t="array" ref="CO44">IFERROR(INDEX($B$34:$BO$262,CN44,$CP$2),"")</f>
        <v/>
      </c>
      <c r="CP44" s="154" t="str" cm="1">
        <f t="array" ref="CP44">IFERROR(INDEX($B$34:$BO$262,CN44,$CQ$2),"")</f>
        <v/>
      </c>
      <c r="CQ44" s="154" t="str" cm="1">
        <f t="array" ref="CQ44">IF(IFERROR(INDEX($B$34:$BO$262,CN44,$CO$2),"")=0,"",IFERROR(INDEX($B$34:$BO$262,CN44,$CO$2),""))</f>
        <v/>
      </c>
      <c r="CR44" s="154">
        <f>IFERROR(IF(CN43+1&gt;CS2,CR43+1,0),"")</f>
        <v>0</v>
      </c>
      <c r="CT44" s="155" t="str">
        <f t="shared" si="5"/>
        <v/>
      </c>
      <c r="CU44" s="156" t="str" cm="1">
        <f t="array" ref="CU44">INDEX(CT:CT,SMALL(IF($CT$2:$CT$101&lt;&gt;"",ROW($CT$2:$CT$101),142),ROW(CT43)))&amp;""</f>
        <v/>
      </c>
      <c r="CV44" s="157" t="str">
        <f t="shared" si="3"/>
        <v/>
      </c>
      <c r="CW44" s="154" t="str">
        <f>IF(主要!AX53="","",主要!AX53)</f>
        <v/>
      </c>
      <c r="CX44" s="154" t="str">
        <f t="shared" si="4"/>
        <v/>
      </c>
    </row>
    <row r="45" spans="1:102" ht="16.149999999999999" customHeight="1" x14ac:dyDescent="0.15">
      <c r="A45" s="140">
        <v>12</v>
      </c>
      <c r="B45" s="166">
        <v>3</v>
      </c>
      <c r="C45" s="148" t="s">
        <v>3841</v>
      </c>
      <c r="D45" s="153" t="s">
        <v>3842</v>
      </c>
      <c r="F45" s="148" t="s">
        <v>3813</v>
      </c>
      <c r="G45" s="153" t="s">
        <v>3843</v>
      </c>
      <c r="I45" s="148" t="s">
        <v>3832</v>
      </c>
      <c r="J45" s="153" t="s">
        <v>3844</v>
      </c>
      <c r="L45" s="148" t="s">
        <v>3832</v>
      </c>
      <c r="M45" s="153" t="s">
        <v>3845</v>
      </c>
      <c r="N45" s="148">
        <v>3</v>
      </c>
      <c r="O45" s="148" t="s">
        <v>3846</v>
      </c>
      <c r="P45" s="153" t="s">
        <v>3847</v>
      </c>
      <c r="Q45" s="148">
        <v>3</v>
      </c>
      <c r="R45" s="148" t="s">
        <v>3848</v>
      </c>
      <c r="S45" s="153" t="s">
        <v>3849</v>
      </c>
      <c r="U45" s="148" t="s">
        <v>3832</v>
      </c>
      <c r="V45" s="153" t="s">
        <v>3850</v>
      </c>
      <c r="X45" s="148" t="s">
        <v>3851</v>
      </c>
      <c r="Y45" s="153" t="s">
        <v>3852</v>
      </c>
      <c r="Z45" s="148">
        <v>3</v>
      </c>
      <c r="AA45" s="148" t="s">
        <v>3853</v>
      </c>
      <c r="AB45" s="153" t="s">
        <v>3854</v>
      </c>
      <c r="AD45" s="148" t="s">
        <v>5643</v>
      </c>
      <c r="AE45" s="153" t="s">
        <v>3855</v>
      </c>
      <c r="AG45" s="142" t="s">
        <v>3856</v>
      </c>
      <c r="AH45" s="185" t="s">
        <v>3857</v>
      </c>
      <c r="AJ45" s="148" t="s">
        <v>3813</v>
      </c>
      <c r="AK45" s="153" t="s">
        <v>3858</v>
      </c>
      <c r="AM45" s="148" t="s">
        <v>3859</v>
      </c>
      <c r="AN45" s="153" t="s">
        <v>3860</v>
      </c>
      <c r="AP45" s="148" t="s">
        <v>3832</v>
      </c>
      <c r="AQ45" s="153" t="s">
        <v>3861</v>
      </c>
      <c r="AS45" s="181" t="s">
        <v>5644</v>
      </c>
      <c r="AT45" s="188" t="s">
        <v>5645</v>
      </c>
      <c r="AV45" s="148" t="s">
        <v>5643</v>
      </c>
      <c r="AW45" s="153" t="s">
        <v>5874</v>
      </c>
      <c r="AX45" s="180"/>
      <c r="AY45" s="265" t="s">
        <v>7336</v>
      </c>
      <c r="AZ45" s="266" t="s">
        <v>7337</v>
      </c>
      <c r="BA45" s="148">
        <v>2</v>
      </c>
      <c r="BB45" s="180" t="s">
        <v>8327</v>
      </c>
      <c r="BC45" s="233" t="s">
        <v>8328</v>
      </c>
      <c r="BD45" s="148">
        <v>3</v>
      </c>
      <c r="BE45" s="180" t="s">
        <v>10481</v>
      </c>
      <c r="BF45" s="233" t="s">
        <v>10457</v>
      </c>
      <c r="BO45" s="153"/>
      <c r="CH45" s="179" t="s">
        <v>8764</v>
      </c>
      <c r="CI45" s="148">
        <v>103</v>
      </c>
      <c r="CJ45" s="148" cm="1">
        <f t="array" ref="CJ45">_xlfn.IFS($AZ$2&gt;=14,107,$AZ$2&gt;=10,106,$AZ$2&gt;=6,105,$AZ$2&gt;=3,104,1,0)</f>
        <v>0</v>
      </c>
      <c r="CN45" s="154">
        <f>IFERROR(IF(CN44+1&gt;CS2,IF(CN44+1&gt;CS2,IF(CR3+CR44&gt;CS3,"",CR3+CR44)),CN44+1),"")</f>
        <v>40</v>
      </c>
      <c r="CO45" s="154" t="str" cm="1">
        <f t="array" ref="CO45">IFERROR(INDEX($B$34:$BO$262,CN45,$CP$2),"")</f>
        <v/>
      </c>
      <c r="CP45" s="154" t="str" cm="1">
        <f t="array" ref="CP45">IFERROR(INDEX($B$34:$BO$262,CN45,$CQ$2),"")</f>
        <v/>
      </c>
      <c r="CQ45" s="154" t="str" cm="1">
        <f t="array" ref="CQ45">IF(IFERROR(INDEX($B$34:$BO$262,CN45,$CO$2),"")=0,"",IFERROR(INDEX($B$34:$BO$262,CN45,$CO$2),""))</f>
        <v/>
      </c>
      <c r="CR45" s="154">
        <f>IFERROR(IF(CN44+1&gt;CS2,CR44+1,0),"")</f>
        <v>0</v>
      </c>
      <c r="CT45" s="155" t="str">
        <f t="shared" si="5"/>
        <v/>
      </c>
      <c r="CU45" s="156" t="str" cm="1">
        <f t="array" ref="CU45">INDEX(CT:CT,SMALL(IF($CT$2:$CT$101&lt;&gt;"",ROW($CT$2:$CT$101),142),ROW(CT44)))&amp;""</f>
        <v/>
      </c>
      <c r="CV45" s="157" t="str">
        <f t="shared" si="3"/>
        <v/>
      </c>
      <c r="CW45" s="154" t="str">
        <f>IF(主要!AX54="","",主要!AX54)</f>
        <v/>
      </c>
      <c r="CX45" s="154" t="str">
        <f t="shared" si="4"/>
        <v/>
      </c>
    </row>
    <row r="46" spans="1:102" ht="16.149999999999999" customHeight="1" x14ac:dyDescent="0.15">
      <c r="A46" s="140">
        <v>13</v>
      </c>
      <c r="B46" s="166">
        <v>3</v>
      </c>
      <c r="C46" s="148" t="s">
        <v>3862</v>
      </c>
      <c r="D46" s="153" t="s">
        <v>3863</v>
      </c>
      <c r="F46" s="148" t="s">
        <v>3832</v>
      </c>
      <c r="G46" s="153" t="s">
        <v>3864</v>
      </c>
      <c r="I46" s="148" t="s">
        <v>3851</v>
      </c>
      <c r="J46" s="153" t="s">
        <v>3865</v>
      </c>
      <c r="L46" s="148" t="s">
        <v>3851</v>
      </c>
      <c r="M46" s="153" t="s">
        <v>3866</v>
      </c>
      <c r="N46" s="148">
        <v>4</v>
      </c>
      <c r="O46" s="148" t="s">
        <v>3867</v>
      </c>
      <c r="P46" s="153" t="s">
        <v>3868</v>
      </c>
      <c r="Q46" s="148">
        <v>3</v>
      </c>
      <c r="R46" s="148" t="s">
        <v>3869</v>
      </c>
      <c r="S46" s="153" t="s">
        <v>3870</v>
      </c>
      <c r="U46" s="148" t="s">
        <v>3851</v>
      </c>
      <c r="V46" s="153" t="s">
        <v>3871</v>
      </c>
      <c r="W46" s="148">
        <v>1</v>
      </c>
      <c r="X46" s="148" t="s">
        <v>3872</v>
      </c>
      <c r="Y46" s="153" t="s">
        <v>3873</v>
      </c>
      <c r="Z46" s="148">
        <v>3</v>
      </c>
      <c r="AA46" s="148" t="s">
        <v>3874</v>
      </c>
      <c r="AB46" s="153" t="s">
        <v>3875</v>
      </c>
      <c r="AD46" s="148" t="s">
        <v>3851</v>
      </c>
      <c r="AE46" s="153" t="s">
        <v>3876</v>
      </c>
      <c r="AG46" s="487" t="s">
        <v>10975</v>
      </c>
      <c r="AH46" s="384" t="s">
        <v>10976</v>
      </c>
      <c r="AJ46" s="148" t="s">
        <v>3832</v>
      </c>
      <c r="AK46" s="153" t="s">
        <v>3878</v>
      </c>
      <c r="AM46" s="148" t="s">
        <v>3879</v>
      </c>
      <c r="AN46" s="153" t="s">
        <v>3880</v>
      </c>
      <c r="AP46" s="148" t="s">
        <v>3881</v>
      </c>
      <c r="AQ46" s="153" t="s">
        <v>3882</v>
      </c>
      <c r="AS46" s="181" t="s">
        <v>5646</v>
      </c>
      <c r="AT46" s="188" t="s">
        <v>5647</v>
      </c>
      <c r="AV46" s="148" t="s">
        <v>5875</v>
      </c>
      <c r="AW46" s="153" t="s">
        <v>5876</v>
      </c>
      <c r="AX46" s="180"/>
      <c r="AY46" s="265" t="s">
        <v>7338</v>
      </c>
      <c r="AZ46" s="266" t="s">
        <v>7339</v>
      </c>
      <c r="BA46" s="148">
        <v>2</v>
      </c>
      <c r="BB46" s="265" t="s">
        <v>8352</v>
      </c>
      <c r="BC46" s="266" t="s">
        <v>8353</v>
      </c>
      <c r="BD46" s="148">
        <v>3</v>
      </c>
      <c r="BE46" s="180" t="s">
        <v>10482</v>
      </c>
      <c r="BF46" s="233" t="s">
        <v>10458</v>
      </c>
      <c r="BO46" s="153"/>
      <c r="CH46" s="179" t="s">
        <v>8705</v>
      </c>
      <c r="CI46" s="148">
        <v>108</v>
      </c>
      <c r="CJ46" s="148" cm="1">
        <f t="array" ref="CJ46">_xlfn.IFS($AZ$2&gt;=14,129,$AZ$2&gt;=10,128,$AZ$2&gt;=6,127,$AZ$2&gt;=3,126,1,0)</f>
        <v>0</v>
      </c>
      <c r="CN46" s="154">
        <f>IFERROR(IF(CN45+1&gt;CS2,IF(CN45+1&gt;CS2,IF(CR3+CR45&gt;CS3,"",CR3+CR45)),CN45+1),"")</f>
        <v>41</v>
      </c>
      <c r="CO46" s="154" t="str" cm="1">
        <f t="array" ref="CO46">IFERROR(INDEX($B$34:$BO$262,CN46,$CP$2),"")</f>
        <v/>
      </c>
      <c r="CP46" s="154" t="str" cm="1">
        <f t="array" ref="CP46">IFERROR(INDEX($B$34:$BO$262,CN46,$CQ$2),"")</f>
        <v/>
      </c>
      <c r="CQ46" s="154" t="str" cm="1">
        <f t="array" ref="CQ46">IF(IFERROR(INDEX($B$34:$BO$262,CN46,$CO$2),"")=0,"",IFERROR(INDEX($B$34:$BO$262,CN46,$CO$2),""))</f>
        <v/>
      </c>
      <c r="CR46" s="154">
        <f>IFERROR(IF(CN45+1&gt;CS2,CR45+1,0),"")</f>
        <v>0</v>
      </c>
      <c r="CT46" s="155" t="str">
        <f t="shared" si="5"/>
        <v/>
      </c>
      <c r="CU46" s="156" t="str" cm="1">
        <f t="array" ref="CU46">INDEX(CT:CT,SMALL(IF($CT$2:$CT$101&lt;&gt;"",ROW($CT$2:$CT$101),142),ROW(CT45)))&amp;""</f>
        <v/>
      </c>
      <c r="CV46" s="157" t="str">
        <f t="shared" si="3"/>
        <v/>
      </c>
      <c r="CW46" s="154" t="str">
        <f>IF(主要!AX55="","",主要!AX55)</f>
        <v/>
      </c>
      <c r="CX46" s="154" t="str">
        <f t="shared" si="4"/>
        <v/>
      </c>
    </row>
    <row r="47" spans="1:102" ht="16.149999999999999" customHeight="1" x14ac:dyDescent="0.15">
      <c r="A47" s="140">
        <v>14</v>
      </c>
      <c r="B47" s="166">
        <v>4</v>
      </c>
      <c r="C47" s="148" t="s">
        <v>3867</v>
      </c>
      <c r="D47" s="153" t="s">
        <v>3883</v>
      </c>
      <c r="F47" s="148" t="s">
        <v>3851</v>
      </c>
      <c r="G47" s="153" t="s">
        <v>3884</v>
      </c>
      <c r="H47" s="148">
        <v>1</v>
      </c>
      <c r="I47" s="148" t="s">
        <v>3885</v>
      </c>
      <c r="J47" s="153" t="s">
        <v>3886</v>
      </c>
      <c r="K47" s="148">
        <v>1</v>
      </c>
      <c r="L47" s="148" t="s">
        <v>3887</v>
      </c>
      <c r="M47" s="153" t="s">
        <v>3888</v>
      </c>
      <c r="N47" s="148">
        <v>5</v>
      </c>
      <c r="O47" s="148" t="s">
        <v>3889</v>
      </c>
      <c r="P47" s="153" t="s">
        <v>3890</v>
      </c>
      <c r="Q47" s="148">
        <v>4</v>
      </c>
      <c r="R47" s="148" t="s">
        <v>3867</v>
      </c>
      <c r="S47" s="153" t="s">
        <v>3891</v>
      </c>
      <c r="T47" s="148">
        <v>1</v>
      </c>
      <c r="U47" s="148" t="s">
        <v>3781</v>
      </c>
      <c r="V47" s="153" t="s">
        <v>3892</v>
      </c>
      <c r="W47" s="148">
        <v>1</v>
      </c>
      <c r="X47" s="148" t="s">
        <v>3781</v>
      </c>
      <c r="Y47" s="153" t="s">
        <v>3893</v>
      </c>
      <c r="Z47" s="148">
        <v>4</v>
      </c>
      <c r="AA47" s="148" t="s">
        <v>3867</v>
      </c>
      <c r="AB47" s="153" t="s">
        <v>3894</v>
      </c>
      <c r="AC47" s="148">
        <v>1</v>
      </c>
      <c r="AD47" s="148" t="s">
        <v>3895</v>
      </c>
      <c r="AE47" s="153" t="s">
        <v>3896</v>
      </c>
      <c r="AG47" s="167" t="str">
        <f>IF(自定义调整栏!$E$3="O","月之仪态","")</f>
        <v>月之仪态</v>
      </c>
      <c r="AH47" s="186" t="s">
        <v>3877</v>
      </c>
      <c r="AJ47" s="148" t="s">
        <v>3851</v>
      </c>
      <c r="AK47" s="153" t="s">
        <v>3898</v>
      </c>
      <c r="AM47" s="148" t="s">
        <v>3832</v>
      </c>
      <c r="AN47" s="153" t="s">
        <v>3899</v>
      </c>
      <c r="AO47" s="148">
        <v>1</v>
      </c>
      <c r="AP47" s="148" t="s">
        <v>3900</v>
      </c>
      <c r="AQ47" s="234" t="s">
        <v>10558</v>
      </c>
      <c r="AS47" s="181" t="s">
        <v>5648</v>
      </c>
      <c r="AT47" s="188" t="s">
        <v>5649</v>
      </c>
      <c r="AU47" s="148">
        <v>2</v>
      </c>
      <c r="AV47" s="148" t="s">
        <v>5877</v>
      </c>
      <c r="AW47" s="153" t="s">
        <v>5878</v>
      </c>
      <c r="AX47" s="180"/>
      <c r="AY47" s="265" t="s">
        <v>7340</v>
      </c>
      <c r="AZ47" s="267" t="s">
        <v>7341</v>
      </c>
      <c r="BA47" s="148">
        <v>2</v>
      </c>
      <c r="BB47" s="265" t="s">
        <v>8354</v>
      </c>
      <c r="BC47" s="266" t="s">
        <v>8355</v>
      </c>
      <c r="BD47" s="148">
        <v>4</v>
      </c>
      <c r="BE47" s="180" t="s">
        <v>7350</v>
      </c>
      <c r="BF47" s="233" t="s">
        <v>10459</v>
      </c>
      <c r="BO47" s="153"/>
      <c r="CH47" s="179" t="s">
        <v>9265</v>
      </c>
      <c r="CI47" s="148">
        <v>130</v>
      </c>
      <c r="CJ47" s="148" cm="1">
        <f t="array" ref="CJ47">_xlfn.IFS($AZ$2&gt;=14,134,$AZ$2&gt;=10,133,$AZ$2&gt;=6,132,$AZ$2&gt;=3,131,1,0)</f>
        <v>0</v>
      </c>
      <c r="CN47" s="154">
        <f>IFERROR(IF(CN46+1&gt;CS2,IF(CN46+1&gt;CS2,IF(CR3+CR46&gt;CS3,"",CR3+CR46)),CN46+1),"")</f>
        <v>42</v>
      </c>
      <c r="CO47" s="154" t="str" cm="1">
        <f t="array" ref="CO47">IFERROR(INDEX($B$34:$BO$262,CN47,$CP$2),"")</f>
        <v/>
      </c>
      <c r="CP47" s="154" t="str" cm="1">
        <f t="array" ref="CP47">IFERROR(INDEX($B$34:$BO$262,CN47,$CQ$2),"")</f>
        <v/>
      </c>
      <c r="CQ47" s="154" t="str" cm="1">
        <f t="array" ref="CQ47">IF(IFERROR(INDEX($B$34:$BO$262,CN47,$CO$2),"")=0,"",IFERROR(INDEX($B$34:$BO$262,CN47,$CO$2),""))</f>
        <v/>
      </c>
      <c r="CR47" s="154">
        <f>IFERROR(IF(CN46+1&gt;CS2,CR46+1,0),"")</f>
        <v>0</v>
      </c>
      <c r="CT47" s="155" t="str">
        <f t="shared" si="5"/>
        <v/>
      </c>
      <c r="CU47" s="156" t="str" cm="1">
        <f t="array" ref="CU47">INDEX(CT:CT,SMALL(IF($CT$2:$CT$101&lt;&gt;"",ROW($CT$2:$CT$101),142),ROW(CT46)))&amp;""</f>
        <v/>
      </c>
      <c r="CV47" s="157" t="str">
        <f t="shared" si="3"/>
        <v/>
      </c>
      <c r="CW47" s="154" t="str">
        <f>IF(主要!AX56="","",主要!AX56)</f>
        <v/>
      </c>
      <c r="CX47" s="154" t="str">
        <f t="shared" si="4"/>
        <v/>
      </c>
    </row>
    <row r="48" spans="1:102" ht="16.149999999999999" customHeight="1" thickBot="1" x14ac:dyDescent="0.2">
      <c r="A48" s="140">
        <v>15</v>
      </c>
      <c r="B48" s="166">
        <v>5</v>
      </c>
      <c r="C48" s="148" t="s">
        <v>3889</v>
      </c>
      <c r="D48" s="153" t="s">
        <v>3901</v>
      </c>
      <c r="E48" s="148">
        <v>2</v>
      </c>
      <c r="F48" s="148" t="s">
        <v>3753</v>
      </c>
      <c r="G48" s="153" t="s">
        <v>3902</v>
      </c>
      <c r="H48" s="148">
        <v>2</v>
      </c>
      <c r="I48" s="148" t="s">
        <v>3903</v>
      </c>
      <c r="J48" s="153" t="s">
        <v>3904</v>
      </c>
      <c r="K48" s="148">
        <v>1</v>
      </c>
      <c r="L48" s="148" t="s">
        <v>3905</v>
      </c>
      <c r="M48" s="153" t="s">
        <v>3906</v>
      </c>
      <c r="N48" s="148">
        <v>5</v>
      </c>
      <c r="O48" s="148" t="s">
        <v>3907</v>
      </c>
      <c r="P48" s="153" t="s">
        <v>3908</v>
      </c>
      <c r="Q48" s="148">
        <v>4</v>
      </c>
      <c r="R48" s="148" t="s">
        <v>3909</v>
      </c>
      <c r="S48" s="153" t="s">
        <v>3910</v>
      </c>
      <c r="T48" s="148">
        <v>2</v>
      </c>
      <c r="U48" s="148" t="s">
        <v>3746</v>
      </c>
      <c r="V48" s="153" t="s">
        <v>5650</v>
      </c>
      <c r="W48" s="148">
        <v>2</v>
      </c>
      <c r="X48" s="148" t="s">
        <v>3912</v>
      </c>
      <c r="Y48" s="153" t="s">
        <v>3913</v>
      </c>
      <c r="Z48" s="148">
        <v>5</v>
      </c>
      <c r="AA48" s="148" t="s">
        <v>3914</v>
      </c>
      <c r="AB48" s="153" t="s">
        <v>3915</v>
      </c>
      <c r="AC48" s="148">
        <v>2</v>
      </c>
      <c r="AD48" s="148" t="s">
        <v>3916</v>
      </c>
      <c r="AE48" s="153" t="s">
        <v>3917</v>
      </c>
      <c r="AG48" s="167" t="str">
        <f>IF(自定义调整栏!$E$3="O","永生者赠礼","")</f>
        <v>永生者赠礼</v>
      </c>
      <c r="AH48" s="186" t="s">
        <v>3897</v>
      </c>
      <c r="AJ48" s="148" t="s">
        <v>3919</v>
      </c>
      <c r="AK48" s="153" t="s">
        <v>3920</v>
      </c>
      <c r="AL48" s="148">
        <v>2</v>
      </c>
      <c r="AM48" s="148" t="s">
        <v>3921</v>
      </c>
      <c r="AN48" s="153" t="s">
        <v>3922</v>
      </c>
      <c r="AO48" s="148">
        <v>1</v>
      </c>
      <c r="AP48" s="148" t="s">
        <v>3923</v>
      </c>
      <c r="AQ48" s="233" t="s">
        <v>10559</v>
      </c>
      <c r="AS48" s="181" t="s">
        <v>5651</v>
      </c>
      <c r="AT48" s="188" t="s">
        <v>5652</v>
      </c>
      <c r="AU48" s="148">
        <v>2</v>
      </c>
      <c r="AV48" s="181" t="s">
        <v>5879</v>
      </c>
      <c r="AW48" s="188" t="s">
        <v>5880</v>
      </c>
      <c r="AX48" s="180"/>
      <c r="AY48" s="265" t="s">
        <v>7342</v>
      </c>
      <c r="AZ48" s="266" t="s">
        <v>7343</v>
      </c>
      <c r="BA48" s="148">
        <v>2</v>
      </c>
      <c r="BB48" s="265" t="s">
        <v>8356</v>
      </c>
      <c r="BC48" s="266" t="s">
        <v>8357</v>
      </c>
      <c r="BD48" s="148">
        <v>4</v>
      </c>
      <c r="BE48" s="180" t="s">
        <v>10483</v>
      </c>
      <c r="BF48" s="233" t="s">
        <v>10467</v>
      </c>
      <c r="BO48" s="153"/>
      <c r="CH48" s="179" t="s">
        <v>9816</v>
      </c>
      <c r="CI48" s="148">
        <v>135</v>
      </c>
      <c r="CJ48" s="148" cm="1">
        <f t="array" ref="CJ48">_xlfn.IFS($AZ$2&gt;=14,138,$AZ$2&gt;=10,137,$AZ$2&gt;=6,136,$AZ$2&gt;=3,135,1,0)</f>
        <v>0</v>
      </c>
      <c r="CN48" s="154">
        <f>IFERROR(IF(CN47+1&gt;CS2,IF(CN47+1&gt;CS2,IF(CR3+CR47&gt;CS3,"",CR3+CR47)),CN47+1),"")</f>
        <v>43</v>
      </c>
      <c r="CO48" s="154" t="str" cm="1">
        <f t="array" ref="CO48">IFERROR(INDEX($B$34:$BO$262,CN48,$CP$2),"")</f>
        <v/>
      </c>
      <c r="CP48" s="154" t="str" cm="1">
        <f t="array" ref="CP48">IFERROR(INDEX($B$34:$BO$262,CN48,$CQ$2),"")</f>
        <v/>
      </c>
      <c r="CQ48" s="154" t="str" cm="1">
        <f t="array" ref="CQ48">IF(IFERROR(INDEX($B$34:$BO$262,CN48,$CO$2),"")=0,"",IFERROR(INDEX($B$34:$BO$262,CN48,$CO$2),""))</f>
        <v/>
      </c>
      <c r="CR48" s="154">
        <f>IFERROR(IF(CN47+1&gt;CS2,CR47+1,0),"")</f>
        <v>0</v>
      </c>
      <c r="CT48" s="155" t="str">
        <f t="shared" si="5"/>
        <v/>
      </c>
      <c r="CU48" s="156" t="str" cm="1">
        <f t="array" ref="CU48">INDEX(CT:CT,SMALL(IF($CT$2:$CT$101&lt;&gt;"",ROW($CT$2:$CT$101),142),ROW(CT47)))&amp;""</f>
        <v/>
      </c>
      <c r="CV48" s="157" t="str">
        <f t="shared" si="3"/>
        <v/>
      </c>
      <c r="CW48" s="154" t="str">
        <f>IF(主要!AX57="","",主要!AX57)</f>
        <v/>
      </c>
      <c r="CX48" s="154" t="str">
        <f t="shared" si="4"/>
        <v/>
      </c>
    </row>
    <row r="49" spans="1:102" ht="16.149999999999999" customHeight="1" x14ac:dyDescent="0.15">
      <c r="A49" s="140">
        <v>16</v>
      </c>
      <c r="B49" s="166">
        <v>5</v>
      </c>
      <c r="C49" s="148" t="s">
        <v>3925</v>
      </c>
      <c r="D49" s="153" t="s">
        <v>3926</v>
      </c>
      <c r="E49" s="148">
        <v>2</v>
      </c>
      <c r="F49" s="148" t="s">
        <v>3927</v>
      </c>
      <c r="G49" s="153" t="s">
        <v>3928</v>
      </c>
      <c r="I49" s="148" t="s">
        <v>3929</v>
      </c>
      <c r="J49" s="153" t="s">
        <v>3930</v>
      </c>
      <c r="K49" s="148">
        <v>2</v>
      </c>
      <c r="L49" s="148" t="s">
        <v>3931</v>
      </c>
      <c r="M49" s="153" t="s">
        <v>3932</v>
      </c>
      <c r="N49" s="148">
        <v>9</v>
      </c>
      <c r="O49" s="148" t="s">
        <v>3933</v>
      </c>
      <c r="P49" s="153" t="s">
        <v>3934</v>
      </c>
      <c r="Q49" s="148">
        <v>5</v>
      </c>
      <c r="R49" s="148" t="s">
        <v>3889</v>
      </c>
      <c r="S49" s="153" t="s">
        <v>3901</v>
      </c>
      <c r="T49" s="148">
        <v>2</v>
      </c>
      <c r="U49" s="148" t="s">
        <v>3935</v>
      </c>
      <c r="V49" s="153" t="s">
        <v>3936</v>
      </c>
      <c r="W49" s="148">
        <v>2</v>
      </c>
      <c r="X49" s="148" t="s">
        <v>3746</v>
      </c>
      <c r="Y49" s="153" t="s">
        <v>3911</v>
      </c>
      <c r="Z49" s="148">
        <v>5</v>
      </c>
      <c r="AA49" s="148" t="s">
        <v>3937</v>
      </c>
      <c r="AB49" s="153" t="s">
        <v>3938</v>
      </c>
      <c r="AC49" s="148">
        <v>2</v>
      </c>
      <c r="AD49" s="148" t="s">
        <v>3939</v>
      </c>
      <c r="AE49" s="153" t="s">
        <v>3940</v>
      </c>
      <c r="AG49" s="167" t="str">
        <f>IF(自定义调整栏!$E$3="O","进阶契约武器","")</f>
        <v>进阶契约武器</v>
      </c>
      <c r="AH49" s="186" t="s">
        <v>3918</v>
      </c>
      <c r="AJ49" s="148" t="s">
        <v>3942</v>
      </c>
      <c r="AK49" s="153" t="s">
        <v>3943</v>
      </c>
      <c r="AL49" s="148">
        <v>2</v>
      </c>
      <c r="AM49" s="148" t="s">
        <v>3944</v>
      </c>
      <c r="AN49" s="234" t="s">
        <v>10277</v>
      </c>
      <c r="AO49" s="148">
        <v>2</v>
      </c>
      <c r="AP49" s="148" t="s">
        <v>3945</v>
      </c>
      <c r="AQ49" s="234" t="s">
        <v>10560</v>
      </c>
      <c r="AS49" s="181" t="s">
        <v>5653</v>
      </c>
      <c r="AT49" s="188" t="s">
        <v>5654</v>
      </c>
      <c r="AU49" s="148">
        <v>2</v>
      </c>
      <c r="AV49" s="181" t="s">
        <v>5881</v>
      </c>
      <c r="AW49" s="188" t="s">
        <v>5882</v>
      </c>
      <c r="AX49" s="180"/>
      <c r="AY49" s="265" t="s">
        <v>7344</v>
      </c>
      <c r="AZ49" s="266" t="s">
        <v>7345</v>
      </c>
      <c r="BA49" s="148">
        <v>2</v>
      </c>
      <c r="BB49" s="265" t="s">
        <v>8358</v>
      </c>
      <c r="BC49" s="266" t="s">
        <v>8359</v>
      </c>
      <c r="BD49" s="148">
        <v>5</v>
      </c>
      <c r="BE49" s="180" t="s">
        <v>7352</v>
      </c>
      <c r="BF49" s="233" t="s">
        <v>10450</v>
      </c>
      <c r="BO49" s="153"/>
      <c r="CH49" s="163" t="s">
        <v>3589</v>
      </c>
      <c r="CI49" s="163">
        <v>25</v>
      </c>
      <c r="CJ49" s="163" cm="1">
        <f t="array" ref="CJ49">_xlfn.IFS($AZ$3&gt;=14,28,$AZ$3&gt;=6,27,$AZ$3&gt;=3,25,1,0)</f>
        <v>0</v>
      </c>
      <c r="CN49" s="154">
        <f>IFERROR(IF(CN48+1&gt;CS2,IF(CN48+1&gt;CS2,IF(CR3+CR48&gt;CS3,"",CR3+CR48)),CN48+1),"")</f>
        <v>44</v>
      </c>
      <c r="CO49" s="154" t="str" cm="1">
        <f t="array" ref="CO49">IFERROR(INDEX($B$34:$BO$262,CN49,$CP$2),"")</f>
        <v/>
      </c>
      <c r="CP49" s="154" t="str" cm="1">
        <f t="array" ref="CP49">IFERROR(INDEX($B$34:$BO$262,CN49,$CQ$2),"")</f>
        <v/>
      </c>
      <c r="CQ49" s="154" t="str" cm="1">
        <f t="array" ref="CQ49">IF(IFERROR(INDEX($B$34:$BO$262,CN49,$CO$2),"")=0,"",IFERROR(INDEX($B$34:$BO$262,CN49,$CO$2),""))</f>
        <v/>
      </c>
      <c r="CR49" s="154">
        <f>IFERROR(IF(CN48+1&gt;CS2,CR48+1,0),"")</f>
        <v>0</v>
      </c>
      <c r="CT49" s="155" t="str">
        <f t="shared" si="5"/>
        <v/>
      </c>
      <c r="CU49" s="156" t="str" cm="1">
        <f t="array" ref="CU49">INDEX(CT:CT,SMALL(IF($CT$2:$CT$101&lt;&gt;"",ROW($CT$2:$CT$101),142),ROW(CT48)))&amp;""</f>
        <v/>
      </c>
      <c r="CV49" s="157" t="str">
        <f t="shared" si="3"/>
        <v/>
      </c>
      <c r="CW49" s="154" t="str">
        <f>IF(主要!AX58="","",主要!AX58)</f>
        <v/>
      </c>
      <c r="CX49" s="154" t="str">
        <f t="shared" si="4"/>
        <v/>
      </c>
    </row>
    <row r="50" spans="1:102" ht="16.149999999999999" customHeight="1" x14ac:dyDescent="0.15">
      <c r="A50" s="140">
        <v>17</v>
      </c>
      <c r="B50" s="166">
        <v>7</v>
      </c>
      <c r="C50" s="148" t="s">
        <v>3947</v>
      </c>
      <c r="D50" s="153" t="s">
        <v>3948</v>
      </c>
      <c r="E50" s="148">
        <v>3</v>
      </c>
      <c r="F50" s="148" t="s">
        <v>3949</v>
      </c>
      <c r="G50" s="153" t="s">
        <v>3950</v>
      </c>
      <c r="I50" s="148" t="s">
        <v>3951</v>
      </c>
      <c r="J50" s="153" t="s">
        <v>3952</v>
      </c>
      <c r="L50" s="148" t="s">
        <v>3953</v>
      </c>
      <c r="M50" s="153" t="s">
        <v>3954</v>
      </c>
      <c r="N50" s="148">
        <v>9</v>
      </c>
      <c r="O50" s="148" t="s">
        <v>3955</v>
      </c>
      <c r="P50" s="153" t="s">
        <v>3956</v>
      </c>
      <c r="Q50" s="148">
        <v>5</v>
      </c>
      <c r="R50" s="148" t="s">
        <v>3957</v>
      </c>
      <c r="S50" s="153" t="s">
        <v>3958</v>
      </c>
      <c r="T50" s="148">
        <v>3</v>
      </c>
      <c r="U50" s="148" t="s">
        <v>3903</v>
      </c>
      <c r="V50" s="153" t="s">
        <v>3959</v>
      </c>
      <c r="W50" s="148">
        <v>3</v>
      </c>
      <c r="X50" s="148" t="s">
        <v>3960</v>
      </c>
      <c r="Y50" s="153" t="s">
        <v>3961</v>
      </c>
      <c r="Z50" s="148">
        <v>7</v>
      </c>
      <c r="AA50" s="148" t="s">
        <v>3962</v>
      </c>
      <c r="AB50" s="153" t="s">
        <v>3963</v>
      </c>
      <c r="AD50" s="142" t="s">
        <v>3964</v>
      </c>
      <c r="AE50" s="185" t="s">
        <v>3965</v>
      </c>
      <c r="AG50" s="168" t="str">
        <f>IF(自定义调整栏!$E$4="O","链主赋能","")</f>
        <v>链主赋能</v>
      </c>
      <c r="AH50" s="187" t="s">
        <v>3941</v>
      </c>
      <c r="AJ50" s="148" t="s">
        <v>3967</v>
      </c>
      <c r="AK50" s="153" t="s">
        <v>3968</v>
      </c>
      <c r="AL50" s="148">
        <v>3</v>
      </c>
      <c r="AM50" s="148" t="s">
        <v>3969</v>
      </c>
      <c r="AN50" s="234" t="s">
        <v>10281</v>
      </c>
      <c r="AP50" s="180" t="s">
        <v>10562</v>
      </c>
      <c r="AQ50" s="240" t="s">
        <v>10573</v>
      </c>
      <c r="AR50" s="148">
        <v>1</v>
      </c>
      <c r="AS50" s="148" t="s">
        <v>3746</v>
      </c>
      <c r="AT50" s="153" t="s">
        <v>5655</v>
      </c>
      <c r="AU50" s="148">
        <v>2</v>
      </c>
      <c r="AV50" s="181" t="s">
        <v>5883</v>
      </c>
      <c r="AW50" s="188" t="s">
        <v>5884</v>
      </c>
      <c r="AX50" s="180"/>
      <c r="AY50" s="265" t="s">
        <v>7346</v>
      </c>
      <c r="AZ50" s="266" t="s">
        <v>7347</v>
      </c>
      <c r="BA50" s="148">
        <v>2</v>
      </c>
      <c r="BB50" s="265" t="s">
        <v>8360</v>
      </c>
      <c r="BC50" s="266" t="s">
        <v>8361</v>
      </c>
      <c r="BD50" s="148">
        <v>5</v>
      </c>
      <c r="BE50" s="180" t="s">
        <v>10484</v>
      </c>
      <c r="BF50" s="233" t="s">
        <v>10460</v>
      </c>
      <c r="BO50" s="153"/>
      <c r="CH50" s="148" t="s">
        <v>3590</v>
      </c>
      <c r="CI50" s="148">
        <v>29</v>
      </c>
      <c r="CJ50" s="148" cm="1">
        <f t="array" ref="CJ50">_xlfn.IFS($AZ$3&gt;=14,32,$AZ$3&gt;=6,31,$AZ$3&gt;=3,30,1,0)</f>
        <v>0</v>
      </c>
      <c r="CN50" s="154">
        <f>IFERROR(IF(CN49+1&gt;CS2,IF(CN49+1&gt;CS2,IF(CR3+CR49&gt;CS3,"",CR3+CR49)),CN49+1),"")</f>
        <v>45</v>
      </c>
      <c r="CO50" s="154" t="str" cm="1">
        <f t="array" ref="CO50">IFERROR(INDEX($B$34:$BO$262,CN50,$CP$2),"")</f>
        <v/>
      </c>
      <c r="CP50" s="154" t="str" cm="1">
        <f t="array" ref="CP50">IFERROR(INDEX($B$34:$BO$262,CN50,$CQ$2),"")</f>
        <v/>
      </c>
      <c r="CQ50" s="154" t="str" cm="1">
        <f t="array" ref="CQ50">IF(IFERROR(INDEX($B$34:$BO$262,CN50,$CO$2),"")=0,"",IFERROR(INDEX($B$34:$BO$262,CN50,$CO$2),""))</f>
        <v/>
      </c>
      <c r="CR50" s="154">
        <f>IFERROR(IF(CN49+1&gt;CS2,CR49+1,0),"")</f>
        <v>0</v>
      </c>
      <c r="CT50" s="155" t="str">
        <f t="shared" si="5"/>
        <v/>
      </c>
      <c r="CU50" s="156" t="str" cm="1">
        <f t="array" ref="CU50">INDEX(CT:CT,SMALL(IF($CT$2:$CT$101&lt;&gt;"",ROW($CT$2:$CT$101),142),ROW(CT49)))&amp;""</f>
        <v/>
      </c>
      <c r="CV50" s="157" t="str">
        <f t="shared" si="3"/>
        <v/>
      </c>
      <c r="CW50" s="154" t="str">
        <f>IF(主要!AX59="","",主要!AX59)</f>
        <v/>
      </c>
      <c r="CX50" s="154" t="str">
        <f t="shared" si="4"/>
        <v/>
      </c>
    </row>
    <row r="51" spans="1:102" ht="16.149999999999999" customHeight="1" x14ac:dyDescent="0.15">
      <c r="A51" s="140">
        <v>18</v>
      </c>
      <c r="B51" s="166">
        <v>7</v>
      </c>
      <c r="C51" s="148" t="s">
        <v>3971</v>
      </c>
      <c r="D51" s="153" t="s">
        <v>3972</v>
      </c>
      <c r="E51" s="148">
        <v>4</v>
      </c>
      <c r="F51" s="148" t="s">
        <v>3867</v>
      </c>
      <c r="G51" s="153" t="s">
        <v>3973</v>
      </c>
      <c r="H51" s="148">
        <v>3</v>
      </c>
      <c r="I51" s="148" t="s">
        <v>3974</v>
      </c>
      <c r="J51" s="153" t="s">
        <v>3975</v>
      </c>
      <c r="L51" s="148" t="s">
        <v>3976</v>
      </c>
      <c r="M51" s="153" t="s">
        <v>3977</v>
      </c>
      <c r="N51" s="148">
        <v>11</v>
      </c>
      <c r="O51" s="148" t="s">
        <v>3978</v>
      </c>
      <c r="P51" s="153" t="s">
        <v>3979</v>
      </c>
      <c r="Q51" s="148">
        <v>6</v>
      </c>
      <c r="R51" s="148" t="s">
        <v>3980</v>
      </c>
      <c r="S51" s="153" t="s">
        <v>3981</v>
      </c>
      <c r="U51" s="148" t="s">
        <v>3982</v>
      </c>
      <c r="V51" s="153" t="s">
        <v>3983</v>
      </c>
      <c r="W51" s="148">
        <v>4</v>
      </c>
      <c r="X51" s="148" t="s">
        <v>3867</v>
      </c>
      <c r="Y51" s="153" t="s">
        <v>3984</v>
      </c>
      <c r="Z51" s="148">
        <v>7</v>
      </c>
      <c r="AA51" s="148" t="s">
        <v>3985</v>
      </c>
      <c r="AB51" s="153" t="s">
        <v>3986</v>
      </c>
      <c r="AD51" s="142" t="s">
        <v>3987</v>
      </c>
      <c r="AE51" s="185" t="s">
        <v>3988</v>
      </c>
      <c r="AG51" s="168" t="str">
        <f>IF(自定义调整栏!$E$4="O","符令责斥","")</f>
        <v>符令责斥</v>
      </c>
      <c r="AH51" s="187" t="s">
        <v>3966</v>
      </c>
      <c r="AI51" s="148">
        <v>1</v>
      </c>
      <c r="AJ51" s="148" t="s">
        <v>3991</v>
      </c>
      <c r="AK51" s="153" t="s">
        <v>3992</v>
      </c>
      <c r="AL51" s="148">
        <v>4</v>
      </c>
      <c r="AM51" s="148" t="s">
        <v>3867</v>
      </c>
      <c r="AN51" s="153" t="s">
        <v>3993</v>
      </c>
      <c r="AP51" s="180" t="s">
        <v>10563</v>
      </c>
      <c r="AQ51" s="240" t="s">
        <v>10574</v>
      </c>
      <c r="AR51" s="148">
        <v>2</v>
      </c>
      <c r="AS51" s="148" t="s">
        <v>5656</v>
      </c>
      <c r="AT51" s="153" t="s">
        <v>5657</v>
      </c>
      <c r="AU51" s="148">
        <v>2</v>
      </c>
      <c r="AV51" s="181" t="s">
        <v>5885</v>
      </c>
      <c r="AW51" s="188" t="s">
        <v>5886</v>
      </c>
      <c r="AX51" s="180">
        <v>3</v>
      </c>
      <c r="AY51" s="180" t="s">
        <v>7348</v>
      </c>
      <c r="AZ51" s="233" t="s">
        <v>7349</v>
      </c>
      <c r="BA51" s="148">
        <v>3</v>
      </c>
      <c r="BB51" s="180" t="s">
        <v>8329</v>
      </c>
      <c r="BC51" s="233" t="s">
        <v>8330</v>
      </c>
      <c r="BD51" s="148">
        <v>6</v>
      </c>
      <c r="BE51" s="180" t="s">
        <v>10485</v>
      </c>
      <c r="BF51" s="233" t="s">
        <v>10461</v>
      </c>
      <c r="BO51" s="153"/>
      <c r="CH51" s="148" t="s">
        <v>3591</v>
      </c>
      <c r="CI51" s="148">
        <v>33</v>
      </c>
      <c r="CJ51" s="148" cm="1">
        <f t="array" ref="CJ51">_xlfn.IFS($AZ$3&gt;=14,36,$AZ$3&gt;=6,35,$AZ$3&gt;=3,34,1,0)</f>
        <v>0</v>
      </c>
      <c r="CN51" s="154">
        <f>IFERROR(IF(CN50+1&gt;CS2,IF(CN50+1&gt;CS2,IF(CR3+CR50&gt;CS3,"",CR3+CR50)),CN50+1),"")</f>
        <v>46</v>
      </c>
      <c r="CO51" s="154" t="str" cm="1">
        <f t="array" ref="CO51">IFERROR(INDEX($B$34:$BO$262,CN51,$CP$2),"")</f>
        <v/>
      </c>
      <c r="CP51" s="154" t="str" cm="1">
        <f t="array" ref="CP51">IFERROR(INDEX($B$34:$BO$262,CN51,$CQ$2),"")</f>
        <v/>
      </c>
      <c r="CQ51" s="154" t="str" cm="1">
        <f t="array" ref="CQ51">IF(IFERROR(INDEX($B$34:$BO$262,CN51,$CO$2),"")=0,"",IFERROR(INDEX($B$34:$BO$262,CN51,$CO$2),""))</f>
        <v/>
      </c>
      <c r="CR51" s="154">
        <f>IFERROR(IF(CN50+1&gt;CS2,CR50+1,0),"")</f>
        <v>0</v>
      </c>
      <c r="CT51" s="155" t="str">
        <f t="shared" si="5"/>
        <v/>
      </c>
      <c r="CU51" s="156" t="str" cm="1">
        <f t="array" ref="CU51">INDEX(CT:CT,SMALL(IF($CT$2:$CT$101&lt;&gt;"",ROW($CT$2:$CT$101),142),ROW(CT50)))&amp;""</f>
        <v/>
      </c>
      <c r="CV51" s="157" t="str">
        <f t="shared" si="3"/>
        <v/>
      </c>
      <c r="CW51" s="154" t="str">
        <f>IF(主要!AX60="","",主要!AX60)</f>
        <v/>
      </c>
      <c r="CX51" s="154" t="str">
        <f t="shared" si="4"/>
        <v/>
      </c>
    </row>
    <row r="52" spans="1:102" ht="16.149999999999999" customHeight="1" x14ac:dyDescent="0.15">
      <c r="A52" s="140">
        <v>19</v>
      </c>
      <c r="B52" s="166">
        <v>9</v>
      </c>
      <c r="C52" s="148" t="s">
        <v>3996</v>
      </c>
      <c r="D52" s="153" t="s">
        <v>3997</v>
      </c>
      <c r="E52" s="148">
        <v>5</v>
      </c>
      <c r="F52" s="148" t="s">
        <v>3998</v>
      </c>
      <c r="G52" s="153" t="s">
        <v>3999</v>
      </c>
      <c r="H52" s="148">
        <v>4</v>
      </c>
      <c r="I52" s="148" t="s">
        <v>3867</v>
      </c>
      <c r="J52" s="153" t="s">
        <v>5620</v>
      </c>
      <c r="L52" s="148" t="s">
        <v>4000</v>
      </c>
      <c r="M52" s="153" t="s">
        <v>4001</v>
      </c>
      <c r="N52" s="148">
        <v>13</v>
      </c>
      <c r="O52" s="148" t="s">
        <v>4002</v>
      </c>
      <c r="P52" s="153" t="s">
        <v>4003</v>
      </c>
      <c r="Q52" s="148">
        <v>7</v>
      </c>
      <c r="R52" s="148" t="s">
        <v>3962</v>
      </c>
      <c r="S52" s="153" t="s">
        <v>4004</v>
      </c>
      <c r="T52" s="148">
        <v>3</v>
      </c>
      <c r="U52" s="148" t="s">
        <v>4005</v>
      </c>
      <c r="V52" s="153" t="s">
        <v>4006</v>
      </c>
      <c r="W52" s="148">
        <v>5</v>
      </c>
      <c r="X52" s="148" t="s">
        <v>3889</v>
      </c>
      <c r="Y52" s="153" t="s">
        <v>3890</v>
      </c>
      <c r="Z52" s="148">
        <v>11</v>
      </c>
      <c r="AA52" s="148" t="s">
        <v>4007</v>
      </c>
      <c r="AB52" s="153" t="s">
        <v>4008</v>
      </c>
      <c r="AD52" s="142" t="s">
        <v>4009</v>
      </c>
      <c r="AE52" s="185" t="s">
        <v>4010</v>
      </c>
      <c r="AF52" s="148">
        <v>1</v>
      </c>
      <c r="AG52" s="148" t="s">
        <v>3989</v>
      </c>
      <c r="AH52" s="153" t="s">
        <v>3990</v>
      </c>
      <c r="AI52" s="148">
        <v>1</v>
      </c>
      <c r="AJ52" s="148" t="s">
        <v>4012</v>
      </c>
      <c r="AK52" s="153" t="s">
        <v>4013</v>
      </c>
      <c r="AL52" s="148">
        <v>6</v>
      </c>
      <c r="AM52" s="148" t="s">
        <v>4014</v>
      </c>
      <c r="AN52" s="234" t="s">
        <v>10282</v>
      </c>
      <c r="AP52" s="180" t="s">
        <v>10564</v>
      </c>
      <c r="AQ52" s="240" t="s">
        <v>10575</v>
      </c>
      <c r="AR52" s="148">
        <v>2</v>
      </c>
      <c r="AS52" s="148" t="s">
        <v>5658</v>
      </c>
      <c r="AT52" s="153" t="s">
        <v>5659</v>
      </c>
      <c r="AU52" s="148">
        <v>2</v>
      </c>
      <c r="AV52" s="181" t="s">
        <v>5887</v>
      </c>
      <c r="AW52" s="188" t="s">
        <v>5888</v>
      </c>
      <c r="AX52" s="180">
        <v>4</v>
      </c>
      <c r="AY52" s="180" t="s">
        <v>7350</v>
      </c>
      <c r="AZ52" s="233" t="s">
        <v>7351</v>
      </c>
      <c r="BA52" s="148">
        <v>3</v>
      </c>
      <c r="BB52" s="180" t="s">
        <v>8331</v>
      </c>
      <c r="BC52" s="233" t="s">
        <v>8332</v>
      </c>
      <c r="BD52" s="148">
        <v>7</v>
      </c>
      <c r="BE52" s="180" t="s">
        <v>10486</v>
      </c>
      <c r="BF52" s="233" t="s">
        <v>10468</v>
      </c>
      <c r="BO52" s="153"/>
      <c r="CH52" s="148" t="s">
        <v>3592</v>
      </c>
      <c r="CI52" s="148">
        <v>37</v>
      </c>
      <c r="CJ52" s="148" cm="1">
        <f t="array" ref="CJ52">_xlfn.IFS($AZ$3&gt;=14,40,$AZ$3&gt;=6,39,$AZ$3&gt;=3,38,1,0)</f>
        <v>0</v>
      </c>
      <c r="CN52" s="154">
        <f>IFERROR(IF(CN51+1&gt;CS2,IF(CN51+1&gt;CS2,IF(CR3+CR51&gt;CS3,"",CR3+CR51)),CN51+1),"")</f>
        <v>47</v>
      </c>
      <c r="CO52" s="154" t="str" cm="1">
        <f t="array" ref="CO52">IFERROR(INDEX($B$34:$BO$262,CN52,$CP$2),"")</f>
        <v/>
      </c>
      <c r="CP52" s="154" t="str" cm="1">
        <f t="array" ref="CP52">IFERROR(INDEX($B$34:$BO$262,CN52,$CQ$2),"")</f>
        <v/>
      </c>
      <c r="CQ52" s="154" t="str" cm="1">
        <f t="array" ref="CQ52">IF(IFERROR(INDEX($B$34:$BO$262,CN52,$CO$2),"")=0,"",IFERROR(INDEX($B$34:$BO$262,CN52,$CO$2),""))</f>
        <v/>
      </c>
      <c r="CR52" s="154">
        <f>IFERROR(IF(CN51+1&gt;CS2,CR51+1,0),"")</f>
        <v>0</v>
      </c>
      <c r="CT52" s="155" t="str">
        <f t="shared" si="5"/>
        <v/>
      </c>
      <c r="CU52" s="156" t="str" cm="1">
        <f t="array" ref="CU52">INDEX(CT:CT,SMALL(IF($CT$2:$CT$101&lt;&gt;"",ROW($CT$2:$CT$101),142),ROW(CT51)))&amp;""</f>
        <v/>
      </c>
      <c r="CV52" s="157" t="str">
        <f t="shared" si="3"/>
        <v/>
      </c>
      <c r="CW52" s="154" t="str">
        <f>IF(主要!AX61="","",主要!AX61)</f>
        <v/>
      </c>
      <c r="CX52" s="154" t="str">
        <f t="shared" si="4"/>
        <v/>
      </c>
    </row>
    <row r="53" spans="1:102" ht="16.149999999999999" customHeight="1" x14ac:dyDescent="0.15">
      <c r="A53" s="140">
        <v>20</v>
      </c>
      <c r="B53" s="166">
        <v>11</v>
      </c>
      <c r="C53" s="148" t="s">
        <v>4017</v>
      </c>
      <c r="D53" s="153" t="s">
        <v>4018</v>
      </c>
      <c r="E53" s="148">
        <v>7</v>
      </c>
      <c r="F53" s="148" t="s">
        <v>4019</v>
      </c>
      <c r="G53" s="153" t="s">
        <v>4020</v>
      </c>
      <c r="H53" s="148">
        <v>5</v>
      </c>
      <c r="I53" s="148" t="s">
        <v>4021</v>
      </c>
      <c r="J53" s="153" t="s">
        <v>4022</v>
      </c>
      <c r="L53" s="148" t="s">
        <v>4023</v>
      </c>
      <c r="M53" s="153" t="s">
        <v>4024</v>
      </c>
      <c r="N53" s="148">
        <v>19</v>
      </c>
      <c r="O53" s="148" t="s">
        <v>4025</v>
      </c>
      <c r="P53" s="153" t="s">
        <v>4026</v>
      </c>
      <c r="Q53" s="148">
        <v>9</v>
      </c>
      <c r="R53" s="148" t="s">
        <v>4027</v>
      </c>
      <c r="S53" s="153" t="s">
        <v>4028</v>
      </c>
      <c r="T53" s="148">
        <v>4</v>
      </c>
      <c r="U53" s="148" t="s">
        <v>3867</v>
      </c>
      <c r="V53" s="153" t="s">
        <v>4029</v>
      </c>
      <c r="W53" s="148">
        <v>6</v>
      </c>
      <c r="X53" s="148" t="s">
        <v>4030</v>
      </c>
      <c r="Y53" s="153" t="s">
        <v>4031</v>
      </c>
      <c r="Z53" s="148">
        <v>14</v>
      </c>
      <c r="AA53" s="148" t="s">
        <v>4032</v>
      </c>
      <c r="AB53" s="153" t="s">
        <v>4033</v>
      </c>
      <c r="AD53" s="142" t="s">
        <v>4034</v>
      </c>
      <c r="AE53" s="185" t="s">
        <v>4035</v>
      </c>
      <c r="AG53" s="148" t="s">
        <v>3764</v>
      </c>
      <c r="AH53" s="153" t="s">
        <v>4011</v>
      </c>
      <c r="AI53" s="148">
        <v>2</v>
      </c>
      <c r="AJ53" s="148" t="s">
        <v>4037</v>
      </c>
      <c r="AK53" s="153" t="s">
        <v>4038</v>
      </c>
      <c r="AL53" s="148">
        <v>6</v>
      </c>
      <c r="AM53" s="148" t="s">
        <v>4039</v>
      </c>
      <c r="AN53" s="234" t="s">
        <v>10278</v>
      </c>
      <c r="AP53" s="180" t="s">
        <v>10565</v>
      </c>
      <c r="AQ53" s="268" t="s">
        <v>10576</v>
      </c>
      <c r="AR53" s="148">
        <v>2</v>
      </c>
      <c r="AS53" s="148" t="s">
        <v>5660</v>
      </c>
      <c r="AT53" s="153" t="s">
        <v>5661</v>
      </c>
      <c r="AU53" s="148">
        <v>2</v>
      </c>
      <c r="AV53" s="181" t="s">
        <v>5889</v>
      </c>
      <c r="AW53" s="188" t="s">
        <v>5890</v>
      </c>
      <c r="AX53" s="180">
        <v>5</v>
      </c>
      <c r="AY53" s="180" t="s">
        <v>7352</v>
      </c>
      <c r="AZ53" s="233" t="s">
        <v>7353</v>
      </c>
      <c r="BA53" s="148">
        <v>4</v>
      </c>
      <c r="BB53" s="180" t="s">
        <v>6653</v>
      </c>
      <c r="BC53" s="233" t="s">
        <v>8333</v>
      </c>
      <c r="BD53" s="148">
        <v>9</v>
      </c>
      <c r="BE53" s="180" t="s">
        <v>10487</v>
      </c>
      <c r="BF53" s="233" t="s">
        <v>10469</v>
      </c>
      <c r="BO53" s="153"/>
      <c r="CH53" s="148" t="s">
        <v>3924</v>
      </c>
      <c r="CI53" s="148">
        <v>41</v>
      </c>
      <c r="CJ53" s="148" cm="1">
        <f t="array" ref="CJ53">_xlfn.IFS($AZ$3&gt;=14,45,$AZ$3&gt;=6,44,$AZ$3&gt;=3,43,1,0)</f>
        <v>0</v>
      </c>
      <c r="CN53" s="154">
        <f>IFERROR(IF(CN52+1&gt;CS2,IF(CN52+1&gt;CS2,IF(CR3+CR52&gt;CS3,"",CR3+CR52)),CN52+1),"")</f>
        <v>48</v>
      </c>
      <c r="CO53" s="154" t="str" cm="1">
        <f t="array" ref="CO53">IFERROR(INDEX($B$34:$BO$262,CN53,$CP$2),"")</f>
        <v/>
      </c>
      <c r="CP53" s="154" t="str" cm="1">
        <f t="array" ref="CP53">IFERROR(INDEX($B$34:$BO$262,CN53,$CQ$2),"")</f>
        <v/>
      </c>
      <c r="CQ53" s="154" t="str" cm="1">
        <f t="array" ref="CQ53">IF(IFERROR(INDEX($B$34:$BO$262,CN53,$CO$2),"")=0,"",IFERROR(INDEX($B$34:$BO$262,CN53,$CO$2),""))</f>
        <v/>
      </c>
      <c r="CR53" s="154">
        <f>IFERROR(IF(CN52+1&gt;CS2,CR52+1,0),"")</f>
        <v>0</v>
      </c>
      <c r="CT53" s="155" t="str">
        <f t="shared" si="5"/>
        <v/>
      </c>
      <c r="CU53" s="156" t="str" cm="1">
        <f t="array" ref="CU53">INDEX(CT:CT,SMALL(IF($CT$2:$CT$101&lt;&gt;"",ROW($CT$2:$CT$101),142),ROW(CT52)))&amp;""</f>
        <v/>
      </c>
      <c r="CV53" s="157" t="str">
        <f t="shared" si="3"/>
        <v/>
      </c>
      <c r="CW53" s="154" t="str">
        <f>IF(主要!AX62="","",主要!AX62)</f>
        <v/>
      </c>
      <c r="CX53" s="154" t="str">
        <f t="shared" si="4"/>
        <v/>
      </c>
    </row>
    <row r="54" spans="1:102" ht="16.149999999999999" customHeight="1" x14ac:dyDescent="0.15">
      <c r="A54" s="140">
        <v>21</v>
      </c>
      <c r="B54" s="166">
        <v>13</v>
      </c>
      <c r="C54" s="148" t="s">
        <v>4042</v>
      </c>
      <c r="D54" s="153" t="s">
        <v>4043</v>
      </c>
      <c r="E54" s="148">
        <v>10</v>
      </c>
      <c r="F54" s="148" t="s">
        <v>4044</v>
      </c>
      <c r="G54" s="153" t="s">
        <v>4045</v>
      </c>
      <c r="H54" s="148">
        <v>7</v>
      </c>
      <c r="I54" s="148" t="s">
        <v>4046</v>
      </c>
      <c r="J54" s="153" t="s">
        <v>4047</v>
      </c>
      <c r="K54" s="148">
        <v>2</v>
      </c>
      <c r="L54" s="148" t="s">
        <v>4048</v>
      </c>
      <c r="M54" s="153" t="s">
        <v>4049</v>
      </c>
      <c r="N54" s="148">
        <v>20</v>
      </c>
      <c r="O54" s="148" t="s">
        <v>4050</v>
      </c>
      <c r="P54" s="153" t="s">
        <v>4051</v>
      </c>
      <c r="Q54" s="148">
        <v>10</v>
      </c>
      <c r="R54" s="148" t="s">
        <v>4052</v>
      </c>
      <c r="S54" s="153" t="s">
        <v>4053</v>
      </c>
      <c r="T54" s="148">
        <v>5</v>
      </c>
      <c r="U54" s="148" t="s">
        <v>3889</v>
      </c>
      <c r="V54" s="153" t="s">
        <v>4054</v>
      </c>
      <c r="W54" s="148">
        <v>9</v>
      </c>
      <c r="X54" s="148" t="s">
        <v>3753</v>
      </c>
      <c r="Y54" s="153" t="s">
        <v>4055</v>
      </c>
      <c r="Z54" s="148">
        <v>15</v>
      </c>
      <c r="AA54" s="148" t="s">
        <v>4056</v>
      </c>
      <c r="AB54" s="153" t="s">
        <v>4057</v>
      </c>
      <c r="AD54" s="142" t="s">
        <v>4058</v>
      </c>
      <c r="AE54" s="185" t="s">
        <v>4059</v>
      </c>
      <c r="AG54" s="148" t="s">
        <v>3771</v>
      </c>
      <c r="AH54" s="153" t="s">
        <v>4036</v>
      </c>
      <c r="AI54" s="148">
        <v>3</v>
      </c>
      <c r="AJ54" s="148" t="s">
        <v>4061</v>
      </c>
      <c r="AK54" s="153" t="s">
        <v>4062</v>
      </c>
      <c r="AL54" s="148">
        <v>7</v>
      </c>
      <c r="AM54" s="148" t="s">
        <v>4063</v>
      </c>
      <c r="AN54" s="234" t="s">
        <v>10283</v>
      </c>
      <c r="AP54" s="180" t="s">
        <v>10566</v>
      </c>
      <c r="AQ54" s="268" t="s">
        <v>10577</v>
      </c>
      <c r="AR54" s="148">
        <v>2</v>
      </c>
      <c r="AS54" s="148" t="s">
        <v>5662</v>
      </c>
      <c r="AT54" s="153" t="s">
        <v>5663</v>
      </c>
      <c r="AU54" s="148">
        <v>2</v>
      </c>
      <c r="AV54" s="181" t="s">
        <v>5891</v>
      </c>
      <c r="AW54" s="188" t="s">
        <v>5892</v>
      </c>
      <c r="AX54" s="180">
        <v>5</v>
      </c>
      <c r="AY54" s="180" t="s">
        <v>7354</v>
      </c>
      <c r="AZ54" s="233" t="s">
        <v>7355</v>
      </c>
      <c r="BA54" s="148">
        <v>5</v>
      </c>
      <c r="BB54" s="180" t="s">
        <v>8334</v>
      </c>
      <c r="BC54" s="233" t="s">
        <v>8335</v>
      </c>
      <c r="BD54" s="148">
        <v>10</v>
      </c>
      <c r="BE54" s="180" t="s">
        <v>10488</v>
      </c>
      <c r="BF54" s="233" t="s">
        <v>10470</v>
      </c>
      <c r="BO54" s="153"/>
      <c r="CH54" s="148" t="s">
        <v>3946</v>
      </c>
      <c r="CI54" s="148">
        <v>46</v>
      </c>
      <c r="CJ54" s="148" cm="1">
        <f t="array" ref="CJ54">_xlfn.IFS($AZ$3&gt;=14,49,$AZ$3&gt;=6,48,$AZ$3&gt;=3,47,1,0)</f>
        <v>0</v>
      </c>
      <c r="CN54" s="154">
        <f>IFERROR(IF(CN53+1&gt;CS2,IF(CN53+1&gt;CS2,IF(CR3+CR53&gt;CS3,"",CR3+CR53)),CN53+1),"")</f>
        <v>49</v>
      </c>
      <c r="CO54" s="154" t="str" cm="1">
        <f t="array" ref="CO54">IFERROR(INDEX($B$34:$BO$262,CN54,$CP$2),"")</f>
        <v/>
      </c>
      <c r="CP54" s="154" t="str" cm="1">
        <f t="array" ref="CP54">IFERROR(INDEX($B$34:$BO$262,CN54,$CQ$2),"")</f>
        <v/>
      </c>
      <c r="CQ54" s="154" t="str" cm="1">
        <f t="array" ref="CQ54">IF(IFERROR(INDEX($B$34:$BO$262,CN54,$CO$2),"")=0,"",IFERROR(INDEX($B$34:$BO$262,CN54,$CO$2),""))</f>
        <v/>
      </c>
      <c r="CR54" s="154">
        <f>IFERROR(IF(CN53+1&gt;CS2,CR53+1,0),"")</f>
        <v>0</v>
      </c>
      <c r="CT54" s="155" t="str">
        <f t="shared" si="5"/>
        <v/>
      </c>
      <c r="CU54" s="156" t="str" cm="1">
        <f t="array" ref="CU54">INDEX(CT:CT,SMALL(IF($CT$2:$CT$101&lt;&gt;"",ROW($CT$2:$CT$101),142),ROW(CT53)))&amp;""</f>
        <v/>
      </c>
      <c r="CV54" s="157" t="str">
        <f t="shared" si="3"/>
        <v/>
      </c>
      <c r="CW54" s="154" t="str">
        <f>IF(主要!AX63="","",主要!AX63)</f>
        <v/>
      </c>
      <c r="CX54" s="154" t="str">
        <f t="shared" si="4"/>
        <v/>
      </c>
    </row>
    <row r="55" spans="1:102" ht="16.149999999999999" customHeight="1" x14ac:dyDescent="0.15">
      <c r="A55" s="140">
        <v>22</v>
      </c>
      <c r="B55" s="166">
        <v>15</v>
      </c>
      <c r="C55" s="148" t="s">
        <v>4065</v>
      </c>
      <c r="D55" s="153" t="s">
        <v>4066</v>
      </c>
      <c r="E55" s="148">
        <v>18</v>
      </c>
      <c r="F55" s="148" t="s">
        <v>4067</v>
      </c>
      <c r="G55" s="153" t="s">
        <v>4068</v>
      </c>
      <c r="H55" s="148">
        <v>10</v>
      </c>
      <c r="I55" s="148" t="s">
        <v>4069</v>
      </c>
      <c r="J55" s="153" t="s">
        <v>4070</v>
      </c>
      <c r="K55" s="148">
        <v>3</v>
      </c>
      <c r="L55" s="148" t="s">
        <v>4071</v>
      </c>
      <c r="M55" s="153" t="s">
        <v>4072</v>
      </c>
      <c r="N55" s="148">
        <v>3</v>
      </c>
      <c r="O55" s="169" t="s">
        <v>4073</v>
      </c>
      <c r="P55" s="183" t="s">
        <v>4074</v>
      </c>
      <c r="Q55" s="148">
        <v>10</v>
      </c>
      <c r="R55" s="148" t="s">
        <v>4075</v>
      </c>
      <c r="S55" s="153" t="s">
        <v>4076</v>
      </c>
      <c r="T55" s="148">
        <v>5</v>
      </c>
      <c r="U55" s="148" t="s">
        <v>4077</v>
      </c>
      <c r="V55" s="153" t="s">
        <v>4078</v>
      </c>
      <c r="W55" s="148">
        <v>10</v>
      </c>
      <c r="X55" s="148" t="s">
        <v>4079</v>
      </c>
      <c r="Y55" s="153" t="s">
        <v>4080</v>
      </c>
      <c r="Z55" s="148">
        <v>18</v>
      </c>
      <c r="AA55" s="148" t="s">
        <v>4081</v>
      </c>
      <c r="AB55" s="153" t="s">
        <v>4082</v>
      </c>
      <c r="AD55" s="142" t="s">
        <v>4083</v>
      </c>
      <c r="AE55" s="185" t="s">
        <v>4084</v>
      </c>
      <c r="AG55" s="148" t="s">
        <v>3790</v>
      </c>
      <c r="AH55" s="153" t="s">
        <v>4060</v>
      </c>
      <c r="AI55" s="148">
        <v>4</v>
      </c>
      <c r="AJ55" s="148" t="s">
        <v>3867</v>
      </c>
      <c r="AK55" s="153" t="s">
        <v>4086</v>
      </c>
      <c r="AL55" s="148">
        <v>10</v>
      </c>
      <c r="AM55" s="180" t="s">
        <v>10285</v>
      </c>
      <c r="AN55" s="233" t="s">
        <v>10284</v>
      </c>
      <c r="AP55" s="180" t="s">
        <v>10567</v>
      </c>
      <c r="AQ55" s="268" t="s">
        <v>10578</v>
      </c>
      <c r="AR55" s="148">
        <v>3</v>
      </c>
      <c r="AS55" s="148" t="s">
        <v>5664</v>
      </c>
      <c r="AT55" s="153" t="s">
        <v>5665</v>
      </c>
      <c r="AU55" s="148">
        <v>2</v>
      </c>
      <c r="AV55" s="181" t="s">
        <v>5893</v>
      </c>
      <c r="AW55" s="188" t="s">
        <v>5894</v>
      </c>
      <c r="AX55" s="180">
        <v>7</v>
      </c>
      <c r="AY55" s="180" t="s">
        <v>7356</v>
      </c>
      <c r="AZ55" s="233" t="s">
        <v>7357</v>
      </c>
      <c r="BA55" s="148">
        <v>6</v>
      </c>
      <c r="BB55" s="180" t="s">
        <v>8336</v>
      </c>
      <c r="BC55" s="233" t="s">
        <v>8337</v>
      </c>
      <c r="BD55" s="148">
        <v>10</v>
      </c>
      <c r="BE55" s="180" t="s">
        <v>10489</v>
      </c>
      <c r="BF55" s="233" t="s">
        <v>10471</v>
      </c>
      <c r="BO55" s="153"/>
      <c r="CH55" s="148" t="s">
        <v>3970</v>
      </c>
      <c r="CI55" s="148">
        <v>50</v>
      </c>
      <c r="CJ55" s="148" cm="1">
        <f t="array" ref="CJ55">_xlfn.IFS($AZ$3&gt;=14,53,$AZ$3&gt;=6,52,$AZ$3&gt;=3,51,1,0)</f>
        <v>0</v>
      </c>
      <c r="CN55" s="154">
        <f>IFERROR(IF(CN54+1&gt;CS2,IF(CN54+1&gt;CS2,IF(CR3+CR54&gt;CS3,"",CR3+CR54)),CN54+1),"")</f>
        <v>50</v>
      </c>
      <c r="CO55" s="154" t="str" cm="1">
        <f t="array" ref="CO55">IFERROR(INDEX($B$34:$BO$262,CN55,$CP$2),"")</f>
        <v/>
      </c>
      <c r="CP55" s="154" t="str" cm="1">
        <f t="array" ref="CP55">IFERROR(INDEX($B$34:$BO$262,CN55,$CQ$2),"")</f>
        <v/>
      </c>
      <c r="CQ55" s="154" t="str" cm="1">
        <f t="array" ref="CQ55">IF(IFERROR(INDEX($B$34:$BO$262,CN55,$CO$2),"")=0,"",IFERROR(INDEX($B$34:$BO$262,CN55,$CO$2),""))</f>
        <v/>
      </c>
      <c r="CR55" s="154">
        <f>IFERROR(IF(CN54+1&gt;CS2,CR54+1,0),"")</f>
        <v>0</v>
      </c>
      <c r="CT55" s="155" t="str">
        <f t="shared" si="5"/>
        <v/>
      </c>
      <c r="CU55" s="156" t="str" cm="1">
        <f t="array" ref="CU55">INDEX(CT:CT,SMALL(IF($CT$2:$CT$101&lt;&gt;"",ROW($CT$2:$CT$101),142),ROW(CT54)))&amp;""</f>
        <v/>
      </c>
      <c r="CV55" s="157" t="str">
        <f t="shared" si="3"/>
        <v/>
      </c>
      <c r="CW55" s="154" t="str">
        <f>IF(主要!AX64="","",主要!AX64)</f>
        <v/>
      </c>
      <c r="CX55" s="154" t="str">
        <f t="shared" si="4"/>
        <v/>
      </c>
    </row>
    <row r="56" spans="1:102" ht="16.149999999999999" customHeight="1" x14ac:dyDescent="0.15">
      <c r="A56" s="140">
        <v>23</v>
      </c>
      <c r="B56" s="166">
        <v>17</v>
      </c>
      <c r="C56" s="148" t="s">
        <v>4042</v>
      </c>
      <c r="D56" s="153" t="s">
        <v>4088</v>
      </c>
      <c r="E56" s="148">
        <v>19</v>
      </c>
      <c r="F56" s="148" t="s">
        <v>4025</v>
      </c>
      <c r="G56" s="153" t="s">
        <v>4089</v>
      </c>
      <c r="H56" s="148">
        <v>14</v>
      </c>
      <c r="I56" s="148" t="s">
        <v>4090</v>
      </c>
      <c r="J56" s="153" t="s">
        <v>4091</v>
      </c>
      <c r="K56" s="148">
        <v>4</v>
      </c>
      <c r="L56" s="148" t="s">
        <v>3867</v>
      </c>
      <c r="M56" s="153" t="s">
        <v>4092</v>
      </c>
      <c r="O56" s="142" t="s">
        <v>4093</v>
      </c>
      <c r="P56" s="185" t="s">
        <v>4094</v>
      </c>
      <c r="Q56" s="148">
        <v>13</v>
      </c>
      <c r="R56" s="148" t="s">
        <v>4095</v>
      </c>
      <c r="S56" s="153" t="s">
        <v>4096</v>
      </c>
      <c r="T56" s="148">
        <v>6</v>
      </c>
      <c r="U56" s="148" t="s">
        <v>4097</v>
      </c>
      <c r="V56" s="153" t="s">
        <v>4098</v>
      </c>
      <c r="W56" s="148">
        <v>13</v>
      </c>
      <c r="X56" s="148" t="s">
        <v>4099</v>
      </c>
      <c r="Y56" s="153" t="s">
        <v>4100</v>
      </c>
      <c r="Z56" s="148">
        <v>19</v>
      </c>
      <c r="AA56" s="148" t="s">
        <v>4025</v>
      </c>
      <c r="AB56" s="153" t="s">
        <v>4101</v>
      </c>
      <c r="AD56" s="142" t="s">
        <v>4102</v>
      </c>
      <c r="AE56" s="185" t="s">
        <v>4103</v>
      </c>
      <c r="AG56" s="148" t="s">
        <v>3813</v>
      </c>
      <c r="AH56" s="153" t="s">
        <v>4085</v>
      </c>
      <c r="AI56" s="148">
        <v>5</v>
      </c>
      <c r="AJ56" s="148" t="s">
        <v>4105</v>
      </c>
      <c r="AK56" s="153" t="s">
        <v>4106</v>
      </c>
      <c r="AL56" s="148">
        <v>10</v>
      </c>
      <c r="AM56" s="148" t="s">
        <v>4107</v>
      </c>
      <c r="AN56" s="234" t="s">
        <v>10279</v>
      </c>
      <c r="AP56" s="180" t="s">
        <v>10568</v>
      </c>
      <c r="AQ56" s="268" t="s">
        <v>10579</v>
      </c>
      <c r="AR56" s="148">
        <v>4</v>
      </c>
      <c r="AS56" s="148" t="s">
        <v>3867</v>
      </c>
      <c r="AT56" s="153" t="s">
        <v>5666</v>
      </c>
      <c r="AU56" s="148">
        <v>2</v>
      </c>
      <c r="AV56" s="181" t="s">
        <v>5895</v>
      </c>
      <c r="AW56" s="188" t="s">
        <v>5896</v>
      </c>
      <c r="AX56" s="180">
        <v>11</v>
      </c>
      <c r="AY56" s="180" t="s">
        <v>7358</v>
      </c>
      <c r="AZ56" s="233" t="s">
        <v>7359</v>
      </c>
      <c r="BA56" s="148">
        <v>7</v>
      </c>
      <c r="BB56" s="265" t="s">
        <v>8362</v>
      </c>
      <c r="BC56" s="266" t="s">
        <v>8363</v>
      </c>
      <c r="BD56" s="148">
        <v>13</v>
      </c>
      <c r="BE56" s="180" t="s">
        <v>10490</v>
      </c>
      <c r="BF56" s="233" t="s">
        <v>10472</v>
      </c>
      <c r="BO56" s="153"/>
      <c r="CH56" s="148" t="s">
        <v>3995</v>
      </c>
      <c r="CI56" s="148">
        <v>54</v>
      </c>
      <c r="CJ56" s="148" cm="1">
        <f t="array" ref="CJ56">_xlfn.IFS($AZ$3&gt;=14,58,$AZ$3&gt;=6,57,$AZ$3&gt;=3,55,1,0)</f>
        <v>0</v>
      </c>
      <c r="CN56" s="154">
        <f>IFERROR(IF(CN55+1&gt;CS2,IF(CN55+1&gt;CS2,IF(CR3+CR55&gt;CS3,"",CR3+CR55)),CN55+1),"")</f>
        <v>51</v>
      </c>
      <c r="CO56" s="154" t="str" cm="1">
        <f t="array" ref="CO56">IFERROR(INDEX($B$34:$BO$262,CN56,$CP$2),"")</f>
        <v/>
      </c>
      <c r="CP56" s="154" t="str" cm="1">
        <f t="array" ref="CP56">IFERROR(INDEX($B$34:$BO$262,CN56,$CQ$2),"")</f>
        <v/>
      </c>
      <c r="CQ56" s="154" t="str" cm="1">
        <f t="array" ref="CQ56">IF(IFERROR(INDEX($B$34:$BO$262,CN56,$CO$2),"")=0,"",IFERROR(INDEX($B$34:$BO$262,CN56,$CO$2),""))</f>
        <v/>
      </c>
      <c r="CR56" s="154">
        <f>IFERROR(IF(CN55+1&gt;CS2,CR55+1,0),"")</f>
        <v>0</v>
      </c>
      <c r="CT56" s="155" t="str">
        <f t="shared" si="5"/>
        <v/>
      </c>
      <c r="CU56" s="156" t="str" cm="1">
        <f t="array" ref="CU56">INDEX(CT:CT,SMALL(IF($CT$2:$CT$101&lt;&gt;"",ROW($CT$2:$CT$101),142),ROW(CT55)))&amp;""</f>
        <v/>
      </c>
      <c r="CV56" s="157" t="str">
        <f t="shared" si="3"/>
        <v/>
      </c>
      <c r="CW56" s="154" t="str">
        <f>IF(主要!AX65="","",主要!AX65)</f>
        <v/>
      </c>
      <c r="CX56" s="154" t="str">
        <f t="shared" si="4"/>
        <v/>
      </c>
    </row>
    <row r="57" spans="1:102" ht="16.149999999999999" customHeight="1" x14ac:dyDescent="0.15">
      <c r="A57" s="140">
        <v>24</v>
      </c>
      <c r="B57" s="166">
        <v>18</v>
      </c>
      <c r="C57" s="148" t="s">
        <v>4109</v>
      </c>
      <c r="D57" s="153" t="s">
        <v>4110</v>
      </c>
      <c r="E57" s="148">
        <v>20</v>
      </c>
      <c r="F57" s="148" t="s">
        <v>4111</v>
      </c>
      <c r="G57" s="153" t="s">
        <v>4112</v>
      </c>
      <c r="H57" s="148">
        <v>19</v>
      </c>
      <c r="I57" s="148" t="s">
        <v>4025</v>
      </c>
      <c r="J57" s="153" t="s">
        <v>4113</v>
      </c>
      <c r="K57" s="148">
        <v>5</v>
      </c>
      <c r="L57" s="148" t="s">
        <v>4114</v>
      </c>
      <c r="M57" s="153" t="s">
        <v>4115</v>
      </c>
      <c r="O57" s="142" t="s">
        <v>4116</v>
      </c>
      <c r="P57" s="185" t="s">
        <v>4117</v>
      </c>
      <c r="Q57" s="148">
        <v>14</v>
      </c>
      <c r="R57" s="148" t="s">
        <v>4118</v>
      </c>
      <c r="S57" s="153" t="s">
        <v>4119</v>
      </c>
      <c r="T57" s="148">
        <v>9</v>
      </c>
      <c r="U57" s="148" t="s">
        <v>4120</v>
      </c>
      <c r="V57" s="153" t="s">
        <v>4121</v>
      </c>
      <c r="W57" s="148">
        <v>14</v>
      </c>
      <c r="X57" s="148" t="s">
        <v>4122</v>
      </c>
      <c r="Y57" s="153" t="s">
        <v>4123</v>
      </c>
      <c r="Z57" s="148">
        <v>20</v>
      </c>
      <c r="AA57" s="148" t="s">
        <v>4124</v>
      </c>
      <c r="AB57" s="153" t="s">
        <v>4125</v>
      </c>
      <c r="AD57" s="142" t="s">
        <v>4126</v>
      </c>
      <c r="AE57" s="185" t="s">
        <v>4127</v>
      </c>
      <c r="AG57" s="148" t="s">
        <v>3832</v>
      </c>
      <c r="AH57" s="153" t="s">
        <v>4104</v>
      </c>
      <c r="AI57" s="148">
        <v>18</v>
      </c>
      <c r="AJ57" s="148" t="s">
        <v>4129</v>
      </c>
      <c r="AK57" s="153" t="s">
        <v>4130</v>
      </c>
      <c r="AL57" s="148">
        <v>11</v>
      </c>
      <c r="AM57" s="148" t="s">
        <v>4131</v>
      </c>
      <c r="AN57" s="234" t="s">
        <v>10286</v>
      </c>
      <c r="AP57" s="180" t="s">
        <v>10569</v>
      </c>
      <c r="AQ57" s="240" t="s">
        <v>10580</v>
      </c>
      <c r="AR57" s="148">
        <v>5</v>
      </c>
      <c r="AS57" s="148" t="s">
        <v>3889</v>
      </c>
      <c r="AT57" s="153" t="s">
        <v>3890</v>
      </c>
      <c r="AU57" s="148">
        <v>2</v>
      </c>
      <c r="AV57" s="181" t="s">
        <v>5897</v>
      </c>
      <c r="AW57" s="188" t="s">
        <v>5898</v>
      </c>
      <c r="AX57" s="180">
        <v>13</v>
      </c>
      <c r="AY57" s="180" t="s">
        <v>7360</v>
      </c>
      <c r="AZ57" s="233" t="s">
        <v>7361</v>
      </c>
      <c r="BA57" s="148">
        <v>7</v>
      </c>
      <c r="BB57" s="265" t="s">
        <v>8364</v>
      </c>
      <c r="BC57" s="266" t="s">
        <v>8365</v>
      </c>
      <c r="BD57" s="148">
        <v>14</v>
      </c>
      <c r="BE57" s="180" t="s">
        <v>10491</v>
      </c>
      <c r="BF57" s="233" t="s">
        <v>10473</v>
      </c>
      <c r="BO57" s="153"/>
      <c r="CH57" s="148" t="s">
        <v>4016</v>
      </c>
      <c r="CI57" s="148">
        <v>59</v>
      </c>
      <c r="CJ57" s="148" cm="1">
        <f t="array" ref="CJ57">_xlfn.IFS($AZ$3&gt;=14,64,$AZ$3&gt;=6,63,$AZ$3&gt;=3,62,1,0)</f>
        <v>0</v>
      </c>
      <c r="CN57" s="154">
        <f>IFERROR(IF(CN56+1&gt;CS2,IF(CN56+1&gt;CS2,IF(CR3+CR56&gt;CS3,"",CR3+CR56)),CN56+1),"")</f>
        <v>52</v>
      </c>
      <c r="CO57" s="154" t="str" cm="1">
        <f t="array" ref="CO57">IFERROR(INDEX($B$34:$BO$262,CN57,$CP$2),"")</f>
        <v/>
      </c>
      <c r="CP57" s="154" t="str" cm="1">
        <f t="array" ref="CP57">IFERROR(INDEX($B$34:$BO$262,CN57,$CQ$2),"")</f>
        <v/>
      </c>
      <c r="CQ57" s="154" t="str" cm="1">
        <f t="array" ref="CQ57">IF(IFERROR(INDEX($B$34:$BO$262,CN57,$CO$2),"")=0,"",IFERROR(INDEX($B$34:$BO$262,CN57,$CO$2),""))</f>
        <v/>
      </c>
      <c r="CR57" s="154">
        <f>IFERROR(IF(CN56+1&gt;CS2,CR56+1,0),"")</f>
        <v>0</v>
      </c>
      <c r="CT57" s="155" t="str">
        <f t="shared" si="5"/>
        <v/>
      </c>
      <c r="CU57" s="156" t="str" cm="1">
        <f t="array" ref="CU57">INDEX(CT:CT,SMALL(IF($CT$2:$CT$101&lt;&gt;"",ROW($CT$2:$CT$101),142),ROW(CT56)))&amp;""</f>
        <v/>
      </c>
      <c r="CV57" s="157" t="str">
        <f t="shared" si="3"/>
        <v/>
      </c>
      <c r="CW57" s="154" t="str">
        <f>IF(主要!AX66="","",主要!AX66)</f>
        <v/>
      </c>
      <c r="CX57" s="154" t="str">
        <f t="shared" si="4"/>
        <v/>
      </c>
    </row>
    <row r="58" spans="1:102" ht="16.149999999999999" customHeight="1" x14ac:dyDescent="0.15">
      <c r="A58" s="140">
        <v>25</v>
      </c>
      <c r="B58" s="166">
        <v>19</v>
      </c>
      <c r="C58" s="148" t="s">
        <v>4025</v>
      </c>
      <c r="D58" s="153" t="s">
        <v>4133</v>
      </c>
      <c r="E58" s="148">
        <v>3</v>
      </c>
      <c r="F58" s="169" t="s">
        <v>4134</v>
      </c>
      <c r="G58" s="183" t="s">
        <v>4135</v>
      </c>
      <c r="H58" s="148">
        <v>20</v>
      </c>
      <c r="I58" s="148" t="s">
        <v>4136</v>
      </c>
      <c r="J58" s="153" t="s">
        <v>4137</v>
      </c>
      <c r="K58" s="148">
        <v>7</v>
      </c>
      <c r="L58" s="148" t="s">
        <v>4138</v>
      </c>
      <c r="M58" s="153" t="s">
        <v>4139</v>
      </c>
      <c r="O58" s="142" t="s">
        <v>4140</v>
      </c>
      <c r="P58" s="185" t="s">
        <v>4141</v>
      </c>
      <c r="Q58" s="148">
        <v>15</v>
      </c>
      <c r="R58" s="148" t="s">
        <v>4142</v>
      </c>
      <c r="S58" s="153" t="s">
        <v>4143</v>
      </c>
      <c r="T58" s="148">
        <v>10</v>
      </c>
      <c r="U58" s="148" t="s">
        <v>4144</v>
      </c>
      <c r="V58" s="153" t="s">
        <v>4145</v>
      </c>
      <c r="W58" s="148">
        <v>17</v>
      </c>
      <c r="X58" s="148" t="s">
        <v>4146</v>
      </c>
      <c r="Y58" s="153" t="s">
        <v>4147</v>
      </c>
      <c r="Z58" s="148">
        <v>3</v>
      </c>
      <c r="AA58" s="169" t="s">
        <v>3743</v>
      </c>
      <c r="AB58" s="183" t="s">
        <v>4148</v>
      </c>
      <c r="AD58" s="142" t="s">
        <v>4149</v>
      </c>
      <c r="AE58" s="185" t="s">
        <v>4150</v>
      </c>
      <c r="AG58" s="148" t="s">
        <v>3851</v>
      </c>
      <c r="AH58" s="153" t="s">
        <v>4128</v>
      </c>
      <c r="AI58" s="148">
        <v>19</v>
      </c>
      <c r="AJ58" s="148" t="s">
        <v>4025</v>
      </c>
      <c r="AK58" s="153" t="s">
        <v>4153</v>
      </c>
      <c r="AL58" s="148">
        <v>14</v>
      </c>
      <c r="AM58" s="180" t="s">
        <v>10287</v>
      </c>
      <c r="AN58" s="234" t="s">
        <v>10288</v>
      </c>
      <c r="AP58" s="180" t="s">
        <v>10570</v>
      </c>
      <c r="AQ58" s="240" t="s">
        <v>10581</v>
      </c>
      <c r="AR58" s="148">
        <v>6</v>
      </c>
      <c r="AS58" s="148" t="s">
        <v>5667</v>
      </c>
      <c r="AT58" s="153" t="s">
        <v>5668</v>
      </c>
      <c r="AU58" s="148">
        <v>2</v>
      </c>
      <c r="AV58" s="181" t="s">
        <v>5899</v>
      </c>
      <c r="AW58" s="188" t="s">
        <v>5900</v>
      </c>
      <c r="AX58" s="180">
        <v>15</v>
      </c>
      <c r="AY58" s="180" t="s">
        <v>7362</v>
      </c>
      <c r="AZ58" s="233" t="s">
        <v>7363</v>
      </c>
      <c r="BA58" s="148">
        <v>7</v>
      </c>
      <c r="BB58" s="265" t="s">
        <v>8366</v>
      </c>
      <c r="BC58" s="266" t="s">
        <v>8367</v>
      </c>
      <c r="BD58" s="148">
        <v>15</v>
      </c>
      <c r="BE58" s="180" t="s">
        <v>10492</v>
      </c>
      <c r="BF58" s="233" t="s">
        <v>10462</v>
      </c>
      <c r="BO58" s="153"/>
      <c r="CH58" s="148" t="s">
        <v>4041</v>
      </c>
      <c r="CI58" s="148">
        <v>65</v>
      </c>
      <c r="CJ58" s="148" cm="1">
        <f t="array" ref="CJ58">_xlfn.IFS($AZ$3&gt;=14,69,$AZ$3&gt;=6,67,$AZ$3&gt;=3,66,1,0)</f>
        <v>0</v>
      </c>
      <c r="CN58" s="154">
        <f>IFERROR(IF(CN57+1&gt;CS2,IF(CN57+1&gt;CS2,IF(CR3+CR57&gt;CS3,"",CR3+CR57)),CN57+1),"")</f>
        <v>53</v>
      </c>
      <c r="CO58" s="154" t="str" cm="1">
        <f t="array" ref="CO58">IFERROR(INDEX($B$34:$BO$262,CN58,$CP$2),"")</f>
        <v/>
      </c>
      <c r="CP58" s="154" t="str" cm="1">
        <f t="array" ref="CP58">IFERROR(INDEX($B$34:$BO$262,CN58,$CQ$2),"")</f>
        <v/>
      </c>
      <c r="CQ58" s="154" t="str" cm="1">
        <f t="array" ref="CQ58">IF(IFERROR(INDEX($B$34:$BO$262,CN58,$CO$2),"")=0,"",IFERROR(INDEX($B$34:$BO$262,CN58,$CO$2),""))</f>
        <v/>
      </c>
      <c r="CR58" s="154">
        <f>IFERROR(IF(CN57+1&gt;CS2,CR57+1,0),"")</f>
        <v>0</v>
      </c>
      <c r="CT58" s="155" t="str">
        <f t="shared" si="5"/>
        <v/>
      </c>
      <c r="CU58" s="156" t="str" cm="1">
        <f t="array" ref="CU58">INDEX(CT:CT,SMALL(IF($CT$2:$CT$101&lt;&gt;"",ROW($CT$2:$CT$101),142),ROW(CT57)))&amp;""</f>
        <v/>
      </c>
      <c r="CV58" s="157" t="str">
        <f t="shared" si="3"/>
        <v/>
      </c>
      <c r="CW58" s="154" t="str">
        <f>IF(主要!AX67="","",主要!AX67)</f>
        <v/>
      </c>
      <c r="CX58" s="154" t="str">
        <f t="shared" si="4"/>
        <v/>
      </c>
    </row>
    <row r="59" spans="1:102" ht="16.149999999999999" customHeight="1" x14ac:dyDescent="0.15">
      <c r="A59" s="140">
        <v>26</v>
      </c>
      <c r="B59" s="166">
        <v>20</v>
      </c>
      <c r="C59" s="148" t="s">
        <v>4155</v>
      </c>
      <c r="D59" s="153" t="s">
        <v>4156</v>
      </c>
      <c r="E59" s="148">
        <v>6</v>
      </c>
      <c r="F59" s="169" t="s">
        <v>4157</v>
      </c>
      <c r="G59" s="183" t="s">
        <v>4158</v>
      </c>
      <c r="H59" s="148">
        <v>3</v>
      </c>
      <c r="I59" s="169" t="s">
        <v>4159</v>
      </c>
      <c r="J59" s="183" t="s">
        <v>4160</v>
      </c>
      <c r="K59" s="148">
        <v>15</v>
      </c>
      <c r="L59" s="148" t="s">
        <v>4161</v>
      </c>
      <c r="M59" s="153" t="s">
        <v>4162</v>
      </c>
      <c r="O59" s="142" t="s">
        <v>4163</v>
      </c>
      <c r="P59" s="185" t="s">
        <v>4164</v>
      </c>
      <c r="Q59" s="148">
        <v>18</v>
      </c>
      <c r="R59" s="148" t="s">
        <v>4165</v>
      </c>
      <c r="S59" s="153" t="s">
        <v>4166</v>
      </c>
      <c r="T59" s="148">
        <v>11</v>
      </c>
      <c r="U59" s="148" t="s">
        <v>4167</v>
      </c>
      <c r="V59" s="153" t="s">
        <v>4168</v>
      </c>
      <c r="W59" s="148">
        <v>18</v>
      </c>
      <c r="X59" s="148" t="s">
        <v>4169</v>
      </c>
      <c r="Y59" s="153" t="s">
        <v>4170</v>
      </c>
      <c r="AA59" s="169" t="s">
        <v>3764</v>
      </c>
      <c r="AB59" s="183" t="s">
        <v>4171</v>
      </c>
      <c r="AD59" s="142" t="s">
        <v>4172</v>
      </c>
      <c r="AE59" s="185" t="s">
        <v>4173</v>
      </c>
      <c r="AF59" s="148">
        <v>2</v>
      </c>
      <c r="AG59" s="148" t="s">
        <v>4151</v>
      </c>
      <c r="AH59" s="153" t="s">
        <v>4152</v>
      </c>
      <c r="AI59" s="148">
        <v>20</v>
      </c>
      <c r="AJ59" s="148" t="s">
        <v>4176</v>
      </c>
      <c r="AK59" s="153" t="s">
        <v>4177</v>
      </c>
      <c r="AL59" s="148">
        <v>14</v>
      </c>
      <c r="AM59" s="148" t="s">
        <v>4178</v>
      </c>
      <c r="AN59" s="234" t="s">
        <v>10280</v>
      </c>
      <c r="AP59" s="180" t="s">
        <v>10571</v>
      </c>
      <c r="AQ59" s="240" t="s">
        <v>10582</v>
      </c>
      <c r="AR59" s="148">
        <v>9</v>
      </c>
      <c r="AS59" s="148" t="s">
        <v>5669</v>
      </c>
      <c r="AT59" s="153" t="s">
        <v>5670</v>
      </c>
      <c r="AU59" s="148">
        <v>2</v>
      </c>
      <c r="AV59" s="181" t="s">
        <v>5901</v>
      </c>
      <c r="AW59" s="188" t="s">
        <v>5902</v>
      </c>
      <c r="AX59" s="180">
        <v>18</v>
      </c>
      <c r="AY59" s="180" t="s">
        <v>7364</v>
      </c>
      <c r="AZ59" s="233" t="s">
        <v>7365</v>
      </c>
      <c r="BA59" s="148">
        <v>7</v>
      </c>
      <c r="BB59" s="265" t="s">
        <v>8368</v>
      </c>
      <c r="BC59" s="266" t="s">
        <v>8369</v>
      </c>
      <c r="BD59" s="148">
        <v>18</v>
      </c>
      <c r="BE59" s="180" t="s">
        <v>10493</v>
      </c>
      <c r="BF59" s="233" t="s">
        <v>10474</v>
      </c>
      <c r="BO59" s="153"/>
      <c r="CH59" s="179" t="s">
        <v>6310</v>
      </c>
      <c r="CI59" s="148">
        <v>70</v>
      </c>
      <c r="CJ59" s="148" cm="1">
        <f t="array" ref="CJ59">_xlfn.IFS($AZ$3&gt;=14,74,$AZ$3&gt;=6,73,$AZ$3&gt;=3,71,1,0)</f>
        <v>0</v>
      </c>
      <c r="CN59" s="154">
        <f>IFERROR(IF(CN58+1&gt;CS2,IF(CN58+1&gt;CS2,IF(CR3+CR58&gt;CS3,"",CR3+CR58)),CN58+1),"")</f>
        <v>54</v>
      </c>
      <c r="CO59" s="154" t="str" cm="1">
        <f t="array" ref="CO59">IFERROR(INDEX($B$34:$BO$262,CN59,$CP$2),"")</f>
        <v/>
      </c>
      <c r="CP59" s="154" t="str" cm="1">
        <f t="array" ref="CP59">IFERROR(INDEX($B$34:$BO$262,CN59,$CQ$2),"")</f>
        <v/>
      </c>
      <c r="CQ59" s="154" t="str" cm="1">
        <f t="array" ref="CQ59">IF(IFERROR(INDEX($B$34:$BO$262,CN59,$CO$2),"")=0,"",IFERROR(INDEX($B$34:$BO$262,CN59,$CO$2),""))</f>
        <v/>
      </c>
      <c r="CR59" s="154">
        <f>IFERROR(IF(CN58+1&gt;CS2,CR58+1,0),"")</f>
        <v>0</v>
      </c>
      <c r="CT59" s="155" t="str">
        <f t="shared" si="5"/>
        <v/>
      </c>
      <c r="CU59" s="156" t="str" cm="1">
        <f t="array" ref="CU59">INDEX(CT:CT,SMALL(IF($CT$2:$CT$101&lt;&gt;"",ROW($CT$2:$CT$101),142),ROW(CT58)))&amp;""</f>
        <v/>
      </c>
      <c r="CV59" s="157" t="str">
        <f t="shared" si="3"/>
        <v/>
      </c>
      <c r="CW59" s="154" t="str">
        <f>IF(主要!AX68="","",主要!AX68)</f>
        <v/>
      </c>
      <c r="CX59" s="154" t="str">
        <f t="shared" si="4"/>
        <v/>
      </c>
    </row>
    <row r="60" spans="1:102" ht="16.149999999999999" customHeight="1" x14ac:dyDescent="0.15">
      <c r="A60" s="140">
        <v>27</v>
      </c>
      <c r="B60" s="166">
        <v>3</v>
      </c>
      <c r="C60" s="169" t="s">
        <v>4180</v>
      </c>
      <c r="D60" s="183" t="s">
        <v>4181</v>
      </c>
      <c r="E60" s="148">
        <v>6</v>
      </c>
      <c r="F60" s="169" t="s">
        <v>4182</v>
      </c>
      <c r="G60" s="183" t="s">
        <v>4183</v>
      </c>
      <c r="H60" s="148">
        <v>3</v>
      </c>
      <c r="I60" s="169" t="s">
        <v>4184</v>
      </c>
      <c r="J60" s="183" t="s">
        <v>4185</v>
      </c>
      <c r="K60" s="148">
        <v>18</v>
      </c>
      <c r="L60" s="148" t="s">
        <v>4186</v>
      </c>
      <c r="M60" s="153" t="s">
        <v>4187</v>
      </c>
      <c r="O60" s="142" t="s">
        <v>4188</v>
      </c>
      <c r="P60" s="185" t="s">
        <v>4189</v>
      </c>
      <c r="Q60" s="148">
        <v>19</v>
      </c>
      <c r="R60" s="148" t="s">
        <v>4025</v>
      </c>
      <c r="S60" s="153" t="s">
        <v>4190</v>
      </c>
      <c r="T60" s="148">
        <v>14</v>
      </c>
      <c r="U60" s="148" t="s">
        <v>4191</v>
      </c>
      <c r="V60" s="153" t="s">
        <v>4192</v>
      </c>
      <c r="W60" s="148">
        <v>19</v>
      </c>
      <c r="X60" s="148" t="s">
        <v>4025</v>
      </c>
      <c r="Y60" s="153" t="s">
        <v>4193</v>
      </c>
      <c r="AA60" s="169" t="s">
        <v>3771</v>
      </c>
      <c r="AB60" s="183" t="s">
        <v>4194</v>
      </c>
      <c r="AC60" s="148">
        <v>3</v>
      </c>
      <c r="AD60" s="148" t="s">
        <v>4195</v>
      </c>
      <c r="AE60" s="153" t="s">
        <v>4196</v>
      </c>
      <c r="AF60" s="148" t="s">
        <v>3011</v>
      </c>
      <c r="AG60" s="142" t="s">
        <v>4174</v>
      </c>
      <c r="AH60" s="185" t="s">
        <v>4175</v>
      </c>
      <c r="AI60" s="148">
        <v>3</v>
      </c>
      <c r="AJ60" s="169" t="s">
        <v>4199</v>
      </c>
      <c r="AK60" s="183" t="s">
        <v>4200</v>
      </c>
      <c r="AL60" s="148">
        <v>18</v>
      </c>
      <c r="AM60" s="180" t="s">
        <v>10289</v>
      </c>
      <c r="AN60" s="233" t="s">
        <v>10290</v>
      </c>
      <c r="AP60" s="180" t="s">
        <v>10572</v>
      </c>
      <c r="AQ60" s="240" t="s">
        <v>10583</v>
      </c>
      <c r="AR60" s="148">
        <v>10</v>
      </c>
      <c r="AS60" s="148" t="s">
        <v>5671</v>
      </c>
      <c r="AT60" s="153" t="s">
        <v>5672</v>
      </c>
      <c r="AU60" s="148">
        <v>2</v>
      </c>
      <c r="AV60" s="181" t="s">
        <v>5903</v>
      </c>
      <c r="AW60" s="188" t="s">
        <v>5904</v>
      </c>
      <c r="AX60" s="180">
        <v>19</v>
      </c>
      <c r="AY60" s="180" t="s">
        <v>7366</v>
      </c>
      <c r="AZ60" s="233" t="s">
        <v>7367</v>
      </c>
      <c r="BA60" s="148">
        <v>7</v>
      </c>
      <c r="BB60" s="265" t="s">
        <v>8370</v>
      </c>
      <c r="BC60" s="266" t="s">
        <v>8371</v>
      </c>
      <c r="BD60" s="148">
        <v>19</v>
      </c>
      <c r="BE60" s="180" t="s">
        <v>7366</v>
      </c>
      <c r="BF60" s="233" t="s">
        <v>10463</v>
      </c>
      <c r="BO60" s="153"/>
      <c r="CH60" s="179" t="s">
        <v>6550</v>
      </c>
      <c r="CI60" s="148">
        <v>75</v>
      </c>
      <c r="CJ60" s="148" cm="1">
        <f t="array" ref="CJ60">_xlfn.IFS($AZ$3&gt;=14,79,$AZ$3&gt;=6,78,$AZ$3&gt;=3,76,1,0)</f>
        <v>0</v>
      </c>
      <c r="CN60" s="154">
        <f>IFERROR(IF(CN59+1&gt;CS2,IF(CN59+1&gt;CS2,IF(CR3+CR59&gt;CS3,"",CR3+CR59)),CN59+1),"")</f>
        <v>55</v>
      </c>
      <c r="CO60" s="154" t="str" cm="1">
        <f t="array" ref="CO60">IFERROR(INDEX($B$34:$BO$262,CN60,$CP$2),"")</f>
        <v/>
      </c>
      <c r="CP60" s="154" t="str" cm="1">
        <f t="array" ref="CP60">IFERROR(INDEX($B$34:$BO$262,CN60,$CQ$2),"")</f>
        <v/>
      </c>
      <c r="CQ60" s="154" t="str" cm="1">
        <f t="array" ref="CQ60">IF(IFERROR(INDEX($B$34:$BO$262,CN60,$CO$2),"")=0,"",IFERROR(INDEX($B$34:$BO$262,CN60,$CO$2),""))</f>
        <v/>
      </c>
      <c r="CR60" s="154">
        <f>IFERROR(IF(CN59+1&gt;CS2,CR59+1,0),"")</f>
        <v>0</v>
      </c>
      <c r="CT60" s="155" t="str">
        <f t="shared" si="5"/>
        <v/>
      </c>
      <c r="CU60" s="156" t="str" cm="1">
        <f t="array" ref="CU60">INDEX(CT:CT,SMALL(IF($CT$2:$CT$101&lt;&gt;"",ROW($CT$2:$CT$101),142),ROW(CT59)))&amp;""</f>
        <v/>
      </c>
      <c r="CV60" s="157" t="str">
        <f t="shared" si="3"/>
        <v/>
      </c>
      <c r="CW60" s="154" t="str">
        <f>IF(主要!AX69="","",主要!AX69)</f>
        <v/>
      </c>
      <c r="CX60" s="154" t="str">
        <f t="shared" si="4"/>
        <v/>
      </c>
    </row>
    <row r="61" spans="1:102" ht="16.149999999999999" customHeight="1" x14ac:dyDescent="0.15">
      <c r="A61" s="140">
        <v>28</v>
      </c>
      <c r="B61" s="166">
        <v>6</v>
      </c>
      <c r="C61" s="169" t="s">
        <v>4202</v>
      </c>
      <c r="D61" s="183" t="s">
        <v>4203</v>
      </c>
      <c r="E61" s="148">
        <v>14</v>
      </c>
      <c r="F61" s="169" t="s">
        <v>4204</v>
      </c>
      <c r="G61" s="183" t="s">
        <v>4205</v>
      </c>
      <c r="H61" s="148">
        <v>3</v>
      </c>
      <c r="I61" s="169" t="s">
        <v>4206</v>
      </c>
      <c r="J61" s="183" t="s">
        <v>4207</v>
      </c>
      <c r="K61" s="148">
        <v>19</v>
      </c>
      <c r="L61" s="148" t="s">
        <v>4025</v>
      </c>
      <c r="M61" s="153" t="s">
        <v>4208</v>
      </c>
      <c r="O61" s="142" t="s">
        <v>4209</v>
      </c>
      <c r="P61" s="185" t="s">
        <v>4210</v>
      </c>
      <c r="Q61" s="148">
        <v>20</v>
      </c>
      <c r="R61" s="148" t="s">
        <v>4211</v>
      </c>
      <c r="S61" s="153" t="s">
        <v>4212</v>
      </c>
      <c r="T61" s="148">
        <v>18</v>
      </c>
      <c r="U61" s="148" t="s">
        <v>4213</v>
      </c>
      <c r="V61" s="153" t="s">
        <v>4214</v>
      </c>
      <c r="W61" s="148">
        <v>20</v>
      </c>
      <c r="X61" s="148" t="s">
        <v>4215</v>
      </c>
      <c r="Y61" s="153" t="s">
        <v>4216</v>
      </c>
      <c r="AA61" s="169" t="s">
        <v>3790</v>
      </c>
      <c r="AB61" s="183" t="s">
        <v>4217</v>
      </c>
      <c r="AC61" s="148">
        <v>4</v>
      </c>
      <c r="AD61" s="148" t="s">
        <v>3867</v>
      </c>
      <c r="AE61" s="153" t="s">
        <v>4218</v>
      </c>
      <c r="AF61" s="148" t="s">
        <v>3011</v>
      </c>
      <c r="AG61" s="142" t="s">
        <v>4197</v>
      </c>
      <c r="AH61" s="185" t="s">
        <v>4198</v>
      </c>
      <c r="AI61" s="148">
        <v>3</v>
      </c>
      <c r="AJ61" s="169" t="s">
        <v>4221</v>
      </c>
      <c r="AK61" s="183" t="s">
        <v>4222</v>
      </c>
      <c r="AL61" s="148">
        <v>19</v>
      </c>
      <c r="AM61" s="148" t="s">
        <v>4025</v>
      </c>
      <c r="AN61" s="234" t="s">
        <v>10291</v>
      </c>
      <c r="AO61" s="148">
        <v>3</v>
      </c>
      <c r="AP61" s="148" t="s">
        <v>3994</v>
      </c>
      <c r="AQ61" s="234" t="s">
        <v>10561</v>
      </c>
      <c r="AR61" s="148">
        <v>13</v>
      </c>
      <c r="AS61" s="148" t="s">
        <v>5673</v>
      </c>
      <c r="AT61" s="153" t="s">
        <v>5674</v>
      </c>
      <c r="AU61" s="148">
        <v>2</v>
      </c>
      <c r="AV61" s="181" t="s">
        <v>5905</v>
      </c>
      <c r="AW61" s="188" t="s">
        <v>5906</v>
      </c>
      <c r="AX61" s="180">
        <v>20</v>
      </c>
      <c r="AY61" s="180" t="s">
        <v>7368</v>
      </c>
      <c r="AZ61" s="233" t="s">
        <v>7369</v>
      </c>
      <c r="BA61" s="148">
        <v>7</v>
      </c>
      <c r="BB61" s="265" t="s">
        <v>8372</v>
      </c>
      <c r="BC61" s="266" t="s">
        <v>8373</v>
      </c>
      <c r="BD61" s="148">
        <v>20</v>
      </c>
      <c r="BE61" s="180" t="s">
        <v>10494</v>
      </c>
      <c r="BF61" s="233" t="s">
        <v>10475</v>
      </c>
      <c r="BO61" s="153"/>
      <c r="CH61" s="179" t="s">
        <v>8765</v>
      </c>
      <c r="CI61" s="148">
        <v>80</v>
      </c>
      <c r="CJ61" s="148" cm="1">
        <f t="array" ref="CJ61">_xlfn.IFS($AZ$3&gt;=14,93,$AZ$3&gt;=11,92,$AZ$3&gt;=7,91,$AZ$3&gt;=6,88,$AZ$3&gt;=3,87,1,0)</f>
        <v>0</v>
      </c>
      <c r="CN61" s="154">
        <f>IFERROR(IF(CN60+1&gt;CS2,IF(CN60+1&gt;CS2,IF(CR3+CR60&gt;CS3,"",CR3+CR60)),CN60+1),"")</f>
        <v>56</v>
      </c>
      <c r="CO61" s="154" t="str" cm="1">
        <f t="array" ref="CO61">IFERROR(INDEX($B$34:$BO$262,CN61,$CP$2),"")</f>
        <v/>
      </c>
      <c r="CP61" s="154" t="str" cm="1">
        <f t="array" ref="CP61">IFERROR(INDEX($B$34:$BO$262,CN61,$CQ$2),"")</f>
        <v/>
      </c>
      <c r="CQ61" s="154" t="str" cm="1">
        <f t="array" ref="CQ61">IF(IFERROR(INDEX($B$34:$BO$262,CN61,$CO$2),"")=0,"",IFERROR(INDEX($B$34:$BO$262,CN61,$CO$2),""))</f>
        <v/>
      </c>
      <c r="CR61" s="154">
        <f>IFERROR(IF(CN60+1&gt;CS2,CR60+1,0),"")</f>
        <v>0</v>
      </c>
      <c r="CT61" s="155" t="str">
        <f t="shared" si="5"/>
        <v/>
      </c>
      <c r="CU61" s="156" t="str" cm="1">
        <f t="array" ref="CU61">INDEX(CT:CT,SMALL(IF($CT$2:$CT$101&lt;&gt;"",ROW($CT$2:$CT$101),142),ROW(CT60)))&amp;""</f>
        <v/>
      </c>
      <c r="CV61" s="157" t="str">
        <f t="shared" si="3"/>
        <v/>
      </c>
      <c r="CW61" s="154" t="str">
        <f>IF(主要!AX70="","",主要!AX70)</f>
        <v/>
      </c>
      <c r="CX61" s="154" t="str">
        <f t="shared" si="4"/>
        <v/>
      </c>
    </row>
    <row r="62" spans="1:102" ht="16.149999999999999" customHeight="1" x14ac:dyDescent="0.15">
      <c r="A62" s="140">
        <v>29</v>
      </c>
      <c r="B62" s="166">
        <v>10</v>
      </c>
      <c r="C62" s="169" t="s">
        <v>4225</v>
      </c>
      <c r="D62" s="183" t="s">
        <v>4226</v>
      </c>
      <c r="E62" s="148">
        <v>3</v>
      </c>
      <c r="F62" s="148" t="s">
        <v>4227</v>
      </c>
      <c r="G62" s="153" t="s">
        <v>4228</v>
      </c>
      <c r="H62" s="148">
        <v>6</v>
      </c>
      <c r="I62" s="169" t="s">
        <v>4229</v>
      </c>
      <c r="J62" s="183" t="s">
        <v>4230</v>
      </c>
      <c r="K62" s="148">
        <v>20</v>
      </c>
      <c r="L62" s="148" t="s">
        <v>4231</v>
      </c>
      <c r="M62" s="153" t="s">
        <v>4232</v>
      </c>
      <c r="O62" s="142" t="s">
        <v>4233</v>
      </c>
      <c r="P62" s="185" t="s">
        <v>4234</v>
      </c>
      <c r="Q62" s="148">
        <v>3</v>
      </c>
      <c r="R62" s="169" t="s">
        <v>4235</v>
      </c>
      <c r="S62" s="183" t="s">
        <v>4236</v>
      </c>
      <c r="T62" s="148">
        <v>19</v>
      </c>
      <c r="U62" s="148" t="s">
        <v>4025</v>
      </c>
      <c r="V62" s="153" t="s">
        <v>4237</v>
      </c>
      <c r="W62" s="148">
        <v>3</v>
      </c>
      <c r="X62" s="169" t="s">
        <v>4238</v>
      </c>
      <c r="Y62" s="183" t="s">
        <v>4239</v>
      </c>
      <c r="AA62" s="169" t="s">
        <v>3813</v>
      </c>
      <c r="AB62" s="183" t="s">
        <v>4240</v>
      </c>
      <c r="AC62" s="148">
        <v>5</v>
      </c>
      <c r="AD62" s="148" t="s">
        <v>4241</v>
      </c>
      <c r="AE62" s="153" t="s">
        <v>4242</v>
      </c>
      <c r="AF62" s="148" t="s">
        <v>3011</v>
      </c>
      <c r="AG62" s="142" t="s">
        <v>4219</v>
      </c>
      <c r="AH62" s="185" t="s">
        <v>4220</v>
      </c>
      <c r="AI62" s="148">
        <v>6</v>
      </c>
      <c r="AJ62" s="169" t="s">
        <v>4245</v>
      </c>
      <c r="AK62" s="183" t="s">
        <v>4246</v>
      </c>
      <c r="AL62" s="148">
        <v>20</v>
      </c>
      <c r="AM62" s="148" t="s">
        <v>4247</v>
      </c>
      <c r="AN62" s="234" t="s">
        <v>10292</v>
      </c>
      <c r="AO62" s="148">
        <v>4</v>
      </c>
      <c r="AP62" s="148" t="s">
        <v>3867</v>
      </c>
      <c r="AQ62" s="153" t="s">
        <v>4015</v>
      </c>
      <c r="AR62" s="148">
        <v>14</v>
      </c>
      <c r="AS62" s="148" t="s">
        <v>5675</v>
      </c>
      <c r="AT62" s="153" t="s">
        <v>5676</v>
      </c>
      <c r="AU62" s="148">
        <v>2</v>
      </c>
      <c r="AV62" s="181" t="s">
        <v>5907</v>
      </c>
      <c r="AW62" s="188" t="s">
        <v>5908</v>
      </c>
      <c r="AX62" s="180">
        <v>3</v>
      </c>
      <c r="AY62" s="237" t="s">
        <v>7370</v>
      </c>
      <c r="AZ62" s="236" t="s">
        <v>7371</v>
      </c>
      <c r="BA62" s="148">
        <v>10</v>
      </c>
      <c r="BB62" s="180" t="s">
        <v>8338</v>
      </c>
      <c r="BC62" s="233" t="s">
        <v>8339</v>
      </c>
      <c r="BD62" s="148">
        <v>3</v>
      </c>
      <c r="BE62" s="235" t="s">
        <v>10495</v>
      </c>
      <c r="BF62" s="270" t="s">
        <v>10496</v>
      </c>
      <c r="BO62" s="153"/>
      <c r="CH62" s="179" t="s">
        <v>8766</v>
      </c>
      <c r="CI62" s="148">
        <v>94</v>
      </c>
      <c r="CJ62" s="148" cm="1">
        <f t="array" ref="CJ62">_xlfn.IFS($AZ$3&gt;=14,98,$AZ$3&gt;=6,97,$AZ$3&gt;=3,95,1,0)</f>
        <v>0</v>
      </c>
      <c r="CN62" s="154">
        <f>IFERROR(IF(CN61+1&gt;CS2,IF(CN61+1&gt;CS2,IF(CR3+CR61&gt;CS3,"",CR3+CR61)),CN61+1),"")</f>
        <v>57</v>
      </c>
      <c r="CO62" s="154" t="str" cm="1">
        <f t="array" ref="CO62">IFERROR(INDEX($B$34:$BO$262,CN62,$CP$2),"")</f>
        <v/>
      </c>
      <c r="CP62" s="154" t="str" cm="1">
        <f t="array" ref="CP62">IFERROR(INDEX($B$34:$BO$262,CN62,$CQ$2),"")</f>
        <v/>
      </c>
      <c r="CQ62" s="154" t="str" cm="1">
        <f t="array" ref="CQ62">IF(IFERROR(INDEX($B$34:$BO$262,CN62,$CO$2),"")=0,"",IFERROR(INDEX($B$34:$BO$262,CN62,$CO$2),""))</f>
        <v/>
      </c>
      <c r="CR62" s="154">
        <f>IFERROR(IF(CN61+1&gt;CS2,CR61+1,0),"")</f>
        <v>0</v>
      </c>
      <c r="CT62" s="155" t="str">
        <f t="shared" si="5"/>
        <v/>
      </c>
      <c r="CU62" s="156" t="str" cm="1">
        <f t="array" ref="CU62">INDEX(CT:CT,SMALL(IF($CT$2:$CT$101&lt;&gt;"",ROW($CT$2:$CT$101),142),ROW(CT61)))&amp;""</f>
        <v/>
      </c>
      <c r="CV62" s="157" t="str">
        <f t="shared" si="3"/>
        <v/>
      </c>
      <c r="CW62" s="154" t="str">
        <f>IF(主要!AX71="","",主要!AX71)</f>
        <v/>
      </c>
      <c r="CX62" s="154" t="str">
        <f t="shared" si="4"/>
        <v/>
      </c>
    </row>
    <row r="63" spans="1:102" ht="16.149999999999999" customHeight="1" x14ac:dyDescent="0.15">
      <c r="A63" s="140">
        <v>30</v>
      </c>
      <c r="B63" s="166">
        <v>14</v>
      </c>
      <c r="C63" s="169" t="s">
        <v>4249</v>
      </c>
      <c r="D63" s="183" t="s">
        <v>4250</v>
      </c>
      <c r="E63" s="148">
        <v>3</v>
      </c>
      <c r="F63" s="148" t="s">
        <v>4251</v>
      </c>
      <c r="G63" s="153" t="s">
        <v>4252</v>
      </c>
      <c r="H63" s="148">
        <v>17</v>
      </c>
      <c r="I63" s="169" t="s">
        <v>4253</v>
      </c>
      <c r="J63" s="183" t="s">
        <v>4254</v>
      </c>
      <c r="K63" s="148">
        <v>3</v>
      </c>
      <c r="L63" s="169" t="s">
        <v>4255</v>
      </c>
      <c r="M63" s="183" t="s">
        <v>4256</v>
      </c>
      <c r="O63" s="142" t="s">
        <v>4257</v>
      </c>
      <c r="P63" s="185" t="s">
        <v>4258</v>
      </c>
      <c r="Q63" s="148">
        <v>3</v>
      </c>
      <c r="R63" s="169" t="s">
        <v>4259</v>
      </c>
      <c r="S63" s="183" t="s">
        <v>4260</v>
      </c>
      <c r="T63" s="148">
        <v>3</v>
      </c>
      <c r="U63" s="169" t="s">
        <v>4261</v>
      </c>
      <c r="V63" s="183" t="s">
        <v>4262</v>
      </c>
      <c r="W63" s="148">
        <v>7</v>
      </c>
      <c r="X63" s="169" t="s">
        <v>4263</v>
      </c>
      <c r="Y63" s="183" t="s">
        <v>4264</v>
      </c>
      <c r="AA63" s="169" t="s">
        <v>3832</v>
      </c>
      <c r="AB63" s="183" t="s">
        <v>3878</v>
      </c>
      <c r="AC63" s="148">
        <v>7</v>
      </c>
      <c r="AD63" s="148" t="s">
        <v>4265</v>
      </c>
      <c r="AE63" s="153" t="s">
        <v>4266</v>
      </c>
      <c r="AF63" s="148" t="s">
        <v>3011</v>
      </c>
      <c r="AG63" s="142" t="s">
        <v>4243</v>
      </c>
      <c r="AH63" s="185" t="s">
        <v>4244</v>
      </c>
      <c r="AI63" s="148">
        <v>10</v>
      </c>
      <c r="AJ63" s="169" t="s">
        <v>4269</v>
      </c>
      <c r="AK63" s="183" t="s">
        <v>4270</v>
      </c>
      <c r="AL63" s="148">
        <v>3</v>
      </c>
      <c r="AM63" s="237" t="s">
        <v>10698</v>
      </c>
      <c r="AN63" s="238" t="s">
        <v>10293</v>
      </c>
      <c r="AO63" s="148">
        <v>5</v>
      </c>
      <c r="AP63" s="148" t="s">
        <v>4040</v>
      </c>
      <c r="AQ63" s="268" t="s">
        <v>10584</v>
      </c>
      <c r="AR63" s="148">
        <v>14</v>
      </c>
      <c r="AS63" s="148" t="s">
        <v>5677</v>
      </c>
      <c r="AT63" s="153" t="s">
        <v>5678</v>
      </c>
      <c r="AU63" s="148">
        <v>2</v>
      </c>
      <c r="AV63" s="181" t="s">
        <v>5909</v>
      </c>
      <c r="AW63" s="188" t="s">
        <v>5910</v>
      </c>
      <c r="AX63" s="180">
        <v>3</v>
      </c>
      <c r="AY63" s="237" t="s">
        <v>7372</v>
      </c>
      <c r="AZ63" s="236" t="s">
        <v>7373</v>
      </c>
      <c r="BA63" s="148">
        <v>11</v>
      </c>
      <c r="BB63" s="180" t="s">
        <v>8340</v>
      </c>
      <c r="BC63" s="233" t="s">
        <v>8341</v>
      </c>
      <c r="BD63" s="148">
        <v>3</v>
      </c>
      <c r="BE63" s="235" t="s">
        <v>10497</v>
      </c>
      <c r="BF63" s="270" t="s">
        <v>10498</v>
      </c>
      <c r="BO63" s="153"/>
      <c r="CH63" s="179" t="s">
        <v>8704</v>
      </c>
      <c r="CI63" s="148">
        <v>99</v>
      </c>
      <c r="CJ63" s="148" cm="1">
        <f t="array" ref="CJ63">_xlfn.IFS($AZ$3&gt;=14,102,$AZ$3&gt;=6,101,$AZ$3&gt;=3,100,1,0)</f>
        <v>0</v>
      </c>
      <c r="CN63" s="154">
        <f>IFERROR(IF(CN62+1&gt;CS2,IF(CN62+1&gt;CS2,IF(CR3+CR62&gt;CS3,"",CR3+CR62)),CN62+1),"")</f>
        <v>58</v>
      </c>
      <c r="CO63" s="154" t="str" cm="1">
        <f t="array" ref="CO63">IFERROR(INDEX($B$34:$BO$262,CN63,$CP$2),"")</f>
        <v/>
      </c>
      <c r="CP63" s="154" t="str" cm="1">
        <f t="array" ref="CP63">IFERROR(INDEX($B$34:$BO$262,CN63,$CQ$2),"")</f>
        <v/>
      </c>
      <c r="CQ63" s="154" t="str" cm="1">
        <f t="array" ref="CQ63">IF(IFERROR(INDEX($B$34:$BO$262,CN63,$CO$2),"")=0,"",IFERROR(INDEX($B$34:$BO$262,CN63,$CO$2),""))</f>
        <v/>
      </c>
      <c r="CR63" s="154">
        <f>IFERROR(IF(CN62+1&gt;CS2,CR62+1,0),"")</f>
        <v>0</v>
      </c>
      <c r="CT63" s="155" t="str">
        <f t="shared" si="5"/>
        <v/>
      </c>
      <c r="CU63" s="156" t="str" cm="1">
        <f t="array" ref="CU63">INDEX(CT:CT,SMALL(IF($CT$2:$CT$101&lt;&gt;"",ROW($CT$2:$CT$101),142),ROW(CT62)))&amp;""</f>
        <v/>
      </c>
      <c r="CV63" s="157" t="str">
        <f t="shared" si="3"/>
        <v/>
      </c>
      <c r="CW63" s="154" t="str">
        <f>IF(主要!AX72="","",主要!AX72)</f>
        <v/>
      </c>
      <c r="CX63" s="154" t="str">
        <f t="shared" si="4"/>
        <v/>
      </c>
    </row>
    <row r="64" spans="1:102" ht="16.149999999999999" customHeight="1" x14ac:dyDescent="0.15">
      <c r="A64" s="140">
        <v>31</v>
      </c>
      <c r="B64" s="166">
        <v>3</v>
      </c>
      <c r="C64" s="148" t="s">
        <v>4273</v>
      </c>
      <c r="D64" s="153" t="s">
        <v>4274</v>
      </c>
      <c r="E64" s="148">
        <v>6</v>
      </c>
      <c r="F64" s="148" t="s">
        <v>4275</v>
      </c>
      <c r="G64" s="153" t="s">
        <v>4276</v>
      </c>
      <c r="H64" s="148">
        <v>3</v>
      </c>
      <c r="I64" s="148" t="s">
        <v>4277</v>
      </c>
      <c r="J64" s="153" t="s">
        <v>4278</v>
      </c>
      <c r="K64" s="148">
        <v>3</v>
      </c>
      <c r="L64" s="169" t="s">
        <v>4279</v>
      </c>
      <c r="M64" s="183" t="s">
        <v>4280</v>
      </c>
      <c r="O64" s="142" t="s">
        <v>4281</v>
      </c>
      <c r="P64" s="185" t="s">
        <v>4282</v>
      </c>
      <c r="Q64" s="148">
        <v>3</v>
      </c>
      <c r="R64" s="169" t="s">
        <v>4283</v>
      </c>
      <c r="S64" s="183" t="s">
        <v>4284</v>
      </c>
      <c r="T64" s="148">
        <v>3</v>
      </c>
      <c r="U64" s="169" t="s">
        <v>4285</v>
      </c>
      <c r="V64" s="183" t="s">
        <v>4286</v>
      </c>
      <c r="W64" s="148">
        <v>11</v>
      </c>
      <c r="X64" s="169" t="s">
        <v>4287</v>
      </c>
      <c r="Y64" s="183" t="s">
        <v>4288</v>
      </c>
      <c r="AA64" s="169" t="s">
        <v>3851</v>
      </c>
      <c r="AB64" s="183" t="s">
        <v>4289</v>
      </c>
      <c r="AC64" s="148">
        <v>19</v>
      </c>
      <c r="AD64" s="148" t="s">
        <v>4025</v>
      </c>
      <c r="AE64" s="153" t="s">
        <v>4290</v>
      </c>
      <c r="AF64" s="148" t="s">
        <v>3011</v>
      </c>
      <c r="AG64" s="142" t="s">
        <v>4267</v>
      </c>
      <c r="AH64" s="185" t="s">
        <v>4268</v>
      </c>
      <c r="AI64" s="148">
        <v>14</v>
      </c>
      <c r="AJ64" s="169" t="s">
        <v>4293</v>
      </c>
      <c r="AK64" s="183" t="s">
        <v>4294</v>
      </c>
      <c r="AL64" s="148">
        <v>3</v>
      </c>
      <c r="AM64" s="237" t="s">
        <v>10697</v>
      </c>
      <c r="AN64" s="238" t="s">
        <v>10294</v>
      </c>
      <c r="AO64" s="148">
        <v>7</v>
      </c>
      <c r="AP64" s="148" t="s">
        <v>4064</v>
      </c>
      <c r="AQ64" s="234" t="s">
        <v>10585</v>
      </c>
      <c r="AR64" s="148">
        <v>14</v>
      </c>
      <c r="AS64" s="148" t="s">
        <v>5679</v>
      </c>
      <c r="AT64" s="153" t="s">
        <v>5680</v>
      </c>
      <c r="AU64" s="148">
        <v>2</v>
      </c>
      <c r="AV64" s="181" t="s">
        <v>5911</v>
      </c>
      <c r="AW64" s="188" t="s">
        <v>5912</v>
      </c>
      <c r="AX64" s="180">
        <v>6</v>
      </c>
      <c r="AY64" s="237" t="s">
        <v>7374</v>
      </c>
      <c r="AZ64" s="236" t="s">
        <v>7375</v>
      </c>
      <c r="BA64" s="148">
        <v>13</v>
      </c>
      <c r="BB64" s="265" t="s">
        <v>8374</v>
      </c>
      <c r="BC64" s="266" t="s">
        <v>8375</v>
      </c>
      <c r="BD64" s="148">
        <v>6</v>
      </c>
      <c r="BE64" s="235" t="s">
        <v>10499</v>
      </c>
      <c r="BF64" s="270" t="s">
        <v>10500</v>
      </c>
      <c r="BO64" s="153"/>
      <c r="CH64" s="179" t="s">
        <v>9070</v>
      </c>
      <c r="CI64" s="148">
        <v>103</v>
      </c>
      <c r="CJ64" s="148" cm="1">
        <f t="array" ref="CJ64">_xlfn.IFS($AZ$3&gt;=6,117,$AZ$3&gt;=3,115,1,0)</f>
        <v>0</v>
      </c>
      <c r="CN64" s="154">
        <f>IFERROR(IF(CN63+1&gt;CS2,IF(CN63+1&gt;CS2,IF(CR3+CR63&gt;CS3,"",CR3+CR63)),CN63+1),"")</f>
        <v>59</v>
      </c>
      <c r="CO64" s="154" t="str" cm="1">
        <f t="array" ref="CO64">IFERROR(INDEX($B$34:$BO$262,CN64,$CP$2),"")</f>
        <v/>
      </c>
      <c r="CP64" s="154" t="str" cm="1">
        <f t="array" ref="CP64">IFERROR(INDEX($B$34:$BO$262,CN64,$CQ$2),"")</f>
        <v/>
      </c>
      <c r="CQ64" s="154" t="str" cm="1">
        <f t="array" ref="CQ64">IF(IFERROR(INDEX($B$34:$BO$262,CN64,$CO$2),"")=0,"",IFERROR(INDEX($B$34:$BO$262,CN64,$CO$2),""))</f>
        <v/>
      </c>
      <c r="CR64" s="154">
        <f>IFERROR(IF(CN63+1&gt;CS2,CR63+1,0),"")</f>
        <v>0</v>
      </c>
      <c r="CT64" s="155" t="str">
        <f t="shared" si="5"/>
        <v/>
      </c>
      <c r="CU64" s="156" t="str" cm="1">
        <f t="array" ref="CU64">INDEX(CT:CT,SMALL(IF($CT$2:$CT$101&lt;&gt;"",ROW($CT$2:$CT$101),142),ROW(CT63)))&amp;""</f>
        <v/>
      </c>
      <c r="CV64" s="157" t="str">
        <f t="shared" si="3"/>
        <v/>
      </c>
      <c r="CW64" s="154" t="str">
        <f>IF(主要!AX73="","",主要!AX73)</f>
        <v/>
      </c>
      <c r="CX64" s="154" t="str">
        <f t="shared" si="4"/>
        <v/>
      </c>
    </row>
    <row r="65" spans="1:102" ht="16.149999999999999" customHeight="1" x14ac:dyDescent="0.15">
      <c r="A65" s="140">
        <v>32</v>
      </c>
      <c r="B65" s="166">
        <v>3</v>
      </c>
      <c r="C65" s="148" t="s">
        <v>4295</v>
      </c>
      <c r="D65" s="153" t="s">
        <v>4296</v>
      </c>
      <c r="E65" s="148">
        <v>14</v>
      </c>
      <c r="F65" s="148" t="s">
        <v>4297</v>
      </c>
      <c r="G65" s="153" t="s">
        <v>4298</v>
      </c>
      <c r="H65" s="148">
        <v>3</v>
      </c>
      <c r="I65" s="148" t="s">
        <v>4299</v>
      </c>
      <c r="J65" s="153" t="s">
        <v>4300</v>
      </c>
      <c r="K65" s="148">
        <v>6</v>
      </c>
      <c r="L65" s="169" t="s">
        <v>4301</v>
      </c>
      <c r="M65" s="183" t="s">
        <v>4302</v>
      </c>
      <c r="O65" s="142" t="s">
        <v>4303</v>
      </c>
      <c r="P65" s="185" t="s">
        <v>4304</v>
      </c>
      <c r="Q65" s="148">
        <v>6</v>
      </c>
      <c r="R65" s="169" t="s">
        <v>4305</v>
      </c>
      <c r="S65" s="183" t="s">
        <v>4306</v>
      </c>
      <c r="T65" s="148">
        <v>7</v>
      </c>
      <c r="U65" s="169" t="s">
        <v>4307</v>
      </c>
      <c r="V65" s="183" t="s">
        <v>4308</v>
      </c>
      <c r="W65" s="148">
        <v>15</v>
      </c>
      <c r="X65" s="169" t="s">
        <v>4309</v>
      </c>
      <c r="Y65" s="183" t="s">
        <v>4310</v>
      </c>
      <c r="Z65" s="148">
        <v>3</v>
      </c>
      <c r="AA65" s="169" t="s">
        <v>4311</v>
      </c>
      <c r="AB65" s="183" t="s">
        <v>4312</v>
      </c>
      <c r="AC65" s="148">
        <v>20</v>
      </c>
      <c r="AD65" s="148" t="s">
        <v>4313</v>
      </c>
      <c r="AE65" s="153" t="s">
        <v>4314</v>
      </c>
      <c r="AF65" s="148" t="s">
        <v>3011</v>
      </c>
      <c r="AG65" s="142" t="s">
        <v>4291</v>
      </c>
      <c r="AH65" s="185" t="s">
        <v>4292</v>
      </c>
      <c r="AI65" s="148">
        <v>3</v>
      </c>
      <c r="AJ65" s="148" t="s">
        <v>4317</v>
      </c>
      <c r="AK65" s="153" t="s">
        <v>4318</v>
      </c>
      <c r="AL65" s="148">
        <v>3</v>
      </c>
      <c r="AM65" s="169" t="s">
        <v>4319</v>
      </c>
      <c r="AN65" s="238" t="s">
        <v>10295</v>
      </c>
      <c r="AO65" s="148">
        <v>18</v>
      </c>
      <c r="AP65" s="179" t="s">
        <v>10586</v>
      </c>
      <c r="AQ65" s="240" t="s">
        <v>10587</v>
      </c>
      <c r="AR65" s="148">
        <v>14</v>
      </c>
      <c r="AS65" s="148" t="s">
        <v>5681</v>
      </c>
      <c r="AT65" s="153" t="s">
        <v>5682</v>
      </c>
      <c r="AU65" s="148">
        <v>2</v>
      </c>
      <c r="AV65" s="181" t="s">
        <v>5913</v>
      </c>
      <c r="AW65" s="188" t="s">
        <v>5914</v>
      </c>
      <c r="AX65" s="180">
        <v>10</v>
      </c>
      <c r="AY65" s="237" t="s">
        <v>7376</v>
      </c>
      <c r="AZ65" s="236" t="s">
        <v>7377</v>
      </c>
      <c r="BA65" s="148">
        <v>13</v>
      </c>
      <c r="BB65" s="265" t="s">
        <v>8376</v>
      </c>
      <c r="BC65" s="266" t="s">
        <v>8377</v>
      </c>
      <c r="BD65" s="148">
        <v>11</v>
      </c>
      <c r="BE65" s="235" t="s">
        <v>10501</v>
      </c>
      <c r="BF65" s="269" t="s">
        <v>10502</v>
      </c>
      <c r="BO65" s="153"/>
      <c r="CH65" s="179" t="s">
        <v>9266</v>
      </c>
      <c r="CI65" s="148">
        <v>118</v>
      </c>
      <c r="CJ65" s="148" cm="1">
        <f t="array" ref="CJ65">_xlfn.IFS($AZ$3&gt;=14,121,$AZ$3&gt;=6,120,$AZ$3&gt;=3,119,1,0)</f>
        <v>0</v>
      </c>
      <c r="CN65" s="154">
        <f>IFERROR(IF(CN64+1&gt;CS2,IF(CN64+1&gt;CS2,IF(CR3+CR64&gt;CS3,"",CR3+CR64)),CN64+1),"")</f>
        <v>60</v>
      </c>
      <c r="CO65" s="154" t="str" cm="1">
        <f t="array" ref="CO65">IFERROR(INDEX($B$34:$BO$262,CN65,$CP$2),"")</f>
        <v/>
      </c>
      <c r="CP65" s="154" t="str" cm="1">
        <f t="array" ref="CP65">IFERROR(INDEX($B$34:$BO$262,CN65,$CQ$2),"")</f>
        <v/>
      </c>
      <c r="CQ65" s="154" t="str" cm="1">
        <f t="array" ref="CQ65">IF(IFERROR(INDEX($B$34:$BO$262,CN65,$CO$2),"")=0,"",IFERROR(INDEX($B$34:$BO$262,CN65,$CO$2),""))</f>
        <v/>
      </c>
      <c r="CR65" s="154">
        <f>IFERROR(IF(CN64+1&gt;CS2,CR64+1,0),"")</f>
        <v>0</v>
      </c>
      <c r="CT65" s="155" t="str">
        <f t="shared" si="5"/>
        <v/>
      </c>
      <c r="CU65" s="156" t="str" cm="1">
        <f t="array" ref="CU65">INDEX(CT:CT,SMALL(IF($CT$2:$CT$101&lt;&gt;"",ROW($CT$2:$CT$101),142),ROW(CT64)))&amp;""</f>
        <v/>
      </c>
      <c r="CV65" s="157" t="str">
        <f t="shared" si="3"/>
        <v/>
      </c>
      <c r="CW65" s="154" t="str">
        <f>IF(主要!AX74="","",主要!AX74)</f>
        <v/>
      </c>
      <c r="CX65" s="154" t="str">
        <f t="shared" si="4"/>
        <v/>
      </c>
    </row>
    <row r="66" spans="1:102" ht="16.149999999999999" customHeight="1" x14ac:dyDescent="0.15">
      <c r="A66" s="140">
        <v>33</v>
      </c>
      <c r="B66" s="166">
        <v>6</v>
      </c>
      <c r="C66" s="148" t="s">
        <v>4320</v>
      </c>
      <c r="D66" s="153" t="s">
        <v>4321</v>
      </c>
      <c r="E66" s="148">
        <v>3</v>
      </c>
      <c r="F66" s="169" t="s">
        <v>4322</v>
      </c>
      <c r="G66" s="183" t="s">
        <v>4323</v>
      </c>
      <c r="H66" s="148">
        <v>3</v>
      </c>
      <c r="I66" s="148" t="s">
        <v>4324</v>
      </c>
      <c r="J66" s="153" t="s">
        <v>4325</v>
      </c>
      <c r="K66" s="148">
        <v>10</v>
      </c>
      <c r="L66" s="169" t="s">
        <v>4326</v>
      </c>
      <c r="M66" s="183" t="s">
        <v>4327</v>
      </c>
      <c r="O66" s="142" t="s">
        <v>4328</v>
      </c>
      <c r="P66" s="185" t="s">
        <v>4329</v>
      </c>
      <c r="Q66" s="148">
        <v>11</v>
      </c>
      <c r="R66" s="169" t="s">
        <v>4330</v>
      </c>
      <c r="S66" s="183" t="s">
        <v>4331</v>
      </c>
      <c r="T66" s="148">
        <v>15</v>
      </c>
      <c r="U66" s="169" t="s">
        <v>4332</v>
      </c>
      <c r="V66" s="183" t="s">
        <v>4333</v>
      </c>
      <c r="W66" s="148">
        <v>3</v>
      </c>
      <c r="X66" s="148" t="s">
        <v>4334</v>
      </c>
      <c r="Y66" s="153" t="s">
        <v>4335</v>
      </c>
      <c r="Z66" s="148">
        <v>9</v>
      </c>
      <c r="AA66" s="169" t="s">
        <v>4336</v>
      </c>
      <c r="AB66" s="183" t="s">
        <v>4337</v>
      </c>
      <c r="AC66" s="148">
        <v>3</v>
      </c>
      <c r="AD66" s="169" t="s">
        <v>4338</v>
      </c>
      <c r="AE66" s="183" t="s">
        <v>4339</v>
      </c>
      <c r="AF66" s="148" t="s">
        <v>3011</v>
      </c>
      <c r="AG66" s="142" t="s">
        <v>4315</v>
      </c>
      <c r="AH66" s="185" t="s">
        <v>4316</v>
      </c>
      <c r="AI66" s="148">
        <v>3</v>
      </c>
      <c r="AJ66" s="148" t="s">
        <v>4342</v>
      </c>
      <c r="AK66" s="153" t="s">
        <v>4343</v>
      </c>
      <c r="AL66" s="148">
        <v>5</v>
      </c>
      <c r="AM66" s="169" t="s">
        <v>4344</v>
      </c>
      <c r="AN66" s="238" t="s">
        <v>10296</v>
      </c>
      <c r="AO66" s="148">
        <v>19</v>
      </c>
      <c r="AP66" s="148" t="s">
        <v>4025</v>
      </c>
      <c r="AQ66" s="153" t="s">
        <v>4087</v>
      </c>
      <c r="AR66" s="148" t="s">
        <v>3016</v>
      </c>
      <c r="AS66" s="181" t="s">
        <v>5683</v>
      </c>
      <c r="AT66" s="188" t="s">
        <v>5684</v>
      </c>
      <c r="AU66" s="148">
        <v>2</v>
      </c>
      <c r="AV66" s="181" t="s">
        <v>5915</v>
      </c>
      <c r="AW66" s="188" t="s">
        <v>5916</v>
      </c>
      <c r="AX66" s="180">
        <v>14</v>
      </c>
      <c r="AY66" s="237" t="s">
        <v>7378</v>
      </c>
      <c r="AZ66" s="236" t="s">
        <v>7379</v>
      </c>
      <c r="BA66" s="148">
        <v>13</v>
      </c>
      <c r="BB66" s="265" t="s">
        <v>8378</v>
      </c>
      <c r="BC66" s="266" t="s">
        <v>8379</v>
      </c>
      <c r="BD66" s="148">
        <v>17</v>
      </c>
      <c r="BE66" s="235" t="s">
        <v>10503</v>
      </c>
      <c r="BF66" s="270" t="s">
        <v>10504</v>
      </c>
      <c r="BO66" s="153"/>
      <c r="CH66" s="179" t="s">
        <v>9817</v>
      </c>
      <c r="CI66" s="148">
        <v>122</v>
      </c>
      <c r="CJ66" s="148" cm="1">
        <f t="array" ref="CJ66">_xlfn.IFS($AZ$3&gt;=14,125,$AZ$3&gt;=6,124,$AZ$3&gt;=3,123,1,0)</f>
        <v>0</v>
      </c>
      <c r="CN66" s="154">
        <f>IFERROR(IF(CN65+1&gt;CS2,IF(CN65+1&gt;CS2,IF(CR3+CR65&gt;CS3,"",CR3+CR65)),CN65+1),"")</f>
        <v>61</v>
      </c>
      <c r="CO66" s="154" t="str" cm="1">
        <f t="array" ref="CO66">IFERROR(INDEX($B$34:$BO$262,CN66,$CP$2),"")</f>
        <v/>
      </c>
      <c r="CP66" s="154" t="str" cm="1">
        <f t="array" ref="CP66">IFERROR(INDEX($B$34:$BO$262,CN66,$CQ$2),"")</f>
        <v/>
      </c>
      <c r="CQ66" s="154" t="str" cm="1">
        <f t="array" ref="CQ66">IF(IFERROR(INDEX($B$34:$BO$262,CN66,$CO$2),"")=0,"",IFERROR(INDEX($B$34:$BO$262,CN66,$CO$2),""))</f>
        <v/>
      </c>
      <c r="CR66" s="154">
        <f>IFERROR(IF(CN65+1&gt;CS2,CR65+1,0),"")</f>
        <v>0</v>
      </c>
      <c r="CT66" s="155" t="str">
        <f t="shared" ref="CT66:CT97" si="6">IFERROR(IF(OR(CO70="",COUNTIF($CW$2:$CW$81,CO70)),"",CO70),"")</f>
        <v/>
      </c>
      <c r="CU66" s="156" t="str" cm="1">
        <f t="array" ref="CU66">INDEX(CT:CT,SMALL(IF($CT$2:$CT$101&lt;&gt;"",ROW($CT$2:$CT$101),142),ROW(CT65)))&amp;""</f>
        <v/>
      </c>
      <c r="CV66" s="157" t="str">
        <f t="shared" si="3"/>
        <v/>
      </c>
      <c r="CW66" s="154" t="str">
        <f>IF(主要!AX75="","",主要!AX75)</f>
        <v/>
      </c>
      <c r="CX66" s="154" t="str">
        <f t="shared" si="4"/>
        <v/>
      </c>
    </row>
    <row r="67" spans="1:102" ht="16.149999999999999" customHeight="1" thickBot="1" x14ac:dyDescent="0.2">
      <c r="A67" s="140">
        <v>34</v>
      </c>
      <c r="B67" s="166">
        <v>10</v>
      </c>
      <c r="C67" s="148" t="s">
        <v>4345</v>
      </c>
      <c r="D67" s="153" t="s">
        <v>4346</v>
      </c>
      <c r="E67" s="148">
        <v>3</v>
      </c>
      <c r="F67" s="169" t="s">
        <v>4347</v>
      </c>
      <c r="G67" s="183" t="s">
        <v>4348</v>
      </c>
      <c r="H67" s="148">
        <v>6</v>
      </c>
      <c r="I67" s="148" t="s">
        <v>4349</v>
      </c>
      <c r="J67" s="153" t="s">
        <v>4350</v>
      </c>
      <c r="K67" s="148">
        <v>14</v>
      </c>
      <c r="L67" s="169" t="s">
        <v>4351</v>
      </c>
      <c r="M67" s="183" t="s">
        <v>4352</v>
      </c>
      <c r="O67" s="142" t="s">
        <v>4353</v>
      </c>
      <c r="P67" s="185" t="s">
        <v>4354</v>
      </c>
      <c r="Q67" s="148">
        <v>17</v>
      </c>
      <c r="R67" s="169" t="s">
        <v>4355</v>
      </c>
      <c r="S67" s="183" t="s">
        <v>4356</v>
      </c>
      <c r="T67" s="148">
        <v>20</v>
      </c>
      <c r="U67" s="169" t="s">
        <v>4357</v>
      </c>
      <c r="V67" s="183" t="s">
        <v>4358</v>
      </c>
      <c r="W67" s="148">
        <v>3</v>
      </c>
      <c r="X67" s="148" t="s">
        <v>4359</v>
      </c>
      <c r="Y67" s="153" t="s">
        <v>4360</v>
      </c>
      <c r="Z67" s="148">
        <v>13</v>
      </c>
      <c r="AA67" s="169" t="s">
        <v>4361</v>
      </c>
      <c r="AB67" s="183" t="s">
        <v>4362</v>
      </c>
      <c r="AC67" s="148">
        <v>3</v>
      </c>
      <c r="AD67" s="169" t="s">
        <v>4363</v>
      </c>
      <c r="AE67" s="183" t="s">
        <v>4364</v>
      </c>
      <c r="AF67" s="148" t="s">
        <v>3011</v>
      </c>
      <c r="AG67" s="142" t="s">
        <v>4340</v>
      </c>
      <c r="AH67" s="185" t="s">
        <v>4341</v>
      </c>
      <c r="AI67" s="148">
        <v>6</v>
      </c>
      <c r="AJ67" s="148" t="s">
        <v>4367</v>
      </c>
      <c r="AK67" s="153" t="s">
        <v>4368</v>
      </c>
      <c r="AL67" s="148">
        <v>9</v>
      </c>
      <c r="AM67" s="169" t="s">
        <v>4369</v>
      </c>
      <c r="AN67" s="238" t="s">
        <v>10297</v>
      </c>
      <c r="AO67" s="148">
        <v>20</v>
      </c>
      <c r="AP67" s="148" t="s">
        <v>4108</v>
      </c>
      <c r="AQ67" s="233" t="s">
        <v>10588</v>
      </c>
      <c r="AR67" s="148" t="s">
        <v>3016</v>
      </c>
      <c r="AS67" s="181" t="s">
        <v>5685</v>
      </c>
      <c r="AT67" s="188" t="s">
        <v>5686</v>
      </c>
      <c r="AU67" s="148">
        <v>3</v>
      </c>
      <c r="AV67" s="148" t="s">
        <v>5917</v>
      </c>
      <c r="AW67" s="153" t="s">
        <v>5918</v>
      </c>
      <c r="AX67" s="180">
        <v>3</v>
      </c>
      <c r="AY67" s="180" t="s">
        <v>7380</v>
      </c>
      <c r="AZ67" s="233" t="s">
        <v>7381</v>
      </c>
      <c r="BA67" s="148">
        <v>13</v>
      </c>
      <c r="BB67" s="265" t="s">
        <v>8380</v>
      </c>
      <c r="BC67" s="266" t="s">
        <v>8381</v>
      </c>
      <c r="BD67" s="148">
        <v>3</v>
      </c>
      <c r="BE67" s="180" t="s">
        <v>10510</v>
      </c>
      <c r="BF67" s="233" t="s">
        <v>10505</v>
      </c>
      <c r="BO67" s="153"/>
      <c r="CH67" s="179" t="s">
        <v>9842</v>
      </c>
      <c r="CI67" s="148">
        <v>126</v>
      </c>
      <c r="CJ67" s="148" cm="1">
        <f t="array" ref="CJ67">_xlfn.IFS($AZ$3&gt;=14,129,$AZ$3&gt;=6,128,$AZ$3&gt;=3,127,1,0)</f>
        <v>0</v>
      </c>
      <c r="CN67" s="154">
        <f>IFERROR(IF(CN66+1&gt;CS2,IF(CN66+1&gt;CS2,IF(CR3+CR66&gt;CS3,"",CR3+CR66)),CN66+1),"")</f>
        <v>62</v>
      </c>
      <c r="CO67" s="154" t="str" cm="1">
        <f t="array" ref="CO67">IFERROR(INDEX($B$34:$BO$262,CN67,$CP$2),"")</f>
        <v/>
      </c>
      <c r="CP67" s="154" t="str" cm="1">
        <f t="array" ref="CP67">IFERROR(INDEX($B$34:$BO$262,CN67,$CQ$2),"")</f>
        <v/>
      </c>
      <c r="CQ67" s="154" t="str" cm="1">
        <f t="array" ref="CQ67">IF(IFERROR(INDEX($B$34:$BO$262,CN67,$CO$2),"")=0,"",IFERROR(INDEX($B$34:$BO$262,CN67,$CO$2),""))</f>
        <v/>
      </c>
      <c r="CR67" s="154">
        <f>IFERROR(IF(CN66+1&gt;CS2,CR66+1,0),"")</f>
        <v>0</v>
      </c>
      <c r="CT67" s="155" t="str">
        <f t="shared" si="6"/>
        <v/>
      </c>
      <c r="CU67" s="156" t="str" cm="1">
        <f t="array" ref="CU67">INDEX(CT:CT,SMALL(IF($CT$2:$CT$101&lt;&gt;"",ROW($CT$2:$CT$101),142),ROW(CT66)))&amp;""</f>
        <v/>
      </c>
      <c r="CV67" s="157" t="str">
        <f t="shared" ref="CV67:CV81" si="7">IFERROR(VLOOKUP(CW67,$CO$6:$CQ$105,3,FALSE),"")</f>
        <v/>
      </c>
      <c r="CW67" s="154" t="str">
        <f>IF(主要!AX76="","",主要!AX76)</f>
        <v/>
      </c>
      <c r="CX67" s="154" t="str">
        <f t="shared" ref="CX67:CX81" si="8">IFERROR(VLOOKUP(CW67,$CO$6:$CQ$105,2,FALSE),"")</f>
        <v/>
      </c>
    </row>
    <row r="68" spans="1:102" ht="16.149999999999999" customHeight="1" x14ac:dyDescent="0.15">
      <c r="A68" s="140">
        <v>35</v>
      </c>
      <c r="B68" s="166">
        <v>14</v>
      </c>
      <c r="C68" s="148" t="s">
        <v>4371</v>
      </c>
      <c r="D68" s="153" t="s">
        <v>4372</v>
      </c>
      <c r="E68" s="148">
        <v>6</v>
      </c>
      <c r="F68" s="169" t="s">
        <v>4373</v>
      </c>
      <c r="G68" s="183" t="s">
        <v>4374</v>
      </c>
      <c r="H68" s="148">
        <v>17</v>
      </c>
      <c r="I68" s="148" t="s">
        <v>4375</v>
      </c>
      <c r="J68" s="153" t="s">
        <v>4376</v>
      </c>
      <c r="K68" s="148">
        <v>3</v>
      </c>
      <c r="L68" s="148" t="s">
        <v>4377</v>
      </c>
      <c r="M68" s="153" t="s">
        <v>4378</v>
      </c>
      <c r="O68" s="142" t="s">
        <v>4379</v>
      </c>
      <c r="P68" s="185" t="s">
        <v>4380</v>
      </c>
      <c r="Q68" s="148">
        <v>3</v>
      </c>
      <c r="R68" s="148" t="s">
        <v>4381</v>
      </c>
      <c r="S68" s="153" t="s">
        <v>4382</v>
      </c>
      <c r="T68" s="148">
        <v>3</v>
      </c>
      <c r="U68" s="148" t="s">
        <v>4383</v>
      </c>
      <c r="V68" s="153" t="s">
        <v>4384</v>
      </c>
      <c r="W68" s="148">
        <v>3</v>
      </c>
      <c r="X68" s="148" t="s">
        <v>4385</v>
      </c>
      <c r="Y68" s="153" t="s">
        <v>4386</v>
      </c>
      <c r="Z68" s="148">
        <v>17</v>
      </c>
      <c r="AA68" s="169" t="s">
        <v>4387</v>
      </c>
      <c r="AB68" s="183" t="s">
        <v>4388</v>
      </c>
      <c r="AC68" s="148">
        <v>6</v>
      </c>
      <c r="AD68" s="169" t="s">
        <v>4389</v>
      </c>
      <c r="AE68" s="183" t="s">
        <v>4390</v>
      </c>
      <c r="AF68" s="148" t="s">
        <v>3011</v>
      </c>
      <c r="AG68" s="142" t="s">
        <v>4365</v>
      </c>
      <c r="AH68" s="185" t="s">
        <v>4366</v>
      </c>
      <c r="AI68" s="148">
        <v>10</v>
      </c>
      <c r="AJ68" s="148" t="s">
        <v>4392</v>
      </c>
      <c r="AK68" s="153" t="s">
        <v>4393</v>
      </c>
      <c r="AL68" s="148">
        <v>15</v>
      </c>
      <c r="AM68" s="169" t="s">
        <v>4394</v>
      </c>
      <c r="AN68" s="238" t="s">
        <v>10298</v>
      </c>
      <c r="AO68" s="148">
        <v>3</v>
      </c>
      <c r="AP68" s="169" t="s">
        <v>4132</v>
      </c>
      <c r="AQ68" s="238" t="s">
        <v>10589</v>
      </c>
      <c r="AR68" s="148" t="s">
        <v>5621</v>
      </c>
      <c r="AS68" s="181" t="s">
        <v>5687</v>
      </c>
      <c r="AT68" s="188" t="s">
        <v>5688</v>
      </c>
      <c r="AU68" s="148">
        <v>4</v>
      </c>
      <c r="AV68" s="148" t="s">
        <v>5919</v>
      </c>
      <c r="AW68" s="153" t="s">
        <v>5920</v>
      </c>
      <c r="AX68" s="180">
        <v>3</v>
      </c>
      <c r="AY68" s="180" t="s">
        <v>7382</v>
      </c>
      <c r="AZ68" s="233" t="s">
        <v>7383</v>
      </c>
      <c r="BA68" s="148">
        <v>13</v>
      </c>
      <c r="BB68" s="265" t="s">
        <v>8382</v>
      </c>
      <c r="BC68" s="266" t="s">
        <v>8383</v>
      </c>
      <c r="BD68" s="148">
        <v>3</v>
      </c>
      <c r="BE68" s="180" t="s">
        <v>10444</v>
      </c>
      <c r="BF68" s="233" t="s">
        <v>10506</v>
      </c>
      <c r="BO68" s="153"/>
      <c r="CH68" s="163" t="s">
        <v>3595</v>
      </c>
      <c r="CI68" s="163">
        <v>26</v>
      </c>
      <c r="CJ68" s="163" cm="1">
        <f t="array" ref="CJ68">_xlfn.IFS($AZ$4&gt;=17,30,$AZ$4&gt;=6,29,$AZ$4&gt;=3,28,1,0)</f>
        <v>0</v>
      </c>
      <c r="CN68" s="154">
        <f>IFERROR(IF(CN67+1&gt;CS2,IF(CN67+1&gt;CS2,IF(CR3+CR67&gt;CS3,"",CR3+CR67)),CN67+1),"")</f>
        <v>63</v>
      </c>
      <c r="CO68" s="154" t="str" cm="1">
        <f t="array" ref="CO68">IFERROR(INDEX($B$34:$BO$262,CN68,$CP$2),"")</f>
        <v/>
      </c>
      <c r="CP68" s="154" t="str" cm="1">
        <f t="array" ref="CP68">IFERROR(INDEX($B$34:$BO$262,CN68,$CQ$2),"")</f>
        <v/>
      </c>
      <c r="CQ68" s="154" t="str" cm="1">
        <f t="array" ref="CQ68">IF(IFERROR(INDEX($B$34:$BO$262,CN68,$CO$2),"")=0,"",IFERROR(INDEX($B$34:$BO$262,CN68,$CO$2),""))</f>
        <v/>
      </c>
      <c r="CR68" s="154">
        <f>IFERROR(IF(CN67+1&gt;CS2,CR67+1,0),"")</f>
        <v>0</v>
      </c>
      <c r="CT68" s="155" t="str">
        <f t="shared" si="6"/>
        <v/>
      </c>
      <c r="CU68" s="156" t="str" cm="1">
        <f t="array" ref="CU68">INDEX(CT:CT,SMALL(IF($CT$2:$CT$101&lt;&gt;"",ROW($CT$2:$CT$101),142),ROW(CT67)))&amp;""</f>
        <v/>
      </c>
      <c r="CV68" s="157" t="str">
        <f t="shared" si="7"/>
        <v/>
      </c>
      <c r="CW68" s="154" t="str">
        <f>IF(主要!AX77="","",主要!AX77)</f>
        <v/>
      </c>
      <c r="CX68" s="154" t="str">
        <f t="shared" si="8"/>
        <v/>
      </c>
    </row>
    <row r="69" spans="1:102" ht="16.149999999999999" customHeight="1" x14ac:dyDescent="0.15">
      <c r="A69" s="140">
        <v>36</v>
      </c>
      <c r="B69" s="166">
        <v>3</v>
      </c>
      <c r="C69" s="169" t="s">
        <v>4396</v>
      </c>
      <c r="D69" s="183" t="s">
        <v>4397</v>
      </c>
      <c r="E69" s="148">
        <v>14</v>
      </c>
      <c r="F69" s="169" t="s">
        <v>4398</v>
      </c>
      <c r="G69" s="183" t="s">
        <v>4399</v>
      </c>
      <c r="H69" s="148">
        <v>3</v>
      </c>
      <c r="I69" s="169" t="s">
        <v>4400</v>
      </c>
      <c r="J69" s="183" t="s">
        <v>4401</v>
      </c>
      <c r="K69" s="148">
        <v>3</v>
      </c>
      <c r="L69" s="148" t="s">
        <v>4402</v>
      </c>
      <c r="M69" s="153" t="s">
        <v>4403</v>
      </c>
      <c r="O69" s="142" t="s">
        <v>4404</v>
      </c>
      <c r="P69" s="185" t="s">
        <v>4405</v>
      </c>
      <c r="Q69" s="148">
        <v>6</v>
      </c>
      <c r="R69" s="148" t="s">
        <v>4406</v>
      </c>
      <c r="S69" s="153" t="s">
        <v>4407</v>
      </c>
      <c r="T69" s="148">
        <v>3</v>
      </c>
      <c r="U69" s="148" t="s">
        <v>4408</v>
      </c>
      <c r="V69" s="153" t="s">
        <v>4409</v>
      </c>
      <c r="W69" s="148">
        <v>7</v>
      </c>
      <c r="X69" s="148" t="s">
        <v>4410</v>
      </c>
      <c r="Y69" s="153" t="s">
        <v>4411</v>
      </c>
      <c r="Z69" s="148">
        <v>3</v>
      </c>
      <c r="AA69" s="148" t="s">
        <v>4412</v>
      </c>
      <c r="AB69" s="153" t="s">
        <v>4413</v>
      </c>
      <c r="AC69" s="148">
        <v>6</v>
      </c>
      <c r="AD69" s="169" t="s">
        <v>4414</v>
      </c>
      <c r="AE69" s="183" t="s">
        <v>4415</v>
      </c>
      <c r="AF69" s="148" t="s">
        <v>3011</v>
      </c>
      <c r="AG69" s="167" t="str">
        <f>IF(自定义调整栏!$E$3="O","哈达之攫","")</f>
        <v>哈达之攫</v>
      </c>
      <c r="AH69" s="186" t="s">
        <v>4391</v>
      </c>
      <c r="AI69" s="148">
        <v>14</v>
      </c>
      <c r="AJ69" s="148" t="s">
        <v>4417</v>
      </c>
      <c r="AK69" s="153" t="s">
        <v>4418</v>
      </c>
      <c r="AL69" s="148">
        <v>3</v>
      </c>
      <c r="AM69" s="180" t="s">
        <v>10700</v>
      </c>
      <c r="AN69" s="234" t="s">
        <v>10299</v>
      </c>
      <c r="AO69" s="148">
        <v>3</v>
      </c>
      <c r="AP69" s="237" t="s">
        <v>10591</v>
      </c>
      <c r="AQ69" s="238" t="s">
        <v>10590</v>
      </c>
      <c r="AR69" s="148" t="s">
        <v>5621</v>
      </c>
      <c r="AS69" s="181" t="s">
        <v>5689</v>
      </c>
      <c r="AT69" s="188" t="s">
        <v>5690</v>
      </c>
      <c r="AU69" s="148">
        <v>6</v>
      </c>
      <c r="AV69" s="181" t="s">
        <v>5921</v>
      </c>
      <c r="AW69" s="188" t="s">
        <v>5922</v>
      </c>
      <c r="AX69" s="180">
        <v>6</v>
      </c>
      <c r="AY69" s="180" t="s">
        <v>7384</v>
      </c>
      <c r="AZ69" s="233" t="s">
        <v>7385</v>
      </c>
      <c r="BA69" s="148">
        <v>13</v>
      </c>
      <c r="BB69" s="265" t="s">
        <v>8384</v>
      </c>
      <c r="BC69" s="266" t="s">
        <v>8385</v>
      </c>
      <c r="BD69" s="148">
        <v>6</v>
      </c>
      <c r="BE69" s="180" t="s">
        <v>10511</v>
      </c>
      <c r="BF69" s="233" t="s">
        <v>10507</v>
      </c>
      <c r="BO69" s="153"/>
      <c r="CH69" s="148" t="s">
        <v>3596</v>
      </c>
      <c r="CI69" s="148">
        <v>31</v>
      </c>
      <c r="CJ69" s="148" cm="1">
        <f t="array" ref="CJ69">_xlfn.IFS($AZ$4&gt;=17,35,$AZ$4&gt;=6,34,$AZ$4&gt;=3,33,1,0)</f>
        <v>0</v>
      </c>
      <c r="CN69" s="154">
        <f>IFERROR(IF(CN68+1&gt;CS2,IF(CN68+1&gt;CS2,IF(CR3+CR68&gt;CS3,"",CR3+CR68)),CN68+1),"")</f>
        <v>64</v>
      </c>
      <c r="CO69" s="154" t="str" cm="1">
        <f t="array" ref="CO69">IFERROR(INDEX($B$34:$BO$262,CN69,$CP$2),"")</f>
        <v/>
      </c>
      <c r="CP69" s="154" t="str" cm="1">
        <f t="array" ref="CP69">IFERROR(INDEX($B$34:$BO$262,CN69,$CQ$2),"")</f>
        <v/>
      </c>
      <c r="CQ69" s="154" t="str" cm="1">
        <f t="array" ref="CQ69">IF(IFERROR(INDEX($B$34:$BO$262,CN69,$CO$2),"")=0,"",IFERROR(INDEX($B$34:$BO$262,CN69,$CO$2),""))</f>
        <v/>
      </c>
      <c r="CR69" s="154">
        <f>IFERROR(IF(CN68+1&gt;CS2,CR68+1,0),"")</f>
        <v>0</v>
      </c>
      <c r="CT69" s="155" t="str">
        <f t="shared" si="6"/>
        <v/>
      </c>
      <c r="CU69" s="156" t="str" cm="1">
        <f t="array" ref="CU69">INDEX(CT:CT,SMALL(IF($CT$2:$CT$101&lt;&gt;"",ROW($CT$2:$CT$101),142),ROW(CT68)))&amp;""</f>
        <v/>
      </c>
      <c r="CV69" s="157" t="str">
        <f t="shared" si="7"/>
        <v/>
      </c>
      <c r="CW69" s="154" t="str">
        <f>IF(数据表!BK68="","",数据表!BK68)</f>
        <v/>
      </c>
      <c r="CX69" s="154" t="str">
        <f t="shared" si="8"/>
        <v/>
      </c>
    </row>
    <row r="70" spans="1:102" ht="16.149999999999999" customHeight="1" x14ac:dyDescent="0.15">
      <c r="A70" s="140">
        <v>37</v>
      </c>
      <c r="B70" s="166">
        <v>6</v>
      </c>
      <c r="C70" s="169" t="s">
        <v>4420</v>
      </c>
      <c r="D70" s="183" t="s">
        <v>4421</v>
      </c>
      <c r="E70" s="148">
        <v>3</v>
      </c>
      <c r="F70" s="148" t="s">
        <v>4422</v>
      </c>
      <c r="G70" s="153" t="s">
        <v>4423</v>
      </c>
      <c r="H70" s="148">
        <v>3</v>
      </c>
      <c r="I70" s="169" t="s">
        <v>4424</v>
      </c>
      <c r="J70" s="183" t="s">
        <v>4425</v>
      </c>
      <c r="K70" s="148">
        <v>6</v>
      </c>
      <c r="L70" s="148" t="s">
        <v>4426</v>
      </c>
      <c r="M70" s="153" t="s">
        <v>4427</v>
      </c>
      <c r="O70" s="142" t="s">
        <v>4428</v>
      </c>
      <c r="P70" s="185" t="s">
        <v>4429</v>
      </c>
      <c r="Q70" s="148">
        <v>11</v>
      </c>
      <c r="R70" s="148" t="s">
        <v>4430</v>
      </c>
      <c r="S70" s="153" t="s">
        <v>4431</v>
      </c>
      <c r="T70" s="148">
        <v>3</v>
      </c>
      <c r="U70" s="148" t="s">
        <v>4432</v>
      </c>
      <c r="V70" s="153" t="s">
        <v>4433</v>
      </c>
      <c r="W70" s="148">
        <v>11</v>
      </c>
      <c r="X70" s="148" t="s">
        <v>4434</v>
      </c>
      <c r="Y70" s="153" t="s">
        <v>4435</v>
      </c>
      <c r="Z70" s="148">
        <v>3</v>
      </c>
      <c r="AA70" s="148" t="s">
        <v>4436</v>
      </c>
      <c r="AB70" s="153" t="s">
        <v>4437</v>
      </c>
      <c r="AC70" s="148">
        <v>14</v>
      </c>
      <c r="AD70" s="169" t="s">
        <v>4438</v>
      </c>
      <c r="AE70" s="183" t="s">
        <v>4439</v>
      </c>
      <c r="AF70" s="148" t="s">
        <v>3011</v>
      </c>
      <c r="AG70" s="167" t="str">
        <f>IF(自定义调整栏!$E$3="O","怠惰之枪","")</f>
        <v>怠惰之枪</v>
      </c>
      <c r="AH70" s="186" t="s">
        <v>4416</v>
      </c>
      <c r="AI70" s="148">
        <v>3</v>
      </c>
      <c r="AJ70" s="169" t="s">
        <v>4442</v>
      </c>
      <c r="AK70" s="183" t="s">
        <v>4443</v>
      </c>
      <c r="AL70" s="148">
        <v>3</v>
      </c>
      <c r="AM70" s="180" t="s">
        <v>10699</v>
      </c>
      <c r="AN70" s="234" t="s">
        <v>10300</v>
      </c>
      <c r="AO70" s="148">
        <v>3</v>
      </c>
      <c r="AP70" s="237" t="s">
        <v>10592</v>
      </c>
      <c r="AQ70" s="238" t="s">
        <v>10593</v>
      </c>
      <c r="AR70" s="148">
        <v>19</v>
      </c>
      <c r="AS70" s="148" t="s">
        <v>4025</v>
      </c>
      <c r="AT70" s="153" t="s">
        <v>5691</v>
      </c>
      <c r="AU70" s="148">
        <v>6</v>
      </c>
      <c r="AV70" s="181" t="s">
        <v>5923</v>
      </c>
      <c r="AW70" s="188" t="s">
        <v>5924</v>
      </c>
      <c r="AX70" s="180">
        <v>10</v>
      </c>
      <c r="AY70" s="180" t="s">
        <v>7386</v>
      </c>
      <c r="AZ70" s="233" t="s">
        <v>7387</v>
      </c>
      <c r="BA70" s="148">
        <v>13</v>
      </c>
      <c r="BB70" s="265" t="s">
        <v>8386</v>
      </c>
      <c r="BC70" s="266" t="s">
        <v>8387</v>
      </c>
      <c r="BD70" s="148">
        <v>11</v>
      </c>
      <c r="BE70" s="180" t="s">
        <v>10512</v>
      </c>
      <c r="BF70" s="233" t="s">
        <v>10508</v>
      </c>
      <c r="BO70" s="153"/>
      <c r="CH70" s="148" t="s">
        <v>3597</v>
      </c>
      <c r="CI70" s="148">
        <v>36</v>
      </c>
      <c r="CJ70" s="148" cm="1">
        <f t="array" ref="CJ70">_xlfn.IFS($AZ$4&gt;=17,40,$AZ$4&gt;=6,39,$AZ$4&gt;=3,38,1,0)</f>
        <v>0</v>
      </c>
      <c r="CN70" s="154">
        <f>IFERROR(IF(CN69+1&gt;CS2,IF(CN69+1&gt;CS2,IF(CR3+CR69&gt;CS3,"",CR3+CR69)),CN69+1),"")</f>
        <v>65</v>
      </c>
      <c r="CO70" s="154" t="str" cm="1">
        <f t="array" ref="CO70">IFERROR(INDEX($B$34:$BO$262,CN70,$CP$2),"")</f>
        <v/>
      </c>
      <c r="CP70" s="154" t="str" cm="1">
        <f t="array" ref="CP70">IFERROR(INDEX($B$34:$BO$262,CN70,$CQ$2),"")</f>
        <v/>
      </c>
      <c r="CQ70" s="154" t="str" cm="1">
        <f t="array" ref="CQ70">IF(IFERROR(INDEX($B$34:$BO$262,CN70,$CO$2),"")=0,"",IFERROR(INDEX($B$34:$BO$262,CN70,$CO$2),""))</f>
        <v/>
      </c>
      <c r="CR70" s="154">
        <f>IFERROR(IF(CN69+1&gt;CS2,CR69+1,0),"")</f>
        <v>0</v>
      </c>
      <c r="CT70" s="155" t="str">
        <f t="shared" si="6"/>
        <v/>
      </c>
      <c r="CU70" s="156" t="str" cm="1">
        <f t="array" ref="CU70">INDEX(CT:CT,SMALL(IF($CT$2:$CT$101&lt;&gt;"",ROW($CT$2:$CT$101),142),ROW(CT69)))&amp;""</f>
        <v/>
      </c>
      <c r="CV70" s="157" t="str">
        <f t="shared" si="7"/>
        <v/>
      </c>
      <c r="CW70" s="154" t="str">
        <f>IF(数据表!BK69="","",数据表!BK69)</f>
        <v/>
      </c>
      <c r="CX70" s="154" t="str">
        <f t="shared" si="8"/>
        <v/>
      </c>
    </row>
    <row r="71" spans="1:102" ht="16.149999999999999" customHeight="1" x14ac:dyDescent="0.15">
      <c r="A71" s="140">
        <v>38</v>
      </c>
      <c r="B71" s="166">
        <v>10</v>
      </c>
      <c r="C71" s="169" t="s">
        <v>4445</v>
      </c>
      <c r="D71" s="183" t="s">
        <v>4446</v>
      </c>
      <c r="E71" s="148">
        <v>3</v>
      </c>
      <c r="F71" s="148" t="s">
        <v>4447</v>
      </c>
      <c r="G71" s="153" t="s">
        <v>4448</v>
      </c>
      <c r="H71" s="148">
        <v>3</v>
      </c>
      <c r="I71" s="169" t="s">
        <v>4449</v>
      </c>
      <c r="J71" s="183" t="s">
        <v>4450</v>
      </c>
      <c r="K71" s="148">
        <v>10</v>
      </c>
      <c r="L71" s="148" t="s">
        <v>4451</v>
      </c>
      <c r="M71" s="153" t="s">
        <v>4452</v>
      </c>
      <c r="O71" s="142" t="s">
        <v>4453</v>
      </c>
      <c r="P71" s="185" t="s">
        <v>4454</v>
      </c>
      <c r="Q71" s="148">
        <v>17</v>
      </c>
      <c r="R71" s="148" t="s">
        <v>4455</v>
      </c>
      <c r="S71" s="153" t="s">
        <v>4456</v>
      </c>
      <c r="T71" s="148">
        <v>7</v>
      </c>
      <c r="U71" s="148" t="s">
        <v>4457</v>
      </c>
      <c r="V71" s="153" t="s">
        <v>4458</v>
      </c>
      <c r="W71" s="148">
        <v>15</v>
      </c>
      <c r="X71" s="148" t="s">
        <v>4459</v>
      </c>
      <c r="Y71" s="153" t="s">
        <v>4460</v>
      </c>
      <c r="Z71" s="148">
        <v>9</v>
      </c>
      <c r="AA71" s="148" t="s">
        <v>4461</v>
      </c>
      <c r="AB71" s="153" t="s">
        <v>4462</v>
      </c>
      <c r="AC71" s="148">
        <v>18</v>
      </c>
      <c r="AD71" s="169" t="s">
        <v>4463</v>
      </c>
      <c r="AE71" s="183" t="s">
        <v>4464</v>
      </c>
      <c r="AF71" s="148" t="s">
        <v>3011</v>
      </c>
      <c r="AG71" s="307" t="str">
        <f>IF(自定义调整栏!$E$29="O","巫咒撕裂者","")</f>
        <v/>
      </c>
      <c r="AH71" s="308" t="s">
        <v>9145</v>
      </c>
      <c r="AI71" s="148">
        <v>3</v>
      </c>
      <c r="AJ71" s="169" t="s">
        <v>4466</v>
      </c>
      <c r="AK71" s="183" t="s">
        <v>4467</v>
      </c>
      <c r="AL71" s="148">
        <v>3</v>
      </c>
      <c r="AM71" s="148" t="s">
        <v>4468</v>
      </c>
      <c r="AN71" s="234" t="s">
        <v>10301</v>
      </c>
      <c r="AO71" s="148">
        <v>6</v>
      </c>
      <c r="AP71" s="169" t="s">
        <v>3889</v>
      </c>
      <c r="AQ71" s="238" t="s">
        <v>10594</v>
      </c>
      <c r="AR71" s="148">
        <v>20</v>
      </c>
      <c r="AS71" s="148" t="s">
        <v>5692</v>
      </c>
      <c r="AT71" s="153" t="s">
        <v>5693</v>
      </c>
      <c r="AU71" s="148">
        <v>6</v>
      </c>
      <c r="AV71" s="181" t="s">
        <v>5925</v>
      </c>
      <c r="AW71" s="188" t="s">
        <v>5926</v>
      </c>
      <c r="AX71" s="180">
        <v>14</v>
      </c>
      <c r="AY71" s="180" t="s">
        <v>7388</v>
      </c>
      <c r="AZ71" s="233" t="s">
        <v>7389</v>
      </c>
      <c r="BA71" s="148">
        <v>13</v>
      </c>
      <c r="BB71" s="265" t="s">
        <v>8388</v>
      </c>
      <c r="BC71" s="266" t="s">
        <v>8389</v>
      </c>
      <c r="BD71" s="148">
        <v>17</v>
      </c>
      <c r="BE71" s="180" t="s">
        <v>10513</v>
      </c>
      <c r="BF71" s="233" t="s">
        <v>10509</v>
      </c>
      <c r="BO71" s="153"/>
      <c r="CH71" s="148" t="s">
        <v>3598</v>
      </c>
      <c r="CI71" s="148">
        <v>41</v>
      </c>
      <c r="CJ71" s="148" cm="1">
        <f t="array" ref="CJ71">_xlfn.IFS($AZ$4&gt;=17,45,$AZ$4&gt;=6,44,$AZ$4&gt;=3,43,1,0)</f>
        <v>0</v>
      </c>
      <c r="CN71" s="154">
        <f>IFERROR(IF(CN70+1&gt;CS2,IF(CN70+1&gt;CS2,IF(CR3+CR70&gt;CS3,"",CR3+CR70)),CN70+1),"")</f>
        <v>66</v>
      </c>
      <c r="CO71" s="154" t="str" cm="1">
        <f t="array" ref="CO71">IFERROR(INDEX($B$34:$BO$262,CN71,$CP$2),"")</f>
        <v/>
      </c>
      <c r="CP71" s="154" t="str" cm="1">
        <f t="array" ref="CP71">IFERROR(INDEX($B$34:$BO$262,CN71,$CQ$2),"")</f>
        <v/>
      </c>
      <c r="CQ71" s="154" t="str" cm="1">
        <f t="array" ref="CQ71">IF(IFERROR(INDEX($B$34:$BO$262,CN71,$CO$2),"")=0,"",IFERROR(INDEX($B$34:$BO$262,CN71,$CO$2),""))</f>
        <v/>
      </c>
      <c r="CR71" s="154">
        <f>IFERROR(IF(CN70+1&gt;CS2,CR70+1,0),"")</f>
        <v>0</v>
      </c>
      <c r="CT71" s="155" t="str">
        <f t="shared" si="6"/>
        <v/>
      </c>
      <c r="CU71" s="156" t="str" cm="1">
        <f t="array" ref="CU71">INDEX(CT:CT,SMALL(IF($CT$2:$CT$101&lt;&gt;"",ROW($CT$2:$CT$101),142),ROW(CT70)))&amp;""</f>
        <v/>
      </c>
      <c r="CV71" s="157" t="str">
        <f t="shared" si="7"/>
        <v/>
      </c>
      <c r="CW71" s="154" t="str">
        <f>IF(数据表!BK70="","",数据表!BK70)</f>
        <v/>
      </c>
      <c r="CX71" s="154" t="str">
        <f t="shared" si="8"/>
        <v/>
      </c>
    </row>
    <row r="72" spans="1:102" ht="16.149999999999999" customHeight="1" x14ac:dyDescent="0.15">
      <c r="A72" s="140">
        <v>39</v>
      </c>
      <c r="B72" s="166">
        <v>14</v>
      </c>
      <c r="C72" s="169" t="s">
        <v>4471</v>
      </c>
      <c r="D72" s="183" t="s">
        <v>4472</v>
      </c>
      <c r="E72" s="148">
        <v>6</v>
      </c>
      <c r="F72" s="148" t="s">
        <v>3889</v>
      </c>
      <c r="G72" s="153" t="s">
        <v>4473</v>
      </c>
      <c r="H72" s="148">
        <v>6</v>
      </c>
      <c r="I72" s="169" t="s">
        <v>4474</v>
      </c>
      <c r="J72" s="183" t="s">
        <v>4475</v>
      </c>
      <c r="K72" s="148">
        <v>14</v>
      </c>
      <c r="L72" s="148" t="s">
        <v>4476</v>
      </c>
      <c r="M72" s="153" t="s">
        <v>4477</v>
      </c>
      <c r="O72" s="142" t="s">
        <v>4478</v>
      </c>
      <c r="P72" s="185" t="s">
        <v>4479</v>
      </c>
      <c r="Q72" s="148">
        <v>3</v>
      </c>
      <c r="R72" s="169" t="s">
        <v>4480</v>
      </c>
      <c r="S72" s="183" t="s">
        <v>4481</v>
      </c>
      <c r="T72" s="148">
        <v>15</v>
      </c>
      <c r="U72" s="148" t="s">
        <v>4482</v>
      </c>
      <c r="V72" s="153" t="s">
        <v>4483</v>
      </c>
      <c r="W72" s="148">
        <v>3</v>
      </c>
      <c r="X72" s="169" t="s">
        <v>4484</v>
      </c>
      <c r="Y72" s="183" t="s">
        <v>4485</v>
      </c>
      <c r="Z72" s="148">
        <v>13</v>
      </c>
      <c r="AA72" s="148" t="s">
        <v>4486</v>
      </c>
      <c r="AB72" s="153" t="s">
        <v>4487</v>
      </c>
      <c r="AC72" s="148">
        <v>3</v>
      </c>
      <c r="AD72" s="148" t="s">
        <v>4488</v>
      </c>
      <c r="AE72" s="153" t="s">
        <v>4489</v>
      </c>
      <c r="AF72" s="148" t="s">
        <v>3011</v>
      </c>
      <c r="AG72" s="307" t="str">
        <f>IF(自定义调整栏!$E$29="O","原初唤者","")</f>
        <v/>
      </c>
      <c r="AH72" s="308" t="s">
        <v>9146</v>
      </c>
      <c r="AI72" s="148">
        <v>6</v>
      </c>
      <c r="AJ72" s="169" t="s">
        <v>4492</v>
      </c>
      <c r="AK72" s="183" t="s">
        <v>4493</v>
      </c>
      <c r="AL72" s="148">
        <v>3</v>
      </c>
      <c r="AM72" s="148" t="s">
        <v>4494</v>
      </c>
      <c r="AN72" s="234" t="s">
        <v>10302</v>
      </c>
      <c r="AO72" s="148">
        <v>6</v>
      </c>
      <c r="AP72" s="237" t="s">
        <v>10595</v>
      </c>
      <c r="AQ72" s="238" t="s">
        <v>10596</v>
      </c>
      <c r="AR72" s="148">
        <v>3</v>
      </c>
      <c r="AS72" s="169" t="s">
        <v>5694</v>
      </c>
      <c r="AT72" s="183" t="s">
        <v>5695</v>
      </c>
      <c r="AU72" s="148">
        <v>6</v>
      </c>
      <c r="AV72" s="181" t="s">
        <v>5927</v>
      </c>
      <c r="AW72" s="188" t="s">
        <v>5928</v>
      </c>
      <c r="AX72" s="180">
        <v>3</v>
      </c>
      <c r="AY72" s="237" t="s">
        <v>7390</v>
      </c>
      <c r="AZ72" s="236" t="s">
        <v>7391</v>
      </c>
      <c r="BA72" s="148">
        <v>14</v>
      </c>
      <c r="BB72" s="180" t="s">
        <v>8342</v>
      </c>
      <c r="BC72" s="233" t="s">
        <v>8343</v>
      </c>
      <c r="BD72" s="148">
        <v>3</v>
      </c>
      <c r="BE72" s="237" t="s">
        <v>10514</v>
      </c>
      <c r="BF72" s="236" t="s">
        <v>10515</v>
      </c>
      <c r="BO72" s="153"/>
      <c r="CH72" s="148" t="s">
        <v>4154</v>
      </c>
      <c r="CI72" s="148">
        <v>46</v>
      </c>
      <c r="CJ72" s="148" cm="1">
        <f t="array" ref="CJ72">_xlfn.IFS($AZ$4&gt;=17,51,$AZ$4&gt;=6,50,$AZ$4&gt;=3,49,1,0)</f>
        <v>0</v>
      </c>
      <c r="CN72" s="154">
        <f>IFERROR(IF(CN71+1&gt;CS2,IF(CN71+1&gt;CS2,IF(CR3+CR71&gt;CS3,"",CR3+CR71)),CN71+1),"")</f>
        <v>67</v>
      </c>
      <c r="CO72" s="154" t="str" cm="1">
        <f t="array" ref="CO72">IFERROR(INDEX($B$34:$BO$262,CN72,$CP$2),"")</f>
        <v/>
      </c>
      <c r="CP72" s="154" t="str" cm="1">
        <f t="array" ref="CP72">IFERROR(INDEX($B$34:$BO$262,CN72,$CQ$2),"")</f>
        <v/>
      </c>
      <c r="CQ72" s="154" t="str" cm="1">
        <f t="array" ref="CQ72">IF(IFERROR(INDEX($B$34:$BO$262,CN72,$CO$2),"")=0,"",IFERROR(INDEX($B$34:$BO$262,CN72,$CO$2),""))</f>
        <v/>
      </c>
      <c r="CR72" s="154">
        <f>IFERROR(IF(CN71+1&gt;CS2,CR71+1,0),"")</f>
        <v>0</v>
      </c>
      <c r="CT72" s="155" t="str">
        <f t="shared" si="6"/>
        <v/>
      </c>
      <c r="CU72" s="156" t="str" cm="1">
        <f t="array" ref="CU72">INDEX(CT:CT,SMALL(IF($CT$2:$CT$101&lt;&gt;"",ROW($CT$2:$CT$101),142),ROW(CT71)))&amp;""</f>
        <v/>
      </c>
      <c r="CV72" s="157" t="str">
        <f t="shared" si="7"/>
        <v/>
      </c>
      <c r="CW72" s="154" t="str">
        <f>IF(数据表!BK71="","",数据表!BK71)</f>
        <v/>
      </c>
      <c r="CX72" s="154" t="str">
        <f t="shared" si="8"/>
        <v/>
      </c>
    </row>
    <row r="73" spans="1:102" ht="16.149999999999999" customHeight="1" x14ac:dyDescent="0.15">
      <c r="A73" s="140">
        <v>40</v>
      </c>
      <c r="B73" s="166">
        <v>3</v>
      </c>
      <c r="C73" s="148" t="s">
        <v>4497</v>
      </c>
      <c r="D73" s="153" t="s">
        <v>4498</v>
      </c>
      <c r="E73" s="148">
        <v>14</v>
      </c>
      <c r="F73" s="148" t="s">
        <v>4499</v>
      </c>
      <c r="G73" s="153" t="s">
        <v>4500</v>
      </c>
      <c r="H73" s="148">
        <v>17</v>
      </c>
      <c r="I73" s="169" t="s">
        <v>4501</v>
      </c>
      <c r="J73" s="183" t="s">
        <v>4502</v>
      </c>
      <c r="K73" s="148">
        <v>3</v>
      </c>
      <c r="L73" s="169" t="s">
        <v>4503</v>
      </c>
      <c r="M73" s="183" t="s">
        <v>4504</v>
      </c>
      <c r="O73" s="142" t="s">
        <v>4505</v>
      </c>
      <c r="P73" s="185" t="s">
        <v>4506</v>
      </c>
      <c r="Q73" s="148">
        <v>3</v>
      </c>
      <c r="R73" s="169" t="s">
        <v>4507</v>
      </c>
      <c r="S73" s="183" t="s">
        <v>4508</v>
      </c>
      <c r="T73" s="148">
        <v>20</v>
      </c>
      <c r="U73" s="148" t="s">
        <v>4509</v>
      </c>
      <c r="V73" s="153" t="s">
        <v>4510</v>
      </c>
      <c r="W73" s="148">
        <v>3</v>
      </c>
      <c r="X73" s="169" t="s">
        <v>4511</v>
      </c>
      <c r="Y73" s="183" t="s">
        <v>4512</v>
      </c>
      <c r="Z73" s="148">
        <v>17</v>
      </c>
      <c r="AA73" s="148" t="s">
        <v>4513</v>
      </c>
      <c r="AB73" s="153" t="s">
        <v>4514</v>
      </c>
      <c r="AC73" s="148">
        <v>3</v>
      </c>
      <c r="AD73" s="148" t="s">
        <v>4515</v>
      </c>
      <c r="AE73" s="153" t="s">
        <v>4516</v>
      </c>
      <c r="AF73" s="148" t="s">
        <v>3011</v>
      </c>
      <c r="AG73" s="307" t="str">
        <f>IF(自定义调整栏!$E$29="O","猎人秘典","")</f>
        <v/>
      </c>
      <c r="AH73" s="308" t="s">
        <v>9147</v>
      </c>
      <c r="AI73" s="148">
        <v>10</v>
      </c>
      <c r="AJ73" s="169" t="s">
        <v>4519</v>
      </c>
      <c r="AK73" s="183" t="s">
        <v>4520</v>
      </c>
      <c r="AM73" s="180" t="s">
        <v>10303</v>
      </c>
      <c r="AN73" s="234" t="s">
        <v>10304</v>
      </c>
      <c r="AO73" s="148">
        <v>10</v>
      </c>
      <c r="AP73" s="237" t="s">
        <v>10597</v>
      </c>
      <c r="AQ73" s="238" t="s">
        <v>10598</v>
      </c>
      <c r="AR73" s="148">
        <v>3</v>
      </c>
      <c r="AS73" s="169" t="s">
        <v>5696</v>
      </c>
      <c r="AT73" s="183" t="s">
        <v>5697</v>
      </c>
      <c r="AU73" s="148">
        <v>6</v>
      </c>
      <c r="AV73" s="181" t="s">
        <v>5929</v>
      </c>
      <c r="AW73" s="188" t="s">
        <v>5930</v>
      </c>
      <c r="AX73" s="180">
        <v>3</v>
      </c>
      <c r="AY73" s="237" t="s">
        <v>7392</v>
      </c>
      <c r="AZ73" s="236" t="s">
        <v>7393</v>
      </c>
      <c r="BA73" s="148">
        <v>17</v>
      </c>
      <c r="BB73" s="180" t="s">
        <v>8344</v>
      </c>
      <c r="BC73" s="233" t="s">
        <v>8345</v>
      </c>
      <c r="BD73" s="148">
        <v>3</v>
      </c>
      <c r="BE73" s="237" t="s">
        <v>10516</v>
      </c>
      <c r="BF73" s="236" t="s">
        <v>10517</v>
      </c>
      <c r="BO73" s="153"/>
      <c r="CH73" s="148" t="s">
        <v>4179</v>
      </c>
      <c r="CI73" s="148">
        <v>52</v>
      </c>
      <c r="CJ73" s="148" cm="1">
        <f t="array" ref="CJ73">_xlfn.IFS($AZ$4&gt;=17,57,$AZ$4&gt;=6,56,$AZ$4&gt;=3,55,1,0)</f>
        <v>0</v>
      </c>
      <c r="CN73" s="154">
        <f>IFERROR(IF(CN72+1&gt;CS2,IF(CN72+1&gt;CS2,IF(CR3+CR72&gt;CS3,"",CR3+CR72)),CN72+1),"")</f>
        <v>68</v>
      </c>
      <c r="CO73" s="154" t="str" cm="1">
        <f t="array" ref="CO73">IFERROR(INDEX($B$34:$BO$262,CN73,$CP$2),"")</f>
        <v/>
      </c>
      <c r="CP73" s="154" t="str" cm="1">
        <f t="array" ref="CP73">IFERROR(INDEX($B$34:$BO$262,CN73,$CQ$2),"")</f>
        <v/>
      </c>
      <c r="CQ73" s="154" t="str" cm="1">
        <f t="array" ref="CQ73">IF(IFERROR(INDEX($B$34:$BO$262,CN73,$CO$2),"")=0,"",IFERROR(INDEX($B$34:$BO$262,CN73,$CO$2),""))</f>
        <v/>
      </c>
      <c r="CR73" s="154">
        <f>IFERROR(IF(CN72+1&gt;CS2,CR72+1,0),"")</f>
        <v>0</v>
      </c>
      <c r="CT73" s="155" t="str">
        <f t="shared" si="6"/>
        <v/>
      </c>
      <c r="CU73" s="156" t="str" cm="1">
        <f t="array" ref="CU73">INDEX(CT:CT,SMALL(IF($CT$2:$CT$101&lt;&gt;"",ROW($CT$2:$CT$101),142),ROW(CT72)))&amp;""</f>
        <v/>
      </c>
      <c r="CV73" s="157" t="str">
        <f t="shared" si="7"/>
        <v/>
      </c>
      <c r="CW73" s="154" t="str">
        <f>IF(数据表!BK72="","",数据表!BK72)</f>
        <v/>
      </c>
      <c r="CX73" s="154" t="str">
        <f t="shared" si="8"/>
        <v/>
      </c>
    </row>
    <row r="74" spans="1:102" ht="16.149999999999999" customHeight="1" x14ac:dyDescent="0.15">
      <c r="A74" s="140">
        <v>41</v>
      </c>
      <c r="B74" s="166">
        <v>3</v>
      </c>
      <c r="C74" s="148" t="s">
        <v>4521</v>
      </c>
      <c r="D74" s="153" t="s">
        <v>4522</v>
      </c>
      <c r="E74" s="148">
        <v>3</v>
      </c>
      <c r="F74" s="169" t="s">
        <v>4523</v>
      </c>
      <c r="G74" s="183" t="s">
        <v>4524</v>
      </c>
      <c r="H74" s="148">
        <v>3</v>
      </c>
      <c r="I74" s="148" t="s">
        <v>4525</v>
      </c>
      <c r="J74" s="153" t="s">
        <v>4526</v>
      </c>
      <c r="K74" s="148">
        <v>3</v>
      </c>
      <c r="L74" s="169" t="s">
        <v>4527</v>
      </c>
      <c r="M74" s="183" t="s">
        <v>4528</v>
      </c>
      <c r="O74" s="142" t="s">
        <v>4529</v>
      </c>
      <c r="P74" s="185" t="s">
        <v>4530</v>
      </c>
      <c r="Q74" s="148">
        <v>6</v>
      </c>
      <c r="R74" s="169" t="s">
        <v>4531</v>
      </c>
      <c r="S74" s="183" t="s">
        <v>4532</v>
      </c>
      <c r="T74" s="148">
        <v>3</v>
      </c>
      <c r="U74" s="169" t="s">
        <v>4533</v>
      </c>
      <c r="V74" s="183" t="s">
        <v>4534</v>
      </c>
      <c r="W74" s="148">
        <v>3</v>
      </c>
      <c r="X74" s="169" t="s">
        <v>4535</v>
      </c>
      <c r="Y74" s="183" t="s">
        <v>4536</v>
      </c>
      <c r="Z74" s="148">
        <v>3</v>
      </c>
      <c r="AA74" s="169" t="s">
        <v>3900</v>
      </c>
      <c r="AB74" s="183" t="s">
        <v>4537</v>
      </c>
      <c r="AC74" s="148">
        <v>6</v>
      </c>
      <c r="AD74" s="148" t="s">
        <v>4538</v>
      </c>
      <c r="AE74" s="153" t="s">
        <v>4539</v>
      </c>
      <c r="AF74" s="148">
        <v>3</v>
      </c>
      <c r="AG74" s="148" t="s">
        <v>4440</v>
      </c>
      <c r="AH74" s="153" t="s">
        <v>4441</v>
      </c>
      <c r="AI74" s="148">
        <v>14</v>
      </c>
      <c r="AJ74" s="169" t="s">
        <v>4542</v>
      </c>
      <c r="AK74" s="183" t="s">
        <v>4543</v>
      </c>
      <c r="AM74" s="180" t="s">
        <v>10305</v>
      </c>
      <c r="AN74" s="234" t="s">
        <v>10306</v>
      </c>
      <c r="AO74" s="148">
        <v>14</v>
      </c>
      <c r="AP74" s="169" t="s">
        <v>4271</v>
      </c>
      <c r="AQ74" s="238" t="s">
        <v>10599</v>
      </c>
      <c r="AR74" s="148">
        <v>7</v>
      </c>
      <c r="AS74" s="169" t="s">
        <v>5698</v>
      </c>
      <c r="AT74" s="183" t="s">
        <v>5699</v>
      </c>
      <c r="AU74" s="148">
        <v>6</v>
      </c>
      <c r="AV74" s="181" t="s">
        <v>5931</v>
      </c>
      <c r="AW74" s="188" t="s">
        <v>5932</v>
      </c>
      <c r="AX74" s="180">
        <v>6</v>
      </c>
      <c r="AY74" s="237" t="s">
        <v>7394</v>
      </c>
      <c r="AZ74" s="236" t="s">
        <v>7395</v>
      </c>
      <c r="BA74" s="148">
        <v>20</v>
      </c>
      <c r="BB74" s="180" t="s">
        <v>8346</v>
      </c>
      <c r="BC74" s="233" t="s">
        <v>8347</v>
      </c>
      <c r="BD74" s="148">
        <v>6</v>
      </c>
      <c r="BE74" s="237" t="s">
        <v>10518</v>
      </c>
      <c r="BF74" s="236" t="s">
        <v>10519</v>
      </c>
      <c r="BO74" s="153"/>
      <c r="CH74" s="148" t="s">
        <v>4201</v>
      </c>
      <c r="CI74" s="148">
        <v>58</v>
      </c>
      <c r="CJ74" s="148" cm="1">
        <f t="array" ref="CJ74">_xlfn.IFS($AZ$4&gt;=17,63,$AZ$4&gt;=6,62,$AZ$4&gt;=3,61,1,0)</f>
        <v>0</v>
      </c>
      <c r="CN74" s="154">
        <f>IFERROR(IF(CN73+1&gt;CS2,IF(CN73+1&gt;CS2,IF(CR3+CR73&gt;CS3,"",CR3+CR73)),CN73+1),"")</f>
        <v>69</v>
      </c>
      <c r="CO74" s="154" t="str" cm="1">
        <f t="array" ref="CO74">IFERROR(INDEX($B$34:$BO$262,CN74,$CP$2),"")</f>
        <v/>
      </c>
      <c r="CP74" s="154" t="str" cm="1">
        <f t="array" ref="CP74">IFERROR(INDEX($B$34:$BO$262,CN74,$CQ$2),"")</f>
        <v/>
      </c>
      <c r="CQ74" s="154" t="str" cm="1">
        <f t="array" ref="CQ74">IF(IFERROR(INDEX($B$34:$BO$262,CN74,$CO$2),"")=0,"",IFERROR(INDEX($B$34:$BO$262,CN74,$CO$2),""))</f>
        <v/>
      </c>
      <c r="CR74" s="154">
        <f>IFERROR(IF(CN73+1&gt;CS2,CR73+1,0),"")</f>
        <v>0</v>
      </c>
      <c r="CT74" s="155" t="str">
        <f t="shared" si="6"/>
        <v/>
      </c>
      <c r="CU74" s="156" t="str" cm="1">
        <f t="array" ref="CU74">INDEX(CT:CT,SMALL(IF($CT$2:$CT$101&lt;&gt;"",ROW($CT$2:$CT$101),142),ROW(CT73)))&amp;""</f>
        <v/>
      </c>
      <c r="CV74" s="157" t="str">
        <f t="shared" si="7"/>
        <v/>
      </c>
      <c r="CW74" s="154" t="str">
        <f>IF(数据表!BK73="","",数据表!BK73)</f>
        <v/>
      </c>
      <c r="CX74" s="154" t="str">
        <f t="shared" si="8"/>
        <v/>
      </c>
    </row>
    <row r="75" spans="1:102" ht="16.149999999999999" customHeight="1" x14ac:dyDescent="0.15">
      <c r="A75" s="140">
        <v>42</v>
      </c>
      <c r="B75" s="166">
        <v>6</v>
      </c>
      <c r="C75" s="148" t="s">
        <v>4545</v>
      </c>
      <c r="D75" s="153" t="s">
        <v>4546</v>
      </c>
      <c r="E75" s="148">
        <v>3</v>
      </c>
      <c r="F75" s="169" t="s">
        <v>3746</v>
      </c>
      <c r="G75" s="183" t="s">
        <v>4547</v>
      </c>
      <c r="H75" s="148">
        <v>3</v>
      </c>
      <c r="I75" s="148" t="s">
        <v>4548</v>
      </c>
      <c r="J75" s="153" t="s">
        <v>4549</v>
      </c>
      <c r="K75" s="148">
        <v>6</v>
      </c>
      <c r="L75" s="169" t="s">
        <v>4550</v>
      </c>
      <c r="M75" s="183" t="s">
        <v>4551</v>
      </c>
      <c r="O75" s="142" t="s">
        <v>4552</v>
      </c>
      <c r="P75" s="185" t="s">
        <v>4553</v>
      </c>
      <c r="Q75" s="148">
        <v>11</v>
      </c>
      <c r="R75" s="169" t="s">
        <v>4554</v>
      </c>
      <c r="S75" s="183" t="s">
        <v>4555</v>
      </c>
      <c r="T75" s="148">
        <v>3</v>
      </c>
      <c r="U75" s="169" t="s">
        <v>4556</v>
      </c>
      <c r="V75" s="183" t="s">
        <v>4557</v>
      </c>
      <c r="W75" s="148">
        <v>7</v>
      </c>
      <c r="X75" s="169" t="s">
        <v>4558</v>
      </c>
      <c r="Y75" s="183" t="s">
        <v>4559</v>
      </c>
      <c r="Z75" s="148">
        <v>3</v>
      </c>
      <c r="AA75" s="169" t="s">
        <v>4560</v>
      </c>
      <c r="AB75" s="183" t="s">
        <v>4561</v>
      </c>
      <c r="AC75" s="148">
        <v>14</v>
      </c>
      <c r="AD75" s="148" t="s">
        <v>4562</v>
      </c>
      <c r="AE75" s="153" t="s">
        <v>4563</v>
      </c>
      <c r="AF75" s="148">
        <v>4</v>
      </c>
      <c r="AG75" s="148" t="s">
        <v>3867</v>
      </c>
      <c r="AH75" s="153" t="s">
        <v>4465</v>
      </c>
      <c r="AI75" s="148">
        <v>3</v>
      </c>
      <c r="AJ75" s="148" t="s">
        <v>4566</v>
      </c>
      <c r="AK75" s="153" t="s">
        <v>4567</v>
      </c>
      <c r="AM75" s="180" t="s">
        <v>10307</v>
      </c>
      <c r="AN75" s="234" t="s">
        <v>10308</v>
      </c>
      <c r="AO75" s="148">
        <v>3</v>
      </c>
      <c r="AP75" s="400" t="s">
        <v>4469</v>
      </c>
      <c r="AQ75" s="401" t="s">
        <v>10600</v>
      </c>
      <c r="AR75" s="148">
        <v>11</v>
      </c>
      <c r="AS75" s="169" t="s">
        <v>5700</v>
      </c>
      <c r="AT75" s="183" t="s">
        <v>5701</v>
      </c>
      <c r="AU75" s="148">
        <v>6</v>
      </c>
      <c r="AV75" s="181" t="s">
        <v>5933</v>
      </c>
      <c r="AW75" s="188" t="s">
        <v>5934</v>
      </c>
      <c r="AX75" s="180">
        <v>10</v>
      </c>
      <c r="AY75" s="237" t="s">
        <v>7396</v>
      </c>
      <c r="AZ75" s="236" t="s">
        <v>7397</v>
      </c>
      <c r="BA75" s="148">
        <v>3</v>
      </c>
      <c r="BB75" s="180" t="s">
        <v>8391</v>
      </c>
      <c r="BC75" s="233" t="s">
        <v>8392</v>
      </c>
      <c r="BD75" s="148">
        <v>11</v>
      </c>
      <c r="BE75" s="237" t="s">
        <v>10520</v>
      </c>
      <c r="BF75" s="236" t="s">
        <v>10521</v>
      </c>
      <c r="BO75" s="153"/>
      <c r="CH75" s="148" t="s">
        <v>4224</v>
      </c>
      <c r="CI75" s="148">
        <v>64</v>
      </c>
      <c r="CJ75" s="148" cm="1">
        <f t="array" ref="CJ75">_xlfn.IFS($AZ$4&gt;=17,69,$AZ$4&gt;=6,8,$AZ$4&gt;=3,67,1,0)</f>
        <v>0</v>
      </c>
      <c r="CN75" s="154">
        <f>IFERROR(IF(CN74+1&gt;CS2,IF(CN74+1&gt;CS2,IF(CR3+CR74&gt;CS3,"",CR3+CR74)),CN74+1),"")</f>
        <v>70</v>
      </c>
      <c r="CO75" s="154" t="str" cm="1">
        <f t="array" ref="CO75">IFERROR(INDEX($B$34:$BO$262,CN75,$CP$2),"")</f>
        <v/>
      </c>
      <c r="CP75" s="154" t="str" cm="1">
        <f t="array" ref="CP75">IFERROR(INDEX($B$34:$BO$262,CN75,$CQ$2),"")</f>
        <v/>
      </c>
      <c r="CQ75" s="154" t="str" cm="1">
        <f t="array" ref="CQ75">IF(IFERROR(INDEX($B$34:$BO$262,CN75,$CO$2),"")=0,"",IFERROR(INDEX($B$34:$BO$262,CN75,$CO$2),""))</f>
        <v/>
      </c>
      <c r="CR75" s="154">
        <f>IFERROR(IF(CN74+1&gt;CS2,CR74+1,0),"")</f>
        <v>0</v>
      </c>
      <c r="CT75" s="155" t="str">
        <f t="shared" si="6"/>
        <v/>
      </c>
      <c r="CU75" s="156" t="str" cm="1">
        <f t="array" ref="CU75">INDEX(CT:CT,SMALL(IF($CT$2:$CT$101&lt;&gt;"",ROW($CT$2:$CT$101),142),ROW(CT74)))&amp;""</f>
        <v/>
      </c>
      <c r="CV75" s="157" t="str">
        <f t="shared" si="7"/>
        <v/>
      </c>
      <c r="CW75" s="154" t="str">
        <f>IF(数据表!BK74="","",数据表!BK74)</f>
        <v/>
      </c>
      <c r="CX75" s="154" t="str">
        <f t="shared" si="8"/>
        <v/>
      </c>
    </row>
    <row r="76" spans="1:102" ht="16.149999999999999" customHeight="1" x14ac:dyDescent="0.15">
      <c r="A76" s="140">
        <v>43</v>
      </c>
      <c r="B76" s="166">
        <v>10</v>
      </c>
      <c r="C76" s="148" t="s">
        <v>4569</v>
      </c>
      <c r="D76" s="153" t="s">
        <v>4570</v>
      </c>
      <c r="E76" s="148">
        <v>3</v>
      </c>
      <c r="F76" s="169" t="s">
        <v>4571</v>
      </c>
      <c r="G76" s="183" t="s">
        <v>4572</v>
      </c>
      <c r="H76" s="148">
        <v>3</v>
      </c>
      <c r="I76" s="148" t="s">
        <v>4573</v>
      </c>
      <c r="J76" s="153" t="s">
        <v>4574</v>
      </c>
      <c r="K76" s="148">
        <v>10</v>
      </c>
      <c r="L76" s="169" t="s">
        <v>4575</v>
      </c>
      <c r="M76" s="183" t="s">
        <v>4576</v>
      </c>
      <c r="N76" s="148">
        <v>3</v>
      </c>
      <c r="O76" s="169" t="s">
        <v>4577</v>
      </c>
      <c r="P76" s="183" t="s">
        <v>4578</v>
      </c>
      <c r="Q76" s="148">
        <v>17</v>
      </c>
      <c r="R76" s="169" t="s">
        <v>4579</v>
      </c>
      <c r="S76" s="183" t="s">
        <v>4580</v>
      </c>
      <c r="T76" s="148">
        <v>7</v>
      </c>
      <c r="U76" s="169" t="s">
        <v>4581</v>
      </c>
      <c r="V76" s="183" t="s">
        <v>4582</v>
      </c>
      <c r="W76" s="148">
        <v>11</v>
      </c>
      <c r="X76" s="169" t="s">
        <v>4583</v>
      </c>
      <c r="Y76" s="183" t="s">
        <v>4584</v>
      </c>
      <c r="Z76" s="148">
        <v>9</v>
      </c>
      <c r="AA76" s="169" t="s">
        <v>4585</v>
      </c>
      <c r="AB76" s="183" t="s">
        <v>4586</v>
      </c>
      <c r="AC76" s="148">
        <v>18</v>
      </c>
      <c r="AD76" s="148" t="s">
        <v>4587</v>
      </c>
      <c r="AE76" s="153" t="s">
        <v>4588</v>
      </c>
      <c r="AF76" s="148" t="s">
        <v>3012</v>
      </c>
      <c r="AG76" s="142" t="s">
        <v>4490</v>
      </c>
      <c r="AH76" s="185" t="s">
        <v>4491</v>
      </c>
      <c r="AI76" s="148">
        <v>3</v>
      </c>
      <c r="AJ76" s="148" t="s">
        <v>4591</v>
      </c>
      <c r="AK76" s="153" t="s">
        <v>4592</v>
      </c>
      <c r="AL76" s="148">
        <v>5</v>
      </c>
      <c r="AM76" s="148" t="s">
        <v>3889</v>
      </c>
      <c r="AN76" s="233" t="s">
        <v>10309</v>
      </c>
      <c r="AO76" s="148">
        <v>3</v>
      </c>
      <c r="AP76" s="402" t="s">
        <v>10601</v>
      </c>
      <c r="AQ76" s="401" t="s">
        <v>10602</v>
      </c>
      <c r="AR76" s="148">
        <v>15</v>
      </c>
      <c r="AS76" s="169" t="s">
        <v>5685</v>
      </c>
      <c r="AT76" s="183" t="s">
        <v>5702</v>
      </c>
      <c r="AU76" s="148">
        <v>6</v>
      </c>
      <c r="AV76" s="181" t="s">
        <v>5935</v>
      </c>
      <c r="AW76" s="188" t="s">
        <v>5936</v>
      </c>
      <c r="AX76" s="180">
        <v>14</v>
      </c>
      <c r="AY76" s="237" t="s">
        <v>7398</v>
      </c>
      <c r="AZ76" s="236" t="s">
        <v>7399</v>
      </c>
      <c r="BA76" s="148">
        <v>3</v>
      </c>
      <c r="BB76" s="237" t="s">
        <v>8393</v>
      </c>
      <c r="BC76" s="236" t="s">
        <v>8394</v>
      </c>
      <c r="BD76" s="148">
        <v>17</v>
      </c>
      <c r="BE76" s="237" t="s">
        <v>10522</v>
      </c>
      <c r="BF76" s="236" t="s">
        <v>10523</v>
      </c>
      <c r="BO76" s="153"/>
      <c r="CH76" s="148" t="s">
        <v>4248</v>
      </c>
      <c r="CI76" s="148">
        <v>70</v>
      </c>
      <c r="CJ76" s="148" cm="1">
        <f t="array" ref="CJ76">_xlfn.IFS($AZ$4&gt;=17,76,$AZ$4&gt;=6,75,$AZ$4&gt;=3,74,1,0)</f>
        <v>0</v>
      </c>
      <c r="CN76" s="154">
        <f>IFERROR(IF(CN75+1&gt;CS2,IF(CN75+1&gt;CS2,IF(CR3+CR75&gt;CS3,"",CR3+CR75)),CN75+1),"")</f>
        <v>71</v>
      </c>
      <c r="CO76" s="154" t="str" cm="1">
        <f t="array" ref="CO76">IFERROR(INDEX($B$34:$BO$262,CN76,$CP$2),"")</f>
        <v/>
      </c>
      <c r="CP76" s="154" t="str" cm="1">
        <f t="array" ref="CP76">IFERROR(INDEX($B$34:$BO$262,CN76,$CQ$2),"")</f>
        <v/>
      </c>
      <c r="CQ76" s="154" t="str" cm="1">
        <f t="array" ref="CQ76">IF(IFERROR(INDEX($B$34:$BO$262,CN76,$CO$2),"")=0,"",IFERROR(INDEX($B$34:$BO$262,CN76,$CO$2),""))</f>
        <v/>
      </c>
      <c r="CR76" s="154">
        <f>IFERROR(IF(CN75+1&gt;CS2,CR75+1,0),"")</f>
        <v>0</v>
      </c>
      <c r="CT76" s="155" t="str">
        <f t="shared" si="6"/>
        <v/>
      </c>
      <c r="CU76" s="156" t="str" cm="1">
        <f t="array" ref="CU76">INDEX(CT:CT,SMALL(IF($CT$2:$CT$101&lt;&gt;"",ROW($CT$2:$CT$101),142),ROW(CT75)))&amp;""</f>
        <v/>
      </c>
      <c r="CV76" s="157" t="str">
        <f t="shared" si="7"/>
        <v/>
      </c>
      <c r="CW76" s="154" t="str">
        <f>IF(数据表!BK75="","",数据表!BK75)</f>
        <v/>
      </c>
      <c r="CX76" s="154" t="str">
        <f t="shared" si="8"/>
        <v/>
      </c>
    </row>
    <row r="77" spans="1:102" ht="16.149999999999999" customHeight="1" x14ac:dyDescent="0.15">
      <c r="A77" s="140">
        <v>44</v>
      </c>
      <c r="B77" s="166">
        <v>14</v>
      </c>
      <c r="C77" s="148" t="s">
        <v>4595</v>
      </c>
      <c r="D77" s="153" t="s">
        <v>4596</v>
      </c>
      <c r="E77" s="148">
        <v>6</v>
      </c>
      <c r="F77" s="169" t="s">
        <v>3889</v>
      </c>
      <c r="G77" s="183" t="s">
        <v>4597</v>
      </c>
      <c r="H77" s="148">
        <v>6</v>
      </c>
      <c r="I77" s="148" t="s">
        <v>4598</v>
      </c>
      <c r="J77" s="153" t="s">
        <v>4599</v>
      </c>
      <c r="K77" s="148">
        <v>14</v>
      </c>
      <c r="L77" s="169" t="s">
        <v>4600</v>
      </c>
      <c r="M77" s="183" t="s">
        <v>4601</v>
      </c>
      <c r="N77" s="148">
        <v>7</v>
      </c>
      <c r="O77" s="169" t="s">
        <v>4602</v>
      </c>
      <c r="P77" s="183" t="s">
        <v>4603</v>
      </c>
      <c r="Q77" s="148">
        <v>3</v>
      </c>
      <c r="R77" s="148" t="s">
        <v>4604</v>
      </c>
      <c r="S77" s="153" t="s">
        <v>4605</v>
      </c>
      <c r="T77" s="148">
        <v>15</v>
      </c>
      <c r="U77" s="169" t="s">
        <v>4606</v>
      </c>
      <c r="V77" s="183" t="s">
        <v>4607</v>
      </c>
      <c r="W77" s="148">
        <v>15</v>
      </c>
      <c r="X77" s="169" t="s">
        <v>4608</v>
      </c>
      <c r="Y77" s="183" t="s">
        <v>4609</v>
      </c>
      <c r="Z77" s="148">
        <v>13</v>
      </c>
      <c r="AA77" s="169" t="s">
        <v>4610</v>
      </c>
      <c r="AB77" s="183" t="s">
        <v>4611</v>
      </c>
      <c r="AC77" s="148">
        <v>3</v>
      </c>
      <c r="AD77" s="169" t="s">
        <v>4612</v>
      </c>
      <c r="AE77" s="183" t="s">
        <v>4613</v>
      </c>
      <c r="AF77" s="148" t="s">
        <v>3012</v>
      </c>
      <c r="AG77" s="142" t="s">
        <v>4517</v>
      </c>
      <c r="AH77" s="185" t="s">
        <v>4518</v>
      </c>
      <c r="AI77" s="148">
        <v>6</v>
      </c>
      <c r="AJ77" s="148" t="s">
        <v>4616</v>
      </c>
      <c r="AK77" s="153" t="s">
        <v>4617</v>
      </c>
      <c r="AL77" s="148">
        <v>9</v>
      </c>
      <c r="AM77" s="180" t="s">
        <v>10311</v>
      </c>
      <c r="AN77" s="234" t="s">
        <v>10310</v>
      </c>
      <c r="AO77" s="148">
        <v>3</v>
      </c>
      <c r="AP77" s="400" t="s">
        <v>4495</v>
      </c>
      <c r="AQ77" s="401" t="s">
        <v>10603</v>
      </c>
      <c r="AR77" s="148">
        <v>18</v>
      </c>
      <c r="AS77" s="169" t="s">
        <v>5703</v>
      </c>
      <c r="AT77" s="183" t="s">
        <v>5704</v>
      </c>
      <c r="AU77" s="148">
        <v>6</v>
      </c>
      <c r="AV77" s="181" t="s">
        <v>5937</v>
      </c>
      <c r="AW77" s="188" t="s">
        <v>5938</v>
      </c>
      <c r="AX77" s="180">
        <v>3</v>
      </c>
      <c r="AY77" s="180" t="s">
        <v>7400</v>
      </c>
      <c r="AZ77" s="233" t="s">
        <v>7401</v>
      </c>
      <c r="BA77" s="148">
        <v>3</v>
      </c>
      <c r="BB77" s="237" t="s">
        <v>5845</v>
      </c>
      <c r="BC77" s="236" t="s">
        <v>8415</v>
      </c>
      <c r="BD77" s="148">
        <v>3</v>
      </c>
      <c r="BE77" s="180" t="s">
        <v>7639</v>
      </c>
      <c r="BF77" s="233" t="s">
        <v>10524</v>
      </c>
      <c r="BO77" s="153"/>
      <c r="CH77" s="148" t="s">
        <v>4272</v>
      </c>
      <c r="CI77" s="148">
        <v>77</v>
      </c>
      <c r="CJ77" s="148" cm="1">
        <f t="array" ref="CJ77">_xlfn.IFS($AZ$4&gt;=17,81,$AZ$4&gt;=6,80,$AZ$4&gt;=3,79,1,0)</f>
        <v>0</v>
      </c>
      <c r="CN77" s="154">
        <f>IFERROR(IF(CN76+1&gt;CS2,IF(CN76+1&gt;CS2,IF(CR3+CR76&gt;CS3,"",CR3+CR76)),CN76+1),"")</f>
        <v>72</v>
      </c>
      <c r="CO77" s="154" t="str" cm="1">
        <f t="array" ref="CO77">IFERROR(INDEX($B$34:$BO$262,CN77,$CP$2),"")</f>
        <v/>
      </c>
      <c r="CP77" s="154" t="str" cm="1">
        <f t="array" ref="CP77">IFERROR(INDEX($B$34:$BO$262,CN77,$CQ$2),"")</f>
        <v/>
      </c>
      <c r="CQ77" s="154" t="str" cm="1">
        <f t="array" ref="CQ77">IF(IFERROR(INDEX($B$34:$BO$262,CN77,$CO$2),"")=0,"",IFERROR(INDEX($B$34:$BO$262,CN77,$CO$2),""))</f>
        <v/>
      </c>
      <c r="CR77" s="154">
        <f>IFERROR(IF(CN76+1&gt;CS2,CR76+1,0),"")</f>
        <v>0</v>
      </c>
      <c r="CT77" s="155" t="str">
        <f t="shared" si="6"/>
        <v/>
      </c>
      <c r="CU77" s="156" t="str" cm="1">
        <f t="array" ref="CU77">INDEX(CT:CT,SMALL(IF($CT$2:$CT$101&lt;&gt;"",ROW($CT$2:$CT$101),142),ROW(CT76)))&amp;""</f>
        <v/>
      </c>
      <c r="CV77" s="157" t="str">
        <f t="shared" si="7"/>
        <v/>
      </c>
      <c r="CW77" s="154" t="str">
        <f>IF(数据表!BK76="","",数据表!BK76)</f>
        <v/>
      </c>
      <c r="CX77" s="154" t="str">
        <f t="shared" si="8"/>
        <v/>
      </c>
    </row>
    <row r="78" spans="1:102" ht="16.149999999999999" customHeight="1" x14ac:dyDescent="0.15">
      <c r="A78" s="140">
        <v>45</v>
      </c>
      <c r="B78" s="166">
        <v>3</v>
      </c>
      <c r="C78" s="169" t="s">
        <v>4620</v>
      </c>
      <c r="D78" s="183" t="s">
        <v>4621</v>
      </c>
      <c r="E78" s="148">
        <v>14</v>
      </c>
      <c r="F78" s="169" t="s">
        <v>4622</v>
      </c>
      <c r="G78" s="183" t="s">
        <v>4623</v>
      </c>
      <c r="H78" s="148">
        <v>17</v>
      </c>
      <c r="I78" s="148" t="s">
        <v>4624</v>
      </c>
      <c r="J78" s="153" t="s">
        <v>4625</v>
      </c>
      <c r="K78" s="148">
        <v>3</v>
      </c>
      <c r="L78" s="148" t="s">
        <v>4626</v>
      </c>
      <c r="M78" s="153" t="s">
        <v>4627</v>
      </c>
      <c r="N78" s="148">
        <v>10</v>
      </c>
      <c r="O78" s="169" t="s">
        <v>4628</v>
      </c>
      <c r="P78" s="183" t="s">
        <v>4629</v>
      </c>
      <c r="Q78" s="148">
        <v>6</v>
      </c>
      <c r="R78" s="148" t="s">
        <v>4630</v>
      </c>
      <c r="S78" s="153" t="s">
        <v>4631</v>
      </c>
      <c r="T78" s="148">
        <v>20</v>
      </c>
      <c r="U78" s="169" t="s">
        <v>4632</v>
      </c>
      <c r="V78" s="183" t="s">
        <v>4633</v>
      </c>
      <c r="W78" s="148">
        <v>3</v>
      </c>
      <c r="X78" s="148" t="s">
        <v>4634</v>
      </c>
      <c r="Y78" s="153" t="s">
        <v>4635</v>
      </c>
      <c r="Z78" s="148">
        <v>17</v>
      </c>
      <c r="AA78" s="169" t="s">
        <v>4636</v>
      </c>
      <c r="AB78" s="183" t="s">
        <v>4637</v>
      </c>
      <c r="AC78" s="148">
        <v>3</v>
      </c>
      <c r="AD78" s="169" t="s">
        <v>4638</v>
      </c>
      <c r="AE78" s="183" t="s">
        <v>4639</v>
      </c>
      <c r="AF78" s="148" t="s">
        <v>3012</v>
      </c>
      <c r="AG78" s="142" t="s">
        <v>4540</v>
      </c>
      <c r="AH78" s="185" t="s">
        <v>4541</v>
      </c>
      <c r="AI78" s="148">
        <v>10</v>
      </c>
      <c r="AJ78" s="148" t="s">
        <v>4642</v>
      </c>
      <c r="AK78" s="153" t="s">
        <v>4643</v>
      </c>
      <c r="AL78" s="148">
        <v>15</v>
      </c>
      <c r="AM78" s="148" t="s">
        <v>4644</v>
      </c>
      <c r="AN78" s="234" t="s">
        <v>10312</v>
      </c>
      <c r="AO78" s="148">
        <v>6</v>
      </c>
      <c r="AP78" s="402" t="s">
        <v>10604</v>
      </c>
      <c r="AQ78" s="401" t="s">
        <v>10605</v>
      </c>
      <c r="AR78" s="148">
        <v>3</v>
      </c>
      <c r="AS78" s="148" t="s">
        <v>5705</v>
      </c>
      <c r="AT78" s="153" t="s">
        <v>5706</v>
      </c>
      <c r="AU78" s="148">
        <v>6</v>
      </c>
      <c r="AV78" s="181" t="s">
        <v>5939</v>
      </c>
      <c r="AW78" s="188" t="s">
        <v>5940</v>
      </c>
      <c r="AY78" s="179" t="s">
        <v>7402</v>
      </c>
      <c r="AZ78" s="240" t="s">
        <v>7403</v>
      </c>
      <c r="BB78" s="237" t="s">
        <v>7402</v>
      </c>
      <c r="BC78" s="270" t="s">
        <v>8414</v>
      </c>
      <c r="BD78" s="148">
        <v>3</v>
      </c>
      <c r="BE78" s="180" t="s">
        <v>10529</v>
      </c>
      <c r="BF78" s="233" t="s">
        <v>10525</v>
      </c>
      <c r="BO78" s="153"/>
      <c r="CH78" s="179" t="s">
        <v>9820</v>
      </c>
      <c r="CI78" s="148">
        <v>82</v>
      </c>
      <c r="CJ78" s="148" cm="1">
        <f t="array" ref="CJ78">_xlfn.IFS($AZ$4&gt;=17,87,$AZ$4&gt;=6,86,$AZ$4&gt;=3,85,1,0)</f>
        <v>0</v>
      </c>
      <c r="CN78" s="154">
        <f>IFERROR(IF(CN77+1&gt;CS2,IF(CN77+1&gt;CS2,IF(CR3+CR77&gt;CS3,"",CR3+CR77)),CN77+1),"")</f>
        <v>73</v>
      </c>
      <c r="CO78" s="154" t="str" cm="1">
        <f t="array" ref="CO78">IFERROR(INDEX($B$34:$BO$262,CN78,$CP$2),"")</f>
        <v/>
      </c>
      <c r="CP78" s="154" t="str" cm="1">
        <f t="array" ref="CP78">IFERROR(INDEX($B$34:$BO$262,CN78,$CQ$2),"")</f>
        <v/>
      </c>
      <c r="CQ78" s="154" t="str" cm="1">
        <f t="array" ref="CQ78">IF(IFERROR(INDEX($B$34:$BO$262,CN78,$CO$2),"")=0,"",IFERROR(INDEX($B$34:$BO$262,CN78,$CO$2),""))</f>
        <v/>
      </c>
      <c r="CR78" s="154">
        <f>IFERROR(IF(CN77+1&gt;CS2,CR77+1,0),"")</f>
        <v>0</v>
      </c>
      <c r="CT78" s="155" t="str">
        <f t="shared" si="6"/>
        <v/>
      </c>
      <c r="CU78" s="156" t="str" cm="1">
        <f t="array" ref="CU78">INDEX(CT:CT,SMALL(IF($CT$2:$CT$101&lt;&gt;"",ROW($CT$2:$CT$101),142),ROW(CT77)))&amp;""</f>
        <v/>
      </c>
      <c r="CV78" s="157" t="str">
        <f t="shared" si="7"/>
        <v/>
      </c>
      <c r="CW78" s="154" t="str">
        <f>IF(数据表!BK77="","",数据表!BK77)</f>
        <v/>
      </c>
      <c r="CX78" s="154" t="str">
        <f t="shared" si="8"/>
        <v/>
      </c>
    </row>
    <row r="79" spans="1:102" ht="16.149999999999999" customHeight="1" x14ac:dyDescent="0.15">
      <c r="A79" s="140">
        <v>46</v>
      </c>
      <c r="B79" s="166">
        <v>6</v>
      </c>
      <c r="C79" s="169" t="s">
        <v>4647</v>
      </c>
      <c r="D79" s="183" t="s">
        <v>4648</v>
      </c>
      <c r="E79" s="148">
        <v>3</v>
      </c>
      <c r="F79" s="148" t="s">
        <v>4649</v>
      </c>
      <c r="G79" s="153" t="s">
        <v>4650</v>
      </c>
      <c r="H79" s="148">
        <v>3</v>
      </c>
      <c r="I79" s="169" t="s">
        <v>4651</v>
      </c>
      <c r="J79" s="183" t="s">
        <v>4652</v>
      </c>
      <c r="K79" s="148">
        <v>3</v>
      </c>
      <c r="L79" s="148" t="s">
        <v>4653</v>
      </c>
      <c r="M79" s="153" t="s">
        <v>4654</v>
      </c>
      <c r="N79" s="148">
        <v>15</v>
      </c>
      <c r="O79" s="169" t="s">
        <v>4655</v>
      </c>
      <c r="P79" s="183" t="s">
        <v>4656</v>
      </c>
      <c r="Q79" s="148">
        <v>11</v>
      </c>
      <c r="R79" s="148" t="s">
        <v>4657</v>
      </c>
      <c r="S79" s="153" t="s">
        <v>4658</v>
      </c>
      <c r="T79" s="148">
        <v>3</v>
      </c>
      <c r="U79" s="148" t="s">
        <v>4659</v>
      </c>
      <c r="V79" s="153" t="s">
        <v>4660</v>
      </c>
      <c r="W79" s="148">
        <v>3</v>
      </c>
      <c r="X79" s="148" t="s">
        <v>4661</v>
      </c>
      <c r="Y79" s="153" t="s">
        <v>4662</v>
      </c>
      <c r="Z79" s="148">
        <v>3</v>
      </c>
      <c r="AA79" s="148" t="s">
        <v>4663</v>
      </c>
      <c r="AB79" s="153" t="s">
        <v>4664</v>
      </c>
      <c r="AC79" s="148">
        <v>6</v>
      </c>
      <c r="AD79" s="169" t="s">
        <v>4665</v>
      </c>
      <c r="AE79" s="183" t="s">
        <v>4666</v>
      </c>
      <c r="AF79" s="148" t="s">
        <v>3012</v>
      </c>
      <c r="AG79" s="142" t="s">
        <v>4564</v>
      </c>
      <c r="AH79" s="185" t="s">
        <v>4565</v>
      </c>
      <c r="AI79" s="148">
        <v>14</v>
      </c>
      <c r="AJ79" s="148" t="s">
        <v>4669</v>
      </c>
      <c r="AK79" s="153" t="s">
        <v>4670</v>
      </c>
      <c r="AL79" s="148">
        <v>3</v>
      </c>
      <c r="AM79" s="237" t="s">
        <v>10702</v>
      </c>
      <c r="AN79" s="238" t="s">
        <v>10313</v>
      </c>
      <c r="AO79" s="148">
        <v>6</v>
      </c>
      <c r="AP79" s="400" t="s">
        <v>4544</v>
      </c>
      <c r="AQ79" s="401" t="s">
        <v>10606</v>
      </c>
      <c r="AR79" s="148">
        <v>3</v>
      </c>
      <c r="AS79" s="148" t="s">
        <v>5707</v>
      </c>
      <c r="AT79" s="153" t="s">
        <v>5708</v>
      </c>
      <c r="AU79" s="148">
        <v>6</v>
      </c>
      <c r="AV79" s="181" t="s">
        <v>5941</v>
      </c>
      <c r="AW79" s="188" t="s">
        <v>5942</v>
      </c>
      <c r="AY79" s="179" t="s">
        <v>7404</v>
      </c>
      <c r="AZ79" s="268" t="s">
        <v>7405</v>
      </c>
      <c r="BB79" s="237" t="s">
        <v>8395</v>
      </c>
      <c r="BC79" s="183" t="s">
        <v>8396</v>
      </c>
      <c r="BD79" s="148">
        <v>6</v>
      </c>
      <c r="BE79" s="180" t="s">
        <v>10530</v>
      </c>
      <c r="BF79" s="233" t="s">
        <v>10526</v>
      </c>
      <c r="BO79" s="153"/>
      <c r="CH79" s="179" t="s">
        <v>6575</v>
      </c>
      <c r="CI79" s="148">
        <v>88</v>
      </c>
      <c r="CJ79" s="148" cm="1">
        <f t="array" ref="CJ79">_xlfn.IFS($AZ$4&gt;=17,92,$AZ$4&gt;=6,91,$AZ$4&gt;=3,90,1,0)</f>
        <v>0</v>
      </c>
      <c r="CN79" s="154">
        <f>IFERROR(IF(CN78+1&gt;CS2,IF(CN78+1&gt;CS2,IF(CR3+CR78&gt;CS3,"",CR3+CR78)),CN78+1),"")</f>
        <v>74</v>
      </c>
      <c r="CO79" s="154" t="str" cm="1">
        <f t="array" ref="CO79">IFERROR(INDEX($B$34:$BO$262,CN79,$CP$2),"")</f>
        <v/>
      </c>
      <c r="CP79" s="154" t="str" cm="1">
        <f t="array" ref="CP79">IFERROR(INDEX($B$34:$BO$262,CN79,$CQ$2),"")</f>
        <v/>
      </c>
      <c r="CQ79" s="154" t="str" cm="1">
        <f t="array" ref="CQ79">IF(IFERROR(INDEX($B$34:$BO$262,CN79,$CO$2),"")=0,"",IFERROR(INDEX($B$34:$BO$262,CN79,$CO$2),""))</f>
        <v/>
      </c>
      <c r="CR79" s="154">
        <f>IFERROR(IF(CN78+1&gt;CS2,CR78+1,0),"")</f>
        <v>0</v>
      </c>
      <c r="CT79" s="155" t="str">
        <f t="shared" si="6"/>
        <v/>
      </c>
      <c r="CU79" s="156" t="str" cm="1">
        <f t="array" ref="CU79">INDEX(CT:CT,SMALL(IF($CT$2:$CT$101&lt;&gt;"",ROW($CT$2:$CT$101),142),ROW(CT78)))&amp;""</f>
        <v/>
      </c>
      <c r="CV79" s="157" t="str">
        <f t="shared" si="7"/>
        <v/>
      </c>
      <c r="CW79" s="154" t="str">
        <f>IF(数据表!BK78="","",数据表!BK78)</f>
        <v/>
      </c>
      <c r="CX79" s="154" t="str">
        <f t="shared" si="8"/>
        <v/>
      </c>
    </row>
    <row r="80" spans="1:102" ht="16.149999999999999" customHeight="1" x14ac:dyDescent="0.15">
      <c r="A80" s="140">
        <v>47</v>
      </c>
      <c r="B80" s="166">
        <v>10</v>
      </c>
      <c r="C80" s="169" t="s">
        <v>4672</v>
      </c>
      <c r="D80" s="183" t="s">
        <v>4673</v>
      </c>
      <c r="E80" s="148">
        <v>3</v>
      </c>
      <c r="F80" s="148" t="s">
        <v>4674</v>
      </c>
      <c r="G80" s="153" t="s">
        <v>4675</v>
      </c>
      <c r="H80" s="148">
        <v>3</v>
      </c>
      <c r="I80" s="169" t="s">
        <v>4523</v>
      </c>
      <c r="J80" s="183" t="s">
        <v>4676</v>
      </c>
      <c r="K80" s="148">
        <v>6</v>
      </c>
      <c r="L80" s="148" t="s">
        <v>4677</v>
      </c>
      <c r="M80" s="153" t="s">
        <v>4678</v>
      </c>
      <c r="N80" s="148">
        <v>18</v>
      </c>
      <c r="O80" s="169" t="s">
        <v>4679</v>
      </c>
      <c r="P80" s="183" t="s">
        <v>4680</v>
      </c>
      <c r="Q80" s="148">
        <v>17</v>
      </c>
      <c r="R80" s="148" t="s">
        <v>4681</v>
      </c>
      <c r="S80" s="153" t="s">
        <v>4682</v>
      </c>
      <c r="T80" s="148">
        <v>3</v>
      </c>
      <c r="U80" s="148" t="s">
        <v>4683</v>
      </c>
      <c r="V80" s="153" t="s">
        <v>4684</v>
      </c>
      <c r="W80" s="148">
        <v>7</v>
      </c>
      <c r="X80" s="148" t="s">
        <v>4685</v>
      </c>
      <c r="Y80" s="153" t="s">
        <v>4686</v>
      </c>
      <c r="Z80" s="148">
        <v>3</v>
      </c>
      <c r="AA80" s="148" t="s">
        <v>4687</v>
      </c>
      <c r="AB80" s="153" t="s">
        <v>4688</v>
      </c>
      <c r="AC80" s="148">
        <v>14</v>
      </c>
      <c r="AD80" s="169" t="s">
        <v>4689</v>
      </c>
      <c r="AE80" s="183" t="s">
        <v>4690</v>
      </c>
      <c r="AF80" s="148" t="s">
        <v>3012</v>
      </c>
      <c r="AG80" s="142" t="s">
        <v>4589</v>
      </c>
      <c r="AH80" s="185" t="s">
        <v>4590</v>
      </c>
      <c r="AI80" s="148">
        <v>3</v>
      </c>
      <c r="AJ80" s="169" t="s">
        <v>4692</v>
      </c>
      <c r="AK80" s="183" t="s">
        <v>4693</v>
      </c>
      <c r="AL80" s="148">
        <v>3</v>
      </c>
      <c r="AM80" s="237" t="s">
        <v>10701</v>
      </c>
      <c r="AN80" s="238" t="s">
        <v>10314</v>
      </c>
      <c r="AO80" s="148">
        <v>10</v>
      </c>
      <c r="AP80" s="400" t="s">
        <v>4568</v>
      </c>
      <c r="AQ80" s="401" t="s">
        <v>10607</v>
      </c>
      <c r="AR80" s="148">
        <v>3</v>
      </c>
      <c r="AS80" s="148" t="s">
        <v>5709</v>
      </c>
      <c r="AT80" s="153" t="s">
        <v>5710</v>
      </c>
      <c r="AU80" s="148">
        <v>10</v>
      </c>
      <c r="AV80" s="181" t="s">
        <v>5943</v>
      </c>
      <c r="AW80" s="188" t="s">
        <v>5944</v>
      </c>
      <c r="AY80" s="179" t="s">
        <v>7406</v>
      </c>
      <c r="AZ80" s="240" t="s">
        <v>7407</v>
      </c>
      <c r="BB80" s="237" t="s">
        <v>5849</v>
      </c>
      <c r="BC80" s="236" t="s">
        <v>8397</v>
      </c>
      <c r="BD80" s="148">
        <v>11</v>
      </c>
      <c r="BE80" s="180" t="s">
        <v>10531</v>
      </c>
      <c r="BF80" s="233" t="s">
        <v>10527</v>
      </c>
      <c r="BO80" s="153"/>
      <c r="CH80" s="179" t="s">
        <v>6576</v>
      </c>
      <c r="CI80" s="148">
        <v>93</v>
      </c>
      <c r="CJ80" s="148" cm="1">
        <f t="array" ref="CJ80">_xlfn.IFS($AZ$4&gt;=17,99,$AZ$4&gt;=6,98,$AZ$4&gt;=3,96,1,0)</f>
        <v>0</v>
      </c>
      <c r="CN80" s="154">
        <f>IFERROR(IF(CN79+1&gt;CS2,IF(CN79+1&gt;CS2,IF(CR3+CR79&gt;CS3,"",CR3+CR79)),CN79+1),"")</f>
        <v>75</v>
      </c>
      <c r="CO80" s="154" t="str" cm="1">
        <f t="array" ref="CO80">IFERROR(INDEX($B$34:$BO$262,CN80,$CP$2),"")</f>
        <v/>
      </c>
      <c r="CP80" s="154" t="str" cm="1">
        <f t="array" ref="CP80">IFERROR(INDEX($B$34:$BO$262,CN80,$CQ$2),"")</f>
        <v/>
      </c>
      <c r="CQ80" s="154" t="str" cm="1">
        <f t="array" ref="CQ80">IF(IFERROR(INDEX($B$34:$BO$262,CN80,$CO$2),"")=0,"",IFERROR(INDEX($B$34:$BO$262,CN80,$CO$2),""))</f>
        <v/>
      </c>
      <c r="CR80" s="154">
        <f>IFERROR(IF(CN79+1&gt;CS2,CR79+1,0),"")</f>
        <v>0</v>
      </c>
      <c r="CT80" s="155" t="str">
        <f t="shared" si="6"/>
        <v/>
      </c>
      <c r="CU80" s="156" t="str" cm="1">
        <f t="array" ref="CU80">INDEX(CT:CT,SMALL(IF($CT$2:$CT$101&lt;&gt;"",ROW($CT$2:$CT$101),142),ROW(CT79)))&amp;""</f>
        <v/>
      </c>
      <c r="CV80" s="157" t="str">
        <f t="shared" si="7"/>
        <v/>
      </c>
      <c r="CW80" s="154" t="str">
        <f>IF(数据表!BK79="","",数据表!BK79)</f>
        <v/>
      </c>
      <c r="CX80" s="154" t="str">
        <f t="shared" si="8"/>
        <v/>
      </c>
    </row>
    <row r="81" spans="1:102" ht="16.149999999999999" customHeight="1" x14ac:dyDescent="0.15">
      <c r="A81" s="140">
        <v>48</v>
      </c>
      <c r="B81" s="166">
        <v>14</v>
      </c>
      <c r="C81" s="169" t="s">
        <v>4695</v>
      </c>
      <c r="D81" s="183" t="s">
        <v>4696</v>
      </c>
      <c r="E81" s="148">
        <v>6</v>
      </c>
      <c r="F81" s="148" t="s">
        <v>4697</v>
      </c>
      <c r="G81" s="153" t="s">
        <v>4698</v>
      </c>
      <c r="H81" s="148">
        <v>3</v>
      </c>
      <c r="I81" s="169" t="s">
        <v>4699</v>
      </c>
      <c r="J81" s="183" t="s">
        <v>4700</v>
      </c>
      <c r="K81" s="148">
        <v>10</v>
      </c>
      <c r="L81" s="148" t="s">
        <v>4701</v>
      </c>
      <c r="M81" s="153" t="s">
        <v>4702</v>
      </c>
      <c r="N81" s="148">
        <v>3</v>
      </c>
      <c r="O81" s="148" t="s">
        <v>4703</v>
      </c>
      <c r="P81" s="153" t="s">
        <v>4704</v>
      </c>
      <c r="Q81" s="148">
        <v>3</v>
      </c>
      <c r="R81" s="169" t="s">
        <v>4705</v>
      </c>
      <c r="S81" s="183" t="s">
        <v>4706</v>
      </c>
      <c r="T81" s="148">
        <v>7</v>
      </c>
      <c r="U81" s="148" t="s">
        <v>4707</v>
      </c>
      <c r="V81" s="153" t="s">
        <v>4708</v>
      </c>
      <c r="W81" s="148">
        <v>11</v>
      </c>
      <c r="X81" s="148" t="s">
        <v>4709</v>
      </c>
      <c r="Y81" s="153" t="s">
        <v>4710</v>
      </c>
      <c r="Z81" s="148">
        <v>9</v>
      </c>
      <c r="AA81" s="148" t="s">
        <v>4711</v>
      </c>
      <c r="AB81" s="153" t="s">
        <v>4712</v>
      </c>
      <c r="AC81" s="148">
        <v>18</v>
      </c>
      <c r="AD81" s="169" t="s">
        <v>4713</v>
      </c>
      <c r="AE81" s="183" t="s">
        <v>4714</v>
      </c>
      <c r="AF81" s="148" t="s">
        <v>3012</v>
      </c>
      <c r="AG81" s="142" t="s">
        <v>4614</v>
      </c>
      <c r="AH81" s="185" t="s">
        <v>4615</v>
      </c>
      <c r="AI81" s="148">
        <v>3</v>
      </c>
      <c r="AJ81" s="169" t="s">
        <v>3827</v>
      </c>
      <c r="AK81" s="183" t="s">
        <v>4716</v>
      </c>
      <c r="AL81" s="148">
        <v>3</v>
      </c>
      <c r="AM81" s="169" t="s">
        <v>4717</v>
      </c>
      <c r="AN81" s="238" t="s">
        <v>10322</v>
      </c>
      <c r="AO81" s="148">
        <v>14</v>
      </c>
      <c r="AP81" s="400" t="s">
        <v>4594</v>
      </c>
      <c r="AQ81" s="401" t="s">
        <v>10608</v>
      </c>
      <c r="AR81" s="148">
        <v>3</v>
      </c>
      <c r="AS81" s="148" t="s">
        <v>5711</v>
      </c>
      <c r="AT81" s="153" t="s">
        <v>5712</v>
      </c>
      <c r="AU81" s="148">
        <v>10</v>
      </c>
      <c r="AV81" s="181" t="s">
        <v>5945</v>
      </c>
      <c r="AW81" s="188" t="s">
        <v>5946</v>
      </c>
      <c r="AY81" s="179" t="s">
        <v>7408</v>
      </c>
      <c r="AZ81" s="268" t="s">
        <v>7409</v>
      </c>
      <c r="BB81" s="237" t="s">
        <v>5850</v>
      </c>
      <c r="BC81" s="236" t="s">
        <v>8398</v>
      </c>
      <c r="BD81" s="148">
        <v>17</v>
      </c>
      <c r="BE81" s="180" t="s">
        <v>10532</v>
      </c>
      <c r="BF81" s="233" t="s">
        <v>10528</v>
      </c>
      <c r="BO81" s="153"/>
      <c r="CH81" s="179" t="s">
        <v>8767</v>
      </c>
      <c r="CI81" s="148">
        <v>100</v>
      </c>
      <c r="CJ81" s="148" cm="1">
        <f t="array" ref="CJ81">_xlfn.IFS($AZ$4&gt;=17,105,$AZ$4&gt;=6,104,$AZ$4&gt;=3,103,1,0)</f>
        <v>0</v>
      </c>
      <c r="CN81" s="154">
        <f>IFERROR(IF(CN80+1&gt;CS2,IF(CN80+1&gt;CS2,IF(CR3+CR80&gt;CS3,"",CR3+CR80)),CN80+1),"")</f>
        <v>76</v>
      </c>
      <c r="CO81" s="154" t="str" cm="1">
        <f t="array" ref="CO81">IFERROR(INDEX($B$34:$BO$262,CN81,$CP$2),"")</f>
        <v/>
      </c>
      <c r="CP81" s="154" t="str" cm="1">
        <f t="array" ref="CP81">IFERROR(INDEX($B$34:$BO$262,CN81,$CQ$2),"")</f>
        <v/>
      </c>
      <c r="CQ81" s="154" t="str" cm="1">
        <f t="array" ref="CQ81">IF(IFERROR(INDEX($B$34:$BO$262,CN81,$CO$2),"")=0,"",IFERROR(INDEX($B$34:$BO$262,CN81,$CO$2),""))</f>
        <v/>
      </c>
      <c r="CR81" s="154">
        <f>IFERROR(IF(CN80+1&gt;CS2,CR80+1,0),"")</f>
        <v>0</v>
      </c>
      <c r="CT81" s="155" t="str">
        <f t="shared" si="6"/>
        <v/>
      </c>
      <c r="CU81" s="156" t="str" cm="1">
        <f t="array" ref="CU81">INDEX(CT:CT,SMALL(IF($CT$2:$CT$101&lt;&gt;"",ROW($CT$2:$CT$101),142),ROW(CT80)))&amp;""</f>
        <v/>
      </c>
      <c r="CV81" s="157" t="str">
        <f t="shared" si="7"/>
        <v/>
      </c>
      <c r="CW81" s="154" t="str">
        <f>IF(数据表!BK80="","",数据表!BK80)</f>
        <v/>
      </c>
      <c r="CX81" s="154" t="str">
        <f t="shared" si="8"/>
        <v/>
      </c>
    </row>
    <row r="82" spans="1:102" ht="16.149999999999999" customHeight="1" x14ac:dyDescent="0.15">
      <c r="A82" s="140">
        <v>49</v>
      </c>
      <c r="B82" s="166">
        <v>3</v>
      </c>
      <c r="C82" s="148" t="s">
        <v>4720</v>
      </c>
      <c r="D82" s="153" t="s">
        <v>4721</v>
      </c>
      <c r="E82" s="148">
        <v>14</v>
      </c>
      <c r="F82" s="148" t="s">
        <v>4722</v>
      </c>
      <c r="G82" s="153" t="s">
        <v>4723</v>
      </c>
      <c r="H82" s="148">
        <v>3</v>
      </c>
      <c r="I82" s="169" t="s">
        <v>4724</v>
      </c>
      <c r="J82" s="183" t="s">
        <v>4725</v>
      </c>
      <c r="K82" s="148">
        <v>14</v>
      </c>
      <c r="L82" s="148" t="s">
        <v>4726</v>
      </c>
      <c r="M82" s="153" t="s">
        <v>4727</v>
      </c>
      <c r="N82" s="148">
        <v>3</v>
      </c>
      <c r="O82" s="148" t="s">
        <v>4728</v>
      </c>
      <c r="P82" s="153" t="s">
        <v>4729</v>
      </c>
      <c r="Q82" s="148">
        <v>3</v>
      </c>
      <c r="R82" s="169" t="s">
        <v>4730</v>
      </c>
      <c r="S82" s="183" t="s">
        <v>4731</v>
      </c>
      <c r="T82" s="148">
        <v>15</v>
      </c>
      <c r="U82" s="148" t="s">
        <v>4732</v>
      </c>
      <c r="V82" s="153" t="s">
        <v>4733</v>
      </c>
      <c r="W82" s="148">
        <v>15</v>
      </c>
      <c r="X82" s="148" t="s">
        <v>4734</v>
      </c>
      <c r="Y82" s="153" t="s">
        <v>4735</v>
      </c>
      <c r="Z82" s="148">
        <v>13</v>
      </c>
      <c r="AA82" s="148" t="s">
        <v>4736</v>
      </c>
      <c r="AB82" s="153" t="s">
        <v>4737</v>
      </c>
      <c r="AC82" s="148">
        <v>3</v>
      </c>
      <c r="AD82" s="148" t="s">
        <v>4738</v>
      </c>
      <c r="AE82" s="153" t="s">
        <v>4739</v>
      </c>
      <c r="AF82" s="148" t="s">
        <v>3012</v>
      </c>
      <c r="AG82" s="142" t="s">
        <v>4640</v>
      </c>
      <c r="AH82" s="185" t="s">
        <v>4641</v>
      </c>
      <c r="AI82" s="148">
        <v>6</v>
      </c>
      <c r="AJ82" s="169" t="s">
        <v>4741</v>
      </c>
      <c r="AK82" s="183" t="s">
        <v>4742</v>
      </c>
      <c r="AL82" s="148">
        <v>5</v>
      </c>
      <c r="AM82" s="169" t="s">
        <v>4767</v>
      </c>
      <c r="AN82" s="238" t="s">
        <v>10315</v>
      </c>
      <c r="AO82" s="148">
        <v>3</v>
      </c>
      <c r="AP82" s="169" t="s">
        <v>4618</v>
      </c>
      <c r="AQ82" s="238" t="s">
        <v>10610</v>
      </c>
      <c r="AR82" s="148">
        <v>7</v>
      </c>
      <c r="AS82" s="148" t="s">
        <v>5713</v>
      </c>
      <c r="AT82" s="153" t="s">
        <v>5714</v>
      </c>
      <c r="AU82" s="148">
        <v>10</v>
      </c>
      <c r="AV82" s="181" t="s">
        <v>5948</v>
      </c>
      <c r="AW82" s="188" t="s">
        <v>5949</v>
      </c>
      <c r="AY82" s="179" t="s">
        <v>7410</v>
      </c>
      <c r="AZ82" s="268" t="s">
        <v>7411</v>
      </c>
      <c r="BA82" s="148">
        <v>3</v>
      </c>
      <c r="BB82" s="237" t="s">
        <v>8331</v>
      </c>
      <c r="BC82" s="236" t="s">
        <v>8399</v>
      </c>
      <c r="BD82" s="148">
        <v>3</v>
      </c>
      <c r="BE82" s="237" t="s">
        <v>10538</v>
      </c>
      <c r="BF82" s="236" t="s">
        <v>10533</v>
      </c>
      <c r="BO82" s="153"/>
      <c r="CH82" s="179" t="s">
        <v>8703</v>
      </c>
      <c r="CI82" s="148">
        <v>106</v>
      </c>
      <c r="CJ82" s="148" cm="1">
        <f t="array" ref="CJ82">_xlfn.IFS($AZ$4&gt;=17,111,$AZ$4&gt;=6,110,$AZ$4&gt;=3,109,1,0)</f>
        <v>0</v>
      </c>
      <c r="CN82" s="154">
        <f>IFERROR(IF(CN81+1&gt;CS2,IF(CN81+1&gt;CS2,IF(CR3+CR81&gt;CS3,"",CR3+CR81)),CN81+1),"")</f>
        <v>77</v>
      </c>
      <c r="CO82" s="154" t="str" cm="1">
        <f t="array" ref="CO82">IFERROR(INDEX($B$34:$BO$262,CN82,$CP$2),"")</f>
        <v/>
      </c>
      <c r="CP82" s="154" t="str" cm="1">
        <f t="array" ref="CP82">IFERROR(INDEX($B$34:$BO$262,CN82,$CQ$2),"")</f>
        <v/>
      </c>
      <c r="CQ82" s="154" t="str" cm="1">
        <f t="array" ref="CQ82">IF(IFERROR(INDEX($B$34:$BO$262,CN82,$CO$2),"")=0,"",IFERROR(INDEX($B$34:$BO$262,CN82,$CO$2),""))</f>
        <v/>
      </c>
      <c r="CR82" s="154">
        <f>IFERROR(IF(CN81+1&gt;CS2,CR81+1,0),"")</f>
        <v>0</v>
      </c>
      <c r="CT82" s="155" t="str">
        <f t="shared" si="6"/>
        <v/>
      </c>
      <c r="CU82" s="156" t="str" cm="1">
        <f t="array" ref="CU82">INDEX(CT:CT,SMALL(IF($CT$2:$CT$101&lt;&gt;"",ROW($CT$2:$CT$101),142),ROW(CT81)))&amp;""</f>
        <v/>
      </c>
    </row>
    <row r="83" spans="1:102" ht="16.149999999999999" customHeight="1" x14ac:dyDescent="0.15">
      <c r="A83" s="140">
        <v>50</v>
      </c>
      <c r="B83" s="166">
        <v>6</v>
      </c>
      <c r="C83" s="148" t="s">
        <v>4744</v>
      </c>
      <c r="D83" s="153" t="s">
        <v>4745</v>
      </c>
      <c r="E83" s="148">
        <v>3</v>
      </c>
      <c r="F83" s="169" t="s">
        <v>4746</v>
      </c>
      <c r="G83" s="183" t="s">
        <v>4747</v>
      </c>
      <c r="H83" s="148">
        <v>6</v>
      </c>
      <c r="I83" s="169" t="s">
        <v>4748</v>
      </c>
      <c r="J83" s="183" t="s">
        <v>4749</v>
      </c>
      <c r="K83" s="148">
        <v>3</v>
      </c>
      <c r="L83" s="169" t="s">
        <v>4750</v>
      </c>
      <c r="M83" s="183" t="s">
        <v>4751</v>
      </c>
      <c r="N83" s="148">
        <v>7</v>
      </c>
      <c r="O83" s="148" t="s">
        <v>4752</v>
      </c>
      <c r="P83" s="153" t="s">
        <v>4753</v>
      </c>
      <c r="Q83" s="148">
        <v>6</v>
      </c>
      <c r="R83" s="169" t="s">
        <v>4754</v>
      </c>
      <c r="S83" s="183" t="s">
        <v>4755</v>
      </c>
      <c r="T83" s="148">
        <v>20</v>
      </c>
      <c r="U83" s="148" t="s">
        <v>4756</v>
      </c>
      <c r="V83" s="153" t="s">
        <v>4757</v>
      </c>
      <c r="W83" s="148">
        <v>3</v>
      </c>
      <c r="X83" s="169" t="s">
        <v>4758</v>
      </c>
      <c r="Y83" s="183" t="s">
        <v>4759</v>
      </c>
      <c r="Z83" s="148">
        <v>17</v>
      </c>
      <c r="AA83" s="148" t="s">
        <v>4760</v>
      </c>
      <c r="AB83" s="153" t="s">
        <v>4761</v>
      </c>
      <c r="AC83" s="148">
        <v>3</v>
      </c>
      <c r="AD83" s="148" t="s">
        <v>4762</v>
      </c>
      <c r="AE83" s="153" t="s">
        <v>4763</v>
      </c>
      <c r="AF83" s="148" t="s">
        <v>3012</v>
      </c>
      <c r="AG83" s="142" t="s">
        <v>4667</v>
      </c>
      <c r="AH83" s="185" t="s">
        <v>4668</v>
      </c>
      <c r="AI83" s="148">
        <v>10</v>
      </c>
      <c r="AJ83" s="169" t="s">
        <v>4765</v>
      </c>
      <c r="AK83" s="183" t="s">
        <v>4766</v>
      </c>
      <c r="AL83" s="148">
        <v>9</v>
      </c>
      <c r="AM83" s="169" t="s">
        <v>4793</v>
      </c>
      <c r="AN83" s="238" t="s">
        <v>10316</v>
      </c>
      <c r="AO83" s="148">
        <v>3</v>
      </c>
      <c r="AP83" s="169" t="s">
        <v>4645</v>
      </c>
      <c r="AQ83" s="238" t="s">
        <v>10609</v>
      </c>
      <c r="AR83" s="148">
        <v>11</v>
      </c>
      <c r="AS83" s="148" t="s">
        <v>5715</v>
      </c>
      <c r="AT83" s="153" t="s">
        <v>5716</v>
      </c>
      <c r="AU83" s="148">
        <v>10</v>
      </c>
      <c r="AV83" s="181" t="s">
        <v>5950</v>
      </c>
      <c r="AW83" s="188" t="s">
        <v>5951</v>
      </c>
      <c r="AY83" s="179" t="s">
        <v>7412</v>
      </c>
      <c r="AZ83" s="268" t="s">
        <v>7413</v>
      </c>
      <c r="BA83" s="148">
        <v>7</v>
      </c>
      <c r="BB83" s="237" t="s">
        <v>8400</v>
      </c>
      <c r="BC83" s="236" t="s">
        <v>8401</v>
      </c>
      <c r="BD83" s="148">
        <v>3</v>
      </c>
      <c r="BE83" s="237" t="s">
        <v>10539</v>
      </c>
      <c r="BF83" s="236" t="s">
        <v>10534</v>
      </c>
      <c r="BO83" s="153"/>
      <c r="CH83" s="179" t="s">
        <v>9071</v>
      </c>
      <c r="CI83" s="148">
        <v>112</v>
      </c>
      <c r="CJ83" s="148" cm="1">
        <f t="array" ref="CJ83">_xlfn.IFS($AZ$4&gt;=17,116,$AZ$4&gt;=6,115,$AZ$4&gt;=3,114,1,0)</f>
        <v>0</v>
      </c>
      <c r="CN83" s="154">
        <f>IFERROR(IF(CN82+1&gt;CS2,IF(CN82+1&gt;CS2,IF(CR3+CR82&gt;CS3,"",CR3+CR82)),CN82+1),"")</f>
        <v>78</v>
      </c>
      <c r="CO83" s="154" t="str" cm="1">
        <f t="array" ref="CO83">IFERROR(INDEX($B$34:$BO$262,CN83,$CP$2),"")</f>
        <v/>
      </c>
      <c r="CP83" s="154" t="str" cm="1">
        <f t="array" ref="CP83">IFERROR(INDEX($B$34:$BO$262,CN83,$CQ$2),"")</f>
        <v/>
      </c>
      <c r="CQ83" s="154" t="str" cm="1">
        <f t="array" ref="CQ83">IF(IFERROR(INDEX($B$34:$BO$262,CN83,$CO$2),"")=0,"",IFERROR(INDEX($B$34:$BO$262,CN83,$CO$2),""))</f>
        <v/>
      </c>
      <c r="CR83" s="154">
        <f>IFERROR(IF(CN82+1&gt;CS2,CR82+1,0),"")</f>
        <v>0</v>
      </c>
      <c r="CT83" s="155" t="str">
        <f t="shared" si="6"/>
        <v/>
      </c>
      <c r="CU83" s="156" t="str" cm="1">
        <f t="array" ref="CU83">INDEX(CT:CT,SMALL(IF($CT$2:$CT$101&lt;&gt;"",ROW($CT$2:$CT$101),142),ROW(CT82)))&amp;""</f>
        <v/>
      </c>
    </row>
    <row r="84" spans="1:102" ht="16.149999999999999" customHeight="1" x14ac:dyDescent="0.15">
      <c r="A84" s="140">
        <v>51</v>
      </c>
      <c r="B84" s="166">
        <v>10</v>
      </c>
      <c r="C84" s="148" t="s">
        <v>4769</v>
      </c>
      <c r="D84" s="153" t="s">
        <v>4770</v>
      </c>
      <c r="E84" s="148">
        <v>3</v>
      </c>
      <c r="F84" s="169" t="s">
        <v>4771</v>
      </c>
      <c r="G84" s="183" t="s">
        <v>4772</v>
      </c>
      <c r="H84" s="148">
        <v>17</v>
      </c>
      <c r="I84" s="169" t="s">
        <v>4773</v>
      </c>
      <c r="J84" s="183" t="s">
        <v>4774</v>
      </c>
      <c r="K84" s="148">
        <v>6</v>
      </c>
      <c r="L84" s="169" t="s">
        <v>4775</v>
      </c>
      <c r="M84" s="183" t="s">
        <v>4776</v>
      </c>
      <c r="N84" s="148">
        <v>10</v>
      </c>
      <c r="O84" s="148" t="s">
        <v>4777</v>
      </c>
      <c r="P84" s="153" t="s">
        <v>4778</v>
      </c>
      <c r="Q84" s="148">
        <v>11</v>
      </c>
      <c r="R84" s="169" t="s">
        <v>4779</v>
      </c>
      <c r="S84" s="183" t="s">
        <v>4780</v>
      </c>
      <c r="T84" s="148">
        <v>3</v>
      </c>
      <c r="U84" s="169" t="s">
        <v>4781</v>
      </c>
      <c r="V84" s="183" t="s">
        <v>4782</v>
      </c>
      <c r="W84" s="148">
        <v>3</v>
      </c>
      <c r="X84" s="169" t="s">
        <v>4783</v>
      </c>
      <c r="Y84" s="183" t="s">
        <v>4784</v>
      </c>
      <c r="Z84" s="148">
        <v>3</v>
      </c>
      <c r="AA84" s="169" t="s">
        <v>4785</v>
      </c>
      <c r="AB84" s="183" t="s">
        <v>4786</v>
      </c>
      <c r="AC84" s="148">
        <v>6</v>
      </c>
      <c r="AD84" s="148" t="s">
        <v>4787</v>
      </c>
      <c r="AE84" s="153" t="s">
        <v>4788</v>
      </c>
      <c r="AF84" s="148" t="s">
        <v>3012</v>
      </c>
      <c r="AG84" s="167" t="str">
        <f>IF(自定义调整栏!$E$3="O","飞蝇斗篷","")</f>
        <v>飞蝇斗篷</v>
      </c>
      <c r="AH84" s="186" t="s">
        <v>4691</v>
      </c>
      <c r="AI84" s="148">
        <v>14</v>
      </c>
      <c r="AJ84" s="169" t="s">
        <v>4791</v>
      </c>
      <c r="AK84" s="183" t="s">
        <v>4792</v>
      </c>
      <c r="AL84" s="148">
        <v>15</v>
      </c>
      <c r="AM84" s="169" t="s">
        <v>4816</v>
      </c>
      <c r="AN84" s="238" t="s">
        <v>10317</v>
      </c>
      <c r="AO84" s="148">
        <v>3</v>
      </c>
      <c r="AP84" s="237" t="s">
        <v>10611</v>
      </c>
      <c r="AQ84" s="236" t="s">
        <v>10612</v>
      </c>
      <c r="AR84" s="148">
        <v>15</v>
      </c>
      <c r="AS84" s="148" t="s">
        <v>5717</v>
      </c>
      <c r="AT84" s="153" t="s">
        <v>5718</v>
      </c>
      <c r="AU84" s="148">
        <v>10</v>
      </c>
      <c r="AV84" s="181" t="s">
        <v>5952</v>
      </c>
      <c r="AW84" s="188" t="s">
        <v>5953</v>
      </c>
      <c r="AX84" s="148">
        <v>3</v>
      </c>
      <c r="AY84" s="179" t="s">
        <v>7414</v>
      </c>
      <c r="AZ84" s="240" t="s">
        <v>7415</v>
      </c>
      <c r="BA84" s="148">
        <v>7</v>
      </c>
      <c r="BB84" s="237" t="s">
        <v>8402</v>
      </c>
      <c r="BC84" s="236" t="s">
        <v>8403</v>
      </c>
      <c r="BD84" s="148">
        <v>6</v>
      </c>
      <c r="BE84" s="237" t="s">
        <v>10540</v>
      </c>
      <c r="BF84" s="236" t="s">
        <v>10535</v>
      </c>
      <c r="BO84" s="153"/>
      <c r="CH84" s="179" t="s">
        <v>9072</v>
      </c>
      <c r="CI84" s="148">
        <v>117</v>
      </c>
      <c r="CJ84" s="148" cm="1">
        <f t="array" ref="CJ84">_xlfn.IFS($AZ$4&gt;=17,123,$AZ$4&gt;=8,122,$AZ$4&gt;=6,121,$AZ$4&gt;=3,120,1,0)</f>
        <v>0</v>
      </c>
      <c r="CN84" s="154">
        <f>IFERROR(IF(CN83+1&gt;CS2,IF(CN83+1&gt;CS2,IF(CR3+CR83&gt;CS3,"",CR3+CR83)),CN83+1),"")</f>
        <v>79</v>
      </c>
      <c r="CO84" s="154" t="str" cm="1">
        <f t="array" ref="CO84">IFERROR(INDEX($B$34:$BO$262,CN84,$CP$2),"")</f>
        <v/>
      </c>
      <c r="CP84" s="154" t="str" cm="1">
        <f t="array" ref="CP84">IFERROR(INDEX($B$34:$BO$262,CN84,$CQ$2),"")</f>
        <v/>
      </c>
      <c r="CQ84" s="154" t="str" cm="1">
        <f t="array" ref="CQ84">IF(IFERROR(INDEX($B$34:$BO$262,CN84,$CO$2),"")=0,"",IFERROR(INDEX($B$34:$BO$262,CN84,$CO$2),""))</f>
        <v/>
      </c>
      <c r="CR84" s="154">
        <f>IFERROR(IF(CN83+1&gt;CS2,CR83+1,0),"")</f>
        <v>0</v>
      </c>
      <c r="CT84" s="155" t="str">
        <f t="shared" si="6"/>
        <v/>
      </c>
      <c r="CU84" s="156" t="str" cm="1">
        <f t="array" ref="CU84">INDEX(CT:CT,SMALL(IF($CT$2:$CT$101&lt;&gt;"",ROW($CT$2:$CT$101),142),ROW(CT83)))&amp;""</f>
        <v/>
      </c>
    </row>
    <row r="85" spans="1:102" ht="16.149999999999999" customHeight="1" x14ac:dyDescent="0.15">
      <c r="A85" s="140">
        <v>52</v>
      </c>
      <c r="B85" s="166">
        <v>14</v>
      </c>
      <c r="C85" s="148" t="s">
        <v>4794</v>
      </c>
      <c r="D85" s="153" t="s">
        <v>4795</v>
      </c>
      <c r="E85" s="148">
        <v>6</v>
      </c>
      <c r="F85" s="169" t="s">
        <v>4796</v>
      </c>
      <c r="G85" s="183" t="s">
        <v>4797</v>
      </c>
      <c r="H85" s="148">
        <v>3</v>
      </c>
      <c r="I85" s="148" t="s">
        <v>4798</v>
      </c>
      <c r="J85" s="153" t="s">
        <v>4799</v>
      </c>
      <c r="K85" s="148">
        <v>10</v>
      </c>
      <c r="L85" s="169" t="s">
        <v>4800</v>
      </c>
      <c r="M85" s="183" t="s">
        <v>4801</v>
      </c>
      <c r="N85" s="148">
        <v>15</v>
      </c>
      <c r="O85" s="148" t="s">
        <v>4802</v>
      </c>
      <c r="P85" s="153" t="s">
        <v>4803</v>
      </c>
      <c r="Q85" s="148">
        <v>17</v>
      </c>
      <c r="R85" s="169" t="s">
        <v>4804</v>
      </c>
      <c r="S85" s="183" t="s">
        <v>4805</v>
      </c>
      <c r="T85" s="148">
        <v>3</v>
      </c>
      <c r="U85" s="169" t="s">
        <v>4806</v>
      </c>
      <c r="V85" s="183" t="s">
        <v>4807</v>
      </c>
      <c r="W85" s="148">
        <v>3</v>
      </c>
      <c r="X85" s="169" t="s">
        <v>4808</v>
      </c>
      <c r="Y85" s="183" t="s">
        <v>4809</v>
      </c>
      <c r="Z85" s="148">
        <v>3</v>
      </c>
      <c r="AA85" s="169" t="s">
        <v>4810</v>
      </c>
      <c r="AB85" s="183" t="s">
        <v>4811</v>
      </c>
      <c r="AC85" s="148">
        <v>14</v>
      </c>
      <c r="AD85" s="148" t="s">
        <v>4812</v>
      </c>
      <c r="AE85" s="153" t="s">
        <v>4813</v>
      </c>
      <c r="AF85" s="148" t="s">
        <v>3012</v>
      </c>
      <c r="AG85" s="167" t="str">
        <f>IF(自定义调整栏!$E$3="O","癫狂巫咒","")</f>
        <v>癫狂巫咒</v>
      </c>
      <c r="AH85" s="186" t="s">
        <v>4715</v>
      </c>
      <c r="AI85" s="148">
        <v>3</v>
      </c>
      <c r="AJ85" s="179" t="s">
        <v>9916</v>
      </c>
      <c r="AK85" s="240" t="s">
        <v>9917</v>
      </c>
      <c r="AL85" s="148">
        <v>3</v>
      </c>
      <c r="AM85" s="180" t="s">
        <v>10704</v>
      </c>
      <c r="AN85" s="234" t="s">
        <v>10318</v>
      </c>
      <c r="AO85" s="148">
        <v>6</v>
      </c>
      <c r="AP85" s="237" t="s">
        <v>10613</v>
      </c>
      <c r="AQ85" s="238" t="s">
        <v>10614</v>
      </c>
      <c r="AR85" s="148">
        <v>18</v>
      </c>
      <c r="AS85" s="148" t="s">
        <v>5719</v>
      </c>
      <c r="AT85" s="153" t="s">
        <v>5720</v>
      </c>
      <c r="AU85" s="148">
        <v>10</v>
      </c>
      <c r="AV85" s="181" t="s">
        <v>5954</v>
      </c>
      <c r="AW85" s="188" t="s">
        <v>5955</v>
      </c>
      <c r="AX85" s="148">
        <v>6</v>
      </c>
      <c r="AY85" s="179" t="s">
        <v>7416</v>
      </c>
      <c r="AZ85" s="268" t="s">
        <v>7417</v>
      </c>
      <c r="BA85" s="148">
        <v>7</v>
      </c>
      <c r="BB85" s="237" t="s">
        <v>8404</v>
      </c>
      <c r="BC85" s="236" t="s">
        <v>8405</v>
      </c>
      <c r="BD85" s="148">
        <v>11</v>
      </c>
      <c r="BE85" s="237" t="s">
        <v>10541</v>
      </c>
      <c r="BF85" s="236" t="s">
        <v>10536</v>
      </c>
      <c r="BO85" s="153"/>
      <c r="CH85" s="179" t="s">
        <v>9267</v>
      </c>
      <c r="CI85" s="148">
        <v>124</v>
      </c>
      <c r="CJ85" s="148" cm="1">
        <f t="array" ref="CJ85">_xlfn.IFS($AZ$4&gt;=17,129,$AZ$4&gt;=6,128,$AZ$4&gt;=3,127,1,0)</f>
        <v>0</v>
      </c>
      <c r="CN85" s="154">
        <f>IFERROR(IF(CN84+1&gt;CS2,IF(CN84+1&gt;CS2,IF(CR3+CR84&gt;CS3,"",CR3+CR84)),CN84+1),"")</f>
        <v>80</v>
      </c>
      <c r="CO85" s="154" t="str" cm="1">
        <f t="array" ref="CO85">IFERROR(INDEX($B$34:$BO$262,CN85,$CP$2),"")</f>
        <v/>
      </c>
      <c r="CP85" s="154" t="str" cm="1">
        <f t="array" ref="CP85">IFERROR(INDEX($B$34:$BO$262,CN85,$CQ$2),"")</f>
        <v/>
      </c>
      <c r="CQ85" s="154" t="str" cm="1">
        <f t="array" ref="CQ85">IF(IFERROR(INDEX($B$34:$BO$262,CN85,$CO$2),"")=0,"",IFERROR(INDEX($B$34:$BO$262,CN85,$CO$2),""))</f>
        <v/>
      </c>
      <c r="CR85" s="154">
        <f>IFERROR(IF(CN84+1&gt;CS2,CR84+1,0),"")</f>
        <v>0</v>
      </c>
      <c r="CT85" s="155" t="str">
        <f t="shared" si="6"/>
        <v/>
      </c>
      <c r="CU85" s="156" t="str" cm="1">
        <f t="array" ref="CU85">INDEX(CT:CT,SMALL(IF($CT$2:$CT$101&lt;&gt;"",ROW($CT$2:$CT$101),142),ROW(CT84)))&amp;""</f>
        <v/>
      </c>
    </row>
    <row r="86" spans="1:102" ht="16.149999999999999" customHeight="1" x14ac:dyDescent="0.15">
      <c r="A86" s="140">
        <v>53</v>
      </c>
      <c r="B86" s="166">
        <v>3</v>
      </c>
      <c r="C86" s="169" t="s">
        <v>4817</v>
      </c>
      <c r="D86" s="183" t="s">
        <v>4818</v>
      </c>
      <c r="E86" s="148">
        <v>14</v>
      </c>
      <c r="F86" s="169" t="s">
        <v>4819</v>
      </c>
      <c r="G86" s="183" t="s">
        <v>4820</v>
      </c>
      <c r="H86" s="148">
        <v>3</v>
      </c>
      <c r="I86" s="148" t="s">
        <v>4821</v>
      </c>
      <c r="J86" s="153" t="s">
        <v>4822</v>
      </c>
      <c r="K86" s="148">
        <v>14</v>
      </c>
      <c r="L86" s="169" t="s">
        <v>4823</v>
      </c>
      <c r="M86" s="183" t="s">
        <v>4824</v>
      </c>
      <c r="N86" s="148">
        <v>18</v>
      </c>
      <c r="O86" s="148" t="s">
        <v>4825</v>
      </c>
      <c r="P86" s="153" t="s">
        <v>4826</v>
      </c>
      <c r="Q86" s="148">
        <v>3</v>
      </c>
      <c r="R86" s="148" t="s">
        <v>4827</v>
      </c>
      <c r="S86" s="153" t="s">
        <v>4828</v>
      </c>
      <c r="T86" s="148">
        <v>7</v>
      </c>
      <c r="U86" s="169" t="s">
        <v>4829</v>
      </c>
      <c r="V86" s="183" t="s">
        <v>4830</v>
      </c>
      <c r="W86" s="148">
        <v>7</v>
      </c>
      <c r="X86" s="169" t="s">
        <v>4831</v>
      </c>
      <c r="Y86" s="183" t="s">
        <v>4832</v>
      </c>
      <c r="Z86" s="148">
        <v>3</v>
      </c>
      <c r="AA86" s="169" t="s">
        <v>4833</v>
      </c>
      <c r="AB86" s="183" t="s">
        <v>4834</v>
      </c>
      <c r="AC86" s="148">
        <v>18</v>
      </c>
      <c r="AD86" s="148" t="s">
        <v>4835</v>
      </c>
      <c r="AE86" s="153" t="s">
        <v>4836</v>
      </c>
      <c r="AF86" s="148" t="s">
        <v>3012</v>
      </c>
      <c r="AG86" s="167" t="str">
        <f>IF(自定义调整栏!$E$3="O","莱维斯图斯之墓","")</f>
        <v>莱维斯图斯之墓</v>
      </c>
      <c r="AH86" s="186" t="s">
        <v>4740</v>
      </c>
      <c r="AI86" s="148">
        <v>3</v>
      </c>
      <c r="AJ86" s="179" t="s">
        <v>9918</v>
      </c>
      <c r="AK86" s="240" t="s">
        <v>9919</v>
      </c>
      <c r="AL86" s="148">
        <v>3</v>
      </c>
      <c r="AM86" s="180" t="s">
        <v>10703</v>
      </c>
      <c r="AN86" s="234" t="s">
        <v>10319</v>
      </c>
      <c r="AO86" s="148">
        <v>6</v>
      </c>
      <c r="AP86" s="169" t="s">
        <v>4718</v>
      </c>
      <c r="AQ86" s="238" t="s">
        <v>10615</v>
      </c>
      <c r="AR86" s="148">
        <v>3</v>
      </c>
      <c r="AS86" s="169" t="s">
        <v>5721</v>
      </c>
      <c r="AT86" s="183" t="s">
        <v>5722</v>
      </c>
      <c r="AU86" s="148">
        <v>11</v>
      </c>
      <c r="AV86" s="148" t="s">
        <v>5956</v>
      </c>
      <c r="AW86" s="153" t="s">
        <v>5957</v>
      </c>
      <c r="AX86" s="148">
        <v>10</v>
      </c>
      <c r="AY86" s="179" t="s">
        <v>7418</v>
      </c>
      <c r="AZ86" s="240" t="s">
        <v>7419</v>
      </c>
      <c r="BA86" s="148">
        <v>11</v>
      </c>
      <c r="BB86" s="237" t="s">
        <v>8410</v>
      </c>
      <c r="BC86" s="236" t="s">
        <v>8411</v>
      </c>
      <c r="BD86" s="148">
        <v>17</v>
      </c>
      <c r="BE86" s="237" t="s">
        <v>10542</v>
      </c>
      <c r="BF86" s="236" t="s">
        <v>10537</v>
      </c>
      <c r="BO86" s="153"/>
      <c r="CH86" s="179" t="s">
        <v>9818</v>
      </c>
      <c r="CI86" s="148">
        <v>130</v>
      </c>
      <c r="CJ86" s="148" cm="1">
        <f t="array" ref="CJ86">_xlfn.IFS($AZ$4&gt;=17,135,$AZ$4&gt;=6,134,$AZ$4&gt;=3,133,1,0)</f>
        <v>0</v>
      </c>
      <c r="CN86" s="154">
        <f>IFERROR(IF(CN85+1&gt;CS2,IF(CN85+1&gt;CS2,IF(CR3+CR85&gt;CS3,"",CR3+CR85)),CN85+1),"")</f>
        <v>81</v>
      </c>
      <c r="CO86" s="154" t="str" cm="1">
        <f t="array" ref="CO86">IFERROR(INDEX($B$34:$BO$262,CN86,$CP$2),"")</f>
        <v/>
      </c>
      <c r="CP86" s="154" t="str" cm="1">
        <f t="array" ref="CP86">IFERROR(INDEX($B$34:$BO$262,CN86,$CQ$2),"")</f>
        <v/>
      </c>
      <c r="CQ86" s="154" t="str" cm="1">
        <f t="array" ref="CQ86">IF(IFERROR(INDEX($B$34:$BO$262,CN86,$CO$2),"")=0,"",IFERROR(INDEX($B$34:$BO$262,CN86,$CO$2),""))</f>
        <v/>
      </c>
      <c r="CR86" s="154">
        <f>IFERROR(IF(CN85+1&gt;CS2,CR85+1,0),"")</f>
        <v>0</v>
      </c>
      <c r="CT86" s="155" t="str">
        <f t="shared" si="6"/>
        <v/>
      </c>
      <c r="CU86" s="156" t="str" cm="1">
        <f t="array" ref="CU86">INDEX(CT:CT,SMALL(IF($CT$2:$CT$101&lt;&gt;"",ROW($CT$2:$CT$101),142),ROW(CT85)))&amp;""</f>
        <v/>
      </c>
    </row>
    <row r="87" spans="1:102" ht="16.149999999999999" customHeight="1" x14ac:dyDescent="0.15">
      <c r="A87" s="140">
        <v>54</v>
      </c>
      <c r="B87" s="166">
        <v>3</v>
      </c>
      <c r="C87" s="169" t="s">
        <v>4839</v>
      </c>
      <c r="D87" s="183" t="s">
        <v>4840</v>
      </c>
      <c r="E87" s="148">
        <v>3</v>
      </c>
      <c r="F87" s="148" t="s">
        <v>4841</v>
      </c>
      <c r="G87" s="153" t="s">
        <v>4842</v>
      </c>
      <c r="H87" s="148">
        <v>3</v>
      </c>
      <c r="I87" s="148" t="s">
        <v>4843</v>
      </c>
      <c r="J87" s="153" t="s">
        <v>4844</v>
      </c>
      <c r="K87" s="148">
        <v>3</v>
      </c>
      <c r="L87" s="148" t="s">
        <v>4845</v>
      </c>
      <c r="M87" s="153" t="s">
        <v>4846</v>
      </c>
      <c r="N87" s="148">
        <v>3</v>
      </c>
      <c r="O87" s="237" t="s">
        <v>7400</v>
      </c>
      <c r="P87" s="183" t="s">
        <v>4847</v>
      </c>
      <c r="Q87" s="148">
        <v>6</v>
      </c>
      <c r="R87" s="148" t="s">
        <v>4848</v>
      </c>
      <c r="S87" s="153" t="s">
        <v>4849</v>
      </c>
      <c r="T87" s="148">
        <v>15</v>
      </c>
      <c r="U87" s="169" t="s">
        <v>4850</v>
      </c>
      <c r="V87" s="183" t="s">
        <v>4851</v>
      </c>
      <c r="W87" s="148">
        <v>11</v>
      </c>
      <c r="X87" s="169" t="s">
        <v>4852</v>
      </c>
      <c r="Y87" s="183" t="s">
        <v>4853</v>
      </c>
      <c r="Z87" s="148">
        <v>9</v>
      </c>
      <c r="AA87" s="169" t="s">
        <v>4854</v>
      </c>
      <c r="AB87" s="183" t="s">
        <v>4855</v>
      </c>
      <c r="AC87" s="148">
        <v>3</v>
      </c>
      <c r="AD87" s="169" t="s">
        <v>4856</v>
      </c>
      <c r="AE87" s="183" t="s">
        <v>4857</v>
      </c>
      <c r="AF87" s="148" t="s">
        <v>3012</v>
      </c>
      <c r="AG87" s="168" t="str">
        <f>IF(自定义调整栏!$E$4="O","遥远音讯","")</f>
        <v>遥远音讯</v>
      </c>
      <c r="AH87" s="187" t="s">
        <v>4764</v>
      </c>
      <c r="AI87" s="148">
        <v>6</v>
      </c>
      <c r="AJ87" s="179" t="s">
        <v>7352</v>
      </c>
      <c r="AK87" s="240" t="s">
        <v>9920</v>
      </c>
      <c r="AL87" s="148">
        <v>3</v>
      </c>
      <c r="AM87" s="148" t="s">
        <v>4880</v>
      </c>
      <c r="AN87" s="234" t="s">
        <v>10320</v>
      </c>
      <c r="AO87" s="148">
        <v>10</v>
      </c>
      <c r="AP87" s="169" t="s">
        <v>4743</v>
      </c>
      <c r="AQ87" s="238" t="s">
        <v>10616</v>
      </c>
      <c r="AR87" s="148">
        <v>3</v>
      </c>
      <c r="AS87" s="169" t="s">
        <v>5723</v>
      </c>
      <c r="AT87" s="183" t="s">
        <v>5724</v>
      </c>
      <c r="AU87" s="148">
        <v>14</v>
      </c>
      <c r="AV87" s="181" t="s">
        <v>5958</v>
      </c>
      <c r="AW87" s="188" t="s">
        <v>5959</v>
      </c>
      <c r="AX87" s="148">
        <v>14</v>
      </c>
      <c r="AY87" s="179" t="s">
        <v>7420</v>
      </c>
      <c r="AZ87" s="268" t="s">
        <v>7421</v>
      </c>
      <c r="BA87" s="148">
        <v>13</v>
      </c>
      <c r="BB87" s="237" t="s">
        <v>8406</v>
      </c>
      <c r="BC87" s="236" t="s">
        <v>8407</v>
      </c>
      <c r="BD87" s="148">
        <v>3</v>
      </c>
      <c r="BE87" s="180" t="s">
        <v>10543</v>
      </c>
      <c r="BF87" s="233" t="s">
        <v>10544</v>
      </c>
      <c r="BO87" s="153"/>
      <c r="CH87" s="179" t="s">
        <v>9819</v>
      </c>
      <c r="CI87" s="148">
        <v>136</v>
      </c>
      <c r="CJ87" s="148" cm="1">
        <f t="array" ref="CJ87">_xlfn.IFS($AZ$4&gt;=17,141,$AZ$4&gt;=6,140,$AZ$4&gt;=3,139,1,0)</f>
        <v>0</v>
      </c>
      <c r="CN87" s="154">
        <f>IFERROR(IF(CN86+1&gt;CS2,IF(CN86+1&gt;CS2,IF(CR3+CR86&gt;CS3,"",CR3+CR86)),CN86+1),"")</f>
        <v>82</v>
      </c>
      <c r="CO87" s="154" t="str" cm="1">
        <f t="array" ref="CO87">IFERROR(INDEX($B$34:$BO$262,CN87,$CP$2),"")</f>
        <v/>
      </c>
      <c r="CP87" s="154" t="str" cm="1">
        <f t="array" ref="CP87">IFERROR(INDEX($B$34:$BO$262,CN87,$CQ$2),"")</f>
        <v/>
      </c>
      <c r="CQ87" s="154" t="str" cm="1">
        <f t="array" ref="CQ87">IF(IFERROR(INDEX($B$34:$BO$262,CN87,$CO$2),"")=0,"",IFERROR(INDEX($B$34:$BO$262,CN87,$CO$2),""))</f>
        <v/>
      </c>
      <c r="CR87" s="154">
        <f>IFERROR(IF(CN86+1&gt;CS2,CR86+1,0),"")</f>
        <v>0</v>
      </c>
      <c r="CT87" s="155" t="str">
        <f t="shared" si="6"/>
        <v/>
      </c>
      <c r="CU87" s="156" t="str" cm="1">
        <f t="array" ref="CU87">INDEX(CT:CT,SMALL(IF($CT$2:$CT$101&lt;&gt;"",ROW($CT$2:$CT$101),142),ROW(CT86)))&amp;""</f>
        <v/>
      </c>
    </row>
    <row r="88" spans="1:102" ht="16.149999999999999" customHeight="1" thickBot="1" x14ac:dyDescent="0.2">
      <c r="A88" s="140">
        <v>55</v>
      </c>
      <c r="B88" s="166">
        <v>6</v>
      </c>
      <c r="C88" s="169" t="s">
        <v>4860</v>
      </c>
      <c r="D88" s="183" t="s">
        <v>4861</v>
      </c>
      <c r="E88" s="148">
        <v>3</v>
      </c>
      <c r="F88" s="148" t="s">
        <v>4862</v>
      </c>
      <c r="G88" s="153" t="s">
        <v>4863</v>
      </c>
      <c r="H88" s="148">
        <v>3</v>
      </c>
      <c r="I88" s="148" t="s">
        <v>4864</v>
      </c>
      <c r="J88" s="153" t="s">
        <v>4865</v>
      </c>
      <c r="K88" s="148">
        <v>3</v>
      </c>
      <c r="L88" s="148" t="s">
        <v>4866</v>
      </c>
      <c r="M88" s="153" t="s">
        <v>4867</v>
      </c>
      <c r="O88" s="169" t="s">
        <v>3764</v>
      </c>
      <c r="P88" s="183" t="s">
        <v>4868</v>
      </c>
      <c r="Q88" s="148">
        <v>11</v>
      </c>
      <c r="R88" s="148" t="s">
        <v>4869</v>
      </c>
      <c r="S88" s="153" t="s">
        <v>4870</v>
      </c>
      <c r="T88" s="148">
        <v>20</v>
      </c>
      <c r="U88" s="169" t="s">
        <v>4871</v>
      </c>
      <c r="V88" s="183" t="s">
        <v>4872</v>
      </c>
      <c r="W88" s="148">
        <v>15</v>
      </c>
      <c r="X88" s="169" t="s">
        <v>4873</v>
      </c>
      <c r="Y88" s="183" t="s">
        <v>4874</v>
      </c>
      <c r="Z88" s="148">
        <v>13</v>
      </c>
      <c r="AA88" s="169" t="s">
        <v>4875</v>
      </c>
      <c r="AB88" s="183" t="s">
        <v>4876</v>
      </c>
      <c r="AC88" s="148">
        <v>3</v>
      </c>
      <c r="AD88" s="169" t="s">
        <v>4877</v>
      </c>
      <c r="AE88" s="183" t="s">
        <v>4878</v>
      </c>
      <c r="AF88" s="148" t="s">
        <v>3012</v>
      </c>
      <c r="AG88" s="168" t="s">
        <v>4789</v>
      </c>
      <c r="AH88" s="187" t="s">
        <v>4790</v>
      </c>
      <c r="AI88" s="148">
        <v>10</v>
      </c>
      <c r="AJ88" s="179" t="s">
        <v>9921</v>
      </c>
      <c r="AK88" s="240" t="s">
        <v>9922</v>
      </c>
      <c r="AL88" s="148">
        <v>3</v>
      </c>
      <c r="AM88" s="148" t="s">
        <v>4902</v>
      </c>
      <c r="AN88" s="234" t="s">
        <v>10321</v>
      </c>
      <c r="AO88" s="148">
        <v>14</v>
      </c>
      <c r="AP88" s="169" t="s">
        <v>4768</v>
      </c>
      <c r="AQ88" s="238" t="s">
        <v>10617</v>
      </c>
      <c r="AR88" s="148">
        <v>3</v>
      </c>
      <c r="AS88" s="169" t="s">
        <v>5725</v>
      </c>
      <c r="AT88" s="183" t="s">
        <v>5726</v>
      </c>
      <c r="AU88" s="148">
        <v>14</v>
      </c>
      <c r="AV88" s="181" t="s">
        <v>5960</v>
      </c>
      <c r="AW88" s="188" t="s">
        <v>5961</v>
      </c>
      <c r="AX88" s="148">
        <v>3</v>
      </c>
      <c r="AY88" s="235" t="s">
        <v>7422</v>
      </c>
      <c r="AZ88" s="269" t="s">
        <v>7423</v>
      </c>
      <c r="BA88" s="148">
        <v>15</v>
      </c>
      <c r="BB88" s="237" t="s">
        <v>8412</v>
      </c>
      <c r="BC88" s="236" t="s">
        <v>8413</v>
      </c>
      <c r="BD88" s="148">
        <v>3</v>
      </c>
      <c r="BE88" s="180" t="s">
        <v>10545</v>
      </c>
      <c r="BF88" s="233" t="s">
        <v>10546</v>
      </c>
      <c r="BO88" s="153"/>
      <c r="CH88" s="179" t="s">
        <v>9836</v>
      </c>
      <c r="CI88" s="148">
        <v>142</v>
      </c>
      <c r="CJ88" s="148" cm="1">
        <f t="array" ref="CJ88">_xlfn.IFS($AZ$4&gt;=17,146,$AZ$4&gt;=6,145,$AZ$4&gt;=3,144,1,0)</f>
        <v>0</v>
      </c>
      <c r="CN88" s="154">
        <f>IFERROR(IF(CN87+1&gt;CS2,IF(CN87+1&gt;CS2,IF(CR3+CR87&gt;CS3,"",CR3+CR87)),CN87+1),"")</f>
        <v>83</v>
      </c>
      <c r="CO88" s="154" t="str" cm="1">
        <f t="array" ref="CO88">IFERROR(INDEX($B$34:$BO$262,CN88,$CP$2),"")</f>
        <v/>
      </c>
      <c r="CP88" s="154" t="str" cm="1">
        <f t="array" ref="CP88">IFERROR(INDEX($B$34:$BO$262,CN88,$CQ$2),"")</f>
        <v/>
      </c>
      <c r="CQ88" s="154" t="str" cm="1">
        <f t="array" ref="CQ88">IF(IFERROR(INDEX($B$34:$BO$262,CN88,$CO$2),"")=0,"",IFERROR(INDEX($B$34:$BO$262,CN88,$CO$2),""))</f>
        <v/>
      </c>
      <c r="CR88" s="154">
        <f>IFERROR(IF(CN87+1&gt;CS2,CR87+1,0),"")</f>
        <v>0</v>
      </c>
      <c r="CT88" s="155" t="str">
        <f t="shared" si="6"/>
        <v/>
      </c>
      <c r="CU88" s="156" t="str" cm="1">
        <f t="array" ref="CU88">INDEX(CT:CT,SMALL(IF($CT$2:$CT$101&lt;&gt;"",ROW($CT$2:$CT$101),142),ROW(CT87)))&amp;""</f>
        <v/>
      </c>
    </row>
    <row r="89" spans="1:102" ht="16.149999999999999" customHeight="1" x14ac:dyDescent="0.15">
      <c r="A89" s="140">
        <v>56</v>
      </c>
      <c r="B89" s="166">
        <v>10</v>
      </c>
      <c r="C89" s="169" t="s">
        <v>4882</v>
      </c>
      <c r="D89" s="183" t="s">
        <v>4883</v>
      </c>
      <c r="E89" s="148">
        <v>6</v>
      </c>
      <c r="F89" s="148" t="s">
        <v>4884</v>
      </c>
      <c r="G89" s="153" t="s">
        <v>4885</v>
      </c>
      <c r="H89" s="148">
        <v>6</v>
      </c>
      <c r="I89" s="148" t="s">
        <v>4886</v>
      </c>
      <c r="J89" s="153" t="s">
        <v>4887</v>
      </c>
      <c r="K89" s="148">
        <v>6</v>
      </c>
      <c r="L89" s="148" t="s">
        <v>4888</v>
      </c>
      <c r="M89" s="153" t="s">
        <v>4889</v>
      </c>
      <c r="O89" s="169" t="s">
        <v>3771</v>
      </c>
      <c r="P89" s="183" t="s">
        <v>4890</v>
      </c>
      <c r="Q89" s="148">
        <v>17</v>
      </c>
      <c r="R89" s="148" t="s">
        <v>4891</v>
      </c>
      <c r="S89" s="153" t="s">
        <v>4892</v>
      </c>
      <c r="T89" s="148">
        <v>3</v>
      </c>
      <c r="U89" s="148" t="s">
        <v>4893</v>
      </c>
      <c r="V89" s="153" t="s">
        <v>4894</v>
      </c>
      <c r="W89" s="148">
        <v>3</v>
      </c>
      <c r="X89" s="148" t="s">
        <v>4895</v>
      </c>
      <c r="Y89" s="153" t="s">
        <v>4896</v>
      </c>
      <c r="Z89" s="148">
        <v>17</v>
      </c>
      <c r="AA89" s="169" t="s">
        <v>4897</v>
      </c>
      <c r="AB89" s="183" t="s">
        <v>4898</v>
      </c>
      <c r="AC89" s="148">
        <v>6</v>
      </c>
      <c r="AD89" s="169" t="s">
        <v>4899</v>
      </c>
      <c r="AE89" s="183" t="s">
        <v>4900</v>
      </c>
      <c r="AF89" s="148" t="s">
        <v>3015</v>
      </c>
      <c r="AG89" s="142" t="s">
        <v>4814</v>
      </c>
      <c r="AH89" s="185" t="s">
        <v>4815</v>
      </c>
      <c r="AI89" s="148">
        <v>14</v>
      </c>
      <c r="AJ89" s="179" t="s">
        <v>9923</v>
      </c>
      <c r="AK89" s="268" t="s">
        <v>9924</v>
      </c>
      <c r="AL89" s="148">
        <v>5</v>
      </c>
      <c r="AM89" s="148" t="s">
        <v>3889</v>
      </c>
      <c r="AN89" s="153" t="s">
        <v>4593</v>
      </c>
      <c r="AO89" s="148">
        <v>3</v>
      </c>
      <c r="AP89" s="148" t="s">
        <v>10733</v>
      </c>
      <c r="AQ89" s="153" t="s">
        <v>10734</v>
      </c>
      <c r="AR89" s="148" t="s">
        <v>5623</v>
      </c>
      <c r="AS89" s="169" t="s">
        <v>5727</v>
      </c>
      <c r="AT89" s="183" t="s">
        <v>5728</v>
      </c>
      <c r="AU89" s="148">
        <v>14</v>
      </c>
      <c r="AV89" s="181" t="s">
        <v>5962</v>
      </c>
      <c r="AW89" s="188" t="s">
        <v>5963</v>
      </c>
      <c r="AX89" s="148">
        <v>3</v>
      </c>
      <c r="AY89" s="235" t="s">
        <v>7424</v>
      </c>
      <c r="AZ89" s="269" t="s">
        <v>7425</v>
      </c>
      <c r="BA89" s="148">
        <v>18</v>
      </c>
      <c r="BB89" s="237" t="s">
        <v>8408</v>
      </c>
      <c r="BC89" s="236" t="s">
        <v>8409</v>
      </c>
      <c r="BD89" s="148">
        <v>6</v>
      </c>
      <c r="BE89" s="180" t="s">
        <v>10547</v>
      </c>
      <c r="BF89" s="233" t="s">
        <v>10548</v>
      </c>
      <c r="BO89" s="153"/>
      <c r="CH89" s="163" t="s">
        <v>3602</v>
      </c>
      <c r="CI89" s="163">
        <v>29</v>
      </c>
      <c r="CJ89" s="163" cm="1">
        <f t="array" ref="CJ89">_xlfn.IFS($AZ$5&gt;=14,34,$AZ$5&gt;=10,33,$AZ$5&gt;=6,32,$AZ$5&gt;=3,31,1,0)</f>
        <v>0</v>
      </c>
      <c r="CN89" s="154">
        <f>IFERROR(IF(CN88+1&gt;CS2,IF(CN88+1&gt;CS2,IF(CR3+CR88&gt;CS3,"",CR3+CR88)),CN88+1),"")</f>
        <v>84</v>
      </c>
      <c r="CO89" s="154" t="str" cm="1">
        <f t="array" ref="CO89">IFERROR(INDEX($B$34:$BO$262,CN89,$CP$2),"")</f>
        <v/>
      </c>
      <c r="CP89" s="154" t="str" cm="1">
        <f t="array" ref="CP89">IFERROR(INDEX($B$34:$BO$262,CN89,$CQ$2),"")</f>
        <v/>
      </c>
      <c r="CQ89" s="154" t="str" cm="1">
        <f t="array" ref="CQ89">IF(IFERROR(INDEX($B$34:$BO$262,CN89,$CO$2),"")=0,"",IFERROR(INDEX($B$34:$BO$262,CN89,$CO$2),""))</f>
        <v/>
      </c>
      <c r="CR89" s="154">
        <f>IFERROR(IF(CN88+1&gt;CS2,CR88+1,0),"")</f>
        <v>0</v>
      </c>
      <c r="CT89" s="155" t="str">
        <f t="shared" si="6"/>
        <v/>
      </c>
      <c r="CU89" s="156" t="str" cm="1">
        <f t="array" ref="CU89">INDEX(CT:CT,SMALL(IF($CT$2:$CT$101&lt;&gt;"",ROW($CT$2:$CT$101),142),ROW(CT88)))&amp;""</f>
        <v/>
      </c>
    </row>
    <row r="90" spans="1:102" ht="16.149999999999999" customHeight="1" x14ac:dyDescent="0.15">
      <c r="A90" s="140">
        <v>57</v>
      </c>
      <c r="B90" s="166">
        <v>14</v>
      </c>
      <c r="C90" s="169" t="s">
        <v>4904</v>
      </c>
      <c r="D90" s="183" t="s">
        <v>4905</v>
      </c>
      <c r="E90" s="148">
        <v>6</v>
      </c>
      <c r="F90" s="148" t="s">
        <v>4906</v>
      </c>
      <c r="G90" s="153" t="s">
        <v>4907</v>
      </c>
      <c r="H90" s="148">
        <v>17</v>
      </c>
      <c r="I90" s="148" t="s">
        <v>4908</v>
      </c>
      <c r="J90" s="153" t="s">
        <v>4909</v>
      </c>
      <c r="K90" s="148">
        <v>10</v>
      </c>
      <c r="L90" s="148" t="s">
        <v>4910</v>
      </c>
      <c r="M90" s="153" t="s">
        <v>4911</v>
      </c>
      <c r="O90" s="169" t="s">
        <v>3790</v>
      </c>
      <c r="P90" s="183" t="s">
        <v>4912</v>
      </c>
      <c r="Q90" s="148">
        <v>3</v>
      </c>
      <c r="R90" s="169" t="s">
        <v>4913</v>
      </c>
      <c r="S90" s="183" t="s">
        <v>4914</v>
      </c>
      <c r="T90" s="148">
        <v>3</v>
      </c>
      <c r="U90" s="148" t="s">
        <v>4915</v>
      </c>
      <c r="V90" s="153" t="s">
        <v>4916</v>
      </c>
      <c r="W90" s="148">
        <v>3</v>
      </c>
      <c r="X90" s="148" t="s">
        <v>4917</v>
      </c>
      <c r="Y90" s="153" t="s">
        <v>4918</v>
      </c>
      <c r="Z90" s="148">
        <v>3</v>
      </c>
      <c r="AA90" s="148" t="s">
        <v>4919</v>
      </c>
      <c r="AB90" s="153" t="s">
        <v>4920</v>
      </c>
      <c r="AC90" s="148">
        <v>14</v>
      </c>
      <c r="AD90" s="169" t="s">
        <v>4921</v>
      </c>
      <c r="AE90" s="183" t="s">
        <v>4922</v>
      </c>
      <c r="AF90" s="148" t="s">
        <v>3015</v>
      </c>
      <c r="AG90" s="167" t="str">
        <f>IF(自定义调整栏!$E$3="O","幽魂凝视","")</f>
        <v>幽魂凝视</v>
      </c>
      <c r="AH90" s="186" t="s">
        <v>4837</v>
      </c>
      <c r="AI90" s="148">
        <v>3</v>
      </c>
      <c r="AJ90" s="169" t="s">
        <v>4925</v>
      </c>
      <c r="AK90" s="183" t="s">
        <v>4926</v>
      </c>
      <c r="AL90" s="148">
        <v>9</v>
      </c>
      <c r="AM90" s="148" t="s">
        <v>4951</v>
      </c>
      <c r="AN90" s="234" t="s">
        <v>10323</v>
      </c>
      <c r="AO90" s="148">
        <v>3</v>
      </c>
      <c r="AP90" s="148" t="s">
        <v>10735</v>
      </c>
      <c r="AQ90" s="153" t="s">
        <v>10736</v>
      </c>
      <c r="AR90" s="148" t="s">
        <v>5623</v>
      </c>
      <c r="AS90" s="169" t="s">
        <v>5729</v>
      </c>
      <c r="AT90" s="183" t="s">
        <v>5730</v>
      </c>
      <c r="AU90" s="148">
        <v>14</v>
      </c>
      <c r="AV90" s="181" t="s">
        <v>5964</v>
      </c>
      <c r="AW90" s="188" t="s">
        <v>5965</v>
      </c>
      <c r="AX90" s="148">
        <v>6</v>
      </c>
      <c r="AY90" s="235" t="s">
        <v>7426</v>
      </c>
      <c r="AZ90" s="270" t="s">
        <v>7427</v>
      </c>
      <c r="BA90" s="148">
        <v>3</v>
      </c>
      <c r="BB90" s="180" t="s">
        <v>8416</v>
      </c>
      <c r="BC90" s="233" t="s">
        <v>8417</v>
      </c>
      <c r="BD90" s="148">
        <v>11</v>
      </c>
      <c r="BE90" s="180" t="s">
        <v>10549</v>
      </c>
      <c r="BF90" s="233" t="s">
        <v>10550</v>
      </c>
      <c r="BO90" s="153"/>
      <c r="CH90" s="148" t="s">
        <v>3603</v>
      </c>
      <c r="CI90" s="148">
        <v>35</v>
      </c>
      <c r="CJ90" s="148" cm="1">
        <f t="array" ref="CJ90">_xlfn.IFS($AZ$5&gt;=14,39,$AZ$5&gt;=10,38,$AZ$5&gt;=6,37,$AZ$5&gt;=3,36,1,0)</f>
        <v>0</v>
      </c>
      <c r="CN90" s="154">
        <f>IFERROR(IF(CN89+1&gt;CS2,IF(CN89+1&gt;CS2,IF(CR3+CR89&gt;CS3,"",CR3+CR89)),CN89+1),"")</f>
        <v>85</v>
      </c>
      <c r="CO90" s="154" t="str" cm="1">
        <f t="array" ref="CO90">IFERROR(INDEX($B$34:$BO$262,CN90,$CP$2),"")</f>
        <v/>
      </c>
      <c r="CP90" s="154" t="str" cm="1">
        <f t="array" ref="CP90">IFERROR(INDEX($B$34:$BO$262,CN90,$CQ$2),"")</f>
        <v/>
      </c>
      <c r="CQ90" s="154" t="str" cm="1">
        <f t="array" ref="CQ90">IF(IFERROR(INDEX($B$34:$BO$262,CN90,$CO$2),"")=0,"",IFERROR(INDEX($B$34:$BO$262,CN90,$CO$2),""))</f>
        <v/>
      </c>
      <c r="CR90" s="154">
        <f>IFERROR(IF(CN89+1&gt;CS2,CR89+1,0),"")</f>
        <v>0</v>
      </c>
      <c r="CT90" s="155" t="str">
        <f t="shared" si="6"/>
        <v/>
      </c>
      <c r="CU90" s="156" t="str" cm="1">
        <f t="array" ref="CU90">INDEX(CT:CT,SMALL(IF($CT$2:$CT$101&lt;&gt;"",ROW($CT$2:$CT$101),142),ROW(CT89)))&amp;""</f>
        <v/>
      </c>
    </row>
    <row r="91" spans="1:102" ht="16.149999999999999" customHeight="1" x14ac:dyDescent="0.15">
      <c r="A91" s="140">
        <v>58</v>
      </c>
      <c r="B91" s="166">
        <v>3</v>
      </c>
      <c r="C91" s="148" t="s">
        <v>4928</v>
      </c>
      <c r="D91" s="153" t="s">
        <v>4929</v>
      </c>
      <c r="E91" s="148">
        <v>14</v>
      </c>
      <c r="F91" s="148" t="s">
        <v>4930</v>
      </c>
      <c r="G91" s="153" t="s">
        <v>4931</v>
      </c>
      <c r="H91" s="148">
        <v>3</v>
      </c>
      <c r="I91" s="169" t="s">
        <v>4932</v>
      </c>
      <c r="J91" s="183" t="s">
        <v>4933</v>
      </c>
      <c r="K91" s="148">
        <v>14</v>
      </c>
      <c r="L91" s="148" t="s">
        <v>4934</v>
      </c>
      <c r="M91" s="153" t="s">
        <v>4935</v>
      </c>
      <c r="O91" s="169" t="s">
        <v>3813</v>
      </c>
      <c r="P91" s="183" t="s">
        <v>4936</v>
      </c>
      <c r="Q91" s="148">
        <v>6</v>
      </c>
      <c r="R91" s="169" t="s">
        <v>4937</v>
      </c>
      <c r="S91" s="183" t="s">
        <v>4938</v>
      </c>
      <c r="T91" s="148">
        <v>7</v>
      </c>
      <c r="U91" s="148" t="s">
        <v>4939</v>
      </c>
      <c r="V91" s="153" t="s">
        <v>4940</v>
      </c>
      <c r="W91" s="148">
        <v>3</v>
      </c>
      <c r="X91" s="148" t="s">
        <v>4941</v>
      </c>
      <c r="Y91" s="153" t="s">
        <v>4942</v>
      </c>
      <c r="Z91" s="148">
        <v>3</v>
      </c>
      <c r="AA91" s="148" t="s">
        <v>4943</v>
      </c>
      <c r="AB91" s="153" t="s">
        <v>4944</v>
      </c>
      <c r="AC91" s="148">
        <v>18</v>
      </c>
      <c r="AD91" s="169" t="s">
        <v>4945</v>
      </c>
      <c r="AE91" s="183" t="s">
        <v>4946</v>
      </c>
      <c r="AF91" s="148" t="s">
        <v>3015</v>
      </c>
      <c r="AG91" s="167" t="str">
        <f>IF(自定义调整栏!$E$3="O","残酷巫咒","")</f>
        <v>残酷巫咒</v>
      </c>
      <c r="AH91" s="186" t="s">
        <v>4858</v>
      </c>
      <c r="AI91" s="148">
        <v>3</v>
      </c>
      <c r="AJ91" s="169" t="s">
        <v>4949</v>
      </c>
      <c r="AK91" s="183" t="s">
        <v>4950</v>
      </c>
      <c r="AL91" s="148">
        <v>15</v>
      </c>
      <c r="AM91" s="148" t="s">
        <v>4974</v>
      </c>
      <c r="AN91" s="234" t="s">
        <v>10324</v>
      </c>
      <c r="AO91" s="148">
        <v>3</v>
      </c>
      <c r="AP91" s="148" t="s">
        <v>10737</v>
      </c>
      <c r="AQ91" s="153" t="s">
        <v>10738</v>
      </c>
      <c r="AR91" s="148" t="s">
        <v>5623</v>
      </c>
      <c r="AS91" s="169" t="s">
        <v>5731</v>
      </c>
      <c r="AT91" s="183" t="s">
        <v>5732</v>
      </c>
      <c r="AU91" s="148">
        <v>19</v>
      </c>
      <c r="AV91" s="148" t="s">
        <v>4025</v>
      </c>
      <c r="AW91" s="153" t="s">
        <v>4223</v>
      </c>
      <c r="AX91" s="148">
        <v>10</v>
      </c>
      <c r="AY91" s="235" t="s">
        <v>7428</v>
      </c>
      <c r="AZ91" s="270" t="s">
        <v>7429</v>
      </c>
      <c r="BA91" s="148">
        <v>3</v>
      </c>
      <c r="BB91" s="180" t="s">
        <v>8418</v>
      </c>
      <c r="BC91" s="233" t="s">
        <v>8419</v>
      </c>
      <c r="BD91" s="148">
        <v>17</v>
      </c>
      <c r="BE91" s="148" t="s">
        <v>10551</v>
      </c>
      <c r="BF91" s="233" t="s">
        <v>10552</v>
      </c>
      <c r="BO91" s="153"/>
      <c r="CH91" s="148" t="s">
        <v>3604</v>
      </c>
      <c r="CI91" s="148">
        <v>40</v>
      </c>
      <c r="CJ91" s="148" cm="1">
        <f t="array" ref="CJ91">_xlfn.IFS($AZ$5&gt;=14,44,$AZ$5&gt;=10,43,$AZ$5&gt;=6,42,$AZ$5&gt;=3,41,1,0)</f>
        <v>0</v>
      </c>
      <c r="CN91" s="154">
        <f>IFERROR(IF(CN90+1&gt;CS2,IF(CN90+1&gt;CS2,IF(CR3+CR90&gt;CS3,"",CR3+CR90)),CN90+1),"")</f>
        <v>86</v>
      </c>
      <c r="CO91" s="154" t="str" cm="1">
        <f t="array" ref="CO91">IFERROR(INDEX($B$34:$BO$262,CN91,$CP$2),"")</f>
        <v/>
      </c>
      <c r="CP91" s="154" t="str" cm="1">
        <f t="array" ref="CP91">IFERROR(INDEX($B$34:$BO$262,CN91,$CQ$2),"")</f>
        <v/>
      </c>
      <c r="CQ91" s="154" t="str" cm="1">
        <f t="array" ref="CQ91">IF(IFERROR(INDEX($B$34:$BO$262,CN91,$CO$2),"")=0,"",IFERROR(INDEX($B$34:$BO$262,CN91,$CO$2),""))</f>
        <v/>
      </c>
      <c r="CR91" s="154">
        <f>IFERROR(IF(CN90+1&gt;CS2,CR90+1,0),"")</f>
        <v>0</v>
      </c>
      <c r="CT91" s="155" t="str">
        <f t="shared" si="6"/>
        <v/>
      </c>
      <c r="CU91" s="156" t="str" cm="1">
        <f t="array" ref="CU91">INDEX(CT:CT,SMALL(IF($CT$2:$CT$101&lt;&gt;"",ROW($CT$2:$CT$101),142),ROW(CT90)))&amp;""</f>
        <v/>
      </c>
    </row>
    <row r="92" spans="1:102" ht="16.149999999999999" customHeight="1" x14ac:dyDescent="0.15">
      <c r="A92" s="140">
        <v>59</v>
      </c>
      <c r="B92" s="166">
        <v>3</v>
      </c>
      <c r="C92" s="148" t="s">
        <v>4953</v>
      </c>
      <c r="D92" s="153" t="s">
        <v>4954</v>
      </c>
      <c r="E92" s="148">
        <v>3</v>
      </c>
      <c r="F92" s="169" t="s">
        <v>4955</v>
      </c>
      <c r="G92" s="183" t="s">
        <v>4956</v>
      </c>
      <c r="H92" s="148">
        <v>3</v>
      </c>
      <c r="I92" s="169" t="s">
        <v>4523</v>
      </c>
      <c r="J92" s="183" t="s">
        <v>4957</v>
      </c>
      <c r="K92" s="148">
        <v>3</v>
      </c>
      <c r="L92" s="169" t="s">
        <v>4958</v>
      </c>
      <c r="M92" s="183" t="s">
        <v>4959</v>
      </c>
      <c r="O92" s="169" t="s">
        <v>3832</v>
      </c>
      <c r="P92" s="183" t="s">
        <v>3878</v>
      </c>
      <c r="Q92" s="148">
        <v>11</v>
      </c>
      <c r="R92" s="169" t="s">
        <v>4960</v>
      </c>
      <c r="S92" s="183" t="s">
        <v>4961</v>
      </c>
      <c r="T92" s="148">
        <v>15</v>
      </c>
      <c r="U92" s="148" t="s">
        <v>4962</v>
      </c>
      <c r="V92" s="153" t="s">
        <v>4963</v>
      </c>
      <c r="W92" s="148">
        <v>7</v>
      </c>
      <c r="X92" s="148" t="s">
        <v>4964</v>
      </c>
      <c r="Y92" s="153" t="s">
        <v>4965</v>
      </c>
      <c r="Z92" s="148">
        <v>9</v>
      </c>
      <c r="AA92" s="148" t="s">
        <v>4966</v>
      </c>
      <c r="AB92" s="153" t="s">
        <v>4967</v>
      </c>
      <c r="AC92" s="148">
        <v>3</v>
      </c>
      <c r="AD92" s="148" t="s">
        <v>4968</v>
      </c>
      <c r="AE92" s="153" t="s">
        <v>4969</v>
      </c>
      <c r="AF92" s="148" t="s">
        <v>3015</v>
      </c>
      <c r="AG92" s="167" t="str">
        <f>IF(自定义调整栏!$E$3="O","诡术师的逃脱术","")</f>
        <v>诡术师的逃脱术</v>
      </c>
      <c r="AH92" s="186" t="s">
        <v>4879</v>
      </c>
      <c r="AI92" s="148">
        <v>6</v>
      </c>
      <c r="AJ92" s="169" t="s">
        <v>4972</v>
      </c>
      <c r="AK92" s="183" t="s">
        <v>4973</v>
      </c>
      <c r="AL92" s="148">
        <v>3</v>
      </c>
      <c r="AM92" s="237" t="s">
        <v>10706</v>
      </c>
      <c r="AN92" s="238" t="s">
        <v>10325</v>
      </c>
      <c r="AO92" s="148">
        <v>6</v>
      </c>
      <c r="AP92" s="148" t="s">
        <v>10739</v>
      </c>
      <c r="AQ92" s="153" t="s">
        <v>10740</v>
      </c>
      <c r="AR92" s="148" t="s">
        <v>5623</v>
      </c>
      <c r="AS92" s="169" t="s">
        <v>5733</v>
      </c>
      <c r="AT92" s="183" t="s">
        <v>5734</v>
      </c>
      <c r="AU92" s="148">
        <v>20</v>
      </c>
      <c r="AV92" s="148" t="s">
        <v>5966</v>
      </c>
      <c r="AW92" s="153" t="s">
        <v>5967</v>
      </c>
      <c r="AX92" s="148">
        <v>14</v>
      </c>
      <c r="AY92" s="235" t="s">
        <v>7430</v>
      </c>
      <c r="AZ92" s="270" t="s">
        <v>7431</v>
      </c>
      <c r="BA92" s="148">
        <v>3</v>
      </c>
      <c r="BB92" s="180" t="s">
        <v>8420</v>
      </c>
      <c r="BC92" s="233" t="s">
        <v>8421</v>
      </c>
      <c r="BO92" s="153"/>
      <c r="CH92" s="148" t="s">
        <v>4370</v>
      </c>
      <c r="CI92" s="148">
        <v>45</v>
      </c>
      <c r="CJ92" s="148" cm="1">
        <f t="array" ref="CJ92">_xlfn.IFS($AZ$5&gt;=14,49,$AZ$5&gt;=10,48,$AZ$5&gt;=6,47,$AZ$5&gt;=3,46,1,0)</f>
        <v>0</v>
      </c>
      <c r="CN92" s="154">
        <f>IFERROR(IF(CN91+1&gt;CS2,IF(CN91+1&gt;CS2,IF(CR3+CR91&gt;CS3,"",CR3+CR91)),CN91+1),"")</f>
        <v>87</v>
      </c>
      <c r="CO92" s="154" t="str" cm="1">
        <f t="array" ref="CO92">IFERROR(INDEX($B$34:$BO$262,CN92,$CP$2),"")</f>
        <v/>
      </c>
      <c r="CP92" s="154" t="str" cm="1">
        <f t="array" ref="CP92">IFERROR(INDEX($B$34:$BO$262,CN92,$CQ$2),"")</f>
        <v/>
      </c>
      <c r="CQ92" s="154" t="str" cm="1">
        <f t="array" ref="CQ92">IF(IFERROR(INDEX($B$34:$BO$262,CN92,$CO$2),"")=0,"",IFERROR(INDEX($B$34:$BO$262,CN92,$CO$2),""))</f>
        <v/>
      </c>
      <c r="CR92" s="154">
        <f>IFERROR(IF(CN91+1&gt;CS2,CR91+1,0),"")</f>
        <v>0</v>
      </c>
      <c r="CT92" s="155" t="str">
        <f t="shared" si="6"/>
        <v/>
      </c>
      <c r="CU92" s="156" t="str" cm="1">
        <f t="array" ref="CU92">INDEX(CT:CT,SMALL(IF($CT$2:$CT$101&lt;&gt;"",ROW($CT$2:$CT$101),142),ROW(CT91)))&amp;""</f>
        <v/>
      </c>
    </row>
    <row r="93" spans="1:102" ht="16.149999999999999" customHeight="1" x14ac:dyDescent="0.15">
      <c r="A93" s="140">
        <v>60</v>
      </c>
      <c r="B93" s="166">
        <v>6</v>
      </c>
      <c r="C93" s="148" t="s">
        <v>4975</v>
      </c>
      <c r="D93" s="153" t="s">
        <v>4976</v>
      </c>
      <c r="E93" s="148">
        <v>3</v>
      </c>
      <c r="F93" s="169" t="s">
        <v>4977</v>
      </c>
      <c r="G93" s="183" t="s">
        <v>4978</v>
      </c>
      <c r="H93" s="148">
        <v>3</v>
      </c>
      <c r="I93" s="169" t="s">
        <v>4979</v>
      </c>
      <c r="J93" s="183" t="s">
        <v>4980</v>
      </c>
      <c r="K93" s="148">
        <v>3</v>
      </c>
      <c r="L93" s="169" t="s">
        <v>4981</v>
      </c>
      <c r="M93" s="183" t="s">
        <v>4982</v>
      </c>
      <c r="O93" s="169" t="s">
        <v>3851</v>
      </c>
      <c r="P93" s="183" t="s">
        <v>4983</v>
      </c>
      <c r="Q93" s="148">
        <v>17</v>
      </c>
      <c r="R93" s="169" t="s">
        <v>4984</v>
      </c>
      <c r="S93" s="183" t="s">
        <v>4985</v>
      </c>
      <c r="T93" s="148">
        <v>20</v>
      </c>
      <c r="U93" s="148" t="s">
        <v>4986</v>
      </c>
      <c r="V93" s="153" t="s">
        <v>4987</v>
      </c>
      <c r="W93" s="148">
        <v>11</v>
      </c>
      <c r="X93" s="148" t="s">
        <v>4988</v>
      </c>
      <c r="Y93" s="153" t="s">
        <v>4989</v>
      </c>
      <c r="Z93" s="148">
        <v>13</v>
      </c>
      <c r="AA93" s="148" t="s">
        <v>4990</v>
      </c>
      <c r="AB93" s="153" t="s">
        <v>4991</v>
      </c>
      <c r="AC93" s="148">
        <v>3</v>
      </c>
      <c r="AD93" s="148" t="s">
        <v>4992</v>
      </c>
      <c r="AE93" s="153" t="s">
        <v>4993</v>
      </c>
      <c r="AF93" s="148" t="s">
        <v>3015</v>
      </c>
      <c r="AG93" s="168" t="str">
        <f>IF(自定义调整栏!$E$4="O","护符庇佑","")</f>
        <v>护符庇佑</v>
      </c>
      <c r="AH93" s="187" t="s">
        <v>4901</v>
      </c>
      <c r="AI93" s="148">
        <v>10</v>
      </c>
      <c r="AJ93" s="169" t="s">
        <v>4996</v>
      </c>
      <c r="AK93" s="183" t="s">
        <v>4997</v>
      </c>
      <c r="AL93" s="148">
        <v>3</v>
      </c>
      <c r="AM93" s="237" t="s">
        <v>10705</v>
      </c>
      <c r="AN93" s="238" t="s">
        <v>10326</v>
      </c>
      <c r="AO93" s="148">
        <v>6</v>
      </c>
      <c r="AP93" s="148" t="s">
        <v>10741</v>
      </c>
      <c r="AQ93" s="153" t="s">
        <v>10742</v>
      </c>
      <c r="AR93" s="148" t="s">
        <v>5623</v>
      </c>
      <c r="AS93" s="169" t="s">
        <v>5735</v>
      </c>
      <c r="AT93" s="183" t="s">
        <v>5736</v>
      </c>
      <c r="AU93" s="148">
        <v>3</v>
      </c>
      <c r="AV93" s="169" t="s">
        <v>5968</v>
      </c>
      <c r="AW93" s="183" t="s">
        <v>5969</v>
      </c>
      <c r="AX93" s="148">
        <v>3</v>
      </c>
      <c r="AY93" s="179" t="s">
        <v>7432</v>
      </c>
      <c r="AZ93" s="240" t="s">
        <v>7433</v>
      </c>
      <c r="BA93" s="148">
        <v>3</v>
      </c>
      <c r="BB93" s="180" t="s">
        <v>8331</v>
      </c>
      <c r="BC93" s="233" t="s">
        <v>8422</v>
      </c>
      <c r="BO93" s="153"/>
      <c r="CH93" s="148" t="s">
        <v>4395</v>
      </c>
      <c r="CI93" s="148">
        <v>50</v>
      </c>
      <c r="CJ93" s="148" cm="1">
        <f t="array" ref="CJ93">_xlfn.IFS($AZ$5&gt;=14,53,$AZ$5&gt;=10,52,$AZ$5&gt;=6,51,$AZ$5&gt;=3,50,1,0)</f>
        <v>0</v>
      </c>
      <c r="CN93" s="154">
        <f>IFERROR(IF(CN92+1&gt;CS2,IF(CN92+1&gt;CS2,IF(CR3+CR92&gt;CS3,"",CR3+CR92)),CN92+1),"")</f>
        <v>88</v>
      </c>
      <c r="CO93" s="154" t="str" cm="1">
        <f t="array" ref="CO93">IFERROR(INDEX($B$34:$BO$262,CN93,$CP$2),"")</f>
        <v/>
      </c>
      <c r="CP93" s="154" t="str" cm="1">
        <f t="array" ref="CP93">IFERROR(INDEX($B$34:$BO$262,CN93,$CQ$2),"")</f>
        <v/>
      </c>
      <c r="CQ93" s="154" t="str" cm="1">
        <f t="array" ref="CQ93">IF(IFERROR(INDEX($B$34:$BO$262,CN93,$CO$2),"")=0,"",IFERROR(INDEX($B$34:$BO$262,CN93,$CO$2),""))</f>
        <v/>
      </c>
      <c r="CR93" s="154">
        <f>IFERROR(IF(CN92+1&gt;CS2,CR92+1,0),"")</f>
        <v>0</v>
      </c>
      <c r="CT93" s="155" t="str">
        <f t="shared" si="6"/>
        <v/>
      </c>
      <c r="CU93" s="156" t="str" cm="1">
        <f t="array" ref="CU93">INDEX(CT:CT,SMALL(IF($CT$2:$CT$101&lt;&gt;"",ROW($CT$2:$CT$101),142),ROW(CT92)))&amp;""</f>
        <v/>
      </c>
    </row>
    <row r="94" spans="1:102" ht="16.149999999999999" customHeight="1" x14ac:dyDescent="0.15">
      <c r="A94" s="140">
        <v>61</v>
      </c>
      <c r="B94" s="166">
        <v>10</v>
      </c>
      <c r="C94" s="148" t="s">
        <v>4998</v>
      </c>
      <c r="D94" s="153" t="s">
        <v>4999</v>
      </c>
      <c r="E94" s="148">
        <v>3</v>
      </c>
      <c r="F94" s="169" t="s">
        <v>5000</v>
      </c>
      <c r="G94" s="183" t="s">
        <v>5001</v>
      </c>
      <c r="H94" s="148">
        <v>3</v>
      </c>
      <c r="I94" s="169" t="s">
        <v>5002</v>
      </c>
      <c r="J94" s="183" t="s">
        <v>5003</v>
      </c>
      <c r="K94" s="148">
        <v>3</v>
      </c>
      <c r="L94" s="169" t="s">
        <v>5004</v>
      </c>
      <c r="M94" s="183" t="s">
        <v>5005</v>
      </c>
      <c r="N94" s="148">
        <v>3</v>
      </c>
      <c r="O94" s="169" t="s">
        <v>5006</v>
      </c>
      <c r="P94" s="183" t="s">
        <v>5007</v>
      </c>
      <c r="Q94" s="148">
        <v>3</v>
      </c>
      <c r="R94" s="148" t="s">
        <v>5008</v>
      </c>
      <c r="S94" s="153" t="s">
        <v>5009</v>
      </c>
      <c r="T94" s="148">
        <v>3</v>
      </c>
      <c r="U94" s="169" t="s">
        <v>5010</v>
      </c>
      <c r="V94" s="183" t="s">
        <v>5011</v>
      </c>
      <c r="W94" s="148">
        <v>15</v>
      </c>
      <c r="X94" s="148" t="s">
        <v>5012</v>
      </c>
      <c r="Y94" s="153" t="s">
        <v>5013</v>
      </c>
      <c r="Z94" s="148">
        <v>17</v>
      </c>
      <c r="AA94" s="148" t="s">
        <v>5014</v>
      </c>
      <c r="AB94" s="153" t="s">
        <v>5015</v>
      </c>
      <c r="AC94" s="148">
        <v>6</v>
      </c>
      <c r="AD94" s="148" t="s">
        <v>5016</v>
      </c>
      <c r="AE94" s="153" t="s">
        <v>5017</v>
      </c>
      <c r="AF94" s="148" t="s">
        <v>3015</v>
      </c>
      <c r="AG94" s="307" t="str">
        <f>IF(自定义调整栏!$E$29="O","野性转化","")</f>
        <v/>
      </c>
      <c r="AH94" s="308" t="s">
        <v>9144</v>
      </c>
      <c r="AI94" s="148">
        <v>14</v>
      </c>
      <c r="AJ94" s="169" t="s">
        <v>5019</v>
      </c>
      <c r="AK94" s="183" t="s">
        <v>5020</v>
      </c>
      <c r="AL94" s="148">
        <v>3</v>
      </c>
      <c r="AM94" s="237" t="s">
        <v>10331</v>
      </c>
      <c r="AN94" s="238" t="s">
        <v>10327</v>
      </c>
      <c r="AO94" s="148">
        <v>10</v>
      </c>
      <c r="AP94" s="148" t="s">
        <v>10743</v>
      </c>
      <c r="AQ94" s="153" t="s">
        <v>10744</v>
      </c>
      <c r="AR94" s="148" t="s">
        <v>5623</v>
      </c>
      <c r="AS94" s="169" t="s">
        <v>5737</v>
      </c>
      <c r="AT94" s="183" t="s">
        <v>5738</v>
      </c>
      <c r="AU94" s="148">
        <v>3</v>
      </c>
      <c r="AV94" s="169" t="s">
        <v>5970</v>
      </c>
      <c r="AW94" s="183" t="s">
        <v>5971</v>
      </c>
      <c r="AX94" s="148">
        <v>3</v>
      </c>
      <c r="AY94" s="179" t="s">
        <v>7434</v>
      </c>
      <c r="AZ94" s="240" t="s">
        <v>7435</v>
      </c>
      <c r="BA94" s="148">
        <v>7</v>
      </c>
      <c r="BB94" s="180" t="s">
        <v>8423</v>
      </c>
      <c r="BC94" s="233" t="s">
        <v>8403</v>
      </c>
      <c r="BO94" s="153"/>
      <c r="CH94" s="148" t="s">
        <v>4419</v>
      </c>
      <c r="CI94" s="148">
        <v>54</v>
      </c>
      <c r="CJ94" s="148" cm="1">
        <f t="array" ref="CJ94">_xlfn.IFS($AZ$5&gt;=14,58,$AZ$5&gt;=10,57,$AZ$5&gt;=6,56,$AZ$5&gt;=3,55,1,0)</f>
        <v>0</v>
      </c>
      <c r="CN94" s="154">
        <f>IFERROR(IF(CN93+1&gt;CS2,IF(CN93+1&gt;CS2,IF(CR3+CR93&gt;CS3,"",CR3+CR93)),CN93+1),"")</f>
        <v>89</v>
      </c>
      <c r="CO94" s="154" t="str" cm="1">
        <f t="array" ref="CO94">IFERROR(INDEX($B$34:$BO$262,CN94,$CP$2),"")</f>
        <v/>
      </c>
      <c r="CP94" s="154" t="str" cm="1">
        <f t="array" ref="CP94">IFERROR(INDEX($B$34:$BO$262,CN94,$CQ$2),"")</f>
        <v/>
      </c>
      <c r="CQ94" s="154" t="str" cm="1">
        <f t="array" ref="CQ94">IF(IFERROR(INDEX($B$34:$BO$262,CN94,$CO$2),"")=0,"",IFERROR(INDEX($B$34:$BO$262,CN94,$CO$2),""))</f>
        <v/>
      </c>
      <c r="CR94" s="154">
        <f>IFERROR(IF(CN93+1&gt;CS2,CR93+1,0),"")</f>
        <v>0</v>
      </c>
      <c r="CT94" s="155" t="str">
        <f t="shared" si="6"/>
        <v/>
      </c>
      <c r="CU94" s="156" t="str" cm="1">
        <f t="array" ref="CU94">INDEX(CT:CT,SMALL(IF($CT$2:$CT$101&lt;&gt;"",ROW($CT$2:$CT$101),142),ROW(CT93)))&amp;""</f>
        <v/>
      </c>
    </row>
    <row r="95" spans="1:102" ht="16.149999999999999" customHeight="1" x14ac:dyDescent="0.15">
      <c r="A95" s="140">
        <v>62</v>
      </c>
      <c r="B95" s="166">
        <v>14</v>
      </c>
      <c r="C95" s="148" t="s">
        <v>5021</v>
      </c>
      <c r="D95" s="153" t="s">
        <v>5022</v>
      </c>
      <c r="E95" s="148">
        <v>3</v>
      </c>
      <c r="F95" s="169" t="s">
        <v>5023</v>
      </c>
      <c r="G95" s="183" t="s">
        <v>5024</v>
      </c>
      <c r="H95" s="148">
        <v>6</v>
      </c>
      <c r="I95" s="169" t="s">
        <v>5025</v>
      </c>
      <c r="J95" s="183" t="s">
        <v>5026</v>
      </c>
      <c r="K95" s="148">
        <v>6</v>
      </c>
      <c r="L95" s="169" t="s">
        <v>5027</v>
      </c>
      <c r="M95" s="183" t="s">
        <v>5028</v>
      </c>
      <c r="N95" s="148">
        <v>7</v>
      </c>
      <c r="O95" s="169" t="s">
        <v>5029</v>
      </c>
      <c r="P95" s="236" t="s">
        <v>7417</v>
      </c>
      <c r="Q95" s="148">
        <v>6</v>
      </c>
      <c r="R95" s="148" t="s">
        <v>5030</v>
      </c>
      <c r="S95" s="153" t="s">
        <v>5031</v>
      </c>
      <c r="T95" s="148">
        <v>3</v>
      </c>
      <c r="U95" s="169" t="s">
        <v>5032</v>
      </c>
      <c r="V95" s="183" t="s">
        <v>5033</v>
      </c>
      <c r="W95" s="148">
        <v>3</v>
      </c>
      <c r="X95" s="169" t="s">
        <v>5034</v>
      </c>
      <c r="Y95" s="183" t="s">
        <v>5035</v>
      </c>
      <c r="Z95" s="148">
        <v>3</v>
      </c>
      <c r="AA95" s="169" t="s">
        <v>5036</v>
      </c>
      <c r="AB95" s="183" t="s">
        <v>5037</v>
      </c>
      <c r="AC95" s="148">
        <v>14</v>
      </c>
      <c r="AD95" s="148" t="s">
        <v>5038</v>
      </c>
      <c r="AE95" s="153" t="s">
        <v>5039</v>
      </c>
      <c r="AF95" s="148">
        <v>9</v>
      </c>
      <c r="AG95" s="148" t="s">
        <v>4923</v>
      </c>
      <c r="AH95" s="153" t="s">
        <v>4924</v>
      </c>
      <c r="AI95" s="148">
        <v>3</v>
      </c>
      <c r="AJ95" s="148" t="s">
        <v>5042</v>
      </c>
      <c r="AK95" s="153" t="s">
        <v>5043</v>
      </c>
      <c r="AL95" s="148">
        <v>3</v>
      </c>
      <c r="AM95" s="237" t="s">
        <v>10332</v>
      </c>
      <c r="AN95" s="238" t="s">
        <v>10328</v>
      </c>
      <c r="AO95" s="148">
        <v>14</v>
      </c>
      <c r="AP95" s="148" t="s">
        <v>10745</v>
      </c>
      <c r="AQ95" s="153" t="s">
        <v>10746</v>
      </c>
      <c r="AR95" s="148" t="s">
        <v>5623</v>
      </c>
      <c r="AS95" s="169" t="s">
        <v>5739</v>
      </c>
      <c r="AT95" s="183" t="s">
        <v>5740</v>
      </c>
      <c r="AU95" s="148">
        <v>3</v>
      </c>
      <c r="AV95" s="169" t="s">
        <v>5972</v>
      </c>
      <c r="AW95" s="183" t="s">
        <v>5973</v>
      </c>
      <c r="AX95" s="148">
        <v>6</v>
      </c>
      <c r="AY95" s="179" t="s">
        <v>7436</v>
      </c>
      <c r="AZ95" s="240" t="s">
        <v>7437</v>
      </c>
      <c r="BA95" s="148">
        <v>7</v>
      </c>
      <c r="BB95" s="180" t="s">
        <v>8424</v>
      </c>
      <c r="BC95" s="233" t="s">
        <v>8425</v>
      </c>
      <c r="BO95" s="153"/>
      <c r="CH95" s="148" t="s">
        <v>4444</v>
      </c>
      <c r="CI95" s="148">
        <v>59</v>
      </c>
      <c r="CJ95" s="148" cm="1">
        <f t="array" ref="CJ95">_xlfn.IFS($AZ$5&gt;=14,64,$AZ$5&gt;=10,63,$AZ$5&gt;=6,62,$AZ$5&gt;=3,61,1,0)</f>
        <v>0</v>
      </c>
      <c r="CN95" s="154">
        <f>IFERROR(IF(CN94+1&gt;CS2,IF(CN94+1&gt;CS2,IF(CR3+CR94&gt;CS3,"",CR3+CR94)),CN94+1),"")</f>
        <v>90</v>
      </c>
      <c r="CO95" s="154" t="str" cm="1">
        <f t="array" ref="CO95">IFERROR(INDEX($B$34:$BO$262,CN95,$CP$2),"")</f>
        <v/>
      </c>
      <c r="CP95" s="154" t="str" cm="1">
        <f t="array" ref="CP95">IFERROR(INDEX($B$34:$BO$262,CN95,$CQ$2),"")</f>
        <v/>
      </c>
      <c r="CQ95" s="154" t="str" cm="1">
        <f t="array" ref="CQ95">IF(IFERROR(INDEX($B$34:$BO$262,CN95,$CO$2),"")=0,"",IFERROR(INDEX($B$34:$BO$262,CN95,$CO$2),""))</f>
        <v/>
      </c>
      <c r="CR95" s="154">
        <f>IFERROR(IF(CN94+1&gt;CS2,CR94+1,0),"")</f>
        <v>0</v>
      </c>
      <c r="CT95" s="155" t="str">
        <f t="shared" si="6"/>
        <v/>
      </c>
      <c r="CU95" s="156" t="str" cm="1">
        <f t="array" ref="CU95">INDEX(CT:CT,SMALL(IF($CT$2:$CT$101&lt;&gt;"",ROW($CT$2:$CT$101),142),ROW(CT94)))&amp;""</f>
        <v/>
      </c>
    </row>
    <row r="96" spans="1:102" ht="16.149999999999999" customHeight="1" x14ac:dyDescent="0.15">
      <c r="A96" s="140">
        <v>63</v>
      </c>
      <c r="B96" s="166">
        <v>3</v>
      </c>
      <c r="C96" s="169" t="s">
        <v>5044</v>
      </c>
      <c r="D96" s="183" t="s">
        <v>5045</v>
      </c>
      <c r="E96" s="148">
        <v>6</v>
      </c>
      <c r="F96" s="169" t="s">
        <v>5046</v>
      </c>
      <c r="G96" s="183" t="s">
        <v>5047</v>
      </c>
      <c r="H96" s="148">
        <v>17</v>
      </c>
      <c r="I96" s="169" t="s">
        <v>5048</v>
      </c>
      <c r="J96" s="183" t="s">
        <v>5049</v>
      </c>
      <c r="K96" s="148">
        <v>10</v>
      </c>
      <c r="L96" s="169" t="s">
        <v>5050</v>
      </c>
      <c r="M96" s="183" t="s">
        <v>5051</v>
      </c>
      <c r="N96" s="148">
        <v>10</v>
      </c>
      <c r="O96" s="169" t="s">
        <v>5052</v>
      </c>
      <c r="P96" s="236" t="s">
        <v>9829</v>
      </c>
      <c r="Q96" s="148">
        <v>11</v>
      </c>
      <c r="R96" s="148" t="s">
        <v>5053</v>
      </c>
      <c r="S96" s="153" t="s">
        <v>5054</v>
      </c>
      <c r="T96" s="148">
        <v>7</v>
      </c>
      <c r="U96" s="169" t="s">
        <v>5055</v>
      </c>
      <c r="V96" s="183" t="s">
        <v>5056</v>
      </c>
      <c r="W96" s="148">
        <v>3</v>
      </c>
      <c r="X96" s="169" t="s">
        <v>5057</v>
      </c>
      <c r="Y96" s="183" t="s">
        <v>5058</v>
      </c>
      <c r="Z96" s="148">
        <v>3</v>
      </c>
      <c r="AA96" s="169" t="s">
        <v>5059</v>
      </c>
      <c r="AB96" s="183" t="s">
        <v>5060</v>
      </c>
      <c r="AC96" s="148">
        <v>18</v>
      </c>
      <c r="AD96" s="148" t="s">
        <v>5061</v>
      </c>
      <c r="AE96" s="153" t="s">
        <v>5062</v>
      </c>
      <c r="AF96" s="148" t="s">
        <v>3014</v>
      </c>
      <c r="AG96" s="142" t="s">
        <v>4947</v>
      </c>
      <c r="AH96" s="185" t="s">
        <v>4948</v>
      </c>
      <c r="AI96" s="148">
        <v>3</v>
      </c>
      <c r="AJ96" s="148" t="s">
        <v>5065</v>
      </c>
      <c r="AK96" s="153" t="s">
        <v>5066</v>
      </c>
      <c r="AL96" s="148">
        <v>5</v>
      </c>
      <c r="AM96" s="237" t="s">
        <v>10330</v>
      </c>
      <c r="AN96" s="238" t="s">
        <v>10329</v>
      </c>
      <c r="AR96" s="148" t="s">
        <v>5623</v>
      </c>
      <c r="AS96" s="169" t="s">
        <v>5741</v>
      </c>
      <c r="AT96" s="183" t="s">
        <v>5742</v>
      </c>
      <c r="AU96" s="148">
        <v>3</v>
      </c>
      <c r="AV96" s="169" t="s">
        <v>5974</v>
      </c>
      <c r="AW96" s="183" t="s">
        <v>5975</v>
      </c>
      <c r="AX96" s="148">
        <v>10</v>
      </c>
      <c r="AY96" s="179" t="s">
        <v>7438</v>
      </c>
      <c r="AZ96" s="268" t="s">
        <v>7439</v>
      </c>
      <c r="BA96" s="148">
        <v>11</v>
      </c>
      <c r="BB96" s="180" t="s">
        <v>8430</v>
      </c>
      <c r="BC96" s="233" t="s">
        <v>8431</v>
      </c>
      <c r="BO96" s="153"/>
      <c r="CH96" s="148" t="s">
        <v>4470</v>
      </c>
      <c r="CI96" s="148">
        <v>65</v>
      </c>
      <c r="CJ96" s="148" cm="1">
        <f t="array" ref="CJ96">_xlfn.IFS($AZ$5&gt;=14,69,$AZ$5&gt;=10,68,$AZ$5&gt;=6,67,$AZ$5&gt;=3,66,1,0)</f>
        <v>0</v>
      </c>
      <c r="CN96" s="154">
        <f>IFERROR(IF(CN95+1&gt;CS2,IF(CN95+1&gt;CS2,IF(CR3+CR95&gt;CS3,"",CR3+CR95)),CN95+1),"")</f>
        <v>91</v>
      </c>
      <c r="CO96" s="154" t="str" cm="1">
        <f t="array" ref="CO96">IFERROR(INDEX($B$34:$BO$262,CN96,$CP$2),"")</f>
        <v/>
      </c>
      <c r="CP96" s="154" t="str" cm="1">
        <f t="array" ref="CP96">IFERROR(INDEX($B$34:$BO$262,CN96,$CQ$2),"")</f>
        <v/>
      </c>
      <c r="CQ96" s="154" t="str" cm="1">
        <f t="array" ref="CQ96">IF(IFERROR(INDEX($B$34:$BO$262,CN96,$CO$2),"")=0,"",IFERROR(INDEX($B$34:$BO$262,CN96,$CO$2),""))</f>
        <v/>
      </c>
      <c r="CR96" s="154">
        <f>IFERROR(IF(CN95+1&gt;CS2,CR95+1,0),"")</f>
        <v>0</v>
      </c>
      <c r="CT96" s="155" t="str">
        <f t="shared" si="6"/>
        <v/>
      </c>
      <c r="CU96" s="156" t="str" cm="1">
        <f t="array" ref="CU96">INDEX(CT:CT,SMALL(IF($CT$2:$CT$101&lt;&gt;"",ROW($CT$2:$CT$101),142),ROW(CT95)))&amp;""</f>
        <v/>
      </c>
    </row>
    <row r="97" spans="1:99" ht="16.149999999999999" customHeight="1" x14ac:dyDescent="0.15">
      <c r="A97" s="140">
        <v>64</v>
      </c>
      <c r="B97" s="166">
        <v>3</v>
      </c>
      <c r="C97" s="169" t="s">
        <v>5068</v>
      </c>
      <c r="D97" s="183" t="s">
        <v>5069</v>
      </c>
      <c r="E97" s="148">
        <v>14</v>
      </c>
      <c r="F97" s="169" t="s">
        <v>5070</v>
      </c>
      <c r="G97" s="183" t="s">
        <v>5071</v>
      </c>
      <c r="H97" s="148">
        <v>3</v>
      </c>
      <c r="I97" s="148" t="s">
        <v>5072</v>
      </c>
      <c r="J97" s="153" t="s">
        <v>5073</v>
      </c>
      <c r="K97" s="148">
        <v>14</v>
      </c>
      <c r="L97" s="169" t="s">
        <v>5074</v>
      </c>
      <c r="M97" s="183" t="s">
        <v>5075</v>
      </c>
      <c r="N97" s="148">
        <v>15</v>
      </c>
      <c r="O97" s="169" t="s">
        <v>5076</v>
      </c>
      <c r="P97" s="183" t="s">
        <v>5077</v>
      </c>
      <c r="Q97" s="148">
        <v>17</v>
      </c>
      <c r="R97" s="148" t="s">
        <v>5078</v>
      </c>
      <c r="S97" s="153" t="s">
        <v>5079</v>
      </c>
      <c r="T97" s="148">
        <v>15</v>
      </c>
      <c r="U97" s="169" t="s">
        <v>5080</v>
      </c>
      <c r="V97" s="183" t="s">
        <v>5081</v>
      </c>
      <c r="W97" s="148">
        <v>7</v>
      </c>
      <c r="X97" s="169" t="s">
        <v>5082</v>
      </c>
      <c r="Y97" s="183" t="s">
        <v>5083</v>
      </c>
      <c r="Z97" s="148">
        <v>9</v>
      </c>
      <c r="AA97" s="169" t="s">
        <v>5084</v>
      </c>
      <c r="AB97" s="183" t="s">
        <v>5085</v>
      </c>
      <c r="AC97" s="148">
        <v>3</v>
      </c>
      <c r="AD97" s="169" t="s">
        <v>5086</v>
      </c>
      <c r="AE97" s="183" t="s">
        <v>5087</v>
      </c>
      <c r="AF97" s="148" t="s">
        <v>3014</v>
      </c>
      <c r="AG97" s="142" t="s">
        <v>4970</v>
      </c>
      <c r="AH97" s="185" t="s">
        <v>4971</v>
      </c>
      <c r="AI97" s="148">
        <v>6</v>
      </c>
      <c r="AJ97" s="148" t="s">
        <v>5089</v>
      </c>
      <c r="AK97" s="153" t="s">
        <v>5090</v>
      </c>
      <c r="AL97" s="148">
        <v>9</v>
      </c>
      <c r="AM97" s="169" t="s">
        <v>5115</v>
      </c>
      <c r="AN97" s="238" t="s">
        <v>10333</v>
      </c>
      <c r="AR97" s="148" t="s">
        <v>5623</v>
      </c>
      <c r="AS97" s="169" t="s">
        <v>5743</v>
      </c>
      <c r="AT97" s="183" t="s">
        <v>5744</v>
      </c>
      <c r="AU97" s="148">
        <v>6</v>
      </c>
      <c r="AV97" s="169" t="s">
        <v>5976</v>
      </c>
      <c r="AW97" s="183" t="s">
        <v>5977</v>
      </c>
      <c r="AX97" s="148">
        <v>14</v>
      </c>
      <c r="AY97" s="179" t="s">
        <v>7440</v>
      </c>
      <c r="AZ97" s="240" t="s">
        <v>7441</v>
      </c>
      <c r="BA97" s="148">
        <v>11</v>
      </c>
      <c r="BB97" s="180" t="s">
        <v>8432</v>
      </c>
      <c r="BC97" s="233" t="s">
        <v>8433</v>
      </c>
      <c r="BO97" s="153"/>
      <c r="CH97" s="148" t="s">
        <v>4496</v>
      </c>
      <c r="CI97" s="148">
        <v>70</v>
      </c>
      <c r="CJ97" s="148" cm="1">
        <f t="array" ref="CJ97">_xlfn.IFS($AZ$5&gt;=14,74,$AZ$5&gt;=10,73,$AZ$5&gt;=6,72,$AZ$5&gt;=3,71,1,0)</f>
        <v>0</v>
      </c>
      <c r="CN97" s="154">
        <f>IFERROR(IF(CN96+1&gt;CS2,IF(CN96+1&gt;CS2,IF(CR3+CR96&gt;CS3,"",CR3+CR96)),CN96+1),"")</f>
        <v>92</v>
      </c>
      <c r="CO97" s="154" t="str" cm="1">
        <f t="array" ref="CO97">IFERROR(INDEX($B$34:$BO$262,CN97,$CP$2),"")</f>
        <v/>
      </c>
      <c r="CP97" s="154" t="str" cm="1">
        <f t="array" ref="CP97">IFERROR(INDEX($B$34:$BO$262,CN97,$CQ$2),"")</f>
        <v/>
      </c>
      <c r="CQ97" s="154" t="str" cm="1">
        <f t="array" ref="CQ97">IF(IFERROR(INDEX($B$34:$BO$262,CN97,$CO$2),"")=0,"",IFERROR(INDEX($B$34:$BO$262,CN97,$CO$2),""))</f>
        <v/>
      </c>
      <c r="CR97" s="154">
        <f>IFERROR(IF(CN96+1&gt;CS2,CR96+1,0),"")</f>
        <v>0</v>
      </c>
      <c r="CT97" s="155" t="str">
        <f t="shared" si="6"/>
        <v/>
      </c>
      <c r="CU97" s="156" t="str" cm="1">
        <f t="array" ref="CU97">INDEX(CT:CT,SMALL(IF($CT$2:$CT$101&lt;&gt;"",ROW($CT$2:$CT$101),142),ROW(CT96)))&amp;""</f>
        <v/>
      </c>
    </row>
    <row r="98" spans="1:99" ht="16.149999999999999" customHeight="1" x14ac:dyDescent="0.15">
      <c r="A98" s="140">
        <v>65</v>
      </c>
      <c r="B98" s="166">
        <v>6</v>
      </c>
      <c r="C98" s="169" t="s">
        <v>5092</v>
      </c>
      <c r="D98" s="183" t="s">
        <v>5093</v>
      </c>
      <c r="E98" s="148">
        <v>3</v>
      </c>
      <c r="F98" s="148" t="s">
        <v>5094</v>
      </c>
      <c r="G98" s="153" t="s">
        <v>5095</v>
      </c>
      <c r="H98" s="148">
        <v>3</v>
      </c>
      <c r="I98" s="148" t="s">
        <v>5096</v>
      </c>
      <c r="J98" s="153" t="s">
        <v>5097</v>
      </c>
      <c r="K98" s="148">
        <v>3</v>
      </c>
      <c r="L98" s="148" t="s">
        <v>5098</v>
      </c>
      <c r="M98" s="153" t="s">
        <v>5099</v>
      </c>
      <c r="N98" s="148">
        <v>18</v>
      </c>
      <c r="O98" s="169" t="s">
        <v>5100</v>
      </c>
      <c r="P98" s="236" t="s">
        <v>9830</v>
      </c>
      <c r="Q98" s="148">
        <v>3</v>
      </c>
      <c r="R98" s="148" t="s">
        <v>5101</v>
      </c>
      <c r="S98" s="153" t="s">
        <v>5102</v>
      </c>
      <c r="T98" s="148">
        <v>20</v>
      </c>
      <c r="U98" s="169" t="s">
        <v>5103</v>
      </c>
      <c r="V98" s="183" t="s">
        <v>5104</v>
      </c>
      <c r="W98" s="148">
        <v>11</v>
      </c>
      <c r="X98" s="169" t="s">
        <v>5105</v>
      </c>
      <c r="Y98" s="183" t="s">
        <v>5106</v>
      </c>
      <c r="Z98" s="148">
        <v>13</v>
      </c>
      <c r="AA98" s="169" t="s">
        <v>5107</v>
      </c>
      <c r="AB98" s="183" t="s">
        <v>5108</v>
      </c>
      <c r="AC98" s="148">
        <v>3</v>
      </c>
      <c r="AD98" s="169" t="s">
        <v>5109</v>
      </c>
      <c r="AE98" s="183" t="s">
        <v>5110</v>
      </c>
      <c r="AF98" s="148" t="s">
        <v>3014</v>
      </c>
      <c r="AG98" s="142" t="s">
        <v>4994</v>
      </c>
      <c r="AH98" s="185" t="s">
        <v>4995</v>
      </c>
      <c r="AI98" s="148">
        <v>10</v>
      </c>
      <c r="AJ98" s="148" t="s">
        <v>5113</v>
      </c>
      <c r="AK98" s="153" t="s">
        <v>5114</v>
      </c>
      <c r="AL98" s="148">
        <v>15</v>
      </c>
      <c r="AM98" s="169" t="s">
        <v>5139</v>
      </c>
      <c r="AN98" s="238" t="s">
        <v>10334</v>
      </c>
      <c r="AR98" s="148" t="s">
        <v>5623</v>
      </c>
      <c r="AS98" s="169" t="s">
        <v>5745</v>
      </c>
      <c r="AT98" s="183" t="s">
        <v>5746</v>
      </c>
      <c r="AU98" s="148">
        <v>10</v>
      </c>
      <c r="AV98" s="169" t="s">
        <v>5978</v>
      </c>
      <c r="AW98" s="183" t="s">
        <v>5979</v>
      </c>
      <c r="BA98" s="148">
        <v>13</v>
      </c>
      <c r="BB98" s="180" t="s">
        <v>8426</v>
      </c>
      <c r="BC98" s="233" t="s">
        <v>8427</v>
      </c>
      <c r="BO98" s="153"/>
      <c r="CH98" s="179" t="s">
        <v>6311</v>
      </c>
      <c r="CI98" s="148">
        <v>75</v>
      </c>
      <c r="CJ98" s="148" cm="1">
        <f t="array" ref="CJ98">_xlfn.IFS($AZ$5&gt;=14,81,$AZ$5&gt;=10,80,$AZ$5&gt;=6,78,$AZ$5&gt;=3,76,1,0)</f>
        <v>0</v>
      </c>
      <c r="CN98" s="154">
        <f>IFERROR(IF(CN97+1&gt;CS2,IF(CN97+1&gt;CS2,IF(CR3+CR97&gt;CS3,"",CR3+CR97)),CN97+1),"")</f>
        <v>93</v>
      </c>
      <c r="CO98" s="154" t="str" cm="1">
        <f t="array" ref="CO98">IFERROR(INDEX($B$34:$BO$262,CN98,$CP$2),"")</f>
        <v/>
      </c>
      <c r="CP98" s="154" t="str" cm="1">
        <f t="array" ref="CP98">IFERROR(INDEX($B$34:$BO$262,CN98,$CQ$2),"")</f>
        <v/>
      </c>
      <c r="CQ98" s="154" t="str" cm="1">
        <f t="array" ref="CQ98">IF(IFERROR(INDEX($B$34:$BO$262,CN98,$CO$2),"")=0,"",IFERROR(INDEX($B$34:$BO$262,CN98,$CO$2),""))</f>
        <v/>
      </c>
      <c r="CR98" s="154">
        <f>IFERROR(IF(CN97+1&gt;CS2,CR97+1,0),"")</f>
        <v>0</v>
      </c>
      <c r="CT98" s="155" t="str">
        <f t="shared" ref="CT98:CT101" si="9">IFERROR(IF(OR(CO102="",COUNTIF($CW$2:$CW$81,CO102)),"",CO102),"")</f>
        <v/>
      </c>
      <c r="CU98" s="156" t="str" cm="1">
        <f t="array" ref="CU98">INDEX(CT:CT,SMALL(IF($CT$2:$CT$101&lt;&gt;"",ROW($CT$2:$CT$101),142),ROW(CT97)))&amp;""</f>
        <v/>
      </c>
    </row>
    <row r="99" spans="1:99" ht="16.149999999999999" customHeight="1" x14ac:dyDescent="0.15">
      <c r="A99" s="140">
        <v>66</v>
      </c>
      <c r="B99" s="166">
        <v>10</v>
      </c>
      <c r="C99" s="169" t="s">
        <v>5117</v>
      </c>
      <c r="D99" s="183" t="s">
        <v>5118</v>
      </c>
      <c r="E99" s="148">
        <v>3</v>
      </c>
      <c r="F99" s="148" t="s">
        <v>5119</v>
      </c>
      <c r="G99" s="153" t="s">
        <v>5120</v>
      </c>
      <c r="H99" s="148">
        <v>3</v>
      </c>
      <c r="I99" s="148" t="s">
        <v>5121</v>
      </c>
      <c r="J99" s="153" t="s">
        <v>5122</v>
      </c>
      <c r="K99" s="148">
        <v>3</v>
      </c>
      <c r="L99" s="148" t="s">
        <v>5123</v>
      </c>
      <c r="M99" s="153" t="s">
        <v>5124</v>
      </c>
      <c r="N99" s="148">
        <v>3</v>
      </c>
      <c r="O99" s="148" t="s">
        <v>3900</v>
      </c>
      <c r="P99" s="153" t="s">
        <v>5125</v>
      </c>
      <c r="Q99" s="148">
        <v>3</v>
      </c>
      <c r="R99" s="148" t="s">
        <v>5126</v>
      </c>
      <c r="S99" s="153" t="s">
        <v>5127</v>
      </c>
      <c r="T99" s="148">
        <v>3</v>
      </c>
      <c r="U99" s="148" t="s">
        <v>5128</v>
      </c>
      <c r="V99" s="153" t="s">
        <v>5129</v>
      </c>
      <c r="W99" s="148">
        <v>15</v>
      </c>
      <c r="X99" s="169" t="s">
        <v>5130</v>
      </c>
      <c r="Y99" s="183" t="s">
        <v>5131</v>
      </c>
      <c r="Z99" s="148">
        <v>17</v>
      </c>
      <c r="AA99" s="169" t="s">
        <v>5132</v>
      </c>
      <c r="AB99" s="183" t="s">
        <v>5133</v>
      </c>
      <c r="AC99" s="148">
        <v>6</v>
      </c>
      <c r="AD99" s="169" t="s">
        <v>5134</v>
      </c>
      <c r="AE99" s="183" t="s">
        <v>5135</v>
      </c>
      <c r="AF99" s="148" t="s">
        <v>3014</v>
      </c>
      <c r="AG99" s="168" t="str">
        <f>IF(自定义调整栏!$E$4="O","守护馈赠","")</f>
        <v>守护馈赠</v>
      </c>
      <c r="AH99" s="187" t="s">
        <v>5018</v>
      </c>
      <c r="AI99" s="148">
        <v>14</v>
      </c>
      <c r="AJ99" s="148" t="s">
        <v>5137</v>
      </c>
      <c r="AK99" s="153" t="s">
        <v>5138</v>
      </c>
      <c r="AN99" s="153"/>
      <c r="AR99" s="148" t="s">
        <v>5623</v>
      </c>
      <c r="AS99" s="169" t="s">
        <v>5747</v>
      </c>
      <c r="AT99" s="183" t="s">
        <v>5748</v>
      </c>
      <c r="AU99" s="148">
        <v>14</v>
      </c>
      <c r="AV99" s="169" t="s">
        <v>5980</v>
      </c>
      <c r="AW99" s="183" t="s">
        <v>5981</v>
      </c>
      <c r="BA99" s="148">
        <v>15</v>
      </c>
      <c r="BB99" s="180" t="s">
        <v>8434</v>
      </c>
      <c r="BC99" s="233" t="s">
        <v>8435</v>
      </c>
      <c r="BO99" s="153"/>
      <c r="CH99" s="179" t="s">
        <v>6577</v>
      </c>
      <c r="CI99" s="148">
        <v>82</v>
      </c>
      <c r="CJ99" s="148" cm="1">
        <f t="array" ref="CJ99">_xlfn.IFS($AZ$5&gt;=14,86,$AZ$5&gt;=10,85,$AZ$5&gt;=6,84,$AZ$5&gt;=3,83,1,0)</f>
        <v>0</v>
      </c>
      <c r="CN99" s="154">
        <f>IFERROR(IF(CN98+1&gt;CS2,IF(CN98+1&gt;CS2,IF(CR3+CR98&gt;CS3,"",CR3+CR98)),CN98+1),"")</f>
        <v>94</v>
      </c>
      <c r="CO99" s="154" t="str" cm="1">
        <f t="array" ref="CO99">IFERROR(INDEX($B$34:$BO$262,CN99,$CP$2),"")</f>
        <v/>
      </c>
      <c r="CP99" s="154" t="str" cm="1">
        <f t="array" ref="CP99">IFERROR(INDEX($B$34:$BO$262,CN99,$CQ$2),"")</f>
        <v/>
      </c>
      <c r="CQ99" s="154" t="str" cm="1">
        <f t="array" ref="CQ99">IF(IFERROR(INDEX($B$34:$BO$262,CN99,$CO$2),"")=0,"",IFERROR(INDEX($B$34:$BO$262,CN99,$CO$2),""))</f>
        <v/>
      </c>
      <c r="CR99" s="154">
        <f>IFERROR(IF(CN98+1&gt;CS2,CR98+1,0),"")</f>
        <v>0</v>
      </c>
      <c r="CT99" s="155" t="str">
        <f t="shared" si="9"/>
        <v/>
      </c>
      <c r="CU99" s="156" t="str" cm="1">
        <f t="array" ref="CU99">INDEX(CT:CT,SMALL(IF($CT$2:$CT$101&lt;&gt;"",ROW($CT$2:$CT$101),142),ROW(CT98)))&amp;""</f>
        <v/>
      </c>
    </row>
    <row r="100" spans="1:99" ht="16.149999999999999" customHeight="1" x14ac:dyDescent="0.15">
      <c r="A100" s="140">
        <v>67</v>
      </c>
      <c r="B100" s="166">
        <v>14</v>
      </c>
      <c r="C100" s="169" t="s">
        <v>5141</v>
      </c>
      <c r="D100" s="183" t="s">
        <v>5142</v>
      </c>
      <c r="E100" s="148">
        <v>6</v>
      </c>
      <c r="F100" s="148" t="s">
        <v>5143</v>
      </c>
      <c r="G100" s="153" t="s">
        <v>5144</v>
      </c>
      <c r="H100" s="148">
        <v>3</v>
      </c>
      <c r="I100" s="148" t="s">
        <v>5145</v>
      </c>
      <c r="J100" s="153" t="s">
        <v>5146</v>
      </c>
      <c r="K100" s="148">
        <v>6</v>
      </c>
      <c r="L100" s="148" t="s">
        <v>5147</v>
      </c>
      <c r="M100" s="153" t="s">
        <v>5148</v>
      </c>
      <c r="N100" s="148">
        <v>7</v>
      </c>
      <c r="O100" s="148" t="s">
        <v>5149</v>
      </c>
      <c r="P100" s="153" t="s">
        <v>5150</v>
      </c>
      <c r="Q100" s="148">
        <v>3</v>
      </c>
      <c r="R100" s="148" t="s">
        <v>5151</v>
      </c>
      <c r="S100" s="153" t="s">
        <v>5152</v>
      </c>
      <c r="T100" s="148">
        <v>3</v>
      </c>
      <c r="U100" s="148" t="s">
        <v>5153</v>
      </c>
      <c r="V100" s="153" t="s">
        <v>5154</v>
      </c>
      <c r="W100" s="148">
        <v>3</v>
      </c>
      <c r="X100" s="148" t="s">
        <v>5155</v>
      </c>
      <c r="Y100" s="153" t="s">
        <v>5156</v>
      </c>
      <c r="Z100" s="148">
        <v>3</v>
      </c>
      <c r="AA100" s="148" t="s">
        <v>5157</v>
      </c>
      <c r="AB100" s="153" t="s">
        <v>5158</v>
      </c>
      <c r="AC100" s="148">
        <v>6</v>
      </c>
      <c r="AD100" s="169" t="s">
        <v>5159</v>
      </c>
      <c r="AE100" s="183" t="s">
        <v>5160</v>
      </c>
      <c r="AF100" s="148">
        <v>11</v>
      </c>
      <c r="AG100" s="148" t="s">
        <v>5040</v>
      </c>
      <c r="AH100" s="153" t="s">
        <v>5041</v>
      </c>
      <c r="AI100" s="148">
        <v>3</v>
      </c>
      <c r="AJ100" s="169" t="s">
        <v>5982</v>
      </c>
      <c r="AK100" s="183" t="s">
        <v>5983</v>
      </c>
      <c r="AR100" s="148" t="s">
        <v>5623</v>
      </c>
      <c r="AS100" s="169" t="s">
        <v>5749</v>
      </c>
      <c r="AT100" s="183" t="s">
        <v>5750</v>
      </c>
      <c r="AU100" s="148">
        <v>18</v>
      </c>
      <c r="AV100" s="169" t="s">
        <v>5984</v>
      </c>
      <c r="AW100" s="183" t="s">
        <v>5985</v>
      </c>
      <c r="BA100" s="148">
        <v>18</v>
      </c>
      <c r="BB100" s="180" t="s">
        <v>8428</v>
      </c>
      <c r="BC100" s="233" t="s">
        <v>8429</v>
      </c>
      <c r="BE100" s="180"/>
      <c r="BO100" s="153"/>
      <c r="CH100" s="179" t="s">
        <v>8768</v>
      </c>
      <c r="CI100" s="148">
        <v>87</v>
      </c>
      <c r="CJ100" s="148" cm="1">
        <f t="array" ref="CJ100">_xlfn.IFS($AZ$5&gt;=14,90,$AZ$5&gt;=10,89,$AZ$5&gt;=6,88,$AZ$5&gt;=3,87,1,0)</f>
        <v>0</v>
      </c>
      <c r="CN100" s="154">
        <f>IFERROR(IF(CN99+1&gt;CS2,IF(CN99+1&gt;CS2,IF(CR3+CR99&gt;CS3,"",CR3+CR99)),CN99+1),"")</f>
        <v>95</v>
      </c>
      <c r="CO100" s="154" t="str" cm="1">
        <f t="array" ref="CO100">IFERROR(INDEX($B$34:$BO$262,CN100,$CP$2),"")</f>
        <v/>
      </c>
      <c r="CP100" s="154" t="str" cm="1">
        <f t="array" ref="CP100">IFERROR(INDEX($B$34:$BO$262,CN100,$CQ$2),"")</f>
        <v/>
      </c>
      <c r="CQ100" s="154" t="str" cm="1">
        <f t="array" ref="CQ100">IF(IFERROR(INDEX($B$34:$BO$262,CN100,$CO$2),"")=0,"",IFERROR(INDEX($B$34:$BO$262,CN100,$CO$2),""))</f>
        <v/>
      </c>
      <c r="CR100" s="154">
        <f>IFERROR(IF(CN99+1&gt;CS2,CR99+1,0),"")</f>
        <v>0</v>
      </c>
      <c r="CT100" s="155" t="str">
        <f t="shared" si="9"/>
        <v/>
      </c>
      <c r="CU100" s="156" t="str" cm="1">
        <f t="array" ref="CU100">INDEX(CT:CT,SMALL(IF($CT$2:$CT$101&lt;&gt;"",ROW($CT$2:$CT$101),142),ROW(CT99)))&amp;""</f>
        <v/>
      </c>
    </row>
    <row r="101" spans="1:99" ht="16.149999999999999" customHeight="1" thickBot="1" x14ac:dyDescent="0.2">
      <c r="A101" s="140">
        <v>68</v>
      </c>
      <c r="B101" s="166">
        <v>3</v>
      </c>
      <c r="C101" s="148" t="s">
        <v>5162</v>
      </c>
      <c r="D101" s="153" t="s">
        <v>5163</v>
      </c>
      <c r="E101" s="148">
        <v>14</v>
      </c>
      <c r="F101" s="148" t="s">
        <v>5164</v>
      </c>
      <c r="G101" s="153" t="s">
        <v>5165</v>
      </c>
      <c r="H101" s="148">
        <v>6</v>
      </c>
      <c r="I101" s="148" t="s">
        <v>5166</v>
      </c>
      <c r="J101" s="153" t="s">
        <v>5167</v>
      </c>
      <c r="K101" s="148">
        <v>10</v>
      </c>
      <c r="L101" s="148" t="s">
        <v>5168</v>
      </c>
      <c r="M101" s="153" t="s">
        <v>5169</v>
      </c>
      <c r="N101" s="148">
        <v>10</v>
      </c>
      <c r="O101" s="148" t="s">
        <v>5170</v>
      </c>
      <c r="P101" s="153" t="s">
        <v>5171</v>
      </c>
      <c r="Q101" s="148">
        <v>6</v>
      </c>
      <c r="R101" s="148" t="s">
        <v>5172</v>
      </c>
      <c r="S101" s="153" t="s">
        <v>5173</v>
      </c>
      <c r="T101" s="148">
        <v>3</v>
      </c>
      <c r="U101" s="148" t="s">
        <v>5174</v>
      </c>
      <c r="V101" s="153" t="s">
        <v>5175</v>
      </c>
      <c r="W101" s="148">
        <v>3</v>
      </c>
      <c r="X101" s="148" t="s">
        <v>5176</v>
      </c>
      <c r="Y101" s="153" t="s">
        <v>5177</v>
      </c>
      <c r="Z101" s="148">
        <v>3</v>
      </c>
      <c r="AA101" s="148" t="s">
        <v>5178</v>
      </c>
      <c r="AB101" s="153" t="s">
        <v>5179</v>
      </c>
      <c r="AC101" s="148">
        <v>14</v>
      </c>
      <c r="AD101" s="169" t="s">
        <v>5180</v>
      </c>
      <c r="AE101" s="183" t="s">
        <v>5181</v>
      </c>
      <c r="AF101" s="148" t="s">
        <v>3013</v>
      </c>
      <c r="AG101" s="142" t="s">
        <v>5063</v>
      </c>
      <c r="AH101" s="185" t="s">
        <v>5064</v>
      </c>
      <c r="AI101" s="148">
        <v>3</v>
      </c>
      <c r="AJ101" s="169" t="s">
        <v>5986</v>
      </c>
      <c r="AK101" s="183" t="s">
        <v>5987</v>
      </c>
      <c r="AR101" s="148" t="s">
        <v>5623</v>
      </c>
      <c r="AS101" s="169" t="s">
        <v>5751</v>
      </c>
      <c r="AT101" s="183" t="s">
        <v>5752</v>
      </c>
      <c r="AU101" s="148">
        <v>3</v>
      </c>
      <c r="AV101" s="148" t="s">
        <v>5988</v>
      </c>
      <c r="AW101" s="153" t="s">
        <v>5989</v>
      </c>
      <c r="BA101" s="148">
        <v>3</v>
      </c>
      <c r="BB101" s="237" t="s">
        <v>8436</v>
      </c>
      <c r="BC101" s="236" t="s">
        <v>8437</v>
      </c>
      <c r="BO101" s="153"/>
      <c r="CH101" s="179" t="s">
        <v>8769</v>
      </c>
      <c r="CI101" s="148">
        <v>91</v>
      </c>
      <c r="CJ101" s="148" cm="1">
        <f t="array" ref="CJ101">_xlfn.IFS($AZ$5&gt;=14,96,$AZ$5&gt;=10,95,$AZ$5&gt;=6,94,$AZ$5&gt;=3,93,1,0)</f>
        <v>0</v>
      </c>
      <c r="CN101" s="154">
        <f>IFERROR(IF(CN100+1&gt;CS2,IF(CN100+1&gt;CS2,IF(CR3+CR100&gt;CS3,"",CR3+CR100)),CN100+1),"")</f>
        <v>96</v>
      </c>
      <c r="CO101" s="154" t="str" cm="1">
        <f t="array" ref="CO101">IFERROR(INDEX($B$34:$BO$262,CN101,$CP$2),"")</f>
        <v/>
      </c>
      <c r="CP101" s="154" t="str" cm="1">
        <f t="array" ref="CP101">IFERROR(INDEX($B$34:$BO$262,CN101,$CQ$2),"")</f>
        <v/>
      </c>
      <c r="CQ101" s="154" t="str" cm="1">
        <f t="array" ref="CQ101">IF(IFERROR(INDEX($B$34:$BO$262,CN101,$CO$2),"")=0,"",IFERROR(INDEX($B$34:$BO$262,CN101,$CO$2),""))</f>
        <v/>
      </c>
      <c r="CR101" s="154">
        <f>IFERROR(IF(CN100+1&gt;CS2,CR100+1,0),"")</f>
        <v>0</v>
      </c>
      <c r="CT101" s="170" t="str">
        <f t="shared" si="9"/>
        <v/>
      </c>
      <c r="CU101" s="171" t="str" cm="1">
        <f t="array" ref="CU101">INDEX(CT:CT,SMALL(IF($CT$2:$CT$101&lt;&gt;"",ROW($CT$2:$CT$101),142),ROW(CT100)))&amp;""</f>
        <v/>
      </c>
    </row>
    <row r="102" spans="1:99" ht="16.149999999999999" customHeight="1" x14ac:dyDescent="0.15">
      <c r="A102" s="140">
        <v>69</v>
      </c>
      <c r="B102" s="166">
        <v>3</v>
      </c>
      <c r="C102" s="148" t="s">
        <v>5184</v>
      </c>
      <c r="D102" s="153" t="s">
        <v>5185</v>
      </c>
      <c r="E102" s="148">
        <v>14</v>
      </c>
      <c r="F102" s="148" t="s">
        <v>5186</v>
      </c>
      <c r="G102" s="153" t="s">
        <v>5187</v>
      </c>
      <c r="H102" s="148">
        <v>17</v>
      </c>
      <c r="I102" s="148" t="s">
        <v>5188</v>
      </c>
      <c r="J102" s="153" t="s">
        <v>5189</v>
      </c>
      <c r="K102" s="148">
        <v>14</v>
      </c>
      <c r="L102" s="148" t="s">
        <v>5190</v>
      </c>
      <c r="M102" s="153" t="s">
        <v>5191</v>
      </c>
      <c r="N102" s="148">
        <v>15</v>
      </c>
      <c r="O102" s="148" t="s">
        <v>5192</v>
      </c>
      <c r="P102" s="153" t="s">
        <v>5193</v>
      </c>
      <c r="Q102" s="148">
        <v>11</v>
      </c>
      <c r="R102" s="148" t="s">
        <v>5194</v>
      </c>
      <c r="S102" s="153" t="s">
        <v>5195</v>
      </c>
      <c r="T102" s="148">
        <v>7</v>
      </c>
      <c r="U102" s="148" t="s">
        <v>5196</v>
      </c>
      <c r="V102" s="153" t="s">
        <v>5197</v>
      </c>
      <c r="W102" s="148">
        <v>3</v>
      </c>
      <c r="X102" s="148" t="s">
        <v>5198</v>
      </c>
      <c r="Y102" s="153" t="s">
        <v>5199</v>
      </c>
      <c r="Z102" s="148">
        <v>9</v>
      </c>
      <c r="AA102" s="148" t="s">
        <v>5200</v>
      </c>
      <c r="AB102" s="153" t="s">
        <v>5201</v>
      </c>
      <c r="AC102" s="148">
        <v>18</v>
      </c>
      <c r="AD102" s="169" t="s">
        <v>5202</v>
      </c>
      <c r="AE102" s="183" t="s">
        <v>5203</v>
      </c>
      <c r="AF102" s="148" t="s">
        <v>3013</v>
      </c>
      <c r="AG102" s="168" t="str">
        <f>IF(自定义调整栏!$E$4="O","护符牵绊","")</f>
        <v>护符牵绊</v>
      </c>
      <c r="AH102" s="187" t="s">
        <v>5088</v>
      </c>
      <c r="AI102" s="148">
        <v>6</v>
      </c>
      <c r="AJ102" s="169" t="s">
        <v>5990</v>
      </c>
      <c r="AK102" s="183" t="s">
        <v>5991</v>
      </c>
      <c r="AR102" s="148" t="s">
        <v>5623</v>
      </c>
      <c r="AS102" s="169" t="s">
        <v>5753</v>
      </c>
      <c r="AT102" s="183" t="s">
        <v>5754</v>
      </c>
      <c r="AU102" s="148">
        <v>3</v>
      </c>
      <c r="AV102" s="148" t="s">
        <v>5992</v>
      </c>
      <c r="AW102" s="153" t="s">
        <v>5993</v>
      </c>
      <c r="BA102" s="148">
        <v>3</v>
      </c>
      <c r="BB102" s="237" t="s">
        <v>8438</v>
      </c>
      <c r="BC102" s="236" t="s">
        <v>8439</v>
      </c>
      <c r="BO102" s="153"/>
      <c r="CH102" s="179" t="s">
        <v>8770</v>
      </c>
      <c r="CI102" s="148">
        <v>97</v>
      </c>
      <c r="CJ102" s="148" cm="1">
        <f t="array" ref="CJ102">_xlfn.IFS($AZ$5&gt;=14,102,$AZ$5&gt;=10,101,$AZ$5&gt;=6,100,$AZ$5&gt;=3,99,1,0)</f>
        <v>0</v>
      </c>
      <c r="CN102" s="154">
        <f>IFERROR(IF(CN101+1&gt;CS2,IF(CN101+1&gt;CS2,IF(CR3+CR101&gt;CS3,"",CR3+CR101)),CN101+1),"")</f>
        <v>97</v>
      </c>
      <c r="CO102" s="154" t="str" cm="1">
        <f t="array" ref="CO102">IFERROR(INDEX($B$34:$BO$262,CN102,$CP$2),"")</f>
        <v/>
      </c>
      <c r="CP102" s="154" t="str" cm="1">
        <f t="array" ref="CP102">IFERROR(INDEX($B$34:$BO$262,CN102,$CQ$2),"")</f>
        <v/>
      </c>
      <c r="CQ102" s="154" t="str" cm="1">
        <f t="array" ref="CQ102">IF(IFERROR(INDEX($B$34:$BO$262,CN102,$CO$2),"")=0,"",IFERROR(INDEX($B$34:$BO$262,CN102,$CO$2),""))</f>
        <v/>
      </c>
      <c r="CR102" s="154">
        <f>IFERROR(IF(CN101+1&gt;CS2,CR101+1,0),"")</f>
        <v>0</v>
      </c>
    </row>
    <row r="103" spans="1:99" ht="16.149999999999999" customHeight="1" x14ac:dyDescent="0.15">
      <c r="A103" s="140">
        <v>70</v>
      </c>
      <c r="B103" s="166">
        <v>3</v>
      </c>
      <c r="C103" s="148" t="s">
        <v>5206</v>
      </c>
      <c r="D103" s="153" t="s">
        <v>5207</v>
      </c>
      <c r="E103" s="148">
        <v>3</v>
      </c>
      <c r="F103" s="169" t="s">
        <v>6151</v>
      </c>
      <c r="G103" s="183" t="s">
        <v>6152</v>
      </c>
      <c r="H103" s="148">
        <v>3</v>
      </c>
      <c r="I103" s="169" t="s">
        <v>5208</v>
      </c>
      <c r="J103" s="183" t="s">
        <v>5209</v>
      </c>
      <c r="K103" s="148">
        <v>3</v>
      </c>
      <c r="L103" s="169" t="s">
        <v>5210</v>
      </c>
      <c r="M103" s="183" t="s">
        <v>5211</v>
      </c>
      <c r="N103" s="148">
        <v>18</v>
      </c>
      <c r="O103" s="148" t="s">
        <v>5212</v>
      </c>
      <c r="P103" s="153" t="s">
        <v>5213</v>
      </c>
      <c r="Q103" s="148">
        <v>17</v>
      </c>
      <c r="R103" s="148" t="s">
        <v>5214</v>
      </c>
      <c r="S103" s="153" t="s">
        <v>5215</v>
      </c>
      <c r="T103" s="148">
        <v>7</v>
      </c>
      <c r="U103" s="148" t="s">
        <v>5216</v>
      </c>
      <c r="V103" s="153" t="s">
        <v>5217</v>
      </c>
      <c r="W103" s="148">
        <v>7</v>
      </c>
      <c r="X103" s="148" t="s">
        <v>5218</v>
      </c>
      <c r="Y103" s="153" t="s">
        <v>5219</v>
      </c>
      <c r="Z103" s="148">
        <v>13</v>
      </c>
      <c r="AA103" s="148" t="s">
        <v>5220</v>
      </c>
      <c r="AB103" s="153" t="s">
        <v>5221</v>
      </c>
      <c r="AC103" s="148">
        <v>3</v>
      </c>
      <c r="AD103" s="148" t="s">
        <v>5994</v>
      </c>
      <c r="AE103" s="153" t="s">
        <v>5995</v>
      </c>
      <c r="AF103" s="148" t="s">
        <v>3016</v>
      </c>
      <c r="AG103" s="142" t="s">
        <v>5111</v>
      </c>
      <c r="AH103" s="185" t="s">
        <v>5112</v>
      </c>
      <c r="AI103" s="148">
        <v>10</v>
      </c>
      <c r="AJ103" s="169" t="s">
        <v>5996</v>
      </c>
      <c r="AK103" s="183" t="s">
        <v>5997</v>
      </c>
      <c r="AR103" s="148" t="s">
        <v>5623</v>
      </c>
      <c r="AS103" s="169" t="s">
        <v>5755</v>
      </c>
      <c r="AT103" s="183" t="s">
        <v>5756</v>
      </c>
      <c r="AU103" s="148">
        <v>3</v>
      </c>
      <c r="AV103" s="148" t="s">
        <v>5998</v>
      </c>
      <c r="AW103" s="153" t="s">
        <v>5999</v>
      </c>
      <c r="BA103" s="148">
        <v>3</v>
      </c>
      <c r="BB103" s="237" t="s">
        <v>8440</v>
      </c>
      <c r="BC103" s="236" t="s">
        <v>8441</v>
      </c>
      <c r="BO103" s="153"/>
      <c r="CH103" s="179" t="s">
        <v>9133</v>
      </c>
      <c r="CI103" s="148">
        <v>103</v>
      </c>
      <c r="CJ103" s="148" cm="1">
        <f t="array" ref="CJ103">_xlfn.IFS($AZ$5&gt;=14,107,$AZ$5&gt;=10,106,$AZ$5&gt;=6,105,$AZ$5&gt;=3,104,1,0)</f>
        <v>0</v>
      </c>
      <c r="CN103" s="154">
        <f>IFERROR(IF(CN102+1&gt;CS2,IF(CN102+1&gt;CS2,IF(CR3+CR102&gt;CS3,"",CR3+CR102)),CN102+1),"")</f>
        <v>98</v>
      </c>
      <c r="CO103" s="154" t="str" cm="1">
        <f t="array" ref="CO103">IFERROR(INDEX($B$34:$BO$262,CN103,$CP$2),"")</f>
        <v/>
      </c>
      <c r="CP103" s="154" t="str" cm="1">
        <f t="array" ref="CP103">IFERROR(INDEX($B$34:$BO$262,CN103,$CQ$2),"")</f>
        <v/>
      </c>
      <c r="CQ103" s="154" t="str" cm="1">
        <f t="array" ref="CQ103">IF(IFERROR(INDEX($B$34:$BO$262,CN103,$CO$2),"")=0,"",IFERROR(INDEX($B$34:$BO$262,CN103,$CO$2),""))</f>
        <v/>
      </c>
      <c r="CR103" s="154">
        <f>IFERROR(IF(CN102+1&gt;CS2,CR102+1,0),"")</f>
        <v>0</v>
      </c>
    </row>
    <row r="104" spans="1:99" ht="16.149999999999999" customHeight="1" x14ac:dyDescent="0.15">
      <c r="A104" s="140">
        <v>71</v>
      </c>
      <c r="B104" s="166">
        <v>6</v>
      </c>
      <c r="C104" s="148" t="s">
        <v>5224</v>
      </c>
      <c r="D104" s="153" t="s">
        <v>5225</v>
      </c>
      <c r="E104" s="148">
        <v>3</v>
      </c>
      <c r="F104" s="169" t="s">
        <v>6153</v>
      </c>
      <c r="G104" s="183" t="s">
        <v>6154</v>
      </c>
      <c r="H104" s="148">
        <v>3</v>
      </c>
      <c r="I104" s="169" t="s">
        <v>4523</v>
      </c>
      <c r="J104" s="183" t="s">
        <v>5226</v>
      </c>
      <c r="K104" s="148">
        <v>3</v>
      </c>
      <c r="L104" s="169" t="s">
        <v>5227</v>
      </c>
      <c r="M104" s="183" t="s">
        <v>5228</v>
      </c>
      <c r="N104" s="148">
        <v>3</v>
      </c>
      <c r="O104" s="169" t="s">
        <v>5229</v>
      </c>
      <c r="P104" s="183" t="s">
        <v>5230</v>
      </c>
      <c r="Q104" s="148">
        <v>3</v>
      </c>
      <c r="R104" s="169" t="s">
        <v>5231</v>
      </c>
      <c r="S104" s="183" t="s">
        <v>5232</v>
      </c>
      <c r="T104" s="148">
        <v>15</v>
      </c>
      <c r="U104" s="148" t="s">
        <v>5233</v>
      </c>
      <c r="V104" s="153" t="s">
        <v>5234</v>
      </c>
      <c r="W104" s="148">
        <v>11</v>
      </c>
      <c r="X104" s="148" t="s">
        <v>5235</v>
      </c>
      <c r="Y104" s="153" t="s">
        <v>5236</v>
      </c>
      <c r="Z104" s="148">
        <v>17</v>
      </c>
      <c r="AA104" s="148" t="s">
        <v>5237</v>
      </c>
      <c r="AB104" s="153" t="s">
        <v>5238</v>
      </c>
      <c r="AC104" s="148">
        <v>3</v>
      </c>
      <c r="AD104" s="148" t="s">
        <v>6000</v>
      </c>
      <c r="AE104" s="153" t="s">
        <v>6001</v>
      </c>
      <c r="AF104" s="148" t="s">
        <v>3016</v>
      </c>
      <c r="AG104" s="167" t="str">
        <f>IF(自定义调整栏!$E$3="O","暗影寿衣","")</f>
        <v>暗影寿衣</v>
      </c>
      <c r="AH104" s="186" t="s">
        <v>5136</v>
      </c>
      <c r="AI104" s="148">
        <v>14</v>
      </c>
      <c r="AJ104" s="169" t="s">
        <v>6002</v>
      </c>
      <c r="AK104" s="183" t="s">
        <v>6003</v>
      </c>
      <c r="AR104" s="148">
        <v>7</v>
      </c>
      <c r="AS104" s="169" t="s">
        <v>5757</v>
      </c>
      <c r="AT104" s="183" t="s">
        <v>5758</v>
      </c>
      <c r="AU104" s="148">
        <v>6</v>
      </c>
      <c r="AV104" s="148" t="s">
        <v>6004</v>
      </c>
      <c r="AW104" s="153" t="s">
        <v>6005</v>
      </c>
      <c r="BA104" s="148">
        <v>3</v>
      </c>
      <c r="BB104" s="237" t="s">
        <v>8331</v>
      </c>
      <c r="BC104" s="236" t="s">
        <v>8442</v>
      </c>
      <c r="BO104" s="153"/>
      <c r="CH104" s="179" t="s">
        <v>9268</v>
      </c>
      <c r="CI104" s="148">
        <v>108</v>
      </c>
      <c r="CJ104" s="148" cm="1">
        <f t="array" ref="CJ104">_xlfn.IFS($AZ$5&gt;=14,112,$AZ$5&gt;=10,111,$AZ$5&gt;=6,110,$AZ$5&gt;=3,109,1,0)</f>
        <v>0</v>
      </c>
      <c r="CN104" s="154">
        <f>IFERROR(IF(CN103+1&gt;CS2,IF(CN103+1&gt;CS2,IF(CR3+CR103&gt;CS3,"",CR3+CR103)),CN103+1),"")</f>
        <v>99</v>
      </c>
      <c r="CO104" s="154" t="str" cm="1">
        <f t="array" ref="CO104">IFERROR(INDEX($B$34:$BO$262,CN104,$CP$2),"")</f>
        <v/>
      </c>
      <c r="CP104" s="154" t="str" cm="1">
        <f t="array" ref="CP104">IFERROR(INDEX($B$34:$BO$262,CN104,$CQ$2),"")</f>
        <v/>
      </c>
      <c r="CQ104" s="154" t="str" cm="1">
        <f t="array" ref="CQ104">IF(IFERROR(INDEX($B$34:$BO$262,CN104,$CO$2),"")=0,"",IFERROR(INDEX($B$34:$BO$262,CN104,$CO$2),""))</f>
        <v/>
      </c>
      <c r="CR104" s="154">
        <f>IFERROR(IF(CN103+1&gt;CS2,CR103+1,0),"")</f>
        <v>0</v>
      </c>
    </row>
    <row r="105" spans="1:99" ht="16.149999999999999" customHeight="1" x14ac:dyDescent="0.15">
      <c r="A105" s="140">
        <v>72</v>
      </c>
      <c r="B105" s="166">
        <v>10</v>
      </c>
      <c r="C105" s="148" t="s">
        <v>5242</v>
      </c>
      <c r="D105" s="153" t="s">
        <v>5243</v>
      </c>
      <c r="E105" s="148">
        <v>6</v>
      </c>
      <c r="F105" s="169" t="s">
        <v>6155</v>
      </c>
      <c r="G105" s="183" t="s">
        <v>6156</v>
      </c>
      <c r="H105" s="148">
        <v>3</v>
      </c>
      <c r="I105" s="169" t="s">
        <v>5244</v>
      </c>
      <c r="J105" s="183" t="s">
        <v>5245</v>
      </c>
      <c r="K105" s="148">
        <v>6</v>
      </c>
      <c r="L105" s="169" t="s">
        <v>5246</v>
      </c>
      <c r="M105" s="183" t="s">
        <v>5247</v>
      </c>
      <c r="N105" s="148">
        <v>3</v>
      </c>
      <c r="O105" s="169" t="s">
        <v>5248</v>
      </c>
      <c r="P105" s="183" t="s">
        <v>5249</v>
      </c>
      <c r="Q105" s="148">
        <v>3</v>
      </c>
      <c r="R105" s="169" t="s">
        <v>5250</v>
      </c>
      <c r="S105" s="183" t="s">
        <v>5251</v>
      </c>
      <c r="T105" s="148">
        <v>20</v>
      </c>
      <c r="U105" s="148" t="s">
        <v>5252</v>
      </c>
      <c r="V105" s="153" t="s">
        <v>5253</v>
      </c>
      <c r="W105" s="148">
        <v>15</v>
      </c>
      <c r="X105" s="148" t="s">
        <v>5254</v>
      </c>
      <c r="Y105" s="153" t="s">
        <v>5255</v>
      </c>
      <c r="Z105" s="148">
        <v>3</v>
      </c>
      <c r="AA105" s="169" t="s">
        <v>5256</v>
      </c>
      <c r="AB105" s="183" t="s">
        <v>5257</v>
      </c>
      <c r="AC105" s="148">
        <v>6</v>
      </c>
      <c r="AD105" s="148" t="s">
        <v>6006</v>
      </c>
      <c r="AE105" s="153" t="s">
        <v>6007</v>
      </c>
      <c r="AF105" s="148">
        <v>19</v>
      </c>
      <c r="AG105" s="148" t="s">
        <v>4025</v>
      </c>
      <c r="AH105" s="153" t="s">
        <v>5161</v>
      </c>
      <c r="AI105" s="148">
        <v>3</v>
      </c>
      <c r="AJ105" s="148" t="s">
        <v>6008</v>
      </c>
      <c r="AK105" s="153" t="s">
        <v>6009</v>
      </c>
      <c r="AR105" s="148" t="s">
        <v>3015</v>
      </c>
      <c r="AS105" s="169" t="s">
        <v>5759</v>
      </c>
      <c r="AT105" s="183" t="s">
        <v>5760</v>
      </c>
      <c r="AU105" s="148">
        <v>6</v>
      </c>
      <c r="AV105" s="148" t="s">
        <v>6010</v>
      </c>
      <c r="AW105" s="153" t="s">
        <v>6011</v>
      </c>
      <c r="BA105" s="148">
        <v>7</v>
      </c>
      <c r="BB105" s="237" t="s">
        <v>8443</v>
      </c>
      <c r="BC105" s="236" t="s">
        <v>8403</v>
      </c>
      <c r="BO105" s="153"/>
      <c r="CH105" s="179" t="s">
        <v>9821</v>
      </c>
      <c r="CI105" s="148">
        <v>113</v>
      </c>
      <c r="CJ105" s="148" cm="1">
        <f t="array" ref="CJ105">_xlfn.IFS($AZ$5&gt;=14,117,$AZ$5&gt;=10,116,$AZ$5&gt;=6,115,$AZ$5&gt;=3,114,1,0)</f>
        <v>0</v>
      </c>
      <c r="CN105" s="154">
        <f>IFERROR(IF(CN104+1&gt;CS2,IF(CN104+1&gt;CS2,IF(CR3+CR104&gt;CS3,"",CR3+CR104)),CN104+1),"")</f>
        <v>100</v>
      </c>
      <c r="CO105" s="154" t="str" cm="1">
        <f t="array" ref="CO105">IFERROR(INDEX($B$34:$BO$262,CN105,$CP$2),"")</f>
        <v/>
      </c>
      <c r="CP105" s="154" t="str" cm="1">
        <f t="array" ref="CP105">IFERROR(INDEX($B$34:$BO$262,CN105,$CQ$2),"")</f>
        <v/>
      </c>
      <c r="CQ105" s="154" t="str" cm="1">
        <f t="array" ref="CQ105">IF(IFERROR(INDEX($B$34:$BO$262,CN105,$CO$2),"")=0,"",IFERROR(INDEX($B$34:$BO$262,CN105,$CO$2),""))</f>
        <v/>
      </c>
      <c r="CR105" s="154">
        <f>IFERROR(IF(CN104+1&gt;CS2,CR104+1,0),"")</f>
        <v>0</v>
      </c>
    </row>
    <row r="106" spans="1:99" ht="16.149999999999999" customHeight="1" thickBot="1" x14ac:dyDescent="0.2">
      <c r="A106" s="140">
        <v>73</v>
      </c>
      <c r="B106" s="166">
        <v>14</v>
      </c>
      <c r="C106" s="148" t="s">
        <v>5261</v>
      </c>
      <c r="D106" s="153" t="s">
        <v>5262</v>
      </c>
      <c r="E106" s="148">
        <v>6</v>
      </c>
      <c r="F106" s="169" t="s">
        <v>6157</v>
      </c>
      <c r="G106" s="183" t="s">
        <v>6158</v>
      </c>
      <c r="H106" s="148">
        <v>3</v>
      </c>
      <c r="I106" s="169" t="s">
        <v>5263</v>
      </c>
      <c r="J106" s="183" t="s">
        <v>5264</v>
      </c>
      <c r="K106" s="148">
        <v>10</v>
      </c>
      <c r="L106" s="169" t="s">
        <v>5265</v>
      </c>
      <c r="M106" s="183" t="s">
        <v>5266</v>
      </c>
      <c r="O106" s="169" t="s">
        <v>5267</v>
      </c>
      <c r="P106" s="183" t="s">
        <v>5268</v>
      </c>
      <c r="Q106" s="148">
        <v>6</v>
      </c>
      <c r="R106" s="169" t="s">
        <v>5269</v>
      </c>
      <c r="S106" s="183" t="s">
        <v>5270</v>
      </c>
      <c r="T106" s="148">
        <v>3</v>
      </c>
      <c r="U106" s="169" t="s">
        <v>6225</v>
      </c>
      <c r="V106" s="183" t="s">
        <v>6226</v>
      </c>
      <c r="W106" s="148">
        <v>3</v>
      </c>
      <c r="X106" s="169" t="s">
        <v>5271</v>
      </c>
      <c r="Y106" s="183" t="s">
        <v>5272</v>
      </c>
      <c r="Z106" s="148">
        <v>3</v>
      </c>
      <c r="AA106" s="169" t="s">
        <v>5273</v>
      </c>
      <c r="AB106" s="183" t="s">
        <v>5274</v>
      </c>
      <c r="AC106" s="148">
        <v>14</v>
      </c>
      <c r="AD106" s="148" t="s">
        <v>6012</v>
      </c>
      <c r="AE106" s="153" t="s">
        <v>6013</v>
      </c>
      <c r="AF106" s="148">
        <v>20</v>
      </c>
      <c r="AG106" s="148" t="s">
        <v>5182</v>
      </c>
      <c r="AH106" s="153" t="s">
        <v>5183</v>
      </c>
      <c r="AI106" s="148">
        <v>6</v>
      </c>
      <c r="AJ106" s="148" t="s">
        <v>6014</v>
      </c>
      <c r="AK106" s="153" t="s">
        <v>6015</v>
      </c>
      <c r="AR106" s="148">
        <v>11</v>
      </c>
      <c r="AS106" s="169" t="s">
        <v>5761</v>
      </c>
      <c r="AT106" s="183" t="s">
        <v>5762</v>
      </c>
      <c r="AU106" s="148">
        <v>10</v>
      </c>
      <c r="AV106" s="148" t="s">
        <v>6016</v>
      </c>
      <c r="AW106" s="153" t="s">
        <v>6017</v>
      </c>
      <c r="BA106" s="148">
        <v>7</v>
      </c>
      <c r="BB106" s="237" t="s">
        <v>8444</v>
      </c>
      <c r="BC106" s="236" t="s">
        <v>8445</v>
      </c>
      <c r="BO106" s="153"/>
      <c r="CH106" s="179" t="s">
        <v>10632</v>
      </c>
      <c r="CI106" s="148">
        <v>118</v>
      </c>
      <c r="CJ106" s="148" cm="1">
        <f t="array" ref="CJ106">_xlfn.IFS($AZ$5&gt;=14,123,$AZ$5&gt;=10,122,$AZ$5&gt;=6,121,$AZ$5&gt;=3,120,1,0)</f>
        <v>0</v>
      </c>
    </row>
    <row r="107" spans="1:99" ht="16.149999999999999" customHeight="1" x14ac:dyDescent="0.15">
      <c r="A107" s="140">
        <v>74</v>
      </c>
      <c r="B107" s="204">
        <v>3</v>
      </c>
      <c r="C107" s="201" t="s">
        <v>6125</v>
      </c>
      <c r="D107" s="202" t="s">
        <v>6126</v>
      </c>
      <c r="E107" s="148">
        <v>14</v>
      </c>
      <c r="F107" s="169" t="s">
        <v>6159</v>
      </c>
      <c r="G107" s="183" t="s">
        <v>5851</v>
      </c>
      <c r="H107" s="148">
        <v>3</v>
      </c>
      <c r="I107" s="169" t="s">
        <v>5278</v>
      </c>
      <c r="J107" s="183" t="s">
        <v>5279</v>
      </c>
      <c r="K107" s="148">
        <v>14</v>
      </c>
      <c r="L107" s="169" t="s">
        <v>5280</v>
      </c>
      <c r="M107" s="183" t="s">
        <v>5281</v>
      </c>
      <c r="O107" s="169" t="s">
        <v>5282</v>
      </c>
      <c r="P107" s="183" t="s">
        <v>5283</v>
      </c>
      <c r="Q107" s="148">
        <v>11</v>
      </c>
      <c r="R107" s="169" t="s">
        <v>5284</v>
      </c>
      <c r="S107" s="183" t="s">
        <v>5285</v>
      </c>
      <c r="T107" s="148">
        <v>3</v>
      </c>
      <c r="U107" s="169" t="s">
        <v>6227</v>
      </c>
      <c r="V107" s="183" t="s">
        <v>6228</v>
      </c>
      <c r="W107" s="148">
        <v>3</v>
      </c>
      <c r="X107" s="169" t="s">
        <v>5286</v>
      </c>
      <c r="Y107" s="183" t="s">
        <v>5287</v>
      </c>
      <c r="Z107" s="148">
        <v>9</v>
      </c>
      <c r="AA107" s="169" t="s">
        <v>5288</v>
      </c>
      <c r="AB107" s="183" t="s">
        <v>5289</v>
      </c>
      <c r="AC107" s="148">
        <v>18</v>
      </c>
      <c r="AD107" s="148" t="s">
        <v>6018</v>
      </c>
      <c r="AE107" s="153" t="s">
        <v>6019</v>
      </c>
      <c r="AF107" s="148">
        <v>3</v>
      </c>
      <c r="AG107" s="169" t="s">
        <v>5204</v>
      </c>
      <c r="AH107" s="183" t="s">
        <v>5205</v>
      </c>
      <c r="AI107" s="148">
        <v>10</v>
      </c>
      <c r="AJ107" s="148" t="s">
        <v>6020</v>
      </c>
      <c r="AK107" s="153" t="s">
        <v>6021</v>
      </c>
      <c r="AR107" s="148" t="s">
        <v>5622</v>
      </c>
      <c r="AS107" s="169" t="s">
        <v>5763</v>
      </c>
      <c r="AT107" s="183" t="s">
        <v>5764</v>
      </c>
      <c r="AU107" s="148">
        <v>14</v>
      </c>
      <c r="AV107" s="148" t="s">
        <v>6022</v>
      </c>
      <c r="AW107" s="153" t="s">
        <v>6023</v>
      </c>
      <c r="BA107" s="148">
        <v>11</v>
      </c>
      <c r="BB107" s="237" t="s">
        <v>8450</v>
      </c>
      <c r="BC107" s="236" t="s">
        <v>8451</v>
      </c>
      <c r="BO107" s="153"/>
      <c r="CH107" s="163" t="s">
        <v>3610</v>
      </c>
      <c r="CI107" s="163">
        <v>22</v>
      </c>
      <c r="CJ107" s="163" cm="1">
        <f t="array" ref="CJ107">_xlfn.IFS($AZ$6&gt;=18,47,$AZ$6&gt;=15,46,$AZ$6&gt;=10,45,$AZ$6&gt;=7,44,$AZ$6&gt;=3,43,1,0)</f>
        <v>0</v>
      </c>
    </row>
    <row r="108" spans="1:99" ht="16.149999999999999" customHeight="1" x14ac:dyDescent="0.15">
      <c r="A108" s="140">
        <v>75</v>
      </c>
      <c r="B108" s="204">
        <v>3</v>
      </c>
      <c r="C108" s="201" t="s">
        <v>6127</v>
      </c>
      <c r="D108" s="202" t="s">
        <v>6128</v>
      </c>
      <c r="E108" s="148">
        <v>3</v>
      </c>
      <c r="F108" s="180" t="s">
        <v>6540</v>
      </c>
      <c r="G108" s="233" t="s">
        <v>6545</v>
      </c>
      <c r="H108" s="148">
        <v>6</v>
      </c>
      <c r="I108" s="169" t="s">
        <v>5293</v>
      </c>
      <c r="J108" s="183" t="s">
        <v>5294</v>
      </c>
      <c r="K108" s="148">
        <v>3</v>
      </c>
      <c r="L108" s="148" t="s">
        <v>6172</v>
      </c>
      <c r="M108" s="153" t="s">
        <v>6173</v>
      </c>
      <c r="O108" s="169" t="s">
        <v>5295</v>
      </c>
      <c r="P108" s="183" t="s">
        <v>5296</v>
      </c>
      <c r="Q108" s="148">
        <v>17</v>
      </c>
      <c r="R108" s="169" t="s">
        <v>5297</v>
      </c>
      <c r="S108" s="183" t="s">
        <v>5298</v>
      </c>
      <c r="T108" s="148">
        <v>7</v>
      </c>
      <c r="U108" s="169" t="s">
        <v>6229</v>
      </c>
      <c r="V108" s="183" t="s">
        <v>6230</v>
      </c>
      <c r="W108" s="148">
        <v>3</v>
      </c>
      <c r="X108" s="169" t="s">
        <v>5299</v>
      </c>
      <c r="Y108" s="183" t="s">
        <v>5300</v>
      </c>
      <c r="Z108" s="148">
        <v>13</v>
      </c>
      <c r="AA108" s="169" t="s">
        <v>5301</v>
      </c>
      <c r="AB108" s="183" t="s">
        <v>5302</v>
      </c>
      <c r="AC108" s="148">
        <v>3</v>
      </c>
      <c r="AD108" s="169" t="s">
        <v>6259</v>
      </c>
      <c r="AE108" s="183" t="s">
        <v>6260</v>
      </c>
      <c r="AF108" s="148">
        <v>3</v>
      </c>
      <c r="AG108" s="169" t="s">
        <v>5222</v>
      </c>
      <c r="AH108" s="183" t="s">
        <v>5223</v>
      </c>
      <c r="AI108" s="148">
        <v>14</v>
      </c>
      <c r="AJ108" s="148" t="s">
        <v>6024</v>
      </c>
      <c r="AK108" s="153" t="s">
        <v>6025</v>
      </c>
      <c r="AR108" s="148" t="s">
        <v>5622</v>
      </c>
      <c r="AS108" s="169" t="s">
        <v>5765</v>
      </c>
      <c r="AT108" s="183" t="s">
        <v>5766</v>
      </c>
      <c r="AU108" s="148">
        <v>18</v>
      </c>
      <c r="AV108" s="148" t="s">
        <v>6026</v>
      </c>
      <c r="AW108" s="153" t="s">
        <v>6027</v>
      </c>
      <c r="BA108" s="148">
        <v>13</v>
      </c>
      <c r="BB108" s="237" t="s">
        <v>8446</v>
      </c>
      <c r="BC108" s="236" t="s">
        <v>8447</v>
      </c>
      <c r="BO108" s="153"/>
      <c r="CH108" s="148" t="s">
        <v>3611</v>
      </c>
      <c r="CI108" s="148">
        <v>48</v>
      </c>
      <c r="CJ108" s="148" cm="1">
        <f t="array" ref="CJ108">_xlfn.IFS($AZ$6&gt;=18,53,$AZ$6&gt;=15,52,$AZ$6&gt;=10,51,$AZ$6&gt;=7,50,$AZ$6&gt;=3,49,1,0)</f>
        <v>0</v>
      </c>
    </row>
    <row r="109" spans="1:99" ht="16.149999999999999" customHeight="1" x14ac:dyDescent="0.15">
      <c r="A109" s="140">
        <v>76</v>
      </c>
      <c r="B109" s="204">
        <v>6</v>
      </c>
      <c r="C109" s="201" t="s">
        <v>6129</v>
      </c>
      <c r="D109" s="202" t="s">
        <v>6130</v>
      </c>
      <c r="E109" s="148">
        <v>3</v>
      </c>
      <c r="F109" s="180" t="s">
        <v>6541</v>
      </c>
      <c r="G109" s="233" t="s">
        <v>6546</v>
      </c>
      <c r="H109" s="148">
        <v>17</v>
      </c>
      <c r="I109" s="169" t="s">
        <v>5306</v>
      </c>
      <c r="J109" s="183" t="s">
        <v>5307</v>
      </c>
      <c r="K109" s="148">
        <v>3</v>
      </c>
      <c r="L109" s="148" t="s">
        <v>6174</v>
      </c>
      <c r="M109" s="153" t="s">
        <v>6175</v>
      </c>
      <c r="O109" s="169" t="s">
        <v>5308</v>
      </c>
      <c r="P109" s="183" t="s">
        <v>5309</v>
      </c>
      <c r="Q109" s="148">
        <v>3</v>
      </c>
      <c r="R109" s="148" t="s">
        <v>6197</v>
      </c>
      <c r="S109" s="153" t="s">
        <v>6198</v>
      </c>
      <c r="T109" s="148">
        <v>15</v>
      </c>
      <c r="U109" s="169" t="s">
        <v>6231</v>
      </c>
      <c r="V109" s="183" t="s">
        <v>6232</v>
      </c>
      <c r="W109" s="148">
        <v>7</v>
      </c>
      <c r="X109" s="169" t="s">
        <v>5310</v>
      </c>
      <c r="Y109" s="183" t="s">
        <v>5311</v>
      </c>
      <c r="Z109" s="148">
        <v>17</v>
      </c>
      <c r="AA109" s="169" t="s">
        <v>5312</v>
      </c>
      <c r="AB109" s="183" t="s">
        <v>5313</v>
      </c>
      <c r="AC109" s="148">
        <v>3</v>
      </c>
      <c r="AD109" s="169" t="s">
        <v>6261</v>
      </c>
      <c r="AE109" s="183" t="s">
        <v>6262</v>
      </c>
      <c r="AF109" s="148">
        <v>6</v>
      </c>
      <c r="AG109" s="169" t="s">
        <v>5239</v>
      </c>
      <c r="AH109" s="183" t="s">
        <v>5240</v>
      </c>
      <c r="AI109" s="148">
        <v>3</v>
      </c>
      <c r="AJ109" s="169" t="s">
        <v>6292</v>
      </c>
      <c r="AK109" s="183" t="s">
        <v>6293</v>
      </c>
      <c r="AR109" s="148" t="s">
        <v>5622</v>
      </c>
      <c r="AS109" s="169" t="s">
        <v>5767</v>
      </c>
      <c r="AT109" s="183" t="s">
        <v>5768</v>
      </c>
      <c r="AU109" s="148">
        <v>3</v>
      </c>
      <c r="AV109" s="169" t="s">
        <v>6028</v>
      </c>
      <c r="AW109" s="183" t="s">
        <v>6029</v>
      </c>
      <c r="BA109" s="148">
        <v>15</v>
      </c>
      <c r="BB109" s="237" t="s">
        <v>8452</v>
      </c>
      <c r="BC109" s="236" t="s">
        <v>8453</v>
      </c>
      <c r="BO109" s="153"/>
      <c r="CH109" s="148" t="s">
        <v>3609</v>
      </c>
      <c r="CI109" s="148">
        <v>54</v>
      </c>
      <c r="CJ109" s="148" cm="1">
        <f t="array" ref="CJ109">_xlfn.IFS($AZ$6&gt;=18,65,$AZ$6&gt;=15,64,$AZ$6&gt;=10,63,$AZ$6&gt;=7,62,$AZ$6&gt;=3,61,1,0)</f>
        <v>0</v>
      </c>
    </row>
    <row r="110" spans="1:99" ht="16.149999999999999" customHeight="1" x14ac:dyDescent="0.15">
      <c r="A110" s="140">
        <v>77</v>
      </c>
      <c r="B110" s="204">
        <v>6</v>
      </c>
      <c r="C110" s="201" t="s">
        <v>6131</v>
      </c>
      <c r="D110" s="202" t="s">
        <v>6132</v>
      </c>
      <c r="E110" s="148">
        <v>6</v>
      </c>
      <c r="F110" s="180" t="s">
        <v>6542</v>
      </c>
      <c r="G110" s="233" t="s">
        <v>6547</v>
      </c>
      <c r="H110" s="148">
        <v>3</v>
      </c>
      <c r="I110" s="148" t="s">
        <v>5316</v>
      </c>
      <c r="J110" s="153" t="s">
        <v>5317</v>
      </c>
      <c r="K110" s="148">
        <v>6</v>
      </c>
      <c r="L110" s="148" t="s">
        <v>6176</v>
      </c>
      <c r="M110" s="153" t="s">
        <v>6177</v>
      </c>
      <c r="O110" s="169" t="s">
        <v>5318</v>
      </c>
      <c r="P110" s="183" t="s">
        <v>5319</v>
      </c>
      <c r="Q110" s="148">
        <v>3</v>
      </c>
      <c r="R110" s="148" t="s">
        <v>6199</v>
      </c>
      <c r="S110" s="153" t="s">
        <v>6200</v>
      </c>
      <c r="T110" s="148">
        <v>20</v>
      </c>
      <c r="U110" s="169" t="s">
        <v>6233</v>
      </c>
      <c r="V110" s="183" t="s">
        <v>6234</v>
      </c>
      <c r="W110" s="148">
        <v>11</v>
      </c>
      <c r="X110" s="169" t="s">
        <v>5320</v>
      </c>
      <c r="Y110" s="183" t="s">
        <v>5321</v>
      </c>
      <c r="Z110" s="148">
        <v>3</v>
      </c>
      <c r="AA110" s="148" t="s">
        <v>5322</v>
      </c>
      <c r="AB110" s="153" t="s">
        <v>5323</v>
      </c>
      <c r="AC110" s="148">
        <v>6</v>
      </c>
      <c r="AD110" s="169" t="s">
        <v>6263</v>
      </c>
      <c r="AE110" s="183" t="s">
        <v>6264</v>
      </c>
      <c r="AF110" s="148">
        <v>10</v>
      </c>
      <c r="AG110" s="169" t="s">
        <v>5258</v>
      </c>
      <c r="AH110" s="183" t="s">
        <v>5259</v>
      </c>
      <c r="AI110" s="148">
        <v>3</v>
      </c>
      <c r="AJ110" s="169" t="s">
        <v>6294</v>
      </c>
      <c r="AK110" s="183" t="s">
        <v>6295</v>
      </c>
      <c r="AR110" s="148">
        <v>15</v>
      </c>
      <c r="AS110" s="169" t="s">
        <v>5769</v>
      </c>
      <c r="AT110" s="183" t="s">
        <v>5770</v>
      </c>
      <c r="AU110" s="148">
        <v>3</v>
      </c>
      <c r="AV110" s="169" t="s">
        <v>6030</v>
      </c>
      <c r="AW110" s="183" t="s">
        <v>6031</v>
      </c>
      <c r="BA110" s="148">
        <v>18</v>
      </c>
      <c r="BB110" s="237" t="s">
        <v>8448</v>
      </c>
      <c r="BC110" s="236" t="s">
        <v>8449</v>
      </c>
      <c r="BO110" s="153"/>
      <c r="CH110" s="148" t="s">
        <v>3612</v>
      </c>
      <c r="CI110" s="148">
        <v>66</v>
      </c>
      <c r="CJ110" s="148" cm="1">
        <f t="array" ref="CJ110">_xlfn.IFS($AZ$6&gt;=18,70,$AZ$6&gt;=15,69,$AZ$6&gt;=10,68,$AZ$6&gt;=7,67,$AZ$6&gt;=3,66,1,0)</f>
        <v>0</v>
      </c>
    </row>
    <row r="111" spans="1:99" ht="16.149999999999999" customHeight="1" x14ac:dyDescent="0.15">
      <c r="A111" s="140">
        <v>78</v>
      </c>
      <c r="B111" s="204">
        <v>10</v>
      </c>
      <c r="C111" s="201" t="s">
        <v>6133</v>
      </c>
      <c r="D111" s="202" t="s">
        <v>6134</v>
      </c>
      <c r="E111" s="148">
        <v>6</v>
      </c>
      <c r="F111" s="180" t="s">
        <v>6543</v>
      </c>
      <c r="G111" s="233" t="s">
        <v>6548</v>
      </c>
      <c r="H111" s="148">
        <v>3</v>
      </c>
      <c r="I111" s="148" t="s">
        <v>5326</v>
      </c>
      <c r="J111" s="153" t="s">
        <v>5327</v>
      </c>
      <c r="K111" s="148">
        <v>6</v>
      </c>
      <c r="L111" s="148" t="s">
        <v>6178</v>
      </c>
      <c r="M111" s="153" t="s">
        <v>6179</v>
      </c>
      <c r="O111" s="169" t="s">
        <v>5328</v>
      </c>
      <c r="P111" s="183" t="s">
        <v>5329</v>
      </c>
      <c r="Q111" s="148">
        <v>6</v>
      </c>
      <c r="R111" s="148" t="s">
        <v>6201</v>
      </c>
      <c r="S111" s="153" t="s">
        <v>6202</v>
      </c>
      <c r="T111" s="148">
        <v>3</v>
      </c>
      <c r="U111" s="179" t="s">
        <v>6612</v>
      </c>
      <c r="V111" s="240" t="s">
        <v>6613</v>
      </c>
      <c r="W111" s="148">
        <v>15</v>
      </c>
      <c r="X111" s="169" t="s">
        <v>5330</v>
      </c>
      <c r="Y111" s="183" t="s">
        <v>5331</v>
      </c>
      <c r="Z111" s="148">
        <v>3</v>
      </c>
      <c r="AA111" s="148" t="s">
        <v>5332</v>
      </c>
      <c r="AB111" s="153" t="s">
        <v>5333</v>
      </c>
      <c r="AC111" s="148">
        <v>14</v>
      </c>
      <c r="AD111" s="169" t="s">
        <v>6265</v>
      </c>
      <c r="AE111" s="183" t="s">
        <v>6266</v>
      </c>
      <c r="AF111" s="148">
        <v>14</v>
      </c>
      <c r="AG111" s="169" t="s">
        <v>5275</v>
      </c>
      <c r="AH111" s="183" t="s">
        <v>5276</v>
      </c>
      <c r="AI111" s="148">
        <v>3</v>
      </c>
      <c r="AJ111" s="169" t="s">
        <v>6296</v>
      </c>
      <c r="AK111" s="183" t="s">
        <v>6297</v>
      </c>
      <c r="AR111" s="148">
        <v>18</v>
      </c>
      <c r="AS111" s="169" t="s">
        <v>5771</v>
      </c>
      <c r="AT111" s="183" t="s">
        <v>5772</v>
      </c>
      <c r="AU111" s="148">
        <v>3</v>
      </c>
      <c r="AV111" s="169" t="s">
        <v>6032</v>
      </c>
      <c r="AW111" s="183" t="s">
        <v>6033</v>
      </c>
      <c r="BA111" s="148">
        <v>3</v>
      </c>
      <c r="BB111" s="180" t="s">
        <v>8454</v>
      </c>
      <c r="BC111" s="233" t="s">
        <v>8455</v>
      </c>
      <c r="BO111" s="153"/>
      <c r="CH111" s="148" t="s">
        <v>4619</v>
      </c>
      <c r="CI111" s="148">
        <v>71</v>
      </c>
      <c r="CJ111" s="148" cm="1">
        <f t="array" ref="CJ111">_xlfn.IFS($AZ$6&gt;=18,83,$AZ$6&gt;=15,83,$AZ$6&gt;=10,82,$AZ$6&gt;=7,82,$AZ$6&gt;=3,80,1,0)</f>
        <v>0</v>
      </c>
    </row>
    <row r="112" spans="1:99" ht="16.149999999999999" customHeight="1" x14ac:dyDescent="0.15">
      <c r="A112" s="140">
        <v>79</v>
      </c>
      <c r="B112" s="204">
        <v>14</v>
      </c>
      <c r="C112" s="201" t="s">
        <v>6135</v>
      </c>
      <c r="D112" s="202" t="s">
        <v>6136</v>
      </c>
      <c r="E112" s="148">
        <v>14</v>
      </c>
      <c r="F112" s="180" t="s">
        <v>6544</v>
      </c>
      <c r="G112" s="233" t="s">
        <v>6549</v>
      </c>
      <c r="H112" s="148">
        <v>3</v>
      </c>
      <c r="I112" s="148" t="s">
        <v>5336</v>
      </c>
      <c r="J112" s="153" t="s">
        <v>5337</v>
      </c>
      <c r="K112" s="148">
        <v>10</v>
      </c>
      <c r="L112" s="148" t="s">
        <v>6180</v>
      </c>
      <c r="M112" s="153" t="s">
        <v>6181</v>
      </c>
      <c r="O112" s="169" t="s">
        <v>5338</v>
      </c>
      <c r="P112" s="183" t="s">
        <v>5339</v>
      </c>
      <c r="Q112" s="148">
        <v>11</v>
      </c>
      <c r="R112" s="148" t="s">
        <v>6203</v>
      </c>
      <c r="S112" s="153" t="s">
        <v>6204</v>
      </c>
      <c r="T112" s="148">
        <v>3</v>
      </c>
      <c r="U112" s="180" t="s">
        <v>6620</v>
      </c>
      <c r="V112" s="233" t="s">
        <v>6621</v>
      </c>
      <c r="W112" s="148">
        <v>3</v>
      </c>
      <c r="X112" s="148" t="s">
        <v>6235</v>
      </c>
      <c r="Y112" s="153" t="s">
        <v>6236</v>
      </c>
      <c r="Z112" s="148">
        <v>9</v>
      </c>
      <c r="AA112" s="148" t="s">
        <v>5340</v>
      </c>
      <c r="AB112" s="153" t="s">
        <v>5341</v>
      </c>
      <c r="AC112" s="148">
        <v>18</v>
      </c>
      <c r="AD112" s="169" t="s">
        <v>6267</v>
      </c>
      <c r="AE112" s="183" t="s">
        <v>6268</v>
      </c>
      <c r="AF112" s="148">
        <v>3</v>
      </c>
      <c r="AG112" s="148" t="s">
        <v>5290</v>
      </c>
      <c r="AH112" s="153" t="s">
        <v>5291</v>
      </c>
      <c r="AI112" s="148">
        <v>6</v>
      </c>
      <c r="AJ112" s="169" t="s">
        <v>6298</v>
      </c>
      <c r="AK112" s="183" t="s">
        <v>6299</v>
      </c>
      <c r="AR112" s="148">
        <v>3</v>
      </c>
      <c r="AS112" s="148" t="s">
        <v>5773</v>
      </c>
      <c r="AT112" s="153" t="s">
        <v>5774</v>
      </c>
      <c r="AU112" s="148">
        <v>6</v>
      </c>
      <c r="AV112" s="169" t="s">
        <v>6034</v>
      </c>
      <c r="AW112" s="183" t="s">
        <v>6035</v>
      </c>
      <c r="BA112" s="148">
        <v>3</v>
      </c>
      <c r="BB112" s="180" t="s">
        <v>8456</v>
      </c>
      <c r="BC112" s="233" t="s">
        <v>8457</v>
      </c>
      <c r="BO112" s="153"/>
      <c r="CH112" s="148" t="s">
        <v>4646</v>
      </c>
      <c r="CI112" s="148">
        <v>84</v>
      </c>
      <c r="CJ112" s="148" cm="1">
        <f t="array" ref="CJ112">_xlfn.IFS($AZ$6&gt;=18,90,$AZ$6&gt;=15,89,$AZ$6&gt;=10,88,$AZ$6&gt;=7,87,$AZ$6&gt;=3,86,1,0)</f>
        <v>0</v>
      </c>
    </row>
    <row r="113" spans="1:88" ht="16.149999999999999" customHeight="1" x14ac:dyDescent="0.15">
      <c r="A113" s="140">
        <v>80</v>
      </c>
      <c r="B113" s="204">
        <v>3</v>
      </c>
      <c r="C113" s="199" t="s">
        <v>6137</v>
      </c>
      <c r="D113" s="200" t="s">
        <v>6138</v>
      </c>
      <c r="E113" s="180">
        <v>3</v>
      </c>
      <c r="F113" s="237" t="s">
        <v>7803</v>
      </c>
      <c r="G113" s="236" t="s">
        <v>7838</v>
      </c>
      <c r="H113" s="148">
        <v>6</v>
      </c>
      <c r="I113" s="148" t="s">
        <v>5344</v>
      </c>
      <c r="J113" s="153" t="s">
        <v>5345</v>
      </c>
      <c r="K113" s="148">
        <v>10</v>
      </c>
      <c r="L113" s="148" t="s">
        <v>6182</v>
      </c>
      <c r="M113" s="153" t="s">
        <v>6183</v>
      </c>
      <c r="O113" s="169" t="s">
        <v>5346</v>
      </c>
      <c r="P113" s="183" t="s">
        <v>5347</v>
      </c>
      <c r="Q113" s="148">
        <v>17</v>
      </c>
      <c r="R113" s="148" t="s">
        <v>6205</v>
      </c>
      <c r="S113" s="153" t="s">
        <v>6206</v>
      </c>
      <c r="T113" s="148">
        <v>7</v>
      </c>
      <c r="U113" s="180" t="s">
        <v>6622</v>
      </c>
      <c r="V113" s="233" t="s">
        <v>6623</v>
      </c>
      <c r="W113" s="148">
        <v>3</v>
      </c>
      <c r="X113" s="148" t="s">
        <v>6237</v>
      </c>
      <c r="Y113" s="153" t="s">
        <v>6238</v>
      </c>
      <c r="Z113" s="148">
        <v>13</v>
      </c>
      <c r="AA113" s="148" t="s">
        <v>5348</v>
      </c>
      <c r="AB113" s="153" t="s">
        <v>5349</v>
      </c>
      <c r="AC113" s="148">
        <v>3</v>
      </c>
      <c r="AD113" s="179" t="s">
        <v>6615</v>
      </c>
      <c r="AE113" s="240" t="s">
        <v>6614</v>
      </c>
      <c r="AF113" s="148">
        <v>3</v>
      </c>
      <c r="AG113" s="148" t="s">
        <v>5303</v>
      </c>
      <c r="AH113" s="153" t="s">
        <v>5304</v>
      </c>
      <c r="AI113" s="148">
        <v>6</v>
      </c>
      <c r="AJ113" s="169" t="s">
        <v>6300</v>
      </c>
      <c r="AK113" s="183" t="s">
        <v>6301</v>
      </c>
      <c r="AR113" s="148">
        <v>3</v>
      </c>
      <c r="AS113" s="148" t="s">
        <v>5775</v>
      </c>
      <c r="AT113" s="153" t="s">
        <v>5776</v>
      </c>
      <c r="AU113" s="148">
        <v>10</v>
      </c>
      <c r="AV113" s="169" t="s">
        <v>6036</v>
      </c>
      <c r="AW113" s="183" t="s">
        <v>6037</v>
      </c>
      <c r="BA113" s="148">
        <v>3</v>
      </c>
      <c r="BB113" s="180" t="s">
        <v>8458</v>
      </c>
      <c r="BC113" s="233" t="s">
        <v>8459</v>
      </c>
      <c r="BO113" s="153"/>
      <c r="CH113" s="148" t="s">
        <v>4671</v>
      </c>
      <c r="CI113" s="148">
        <v>91</v>
      </c>
      <c r="CJ113" s="148" cm="1">
        <f t="array" ref="CJ113">_xlfn.IFS($AZ$6&gt;=18,96,$AZ$6&gt;=15,95,$AZ$6&gt;=10,94,$AZ$6&gt;=7,93,$AZ$6&gt;=3,92,1,0)</f>
        <v>0</v>
      </c>
    </row>
    <row r="114" spans="1:88" ht="16.149999999999999" customHeight="1" x14ac:dyDescent="0.15">
      <c r="A114" s="140">
        <v>81</v>
      </c>
      <c r="B114" s="204">
        <v>3</v>
      </c>
      <c r="C114" s="199" t="s">
        <v>6139</v>
      </c>
      <c r="D114" s="200" t="s">
        <v>6140</v>
      </c>
      <c r="E114" s="180"/>
      <c r="F114" s="265" t="s">
        <v>7804</v>
      </c>
      <c r="G114" s="266" t="s">
        <v>7805</v>
      </c>
      <c r="H114" s="148">
        <v>17</v>
      </c>
      <c r="I114" s="148" t="s">
        <v>5353</v>
      </c>
      <c r="J114" s="153" t="s">
        <v>5354</v>
      </c>
      <c r="K114" s="148">
        <v>14</v>
      </c>
      <c r="L114" s="148" t="s">
        <v>6184</v>
      </c>
      <c r="M114" s="153" t="s">
        <v>6185</v>
      </c>
      <c r="N114" s="148">
        <v>7</v>
      </c>
      <c r="O114" s="169" t="s">
        <v>5355</v>
      </c>
      <c r="P114" s="183" t="s">
        <v>5356</v>
      </c>
      <c r="Q114" s="148">
        <v>3</v>
      </c>
      <c r="R114" s="169" t="s">
        <v>6207</v>
      </c>
      <c r="S114" s="183" t="s">
        <v>6208</v>
      </c>
      <c r="T114" s="148">
        <v>15</v>
      </c>
      <c r="U114" s="180" t="s">
        <v>6624</v>
      </c>
      <c r="V114" s="233" t="s">
        <v>6625</v>
      </c>
      <c r="W114" s="148">
        <v>3</v>
      </c>
      <c r="X114" s="148" t="s">
        <v>6239</v>
      </c>
      <c r="Y114" s="153" t="s">
        <v>6240</v>
      </c>
      <c r="Z114" s="148">
        <v>17</v>
      </c>
      <c r="AA114" s="148" t="s">
        <v>5357</v>
      </c>
      <c r="AB114" s="153" t="s">
        <v>5358</v>
      </c>
      <c r="AC114" s="148">
        <v>3</v>
      </c>
      <c r="AD114" s="179" t="s">
        <v>6616</v>
      </c>
      <c r="AE114" s="240" t="s">
        <v>6617</v>
      </c>
      <c r="AF114" s="148">
        <v>6</v>
      </c>
      <c r="AG114" s="148" t="s">
        <v>5314</v>
      </c>
      <c r="AH114" s="153" t="s">
        <v>5315</v>
      </c>
      <c r="AI114" s="148">
        <v>10</v>
      </c>
      <c r="AJ114" s="169" t="s">
        <v>6302</v>
      </c>
      <c r="AK114" s="183" t="s">
        <v>6303</v>
      </c>
      <c r="AS114" s="148" t="s">
        <v>5777</v>
      </c>
      <c r="AT114" s="153" t="s">
        <v>5778</v>
      </c>
      <c r="AU114" s="148">
        <v>14</v>
      </c>
      <c r="AV114" s="169" t="s">
        <v>6038</v>
      </c>
      <c r="AW114" s="183" t="s">
        <v>6039</v>
      </c>
      <c r="BA114" s="148">
        <v>3</v>
      </c>
      <c r="BB114" s="180" t="s">
        <v>8331</v>
      </c>
      <c r="BC114" s="233" t="s">
        <v>8460</v>
      </c>
      <c r="BO114" s="153"/>
      <c r="CH114" s="148" t="s">
        <v>4694</v>
      </c>
      <c r="CI114" s="148">
        <v>97</v>
      </c>
      <c r="CJ114" s="148" cm="1">
        <f t="array" ref="CJ114">_xlfn.IFS($AZ$6&gt;=18,109,$AZ$6&gt;=15,108,$AZ$6&gt;=10,107,$AZ$6&gt;=7,106,$AZ$6&gt;=3,103,1,0)</f>
        <v>0</v>
      </c>
    </row>
    <row r="115" spans="1:88" ht="16.149999999999999" customHeight="1" x14ac:dyDescent="0.15">
      <c r="A115" s="140">
        <v>82</v>
      </c>
      <c r="B115" s="204">
        <v>6</v>
      </c>
      <c r="C115" s="199" t="s">
        <v>6141</v>
      </c>
      <c r="D115" s="200" t="s">
        <v>6142</v>
      </c>
      <c r="E115" s="180"/>
      <c r="F115" s="265" t="s">
        <v>7806</v>
      </c>
      <c r="G115" s="266" t="s">
        <v>7807</v>
      </c>
      <c r="H115" s="148">
        <v>3</v>
      </c>
      <c r="I115" s="169" t="s">
        <v>6160</v>
      </c>
      <c r="J115" s="183" t="s">
        <v>6161</v>
      </c>
      <c r="K115" s="148">
        <v>3</v>
      </c>
      <c r="L115" s="237" t="s">
        <v>6581</v>
      </c>
      <c r="M115" s="236" t="s">
        <v>6586</v>
      </c>
      <c r="N115" s="148">
        <v>7</v>
      </c>
      <c r="O115" s="169" t="s">
        <v>5362</v>
      </c>
      <c r="P115" s="183" t="s">
        <v>5363</v>
      </c>
      <c r="Q115" s="148">
        <v>3</v>
      </c>
      <c r="R115" s="169" t="s">
        <v>5845</v>
      </c>
      <c r="S115" s="236" t="s">
        <v>10670</v>
      </c>
      <c r="T115" s="148">
        <v>20</v>
      </c>
      <c r="U115" s="180" t="s">
        <v>6626</v>
      </c>
      <c r="V115" s="233" t="s">
        <v>6635</v>
      </c>
      <c r="W115" s="148">
        <v>7</v>
      </c>
      <c r="X115" s="148" t="s">
        <v>6241</v>
      </c>
      <c r="Y115" s="153" t="s">
        <v>6242</v>
      </c>
      <c r="Z115" s="148">
        <v>3</v>
      </c>
      <c r="AA115" s="169" t="s">
        <v>6247</v>
      </c>
      <c r="AB115" s="183" t="s">
        <v>6248</v>
      </c>
      <c r="AC115" s="148">
        <v>3</v>
      </c>
      <c r="AD115" s="179" t="s">
        <v>6618</v>
      </c>
      <c r="AE115" s="240" t="s">
        <v>6619</v>
      </c>
      <c r="AF115" s="148">
        <v>10</v>
      </c>
      <c r="AG115" s="148" t="s">
        <v>5324</v>
      </c>
      <c r="AH115" s="153" t="s">
        <v>5325</v>
      </c>
      <c r="AI115" s="148">
        <v>10</v>
      </c>
      <c r="AJ115" s="169" t="s">
        <v>6304</v>
      </c>
      <c r="AK115" s="183" t="s">
        <v>6305</v>
      </c>
      <c r="AS115" s="148" t="s">
        <v>5779</v>
      </c>
      <c r="AT115" s="153" t="s">
        <v>5780</v>
      </c>
      <c r="AU115" s="148">
        <v>18</v>
      </c>
      <c r="AV115" s="169" t="s">
        <v>6040</v>
      </c>
      <c r="AW115" s="183" t="s">
        <v>6041</v>
      </c>
      <c r="BA115" s="148">
        <v>7</v>
      </c>
      <c r="BB115" s="180" t="s">
        <v>8461</v>
      </c>
      <c r="BC115" s="233" t="s">
        <v>8403</v>
      </c>
      <c r="BO115" s="153"/>
      <c r="CH115" s="148" t="s">
        <v>4719</v>
      </c>
      <c r="CI115" s="148">
        <v>110</v>
      </c>
      <c r="CJ115" s="148" cm="1">
        <f t="array" ref="CJ115">_xlfn.IFS($AZ$6&gt;=18,115,$AZ$6&gt;=15,114,$AZ$6&gt;=10,113,$AZ$6&gt;=7,112,$AZ$6&gt;=3,111,1,0)</f>
        <v>0</v>
      </c>
    </row>
    <row r="116" spans="1:88" ht="16.149999999999999" customHeight="1" x14ac:dyDescent="0.15">
      <c r="A116" s="140">
        <v>83</v>
      </c>
      <c r="B116" s="204">
        <v>6</v>
      </c>
      <c r="C116" s="199" t="s">
        <v>6143</v>
      </c>
      <c r="D116" s="200" t="s">
        <v>6144</v>
      </c>
      <c r="E116" s="180"/>
      <c r="F116" s="265" t="s">
        <v>7808</v>
      </c>
      <c r="G116" s="266" t="s">
        <v>7809</v>
      </c>
      <c r="H116" s="148">
        <v>3</v>
      </c>
      <c r="I116" s="169" t="s">
        <v>6162</v>
      </c>
      <c r="J116" s="183" t="s">
        <v>6163</v>
      </c>
      <c r="K116" s="148">
        <v>3</v>
      </c>
      <c r="L116" s="237" t="s">
        <v>6582</v>
      </c>
      <c r="M116" s="236" t="s">
        <v>6587</v>
      </c>
      <c r="N116" s="148">
        <v>15</v>
      </c>
      <c r="O116" s="169" t="s">
        <v>5367</v>
      </c>
      <c r="P116" s="183" t="s">
        <v>5368</v>
      </c>
      <c r="R116" s="169" t="s">
        <v>192</v>
      </c>
      <c r="S116" s="183" t="s">
        <v>6209</v>
      </c>
      <c r="T116" s="148">
        <v>3</v>
      </c>
      <c r="U116" s="237" t="s">
        <v>7655</v>
      </c>
      <c r="V116" s="236" t="s">
        <v>7656</v>
      </c>
      <c r="W116" s="148">
        <v>11</v>
      </c>
      <c r="X116" s="148" t="s">
        <v>6243</v>
      </c>
      <c r="Y116" s="153" t="s">
        <v>6244</v>
      </c>
      <c r="Z116" s="148">
        <v>3</v>
      </c>
      <c r="AA116" s="169" t="s">
        <v>6249</v>
      </c>
      <c r="AB116" s="183" t="s">
        <v>6250</v>
      </c>
      <c r="AC116" s="148">
        <v>6</v>
      </c>
      <c r="AD116" s="179" t="s">
        <v>6627</v>
      </c>
      <c r="AE116" s="240" t="s">
        <v>6628</v>
      </c>
      <c r="AF116" s="148">
        <v>14</v>
      </c>
      <c r="AG116" s="148" t="s">
        <v>5334</v>
      </c>
      <c r="AH116" s="153" t="s">
        <v>5335</v>
      </c>
      <c r="AI116" s="148">
        <v>14</v>
      </c>
      <c r="AJ116" s="169" t="s">
        <v>6306</v>
      </c>
      <c r="AK116" s="183" t="s">
        <v>6307</v>
      </c>
      <c r="AS116" s="148" t="s">
        <v>5781</v>
      </c>
      <c r="AT116" s="153" t="s">
        <v>5782</v>
      </c>
      <c r="AU116" s="148">
        <v>3</v>
      </c>
      <c r="AV116" s="148" t="s">
        <v>6042</v>
      </c>
      <c r="AW116" s="153" t="s">
        <v>6043</v>
      </c>
      <c r="BA116" s="148">
        <v>7</v>
      </c>
      <c r="BB116" s="180" t="s">
        <v>8462</v>
      </c>
      <c r="BC116" s="233" t="s">
        <v>8463</v>
      </c>
      <c r="BO116" s="153"/>
      <c r="CH116" s="148" t="s">
        <v>5947</v>
      </c>
      <c r="CI116" s="148">
        <v>116</v>
      </c>
      <c r="CJ116" s="148" cm="1">
        <f t="array" ref="CJ116">_xlfn.IFS($AZ$6&gt;=18,121,$AZ$6&gt;=15,120,$AZ$6&gt;=10,119,$AZ$6&gt;=7,118,$AZ$6&gt;=3,117,1,0)</f>
        <v>0</v>
      </c>
    </row>
    <row r="117" spans="1:88" ht="16.149999999999999" customHeight="1" x14ac:dyDescent="0.15">
      <c r="A117" s="140">
        <v>84</v>
      </c>
      <c r="B117" s="204">
        <v>10</v>
      </c>
      <c r="C117" s="199" t="s">
        <v>6145</v>
      </c>
      <c r="D117" s="200" t="s">
        <v>6146</v>
      </c>
      <c r="E117" s="180"/>
      <c r="F117" s="265" t="s">
        <v>7810</v>
      </c>
      <c r="G117" s="266" t="s">
        <v>7811</v>
      </c>
      <c r="H117" s="148">
        <v>3</v>
      </c>
      <c r="I117" s="169" t="s">
        <v>6164</v>
      </c>
      <c r="J117" s="183" t="s">
        <v>6165</v>
      </c>
      <c r="K117" s="148">
        <v>6</v>
      </c>
      <c r="L117" s="237" t="s">
        <v>6583</v>
      </c>
      <c r="M117" s="236" t="s">
        <v>6588</v>
      </c>
      <c r="N117" s="148">
        <v>3</v>
      </c>
      <c r="O117" s="148" t="s">
        <v>4705</v>
      </c>
      <c r="P117" s="153" t="s">
        <v>5372</v>
      </c>
      <c r="R117" s="169" t="s">
        <v>153</v>
      </c>
      <c r="S117" s="183" t="s">
        <v>6210</v>
      </c>
      <c r="T117" s="148">
        <v>3</v>
      </c>
      <c r="U117" s="237" t="s">
        <v>7657</v>
      </c>
      <c r="V117" s="236" t="s">
        <v>7658</v>
      </c>
      <c r="W117" s="148">
        <v>15</v>
      </c>
      <c r="X117" s="148" t="s">
        <v>6245</v>
      </c>
      <c r="Y117" s="153" t="s">
        <v>6246</v>
      </c>
      <c r="Z117" s="148">
        <v>3</v>
      </c>
      <c r="AA117" s="169" t="s">
        <v>6251</v>
      </c>
      <c r="AB117" s="183" t="s">
        <v>6252</v>
      </c>
      <c r="AC117" s="148">
        <v>6</v>
      </c>
      <c r="AD117" s="179" t="s">
        <v>6629</v>
      </c>
      <c r="AE117" s="240" t="s">
        <v>6630</v>
      </c>
      <c r="AF117" s="148">
        <v>3</v>
      </c>
      <c r="AG117" s="169" t="s">
        <v>5342</v>
      </c>
      <c r="AH117" s="183" t="s">
        <v>5343</v>
      </c>
      <c r="AI117" s="148">
        <v>3</v>
      </c>
      <c r="AJ117" s="239" t="s">
        <v>6592</v>
      </c>
      <c r="AK117" s="240" t="s">
        <v>6593</v>
      </c>
      <c r="AS117" s="148" t="s">
        <v>5643</v>
      </c>
      <c r="AT117" s="153" t="s">
        <v>5783</v>
      </c>
      <c r="AU117" s="148">
        <v>3</v>
      </c>
      <c r="AV117" s="148" t="s">
        <v>6044</v>
      </c>
      <c r="AW117" s="153" t="s">
        <v>6045</v>
      </c>
      <c r="BA117" s="148">
        <v>11</v>
      </c>
      <c r="BB117" s="180" t="s">
        <v>8464</v>
      </c>
      <c r="BC117" s="233" t="s">
        <v>8465</v>
      </c>
      <c r="BO117" s="153"/>
      <c r="CH117" s="179" t="s">
        <v>6312</v>
      </c>
      <c r="CI117" s="148">
        <v>122</v>
      </c>
      <c r="CJ117" s="148" cm="1">
        <f t="array" ref="CJ117">_xlfn.IFS($AZ$6&gt;=18,127,$AZ$6&gt;=15,126,$AZ$6&gt;=10,125,$AZ$6&gt;=7,124,$AZ$6&gt;=3,123,1,0)</f>
        <v>0</v>
      </c>
    </row>
    <row r="118" spans="1:88" ht="16.149999999999999" customHeight="1" x14ac:dyDescent="0.15">
      <c r="A118" s="140">
        <v>85</v>
      </c>
      <c r="B118" s="204">
        <v>14</v>
      </c>
      <c r="C118" s="199" t="s">
        <v>6147</v>
      </c>
      <c r="D118" s="200" t="s">
        <v>6148</v>
      </c>
      <c r="E118" s="180"/>
      <c r="F118" s="265" t="s">
        <v>7812</v>
      </c>
      <c r="G118" s="266" t="s">
        <v>7813</v>
      </c>
      <c r="H118" s="148">
        <v>3</v>
      </c>
      <c r="I118" s="169" t="s">
        <v>6166</v>
      </c>
      <c r="J118" s="183" t="s">
        <v>6167</v>
      </c>
      <c r="K118" s="148">
        <v>10</v>
      </c>
      <c r="L118" s="237" t="s">
        <v>6584</v>
      </c>
      <c r="M118" s="238" t="s">
        <v>6589</v>
      </c>
      <c r="N118" s="148">
        <v>3</v>
      </c>
      <c r="O118" s="148" t="s">
        <v>5376</v>
      </c>
      <c r="P118" s="153" t="s">
        <v>5377</v>
      </c>
      <c r="R118" s="169" t="s">
        <v>5847</v>
      </c>
      <c r="S118" s="183" t="s">
        <v>6211</v>
      </c>
      <c r="T118" s="148">
        <v>7</v>
      </c>
      <c r="U118" s="237" t="s">
        <v>7659</v>
      </c>
      <c r="V118" s="236" t="s">
        <v>7660</v>
      </c>
      <c r="W118" s="148">
        <v>3</v>
      </c>
      <c r="X118" s="237" t="s">
        <v>7617</v>
      </c>
      <c r="Y118" s="236" t="s">
        <v>7632</v>
      </c>
      <c r="Z118" s="148">
        <v>9</v>
      </c>
      <c r="AA118" s="169" t="s">
        <v>6253</v>
      </c>
      <c r="AB118" s="183" t="s">
        <v>6254</v>
      </c>
      <c r="AC118" s="148">
        <v>14</v>
      </c>
      <c r="AD118" s="179" t="s">
        <v>6631</v>
      </c>
      <c r="AE118" s="240" t="s">
        <v>6632</v>
      </c>
      <c r="AF118" s="148">
        <v>3</v>
      </c>
      <c r="AG118" s="169" t="s">
        <v>5350</v>
      </c>
      <c r="AH118" s="183" t="s">
        <v>5351</v>
      </c>
      <c r="AI118" s="148">
        <v>3</v>
      </c>
      <c r="AJ118" s="239" t="s">
        <v>6594</v>
      </c>
      <c r="AK118" s="240" t="s">
        <v>6595</v>
      </c>
      <c r="AR118" s="148">
        <v>3</v>
      </c>
      <c r="AS118" s="148" t="s">
        <v>6046</v>
      </c>
      <c r="AT118" s="153" t="s">
        <v>6047</v>
      </c>
      <c r="AU118" s="148">
        <v>3</v>
      </c>
      <c r="AV118" s="148" t="s">
        <v>6048</v>
      </c>
      <c r="AW118" s="153" t="s">
        <v>6049</v>
      </c>
      <c r="BA118" s="148">
        <v>13</v>
      </c>
      <c r="BB118" s="180" t="s">
        <v>8466</v>
      </c>
      <c r="BC118" s="233" t="s">
        <v>8467</v>
      </c>
      <c r="BO118" s="153"/>
      <c r="CH118" s="179" t="s">
        <v>7444</v>
      </c>
      <c r="CI118" s="148">
        <v>128</v>
      </c>
      <c r="CJ118" s="148" cm="1">
        <f t="array" ref="CJ118">_xlfn.IFS($AZ$6&gt;=18,133,$AZ$6&gt;=15,132,$AZ$6&gt;=10,131,$AZ$6&gt;=7,130,$AZ$6&gt;=3,129,1,0)</f>
        <v>0</v>
      </c>
    </row>
    <row r="119" spans="1:88" ht="16.149999999999999" customHeight="1" x14ac:dyDescent="0.15">
      <c r="A119" s="140">
        <v>86</v>
      </c>
      <c r="B119" s="204">
        <v>14</v>
      </c>
      <c r="C119" s="199" t="s">
        <v>6149</v>
      </c>
      <c r="D119" s="200" t="s">
        <v>6150</v>
      </c>
      <c r="E119" s="180"/>
      <c r="F119" s="265" t="s">
        <v>7814</v>
      </c>
      <c r="G119" s="266" t="s">
        <v>7815</v>
      </c>
      <c r="H119" s="148">
        <v>6</v>
      </c>
      <c r="I119" s="169" t="s">
        <v>6168</v>
      </c>
      <c r="J119" s="183" t="s">
        <v>6169</v>
      </c>
      <c r="K119" s="148">
        <v>14</v>
      </c>
      <c r="L119" s="237" t="s">
        <v>6585</v>
      </c>
      <c r="M119" s="236" t="s">
        <v>6590</v>
      </c>
      <c r="N119" s="148">
        <v>3</v>
      </c>
      <c r="O119" s="148" t="s">
        <v>5381</v>
      </c>
      <c r="P119" s="153" t="s">
        <v>5382</v>
      </c>
      <c r="R119" s="169" t="s">
        <v>5848</v>
      </c>
      <c r="S119" s="183" t="s">
        <v>6212</v>
      </c>
      <c r="T119" s="148">
        <v>15</v>
      </c>
      <c r="U119" s="237" t="s">
        <v>7661</v>
      </c>
      <c r="V119" s="236" t="s">
        <v>7662</v>
      </c>
      <c r="W119" s="148">
        <v>3</v>
      </c>
      <c r="X119" s="237" t="s">
        <v>7618</v>
      </c>
      <c r="Y119" s="236" t="s">
        <v>7633</v>
      </c>
      <c r="Z119" s="148">
        <v>13</v>
      </c>
      <c r="AA119" s="169" t="s">
        <v>6255</v>
      </c>
      <c r="AB119" s="183" t="s">
        <v>6256</v>
      </c>
      <c r="AC119" s="148">
        <v>18</v>
      </c>
      <c r="AD119" s="179" t="s">
        <v>6633</v>
      </c>
      <c r="AE119" s="240" t="s">
        <v>6634</v>
      </c>
      <c r="AF119" s="148">
        <v>6</v>
      </c>
      <c r="AG119" s="169" t="s">
        <v>5359</v>
      </c>
      <c r="AH119" s="183" t="s">
        <v>5360</v>
      </c>
      <c r="AI119" s="148">
        <v>6</v>
      </c>
      <c r="AJ119" s="239" t="s">
        <v>6596</v>
      </c>
      <c r="AK119" s="240" t="s">
        <v>6597</v>
      </c>
      <c r="AR119" s="148">
        <v>7</v>
      </c>
      <c r="AS119" s="148" t="s">
        <v>6050</v>
      </c>
      <c r="AT119" s="153" t="s">
        <v>6051</v>
      </c>
      <c r="AU119" s="148">
        <v>6</v>
      </c>
      <c r="AV119" s="148" t="s">
        <v>3889</v>
      </c>
      <c r="AW119" s="153" t="s">
        <v>6052</v>
      </c>
      <c r="BA119" s="148">
        <v>15</v>
      </c>
      <c r="BB119" s="180" t="s">
        <v>8468</v>
      </c>
      <c r="BC119" s="233" t="s">
        <v>8469</v>
      </c>
      <c r="BO119" s="153"/>
      <c r="CH119" s="179" t="s">
        <v>8771</v>
      </c>
      <c r="CI119" s="148">
        <v>134</v>
      </c>
      <c r="CJ119" s="148" cm="1">
        <f t="array" ref="CJ119">_xlfn.IFS($AZ$6&gt;=18,148,$AZ$6&gt;=15,147,$AZ$6&gt;=10,146,$AZ$6&gt;=7,145,$AZ$6&gt;=3,143,1,0)</f>
        <v>0</v>
      </c>
    </row>
    <row r="120" spans="1:88" ht="16.149999999999999" customHeight="1" x14ac:dyDescent="0.15">
      <c r="A120" s="140">
        <v>87</v>
      </c>
      <c r="B120" s="166">
        <v>3</v>
      </c>
      <c r="C120" s="235" t="s">
        <v>6527</v>
      </c>
      <c r="D120" s="236" t="s">
        <v>6533</v>
      </c>
      <c r="E120" s="180">
        <v>3</v>
      </c>
      <c r="F120" s="237" t="s">
        <v>7816</v>
      </c>
      <c r="G120" s="236" t="s">
        <v>7839</v>
      </c>
      <c r="H120" s="148">
        <v>17</v>
      </c>
      <c r="I120" s="169" t="s">
        <v>6170</v>
      </c>
      <c r="J120" s="183" t="s">
        <v>6171</v>
      </c>
      <c r="K120" s="148">
        <v>3</v>
      </c>
      <c r="L120" s="180" t="s">
        <v>7759</v>
      </c>
      <c r="M120" s="233" t="s">
        <v>7787</v>
      </c>
      <c r="N120" s="148">
        <v>7</v>
      </c>
      <c r="O120" s="148" t="s">
        <v>5385</v>
      </c>
      <c r="P120" s="153" t="s">
        <v>5386</v>
      </c>
      <c r="R120" s="169" t="s">
        <v>5849</v>
      </c>
      <c r="S120" s="183" t="s">
        <v>6213</v>
      </c>
      <c r="T120" s="148">
        <v>20</v>
      </c>
      <c r="U120" s="237" t="s">
        <v>7663</v>
      </c>
      <c r="V120" s="236" t="s">
        <v>7664</v>
      </c>
      <c r="W120" s="148">
        <v>7</v>
      </c>
      <c r="X120" s="237" t="s">
        <v>7619</v>
      </c>
      <c r="Y120" s="236" t="s">
        <v>7634</v>
      </c>
      <c r="Z120" s="148">
        <v>17</v>
      </c>
      <c r="AA120" s="169" t="s">
        <v>6257</v>
      </c>
      <c r="AB120" s="183" t="s">
        <v>6258</v>
      </c>
      <c r="AC120" s="148">
        <v>3</v>
      </c>
      <c r="AD120" s="235" t="s">
        <v>7510</v>
      </c>
      <c r="AE120" s="270" t="s">
        <v>7511</v>
      </c>
      <c r="AF120" s="148">
        <v>10</v>
      </c>
      <c r="AG120" s="169" t="s">
        <v>5364</v>
      </c>
      <c r="AH120" s="183" t="s">
        <v>5365</v>
      </c>
      <c r="AI120" s="148">
        <v>10</v>
      </c>
      <c r="AJ120" s="239" t="s">
        <v>6598</v>
      </c>
      <c r="AK120" s="240" t="s">
        <v>6599</v>
      </c>
      <c r="AR120" s="148">
        <v>7</v>
      </c>
      <c r="AS120" s="148" t="s">
        <v>6053</v>
      </c>
      <c r="AT120" s="153" t="s">
        <v>6054</v>
      </c>
      <c r="AU120" s="148">
        <v>6</v>
      </c>
      <c r="AV120" s="148" t="s">
        <v>6055</v>
      </c>
      <c r="AW120" s="153" t="s">
        <v>6056</v>
      </c>
      <c r="BA120" s="148">
        <v>18</v>
      </c>
      <c r="BB120" s="180" t="s">
        <v>8470</v>
      </c>
      <c r="BC120" s="233" t="s">
        <v>8471</v>
      </c>
      <c r="BO120" s="153"/>
      <c r="CH120" s="179" t="s">
        <v>8772</v>
      </c>
      <c r="CI120" s="148">
        <v>149</v>
      </c>
      <c r="CJ120" s="148" cm="1">
        <f t="array" ref="CJ120">_xlfn.IFS($AZ$6&gt;=18,156,$AZ$6&gt;=15,155,$AZ$6&gt;=10,154,$AZ$6&gt;=7,153,$AZ$6&gt;=3,152,1,0)</f>
        <v>0</v>
      </c>
    </row>
    <row r="121" spans="1:88" ht="16.149999999999999" customHeight="1" x14ac:dyDescent="0.15">
      <c r="A121" s="140">
        <v>88</v>
      </c>
      <c r="B121" s="166">
        <v>3</v>
      </c>
      <c r="C121" s="237" t="s">
        <v>6528</v>
      </c>
      <c r="D121" s="238" t="s">
        <v>6534</v>
      </c>
      <c r="E121" s="180">
        <v>6</v>
      </c>
      <c r="F121" s="237" t="s">
        <v>7817</v>
      </c>
      <c r="G121" s="236" t="s">
        <v>7840</v>
      </c>
      <c r="H121" s="148">
        <v>3</v>
      </c>
      <c r="I121" s="180" t="s">
        <v>6551</v>
      </c>
      <c r="J121" s="233" t="s">
        <v>6552</v>
      </c>
      <c r="K121" s="148">
        <v>6</v>
      </c>
      <c r="L121" s="180" t="s">
        <v>7760</v>
      </c>
      <c r="M121" s="233" t="s">
        <v>7788</v>
      </c>
      <c r="N121" s="148">
        <v>10</v>
      </c>
      <c r="O121" s="148" t="s">
        <v>5389</v>
      </c>
      <c r="P121" s="153" t="s">
        <v>5390</v>
      </c>
      <c r="R121" s="169" t="s">
        <v>5850</v>
      </c>
      <c r="S121" s="183" t="s">
        <v>6214</v>
      </c>
      <c r="T121" s="148">
        <v>3</v>
      </c>
      <c r="U121" s="180" t="s">
        <v>7637</v>
      </c>
      <c r="V121" s="233" t="s">
        <v>7638</v>
      </c>
      <c r="W121" s="148">
        <v>11</v>
      </c>
      <c r="X121" s="237" t="s">
        <v>7620</v>
      </c>
      <c r="Y121" s="236" t="s">
        <v>7635</v>
      </c>
      <c r="Z121" s="148">
        <v>3</v>
      </c>
      <c r="AA121" s="180" t="s">
        <v>7540</v>
      </c>
      <c r="AB121" s="233" t="s">
        <v>7541</v>
      </c>
      <c r="AD121" s="272" t="s">
        <v>7512</v>
      </c>
      <c r="AE121" s="267" t="s">
        <v>7513</v>
      </c>
      <c r="AF121" s="148">
        <v>14</v>
      </c>
      <c r="AG121" s="169" t="s">
        <v>5369</v>
      </c>
      <c r="AH121" s="183" t="s">
        <v>5370</v>
      </c>
      <c r="AI121" s="148">
        <v>14</v>
      </c>
      <c r="AJ121" s="179" t="s">
        <v>6600</v>
      </c>
      <c r="AK121" s="240" t="s">
        <v>6601</v>
      </c>
      <c r="AR121" s="148">
        <v>11</v>
      </c>
      <c r="AS121" s="148" t="s">
        <v>6057</v>
      </c>
      <c r="AT121" s="153" t="s">
        <v>6058</v>
      </c>
      <c r="AU121" s="148">
        <v>10</v>
      </c>
      <c r="AV121" s="148" t="s">
        <v>6059</v>
      </c>
      <c r="AW121" s="153" t="s">
        <v>6060</v>
      </c>
      <c r="BA121" s="148">
        <v>3</v>
      </c>
      <c r="BB121" s="237" t="s">
        <v>8472</v>
      </c>
      <c r="BC121" s="236" t="s">
        <v>8473</v>
      </c>
      <c r="BO121" s="153"/>
      <c r="CH121" s="179" t="s">
        <v>8702</v>
      </c>
      <c r="CI121" s="148">
        <v>157</v>
      </c>
      <c r="CJ121" s="148" cm="1">
        <f t="array" ref="CJ121">_xlfn.IFS($AZ$6&gt;=18,175,$AZ$6&gt;=15,174,$AZ$6&gt;=10,173,$AZ$6&gt;=7,172,$AZ$6&gt;=3,171,1,0)</f>
        <v>0</v>
      </c>
    </row>
    <row r="122" spans="1:88" ht="16.149999999999999" customHeight="1" x14ac:dyDescent="0.15">
      <c r="A122" s="140">
        <v>89</v>
      </c>
      <c r="B122" s="166">
        <v>6</v>
      </c>
      <c r="C122" s="237" t="s">
        <v>6529</v>
      </c>
      <c r="D122" s="236" t="s">
        <v>6535</v>
      </c>
      <c r="E122" s="180" t="s">
        <v>3015</v>
      </c>
      <c r="F122" s="265" t="s">
        <v>7818</v>
      </c>
      <c r="G122" s="266" t="s">
        <v>7819</v>
      </c>
      <c r="H122" s="148">
        <v>3</v>
      </c>
      <c r="I122" s="180" t="s">
        <v>6553</v>
      </c>
      <c r="J122" s="233" t="s">
        <v>6557</v>
      </c>
      <c r="K122" s="148">
        <v>10</v>
      </c>
      <c r="L122" s="180" t="s">
        <v>7761</v>
      </c>
      <c r="M122" s="233" t="s">
        <v>7789</v>
      </c>
      <c r="N122" s="148">
        <v>15</v>
      </c>
      <c r="O122" s="148" t="s">
        <v>5393</v>
      </c>
      <c r="P122" s="153" t="s">
        <v>5394</v>
      </c>
      <c r="Q122" s="148">
        <v>3</v>
      </c>
      <c r="R122" s="169" t="s">
        <v>6215</v>
      </c>
      <c r="S122" s="183" t="s">
        <v>6216</v>
      </c>
      <c r="T122" s="148">
        <v>3</v>
      </c>
      <c r="U122" s="180" t="s">
        <v>7639</v>
      </c>
      <c r="V122" s="233" t="s">
        <v>7665</v>
      </c>
      <c r="W122" s="148">
        <v>15</v>
      </c>
      <c r="X122" s="237" t="s">
        <v>7621</v>
      </c>
      <c r="Y122" s="236" t="s">
        <v>7636</v>
      </c>
      <c r="Z122" s="148">
        <v>3</v>
      </c>
      <c r="AA122" s="180" t="s">
        <v>7542</v>
      </c>
      <c r="AB122" s="233" t="s">
        <v>7543</v>
      </c>
      <c r="AD122" s="272" t="s">
        <v>7514</v>
      </c>
      <c r="AE122" s="267" t="s">
        <v>7515</v>
      </c>
      <c r="AF122" s="148">
        <v>3</v>
      </c>
      <c r="AG122" s="148" t="s">
        <v>5373</v>
      </c>
      <c r="AH122" s="153" t="s">
        <v>5374</v>
      </c>
      <c r="AI122" s="180">
        <v>3</v>
      </c>
      <c r="AJ122" s="237" t="s">
        <v>7449</v>
      </c>
      <c r="AK122" s="236" t="s">
        <v>7474</v>
      </c>
      <c r="AR122" s="148">
        <v>15</v>
      </c>
      <c r="AS122" s="148" t="s">
        <v>6061</v>
      </c>
      <c r="AT122" s="153" t="s">
        <v>6062</v>
      </c>
      <c r="AU122" s="148">
        <v>14</v>
      </c>
      <c r="AV122" s="148" t="s">
        <v>6063</v>
      </c>
      <c r="AW122" s="153" t="s">
        <v>6064</v>
      </c>
      <c r="BA122" s="148">
        <v>3</v>
      </c>
      <c r="BB122" s="237" t="s">
        <v>8474</v>
      </c>
      <c r="BC122" s="236" t="s">
        <v>8475</v>
      </c>
      <c r="BO122" s="153"/>
      <c r="CH122" s="179" t="s">
        <v>9069</v>
      </c>
      <c r="CI122" s="148">
        <v>176</v>
      </c>
      <c r="CJ122" s="148" cm="1">
        <f t="array" ref="CJ122">_xlfn.IFS($AZ$6&gt;=18,182,$AZ$6&gt;=15,181,$AZ$6&gt;=10,180,$AZ$6&gt;=7,179,$AZ$6&gt;=3,178,1,0)</f>
        <v>0</v>
      </c>
    </row>
    <row r="123" spans="1:88" ht="16.149999999999999" customHeight="1" x14ac:dyDescent="0.15">
      <c r="A123" s="140">
        <v>90</v>
      </c>
      <c r="B123" s="166">
        <v>6</v>
      </c>
      <c r="C123" s="237" t="s">
        <v>6530</v>
      </c>
      <c r="D123" s="236" t="s">
        <v>6536</v>
      </c>
      <c r="E123" s="180" t="s">
        <v>3015</v>
      </c>
      <c r="F123" s="265" t="s">
        <v>7820</v>
      </c>
      <c r="G123" s="266" t="s">
        <v>7821</v>
      </c>
      <c r="H123" s="148">
        <v>3</v>
      </c>
      <c r="I123" s="180" t="s">
        <v>6554</v>
      </c>
      <c r="J123" s="233" t="s">
        <v>6558</v>
      </c>
      <c r="K123" s="148">
        <v>14</v>
      </c>
      <c r="L123" s="180" t="s">
        <v>7762</v>
      </c>
      <c r="M123" s="233" t="s">
        <v>7790</v>
      </c>
      <c r="N123" s="148">
        <v>18</v>
      </c>
      <c r="O123" s="148" t="s">
        <v>5397</v>
      </c>
      <c r="P123" s="153" t="s">
        <v>5398</v>
      </c>
      <c r="Q123" s="148">
        <v>6</v>
      </c>
      <c r="R123" s="169" t="s">
        <v>6217</v>
      </c>
      <c r="S123" s="183" t="s">
        <v>6218</v>
      </c>
      <c r="T123" s="148">
        <v>7</v>
      </c>
      <c r="U123" s="180" t="s">
        <v>7640</v>
      </c>
      <c r="V123" s="233" t="s">
        <v>7666</v>
      </c>
      <c r="W123" s="148">
        <v>3</v>
      </c>
      <c r="X123" s="179" t="s">
        <v>7622</v>
      </c>
      <c r="Y123" s="240" t="s">
        <v>7623</v>
      </c>
      <c r="Z123" s="148">
        <v>9</v>
      </c>
      <c r="AA123" s="180" t="s">
        <v>7544</v>
      </c>
      <c r="AB123" s="233" t="s">
        <v>7545</v>
      </c>
      <c r="AD123" s="272" t="s">
        <v>7516</v>
      </c>
      <c r="AE123" s="267" t="s">
        <v>7517</v>
      </c>
      <c r="AF123" s="148">
        <v>3</v>
      </c>
      <c r="AG123" s="148" t="s">
        <v>5378</v>
      </c>
      <c r="AH123" s="153" t="s">
        <v>5379</v>
      </c>
      <c r="AI123" s="180">
        <v>3</v>
      </c>
      <c r="AJ123" s="237" t="s">
        <v>7450</v>
      </c>
      <c r="AK123" s="236" t="s">
        <v>7475</v>
      </c>
      <c r="AR123" s="148">
        <v>18</v>
      </c>
      <c r="AS123" s="148" t="s">
        <v>6065</v>
      </c>
      <c r="AT123" s="153" t="s">
        <v>6066</v>
      </c>
      <c r="AU123" s="148">
        <v>18</v>
      </c>
      <c r="AV123" s="148" t="s">
        <v>6067</v>
      </c>
      <c r="AW123" s="153" t="s">
        <v>6068</v>
      </c>
      <c r="BA123" s="148">
        <v>3</v>
      </c>
      <c r="BB123" s="237" t="s">
        <v>8476</v>
      </c>
      <c r="BC123" s="236" t="s">
        <v>8477</v>
      </c>
      <c r="BO123" s="153"/>
      <c r="CH123" s="179" t="s">
        <v>9269</v>
      </c>
      <c r="CI123" s="148">
        <v>183</v>
      </c>
      <c r="CJ123" s="148" cm="1">
        <f t="array" ref="CJ123">_xlfn.IFS($AZ$6&gt;=18,189,$AZ$6&gt;=15,188,$AZ$6&gt;=10,187,$AZ$6&gt;=7,186,$AZ$6&gt;=3,185,1,0)</f>
        <v>0</v>
      </c>
    </row>
    <row r="124" spans="1:88" ht="16.149999999999999" customHeight="1" x14ac:dyDescent="0.15">
      <c r="A124" s="140">
        <v>91</v>
      </c>
      <c r="B124" s="166">
        <v>10</v>
      </c>
      <c r="C124" s="237" t="s">
        <v>6531</v>
      </c>
      <c r="D124" s="238" t="s">
        <v>6537</v>
      </c>
      <c r="E124" s="180" t="s">
        <v>3015</v>
      </c>
      <c r="F124" s="265" t="s">
        <v>7822</v>
      </c>
      <c r="G124" s="266" t="s">
        <v>7823</v>
      </c>
      <c r="H124" s="148">
        <v>6</v>
      </c>
      <c r="I124" s="180" t="s">
        <v>6555</v>
      </c>
      <c r="J124" s="233" t="s">
        <v>6559</v>
      </c>
      <c r="K124" s="148">
        <v>3</v>
      </c>
      <c r="L124" s="235" t="s">
        <v>7763</v>
      </c>
      <c r="M124" s="270" t="s">
        <v>7764</v>
      </c>
      <c r="N124" s="148">
        <v>3</v>
      </c>
      <c r="O124" s="169" t="s">
        <v>4705</v>
      </c>
      <c r="P124" s="183" t="s">
        <v>5402</v>
      </c>
      <c r="Q124" s="148">
        <v>11</v>
      </c>
      <c r="R124" s="169" t="s">
        <v>6219</v>
      </c>
      <c r="S124" s="183" t="s">
        <v>6220</v>
      </c>
      <c r="T124" s="148">
        <v>15</v>
      </c>
      <c r="U124" s="180" t="s">
        <v>7641</v>
      </c>
      <c r="V124" s="233" t="s">
        <v>7667</v>
      </c>
      <c r="W124" s="148">
        <v>3</v>
      </c>
      <c r="X124" s="179" t="s">
        <v>7624</v>
      </c>
      <c r="Y124" s="240" t="s">
        <v>7625</v>
      </c>
      <c r="Z124" s="148">
        <v>13</v>
      </c>
      <c r="AA124" s="180" t="s">
        <v>7546</v>
      </c>
      <c r="AB124" s="233" t="s">
        <v>7547</v>
      </c>
      <c r="AD124" s="272" t="s">
        <v>7518</v>
      </c>
      <c r="AE124" s="267" t="s">
        <v>7519</v>
      </c>
      <c r="AF124" s="148">
        <v>3</v>
      </c>
      <c r="AG124" s="148" t="s">
        <v>5383</v>
      </c>
      <c r="AH124" s="153" t="s">
        <v>5384</v>
      </c>
      <c r="AI124" s="180">
        <v>6</v>
      </c>
      <c r="AJ124" s="237" t="s">
        <v>7451</v>
      </c>
      <c r="AK124" s="236" t="s">
        <v>7476</v>
      </c>
      <c r="AU124" s="148">
        <v>3</v>
      </c>
      <c r="AV124" s="169" t="s">
        <v>6069</v>
      </c>
      <c r="AW124" s="183" t="s">
        <v>6070</v>
      </c>
      <c r="BA124" s="148">
        <v>3</v>
      </c>
      <c r="BB124" s="237" t="s">
        <v>8331</v>
      </c>
      <c r="BC124" s="236" t="s">
        <v>8478</v>
      </c>
      <c r="BO124" s="153"/>
      <c r="CH124" s="179" t="s">
        <v>9837</v>
      </c>
      <c r="CI124" s="148">
        <v>190</v>
      </c>
      <c r="CJ124" s="148" cm="1">
        <f t="array" ref="CJ124">_xlfn.IFS($AZ$6&gt;=18,195,$AZ$6&gt;=15,194,$AZ$6&gt;=10,193,$AZ$6&gt;=7,192,$AZ$6&gt;=3,191,1,0)</f>
        <v>0</v>
      </c>
    </row>
    <row r="125" spans="1:88" ht="16.149999999999999" customHeight="1" thickBot="1" x14ac:dyDescent="0.2">
      <c r="A125" s="140">
        <v>92</v>
      </c>
      <c r="B125" s="166">
        <v>14</v>
      </c>
      <c r="C125" s="237" t="s">
        <v>6532</v>
      </c>
      <c r="D125" s="236" t="s">
        <v>6538</v>
      </c>
      <c r="E125" s="180" t="s">
        <v>5622</v>
      </c>
      <c r="F125" s="265" t="s">
        <v>7824</v>
      </c>
      <c r="G125" s="266" t="s">
        <v>7825</v>
      </c>
      <c r="H125" s="148">
        <v>17</v>
      </c>
      <c r="I125" s="180" t="s">
        <v>6556</v>
      </c>
      <c r="J125" s="234" t="s">
        <v>6560</v>
      </c>
      <c r="K125" s="148">
        <v>3</v>
      </c>
      <c r="L125" s="235" t="s">
        <v>7765</v>
      </c>
      <c r="M125" s="270" t="s">
        <v>7766</v>
      </c>
      <c r="N125" s="148">
        <v>3</v>
      </c>
      <c r="O125" s="169" t="s">
        <v>5406</v>
      </c>
      <c r="P125" s="183" t="s">
        <v>5407</v>
      </c>
      <c r="Q125" s="148">
        <v>11</v>
      </c>
      <c r="R125" s="169" t="s">
        <v>6221</v>
      </c>
      <c r="S125" s="183" t="s">
        <v>6222</v>
      </c>
      <c r="T125" s="148">
        <v>20</v>
      </c>
      <c r="U125" s="180" t="s">
        <v>7642</v>
      </c>
      <c r="V125" s="233" t="s">
        <v>7668</v>
      </c>
      <c r="W125" s="148">
        <v>7</v>
      </c>
      <c r="X125" s="179" t="s">
        <v>7626</v>
      </c>
      <c r="Y125" s="240" t="s">
        <v>7627</v>
      </c>
      <c r="Z125" s="148">
        <v>17</v>
      </c>
      <c r="AA125" s="180" t="s">
        <v>7548</v>
      </c>
      <c r="AB125" s="233" t="s">
        <v>7549</v>
      </c>
      <c r="AD125" s="272" t="s">
        <v>7520</v>
      </c>
      <c r="AE125" s="267" t="s">
        <v>7521</v>
      </c>
      <c r="AF125" s="148">
        <v>6</v>
      </c>
      <c r="AG125" s="148" t="s">
        <v>5387</v>
      </c>
      <c r="AH125" s="153" t="s">
        <v>5388</v>
      </c>
      <c r="AI125" s="180">
        <v>6</v>
      </c>
      <c r="AJ125" s="237" t="s">
        <v>7452</v>
      </c>
      <c r="AK125" s="236" t="s">
        <v>7477</v>
      </c>
      <c r="AU125" s="148">
        <v>3</v>
      </c>
      <c r="AV125" s="169" t="s">
        <v>6071</v>
      </c>
      <c r="AW125" s="183" t="s">
        <v>6072</v>
      </c>
      <c r="BA125" s="148">
        <v>7</v>
      </c>
      <c r="BB125" s="237" t="s">
        <v>8479</v>
      </c>
      <c r="BC125" s="236" t="s">
        <v>8403</v>
      </c>
      <c r="BO125" s="153"/>
      <c r="CH125" s="179" t="s">
        <v>10645</v>
      </c>
      <c r="CI125" s="148">
        <v>196</v>
      </c>
      <c r="CJ125" s="148" cm="1">
        <f t="array" ref="CJ125">_xlfn.IFS($AZ$6&gt;=18,201,$AZ$6&gt;=15,200,$AZ$6&gt;=10,199,$AZ$6&gt;=7,198,$AZ$6&gt;=3,197,1,0)</f>
        <v>0</v>
      </c>
    </row>
    <row r="126" spans="1:88" ht="16.149999999999999" customHeight="1" x14ac:dyDescent="0.15">
      <c r="A126" s="140">
        <v>93</v>
      </c>
      <c r="B126" s="166">
        <v>3</v>
      </c>
      <c r="C126" s="180" t="s">
        <v>7841</v>
      </c>
      <c r="D126" s="233" t="s">
        <v>7861</v>
      </c>
      <c r="E126" s="180">
        <v>14</v>
      </c>
      <c r="F126" s="237" t="s">
        <v>7826</v>
      </c>
      <c r="G126" s="236" t="s">
        <v>7837</v>
      </c>
      <c r="H126" s="148">
        <v>3</v>
      </c>
      <c r="I126" s="237" t="s">
        <v>6561</v>
      </c>
      <c r="J126" s="236" t="s">
        <v>6562</v>
      </c>
      <c r="K126" s="148">
        <v>3</v>
      </c>
      <c r="L126" s="235" t="s">
        <v>7767</v>
      </c>
      <c r="M126" s="270" t="s">
        <v>7768</v>
      </c>
      <c r="N126" s="148">
        <v>7</v>
      </c>
      <c r="O126" s="169" t="s">
        <v>5411</v>
      </c>
      <c r="P126" s="183" t="s">
        <v>5412</v>
      </c>
      <c r="Q126" s="148">
        <v>17</v>
      </c>
      <c r="R126" s="169" t="s">
        <v>6223</v>
      </c>
      <c r="S126" s="183" t="s">
        <v>6224</v>
      </c>
      <c r="T126" s="148">
        <v>3</v>
      </c>
      <c r="U126" s="235" t="s">
        <v>7643</v>
      </c>
      <c r="V126" s="270" t="s">
        <v>7644</v>
      </c>
      <c r="W126" s="148">
        <v>11</v>
      </c>
      <c r="X126" s="179" t="s">
        <v>7628</v>
      </c>
      <c r="Y126" s="240" t="s">
        <v>7629</v>
      </c>
      <c r="Z126" s="148">
        <v>3</v>
      </c>
      <c r="AA126" s="237" t="s">
        <v>7550</v>
      </c>
      <c r="AB126" s="236" t="s">
        <v>7612</v>
      </c>
      <c r="AC126" s="148">
        <v>6</v>
      </c>
      <c r="AD126" s="235" t="s">
        <v>7522</v>
      </c>
      <c r="AE126" s="270" t="s">
        <v>7537</v>
      </c>
      <c r="AF126" s="148">
        <v>10</v>
      </c>
      <c r="AG126" s="148" t="s">
        <v>5391</v>
      </c>
      <c r="AH126" s="153" t="s">
        <v>5392</v>
      </c>
      <c r="AI126" s="180">
        <v>10</v>
      </c>
      <c r="AJ126" s="237" t="s">
        <v>7453</v>
      </c>
      <c r="AK126" s="236" t="s">
        <v>7478</v>
      </c>
      <c r="AU126" s="148">
        <v>3</v>
      </c>
      <c r="AV126" s="169" t="s">
        <v>6073</v>
      </c>
      <c r="AW126" s="183" t="s">
        <v>6074</v>
      </c>
      <c r="BA126" s="148">
        <v>7</v>
      </c>
      <c r="BB126" s="237" t="s">
        <v>8480</v>
      </c>
      <c r="BC126" s="236" t="s">
        <v>8481</v>
      </c>
      <c r="BO126" s="153"/>
      <c r="CH126" s="163" t="s">
        <v>3617</v>
      </c>
      <c r="CI126" s="163">
        <v>28</v>
      </c>
      <c r="CJ126" s="163" cm="1">
        <f t="array" ref="CJ126">_xlfn.IFS($AZ$7&gt;=17,34,$AZ$7&gt;=11,33,$AZ$7&gt;=6,32,$AZ$7&gt;=3,31,1,0)</f>
        <v>0</v>
      </c>
    </row>
    <row r="127" spans="1:88" ht="16.149999999999999" customHeight="1" x14ac:dyDescent="0.15">
      <c r="A127" s="140">
        <v>94</v>
      </c>
      <c r="B127" s="166">
        <v>3</v>
      </c>
      <c r="C127" s="180" t="s">
        <v>7842</v>
      </c>
      <c r="D127" s="233" t="s">
        <v>7862</v>
      </c>
      <c r="E127" s="148">
        <v>3</v>
      </c>
      <c r="F127" s="179" t="s">
        <v>7827</v>
      </c>
      <c r="G127" s="240" t="s">
        <v>7828</v>
      </c>
      <c r="H127" s="148">
        <v>3</v>
      </c>
      <c r="I127" s="237" t="s">
        <v>6563</v>
      </c>
      <c r="J127" s="236" t="s">
        <v>6569</v>
      </c>
      <c r="K127" s="148">
        <v>6</v>
      </c>
      <c r="L127" s="235" t="s">
        <v>7769</v>
      </c>
      <c r="M127" s="270" t="s">
        <v>7770</v>
      </c>
      <c r="N127" s="148">
        <v>10</v>
      </c>
      <c r="O127" s="169" t="s">
        <v>5415</v>
      </c>
      <c r="P127" s="183" t="s">
        <v>5416</v>
      </c>
      <c r="Q127" s="148">
        <v>3</v>
      </c>
      <c r="R127" s="180" t="s">
        <v>6602</v>
      </c>
      <c r="S127" s="233" t="s">
        <v>6603</v>
      </c>
      <c r="T127" s="148">
        <v>3</v>
      </c>
      <c r="U127" s="235" t="s">
        <v>7645</v>
      </c>
      <c r="V127" s="270" t="s">
        <v>7646</v>
      </c>
      <c r="W127" s="148">
        <v>15</v>
      </c>
      <c r="X127" s="179" t="s">
        <v>7630</v>
      </c>
      <c r="Y127" s="240" t="s">
        <v>7631</v>
      </c>
      <c r="Z127" s="148">
        <v>3</v>
      </c>
      <c r="AA127" s="237" t="s">
        <v>7551</v>
      </c>
      <c r="AB127" s="236" t="s">
        <v>7613</v>
      </c>
      <c r="AC127" s="148">
        <v>14</v>
      </c>
      <c r="AD127" s="235" t="s">
        <v>7523</v>
      </c>
      <c r="AE127" s="270" t="s">
        <v>7538</v>
      </c>
      <c r="AF127" s="148">
        <v>10</v>
      </c>
      <c r="AG127" s="148" t="s">
        <v>5395</v>
      </c>
      <c r="AH127" s="153" t="s">
        <v>5396</v>
      </c>
      <c r="AI127" s="180">
        <v>14</v>
      </c>
      <c r="AJ127" s="237" t="s">
        <v>7454</v>
      </c>
      <c r="AK127" s="236" t="s">
        <v>7479</v>
      </c>
      <c r="AU127" s="148">
        <v>3</v>
      </c>
      <c r="AV127" s="169" t="s">
        <v>6075</v>
      </c>
      <c r="AW127" s="183" t="s">
        <v>6076</v>
      </c>
      <c r="BA127" s="148">
        <v>11</v>
      </c>
      <c r="BB127" s="237" t="s">
        <v>8482</v>
      </c>
      <c r="BC127" s="236" t="s">
        <v>8483</v>
      </c>
      <c r="BO127" s="153"/>
      <c r="CH127" s="148" t="s">
        <v>3618</v>
      </c>
      <c r="CI127" s="148">
        <v>35</v>
      </c>
      <c r="CJ127" s="148" cm="1">
        <f t="array" ref="CJ127">_xlfn.IFS($AZ$7&gt;=17,38,$AZ$7&gt;=11,37,$AZ$7&gt;=6,36,$AZ$7&gt;=3,35,1,0)</f>
        <v>0</v>
      </c>
    </row>
    <row r="128" spans="1:88" ht="16.149999999999999" customHeight="1" x14ac:dyDescent="0.15">
      <c r="A128" s="140">
        <v>95</v>
      </c>
      <c r="B128" s="166">
        <v>6</v>
      </c>
      <c r="C128" s="180" t="s">
        <v>7843</v>
      </c>
      <c r="D128" s="233" t="s">
        <v>7863</v>
      </c>
      <c r="E128" s="148">
        <v>3</v>
      </c>
      <c r="F128" s="179" t="s">
        <v>7829</v>
      </c>
      <c r="G128" s="240" t="s">
        <v>7830</v>
      </c>
      <c r="H128" s="148">
        <v>3</v>
      </c>
      <c r="I128" s="237" t="s">
        <v>6564</v>
      </c>
      <c r="J128" s="236" t="s">
        <v>6570</v>
      </c>
      <c r="K128" s="148">
        <v>10</v>
      </c>
      <c r="L128" s="235" t="s">
        <v>7771</v>
      </c>
      <c r="M128" s="270" t="s">
        <v>7772</v>
      </c>
      <c r="N128" s="148">
        <v>15</v>
      </c>
      <c r="O128" s="169" t="s">
        <v>5420</v>
      </c>
      <c r="P128" s="183" t="s">
        <v>5421</v>
      </c>
      <c r="Q128" s="148">
        <v>6</v>
      </c>
      <c r="R128" s="180" t="s">
        <v>6604</v>
      </c>
      <c r="S128" s="233" t="s">
        <v>6605</v>
      </c>
      <c r="T128" s="148">
        <v>3</v>
      </c>
      <c r="U128" s="235" t="s">
        <v>7647</v>
      </c>
      <c r="V128" s="270" t="s">
        <v>7648</v>
      </c>
      <c r="W128" s="148">
        <v>3</v>
      </c>
      <c r="X128" s="235" t="s">
        <v>9222</v>
      </c>
      <c r="Y128" s="270" t="s">
        <v>9223</v>
      </c>
      <c r="AA128" s="265" t="s">
        <v>7552</v>
      </c>
      <c r="AB128" s="266" t="s">
        <v>7553</v>
      </c>
      <c r="AC128" s="148">
        <v>18</v>
      </c>
      <c r="AD128" s="235" t="s">
        <v>7524</v>
      </c>
      <c r="AE128" s="270" t="s">
        <v>7539</v>
      </c>
      <c r="AF128" s="148">
        <v>14</v>
      </c>
      <c r="AG128" s="148" t="s">
        <v>5399</v>
      </c>
      <c r="AH128" s="153" t="s">
        <v>5400</v>
      </c>
      <c r="AI128" s="180">
        <v>3</v>
      </c>
      <c r="AJ128" s="180" t="s">
        <v>7455</v>
      </c>
      <c r="AK128" s="233" t="s">
        <v>7456</v>
      </c>
      <c r="AU128" s="148">
        <v>6</v>
      </c>
      <c r="AV128" s="169" t="s">
        <v>6077</v>
      </c>
      <c r="AW128" s="183" t="s">
        <v>6078</v>
      </c>
      <c r="BA128" s="148">
        <v>13</v>
      </c>
      <c r="BB128" s="237" t="s">
        <v>8484</v>
      </c>
      <c r="BC128" s="236" t="s">
        <v>8485</v>
      </c>
      <c r="BO128" s="153"/>
      <c r="CH128" s="148" t="s">
        <v>3619</v>
      </c>
      <c r="CI128" s="148">
        <v>39</v>
      </c>
      <c r="CJ128" s="148" cm="1">
        <f t="array" ref="CJ128">_xlfn.IFS($AZ$7&gt;=17,43,$AZ$7&gt;=11,42,$AZ$7&gt;=6,41,$AZ$7&gt;=3,40,1,0)</f>
        <v>0</v>
      </c>
    </row>
    <row r="129" spans="1:88" ht="16.149999999999999" customHeight="1" x14ac:dyDescent="0.15">
      <c r="A129" s="140">
        <v>96</v>
      </c>
      <c r="B129" s="166">
        <v>10</v>
      </c>
      <c r="C129" s="180" t="s">
        <v>7844</v>
      </c>
      <c r="D129" s="233" t="s">
        <v>7864</v>
      </c>
      <c r="E129" s="148">
        <v>6</v>
      </c>
      <c r="F129" s="179" t="s">
        <v>7831</v>
      </c>
      <c r="G129" s="240" t="s">
        <v>7832</v>
      </c>
      <c r="H129" s="148">
        <v>3</v>
      </c>
      <c r="I129" s="237" t="s">
        <v>6565</v>
      </c>
      <c r="J129" s="236" t="s">
        <v>6571</v>
      </c>
      <c r="K129" s="148">
        <v>14</v>
      </c>
      <c r="L129" s="235" t="s">
        <v>7773</v>
      </c>
      <c r="M129" s="270" t="s">
        <v>7774</v>
      </c>
      <c r="N129" s="148">
        <v>18</v>
      </c>
      <c r="O129" s="169" t="s">
        <v>5424</v>
      </c>
      <c r="P129" s="183" t="s">
        <v>5425</v>
      </c>
      <c r="Q129" s="148">
        <v>6</v>
      </c>
      <c r="R129" s="180" t="s">
        <v>6606</v>
      </c>
      <c r="S129" s="233" t="s">
        <v>6607</v>
      </c>
      <c r="T129" s="148">
        <v>7</v>
      </c>
      <c r="U129" s="235" t="s">
        <v>7649</v>
      </c>
      <c r="V129" s="270" t="s">
        <v>7650</v>
      </c>
      <c r="W129" s="148">
        <v>3</v>
      </c>
      <c r="X129" s="237" t="s">
        <v>9224</v>
      </c>
      <c r="Y129" s="236" t="s">
        <v>9229</v>
      </c>
      <c r="AA129" s="265" t="s">
        <v>7554</v>
      </c>
      <c r="AB129" s="266" t="s">
        <v>7555</v>
      </c>
      <c r="AC129" s="148">
        <v>3</v>
      </c>
      <c r="AD129" s="179" t="s">
        <v>7525</v>
      </c>
      <c r="AE129" s="240" t="s">
        <v>7526</v>
      </c>
      <c r="AF129" s="148">
        <v>3</v>
      </c>
      <c r="AG129" s="169" t="s">
        <v>5403</v>
      </c>
      <c r="AH129" s="183" t="s">
        <v>5404</v>
      </c>
      <c r="AI129" s="180">
        <v>3</v>
      </c>
      <c r="AJ129" s="180" t="s">
        <v>6877</v>
      </c>
      <c r="AK129" s="233" t="s">
        <v>7457</v>
      </c>
      <c r="AU129" s="148">
        <v>6</v>
      </c>
      <c r="AV129" s="169" t="s">
        <v>6079</v>
      </c>
      <c r="AW129" s="183" t="s">
        <v>6080</v>
      </c>
      <c r="BA129" s="148">
        <v>15</v>
      </c>
      <c r="BB129" s="237" t="s">
        <v>8486</v>
      </c>
      <c r="BC129" s="236" t="s">
        <v>8487</v>
      </c>
      <c r="BO129" s="153"/>
      <c r="CH129" s="148" t="s">
        <v>3620</v>
      </c>
      <c r="CI129" s="148">
        <v>44</v>
      </c>
      <c r="CJ129" s="148" cm="1">
        <f t="array" ref="CJ129">_xlfn.IFS($AZ$7&gt;=17,47,$AZ$7&gt;=11,46,$AZ$7&gt;=6,45,$AZ$7&gt;=3,44,1,0)</f>
        <v>0</v>
      </c>
    </row>
    <row r="130" spans="1:88" ht="16.149999999999999" customHeight="1" x14ac:dyDescent="0.15">
      <c r="A130" s="140">
        <v>97</v>
      </c>
      <c r="B130" s="166">
        <v>14</v>
      </c>
      <c r="C130" s="180" t="s">
        <v>7845</v>
      </c>
      <c r="D130" s="233" t="s">
        <v>7865</v>
      </c>
      <c r="E130" s="148">
        <v>6</v>
      </c>
      <c r="F130" s="179" t="s">
        <v>7833</v>
      </c>
      <c r="G130" s="240" t="s">
        <v>7834</v>
      </c>
      <c r="H130" s="148">
        <v>6</v>
      </c>
      <c r="I130" s="237" t="s">
        <v>6566</v>
      </c>
      <c r="J130" s="236" t="s">
        <v>6572</v>
      </c>
      <c r="K130" s="148">
        <v>3</v>
      </c>
      <c r="L130" s="179" t="s">
        <v>7775</v>
      </c>
      <c r="M130" s="240" t="s">
        <v>7776</v>
      </c>
      <c r="N130" s="148">
        <v>3</v>
      </c>
      <c r="O130" s="148" t="s">
        <v>5428</v>
      </c>
      <c r="P130" s="153" t="s">
        <v>5429</v>
      </c>
      <c r="Q130" s="148">
        <v>11</v>
      </c>
      <c r="R130" s="180" t="s">
        <v>6608</v>
      </c>
      <c r="S130" s="233" t="s">
        <v>6609</v>
      </c>
      <c r="T130" s="148">
        <v>15</v>
      </c>
      <c r="U130" s="235" t="s">
        <v>7651</v>
      </c>
      <c r="V130" s="270" t="s">
        <v>7652</v>
      </c>
      <c r="W130" s="148">
        <v>3</v>
      </c>
      <c r="X130" s="237" t="s">
        <v>9225</v>
      </c>
      <c r="Y130" s="236" t="s">
        <v>9230</v>
      </c>
      <c r="AA130" s="181" t="s">
        <v>7556</v>
      </c>
      <c r="AB130" s="188" t="s">
        <v>7557</v>
      </c>
      <c r="AC130" s="148">
        <v>3</v>
      </c>
      <c r="AD130" s="179" t="s">
        <v>7527</v>
      </c>
      <c r="AE130" s="240" t="s">
        <v>7528</v>
      </c>
      <c r="AF130" s="148">
        <v>3</v>
      </c>
      <c r="AG130" s="169" t="s">
        <v>5408</v>
      </c>
      <c r="AH130" s="183" t="s">
        <v>5409</v>
      </c>
      <c r="AI130" s="180">
        <v>6</v>
      </c>
      <c r="AJ130" s="180" t="s">
        <v>7458</v>
      </c>
      <c r="AK130" s="233" t="s">
        <v>7459</v>
      </c>
      <c r="AU130" s="148">
        <v>10</v>
      </c>
      <c r="AV130" s="169" t="s">
        <v>6081</v>
      </c>
      <c r="AW130" s="183" t="s">
        <v>6082</v>
      </c>
      <c r="BA130" s="148">
        <v>18</v>
      </c>
      <c r="BB130" s="237" t="s">
        <v>8488</v>
      </c>
      <c r="BC130" s="236" t="s">
        <v>8489</v>
      </c>
      <c r="BO130" s="153"/>
      <c r="CH130" s="148" t="s">
        <v>4838</v>
      </c>
      <c r="CI130" s="148">
        <v>48</v>
      </c>
      <c r="CJ130" s="148" cm="1">
        <f t="array" ref="CJ130">_xlfn.IFS($AZ$7&gt;=17,52,$AZ$7&gt;=11,51,$AZ$7&gt;=6,50,$AZ$7&gt;=3,49,1,0)</f>
        <v>0</v>
      </c>
    </row>
    <row r="131" spans="1:88" ht="16.149999999999999" customHeight="1" x14ac:dyDescent="0.15">
      <c r="A131" s="140">
        <v>98</v>
      </c>
      <c r="B131" s="166">
        <v>3</v>
      </c>
      <c r="C131" s="237" t="s">
        <v>7846</v>
      </c>
      <c r="D131" s="236" t="s">
        <v>7866</v>
      </c>
      <c r="E131" s="148">
        <v>14</v>
      </c>
      <c r="F131" s="179" t="s">
        <v>7835</v>
      </c>
      <c r="G131" s="240" t="s">
        <v>7836</v>
      </c>
      <c r="H131" s="148">
        <v>6</v>
      </c>
      <c r="I131" s="237" t="s">
        <v>6567</v>
      </c>
      <c r="J131" s="236" t="s">
        <v>6573</v>
      </c>
      <c r="K131" s="148">
        <v>3</v>
      </c>
      <c r="L131" s="179" t="s">
        <v>7777</v>
      </c>
      <c r="M131" s="240" t="s">
        <v>7778</v>
      </c>
      <c r="N131" s="148">
        <v>3</v>
      </c>
      <c r="O131" s="148" t="s">
        <v>5432</v>
      </c>
      <c r="P131" s="153" t="s">
        <v>5433</v>
      </c>
      <c r="Q131" s="148">
        <v>17</v>
      </c>
      <c r="R131" s="180" t="s">
        <v>6610</v>
      </c>
      <c r="S131" s="233" t="s">
        <v>6611</v>
      </c>
      <c r="T131" s="148">
        <v>20</v>
      </c>
      <c r="U131" s="235" t="s">
        <v>7653</v>
      </c>
      <c r="V131" s="270" t="s">
        <v>7654</v>
      </c>
      <c r="W131" s="148">
        <v>7</v>
      </c>
      <c r="X131" s="237" t="s">
        <v>9226</v>
      </c>
      <c r="Y131" s="236" t="s">
        <v>9231</v>
      </c>
      <c r="AA131" s="181" t="s">
        <v>7558</v>
      </c>
      <c r="AB131" s="188" t="s">
        <v>7559</v>
      </c>
      <c r="AC131" s="148">
        <v>6</v>
      </c>
      <c r="AD131" s="179" t="s">
        <v>7529</v>
      </c>
      <c r="AE131" s="240" t="s">
        <v>7530</v>
      </c>
      <c r="AF131" s="148">
        <v>3</v>
      </c>
      <c r="AG131" s="169" t="s">
        <v>5413</v>
      </c>
      <c r="AH131" s="183" t="s">
        <v>5414</v>
      </c>
      <c r="AI131" s="148">
        <v>10</v>
      </c>
      <c r="AJ131" s="179" t="s">
        <v>7460</v>
      </c>
      <c r="AK131" s="240" t="s">
        <v>7461</v>
      </c>
      <c r="AU131" s="148">
        <v>14</v>
      </c>
      <c r="AV131" s="169" t="s">
        <v>6083</v>
      </c>
      <c r="AW131" s="183" t="s">
        <v>6084</v>
      </c>
      <c r="BO131" s="153"/>
      <c r="CH131" s="148" t="s">
        <v>4859</v>
      </c>
      <c r="CI131" s="148">
        <v>53</v>
      </c>
      <c r="CJ131" s="148" cm="1">
        <f t="array" ref="CJ131">_xlfn.IFS($AZ$7&gt;=17,56,$AZ$7&gt;=11,55,$AZ$7&gt;=6,54,$AZ$7&gt;=3,53,1,0)</f>
        <v>0</v>
      </c>
    </row>
    <row r="132" spans="1:88" ht="16.149999999999999" customHeight="1" x14ac:dyDescent="0.15">
      <c r="A132" s="140">
        <v>99</v>
      </c>
      <c r="B132" s="166">
        <v>3</v>
      </c>
      <c r="C132" s="237" t="s">
        <v>7847</v>
      </c>
      <c r="D132" s="236" t="s">
        <v>7867</v>
      </c>
      <c r="E132" s="148">
        <v>3</v>
      </c>
      <c r="F132" s="237" t="s">
        <v>8706</v>
      </c>
      <c r="G132" s="236" t="s">
        <v>8710</v>
      </c>
      <c r="H132" s="148">
        <v>17</v>
      </c>
      <c r="I132" s="237" t="s">
        <v>6568</v>
      </c>
      <c r="J132" s="238" t="s">
        <v>6574</v>
      </c>
      <c r="K132" s="148">
        <v>3</v>
      </c>
      <c r="L132" s="179" t="s">
        <v>7779</v>
      </c>
      <c r="M132" s="240" t="s">
        <v>7780</v>
      </c>
      <c r="N132" s="148">
        <v>3</v>
      </c>
      <c r="O132" s="148" t="s">
        <v>5436</v>
      </c>
      <c r="P132" s="153" t="s">
        <v>5437</v>
      </c>
      <c r="Q132" s="148">
        <v>3</v>
      </c>
      <c r="R132" s="237" t="s">
        <v>7669</v>
      </c>
      <c r="S132" s="236" t="s">
        <v>7670</v>
      </c>
      <c r="T132" s="148">
        <v>3</v>
      </c>
      <c r="U132" s="179" t="s">
        <v>8789</v>
      </c>
      <c r="V132" s="240" t="s">
        <v>8790</v>
      </c>
      <c r="W132" s="148">
        <v>11</v>
      </c>
      <c r="X132" s="237" t="s">
        <v>9227</v>
      </c>
      <c r="Y132" s="236" t="s">
        <v>9232</v>
      </c>
      <c r="AA132" s="181" t="s">
        <v>7560</v>
      </c>
      <c r="AB132" s="188" t="s">
        <v>7561</v>
      </c>
      <c r="AC132" s="148">
        <v>6</v>
      </c>
      <c r="AD132" s="179" t="s">
        <v>7531</v>
      </c>
      <c r="AE132" s="240" t="s">
        <v>7532</v>
      </c>
      <c r="AF132" s="148">
        <v>6</v>
      </c>
      <c r="AG132" s="169" t="s">
        <v>5417</v>
      </c>
      <c r="AH132" s="183" t="s">
        <v>5418</v>
      </c>
      <c r="AI132" s="148">
        <v>14</v>
      </c>
      <c r="AJ132" s="179" t="s">
        <v>7462</v>
      </c>
      <c r="AK132" s="240" t="s">
        <v>7463</v>
      </c>
      <c r="AU132" s="148">
        <v>18</v>
      </c>
      <c r="AV132" s="169" t="s">
        <v>6085</v>
      </c>
      <c r="AW132" s="183" t="s">
        <v>6086</v>
      </c>
      <c r="BO132" s="153"/>
      <c r="CH132" s="148" t="s">
        <v>4881</v>
      </c>
      <c r="CI132" s="148">
        <v>57</v>
      </c>
      <c r="CJ132" s="148" cm="1">
        <f t="array" ref="CJ132">_xlfn.IFS($AZ$7&gt;=17,60,$AZ$7&gt;=11,59,$AZ$7&gt;=6,58,$AZ$7&gt;=3,57,1,0)</f>
        <v>0</v>
      </c>
    </row>
    <row r="133" spans="1:88" ht="16.149999999999999" customHeight="1" x14ac:dyDescent="0.15">
      <c r="A133" s="140">
        <v>100</v>
      </c>
      <c r="B133" s="166">
        <v>6</v>
      </c>
      <c r="C133" s="237" t="s">
        <v>7848</v>
      </c>
      <c r="D133" s="236" t="s">
        <v>7868</v>
      </c>
      <c r="E133" s="148">
        <v>3</v>
      </c>
      <c r="F133" s="237" t="s">
        <v>8707</v>
      </c>
      <c r="G133" s="236" t="s">
        <v>8711</v>
      </c>
      <c r="H133" s="148">
        <v>3</v>
      </c>
      <c r="I133" s="180" t="s">
        <v>7791</v>
      </c>
      <c r="J133" s="268" t="s">
        <v>7792</v>
      </c>
      <c r="K133" s="148">
        <v>6</v>
      </c>
      <c r="L133" s="179" t="s">
        <v>7781</v>
      </c>
      <c r="M133" s="240" t="s">
        <v>7782</v>
      </c>
      <c r="N133" s="148">
        <v>3</v>
      </c>
      <c r="O133" s="148" t="s">
        <v>5441</v>
      </c>
      <c r="P133" s="153" t="s">
        <v>5442</v>
      </c>
      <c r="Q133" s="148">
        <v>3</v>
      </c>
      <c r="R133" s="237" t="s">
        <v>7671</v>
      </c>
      <c r="S133" s="236" t="s">
        <v>7672</v>
      </c>
      <c r="T133" s="148">
        <v>3</v>
      </c>
      <c r="U133" s="180" t="s">
        <v>6620</v>
      </c>
      <c r="V133" s="233" t="s">
        <v>8794</v>
      </c>
      <c r="W133" s="148">
        <v>15</v>
      </c>
      <c r="X133" s="237" t="s">
        <v>9228</v>
      </c>
      <c r="Y133" s="236" t="s">
        <v>9233</v>
      </c>
      <c r="AA133" s="181" t="s">
        <v>7562</v>
      </c>
      <c r="AB133" s="188" t="s">
        <v>7563</v>
      </c>
      <c r="AC133" s="148">
        <v>14</v>
      </c>
      <c r="AD133" s="179" t="s">
        <v>7533</v>
      </c>
      <c r="AE133" s="240" t="s">
        <v>7534</v>
      </c>
      <c r="AF133" s="148">
        <v>10</v>
      </c>
      <c r="AG133" s="169" t="s">
        <v>5422</v>
      </c>
      <c r="AH133" s="183" t="s">
        <v>5423</v>
      </c>
      <c r="AI133" s="148">
        <v>3</v>
      </c>
      <c r="AJ133" s="235" t="s">
        <v>7464</v>
      </c>
      <c r="AK133" s="270" t="s">
        <v>7465</v>
      </c>
      <c r="AU133" s="148">
        <v>3</v>
      </c>
      <c r="AV133" s="148" t="s">
        <v>6087</v>
      </c>
      <c r="AW133" s="153" t="s">
        <v>6088</v>
      </c>
      <c r="BO133" s="153"/>
      <c r="CH133" s="148" t="s">
        <v>4903</v>
      </c>
      <c r="CI133" s="148">
        <v>61</v>
      </c>
      <c r="CJ133" s="148" cm="1">
        <f t="array" ref="CJ133">_xlfn.IFS($AZ$7&gt;=17,64,$AZ$7&gt;=11,63,$AZ$7&gt;=6,62,$AZ$7&gt;=3,61,1,0)</f>
        <v>0</v>
      </c>
    </row>
    <row r="134" spans="1:88" ht="16.149999999999999" customHeight="1" x14ac:dyDescent="0.15">
      <c r="A134" s="140">
        <v>101</v>
      </c>
      <c r="B134" s="166">
        <v>10</v>
      </c>
      <c r="C134" s="237" t="s">
        <v>7849</v>
      </c>
      <c r="D134" s="236" t="s">
        <v>7869</v>
      </c>
      <c r="E134" s="148">
        <v>6</v>
      </c>
      <c r="F134" s="237" t="s">
        <v>8708</v>
      </c>
      <c r="G134" s="236" t="s">
        <v>8712</v>
      </c>
      <c r="H134" s="148">
        <v>3</v>
      </c>
      <c r="I134" s="179" t="s">
        <v>7793</v>
      </c>
      <c r="J134" s="240" t="s">
        <v>7794</v>
      </c>
      <c r="K134" s="148">
        <v>10</v>
      </c>
      <c r="L134" s="179" t="s">
        <v>7783</v>
      </c>
      <c r="M134" s="240" t="s">
        <v>7784</v>
      </c>
      <c r="N134" s="148">
        <v>3</v>
      </c>
      <c r="O134" s="148" t="s">
        <v>5445</v>
      </c>
      <c r="P134" s="153" t="s">
        <v>5446</v>
      </c>
      <c r="Q134" s="148">
        <v>6</v>
      </c>
      <c r="R134" s="237" t="s">
        <v>7673</v>
      </c>
      <c r="S134" s="236" t="s">
        <v>7674</v>
      </c>
      <c r="T134" s="148">
        <v>7</v>
      </c>
      <c r="U134" s="180" t="s">
        <v>8791</v>
      </c>
      <c r="V134" s="233" t="s">
        <v>8795</v>
      </c>
      <c r="W134" s="148">
        <v>3</v>
      </c>
      <c r="X134" s="179" t="s">
        <v>9884</v>
      </c>
      <c r="Y134" s="240" t="s">
        <v>9885</v>
      </c>
      <c r="AA134" s="181" t="s">
        <v>7564</v>
      </c>
      <c r="AB134" s="188" t="s">
        <v>7565</v>
      </c>
      <c r="AC134" s="148">
        <v>18</v>
      </c>
      <c r="AD134" s="179" t="s">
        <v>7535</v>
      </c>
      <c r="AE134" s="240" t="s">
        <v>7536</v>
      </c>
      <c r="AF134" s="148">
        <v>14</v>
      </c>
      <c r="AG134" s="169" t="s">
        <v>5426</v>
      </c>
      <c r="AH134" s="183" t="s">
        <v>5427</v>
      </c>
      <c r="AI134" s="148">
        <v>3</v>
      </c>
      <c r="AJ134" s="235" t="s">
        <v>7466</v>
      </c>
      <c r="AK134" s="270" t="s">
        <v>7467</v>
      </c>
      <c r="AU134" s="148">
        <v>3</v>
      </c>
      <c r="AV134" s="148" t="s">
        <v>6090</v>
      </c>
      <c r="AW134" s="153" t="s">
        <v>6091</v>
      </c>
      <c r="BO134" s="153"/>
      <c r="CH134" s="148" t="s">
        <v>4927</v>
      </c>
      <c r="CI134" s="148">
        <v>65</v>
      </c>
      <c r="CJ134" s="148" cm="1">
        <f t="array" ref="CJ134">_xlfn.IFS($AZ$7&gt;=17,70,$AZ$7&gt;=11,69,$AZ$7&gt;=6,68,$AZ$7&gt;=3,67,1,0)</f>
        <v>0</v>
      </c>
    </row>
    <row r="135" spans="1:88" ht="16.149999999999999" customHeight="1" x14ac:dyDescent="0.15">
      <c r="A135" s="140">
        <v>102</v>
      </c>
      <c r="B135" s="166">
        <v>14</v>
      </c>
      <c r="C135" s="237" t="s">
        <v>7850</v>
      </c>
      <c r="D135" s="236" t="s">
        <v>7870</v>
      </c>
      <c r="E135" s="148">
        <v>14</v>
      </c>
      <c r="F135" s="237" t="s">
        <v>8709</v>
      </c>
      <c r="G135" s="236" t="s">
        <v>8713</v>
      </c>
      <c r="H135" s="148">
        <v>3</v>
      </c>
      <c r="I135" s="179" t="s">
        <v>7795</v>
      </c>
      <c r="J135" s="240" t="s">
        <v>7796</v>
      </c>
      <c r="K135" s="148">
        <v>14</v>
      </c>
      <c r="L135" s="179" t="s">
        <v>7785</v>
      </c>
      <c r="M135" s="240" t="s">
        <v>7786</v>
      </c>
      <c r="N135" s="148">
        <v>3</v>
      </c>
      <c r="O135" s="148" t="s">
        <v>5450</v>
      </c>
      <c r="P135" s="153" t="s">
        <v>5451</v>
      </c>
      <c r="Q135" s="148">
        <v>11</v>
      </c>
      <c r="R135" s="237" t="s">
        <v>7675</v>
      </c>
      <c r="S135" s="236" t="s">
        <v>7676</v>
      </c>
      <c r="T135" s="148">
        <v>15</v>
      </c>
      <c r="U135" s="180" t="s">
        <v>8792</v>
      </c>
      <c r="V135" s="268" t="s">
        <v>8796</v>
      </c>
      <c r="W135" s="148">
        <v>3</v>
      </c>
      <c r="X135" s="179" t="s">
        <v>9886</v>
      </c>
      <c r="Y135" s="240" t="s">
        <v>9887</v>
      </c>
      <c r="AA135" s="181" t="s">
        <v>7566</v>
      </c>
      <c r="AB135" s="188" t="s">
        <v>7567</v>
      </c>
      <c r="AC135" s="148">
        <v>3</v>
      </c>
      <c r="AD135" s="237" t="s">
        <v>9244</v>
      </c>
      <c r="AE135" s="236" t="s">
        <v>9248</v>
      </c>
      <c r="AF135" s="148">
        <v>3</v>
      </c>
      <c r="AG135" s="148" t="s">
        <v>5430</v>
      </c>
      <c r="AH135" s="153" t="s">
        <v>5431</v>
      </c>
      <c r="AI135" s="148">
        <v>6</v>
      </c>
      <c r="AJ135" s="235" t="s">
        <v>7468</v>
      </c>
      <c r="AK135" s="270" t="s">
        <v>7469</v>
      </c>
      <c r="AU135" s="148">
        <v>3</v>
      </c>
      <c r="AV135" s="148" t="s">
        <v>6092</v>
      </c>
      <c r="AW135" s="153" t="s">
        <v>6093</v>
      </c>
      <c r="BO135" s="153"/>
      <c r="CH135" s="148" t="s">
        <v>4952</v>
      </c>
      <c r="CI135" s="148">
        <v>71</v>
      </c>
      <c r="CJ135" s="148" cm="1">
        <f t="array" ref="CJ135">_xlfn.IFS($AZ$7&gt;=17,75,$AZ$7&gt;=11,74,$AZ$7&gt;=6,73,$AZ$7&gt;=3,72,1,0)</f>
        <v>0</v>
      </c>
    </row>
    <row r="136" spans="1:88" ht="16.149999999999999" customHeight="1" x14ac:dyDescent="0.15">
      <c r="A136" s="140">
        <v>103</v>
      </c>
      <c r="B136" s="166">
        <v>3</v>
      </c>
      <c r="C136" s="179" t="s">
        <v>7851</v>
      </c>
      <c r="D136" s="240" t="s">
        <v>7852</v>
      </c>
      <c r="E136" s="148">
        <v>3</v>
      </c>
      <c r="F136" s="239" t="s">
        <v>9016</v>
      </c>
      <c r="G136" s="240" t="s">
        <v>9017</v>
      </c>
      <c r="H136" s="148">
        <v>3</v>
      </c>
      <c r="I136" s="179" t="s">
        <v>7797</v>
      </c>
      <c r="J136" s="240" t="s">
        <v>7798</v>
      </c>
      <c r="K136" s="148">
        <v>3</v>
      </c>
      <c r="L136" s="237" t="s">
        <v>9112</v>
      </c>
      <c r="M136" s="236" t="s">
        <v>9117</v>
      </c>
      <c r="N136" s="148">
        <v>3</v>
      </c>
      <c r="O136" s="148" t="s">
        <v>5044</v>
      </c>
      <c r="P136" s="153" t="s">
        <v>5455</v>
      </c>
      <c r="Q136" s="148">
        <v>17</v>
      </c>
      <c r="R136" s="237" t="s">
        <v>7677</v>
      </c>
      <c r="S136" s="236" t="s">
        <v>7678</v>
      </c>
      <c r="T136" s="148">
        <v>20</v>
      </c>
      <c r="U136" s="180" t="s">
        <v>8793</v>
      </c>
      <c r="V136" s="233" t="s">
        <v>8797</v>
      </c>
      <c r="W136" s="148">
        <v>3</v>
      </c>
      <c r="X136" s="179" t="s">
        <v>9888</v>
      </c>
      <c r="Y136" s="240" t="s">
        <v>9889</v>
      </c>
      <c r="AA136" s="181" t="s">
        <v>7568</v>
      </c>
      <c r="AB136" s="188" t="s">
        <v>7569</v>
      </c>
      <c r="AC136" s="148">
        <v>3</v>
      </c>
      <c r="AD136" s="237" t="s">
        <v>9245</v>
      </c>
      <c r="AE136" s="236" t="s">
        <v>9249</v>
      </c>
      <c r="AF136" s="148">
        <v>3</v>
      </c>
      <c r="AG136" s="148" t="s">
        <v>5434</v>
      </c>
      <c r="AH136" s="153" t="s">
        <v>5435</v>
      </c>
      <c r="AI136" s="148">
        <v>10</v>
      </c>
      <c r="AJ136" s="235" t="s">
        <v>7470</v>
      </c>
      <c r="AK136" s="270" t="s">
        <v>7471</v>
      </c>
      <c r="AV136" s="148" t="s">
        <v>6094</v>
      </c>
      <c r="AW136" s="153" t="s">
        <v>6095</v>
      </c>
      <c r="BO136" s="153"/>
      <c r="CH136" s="180" t="s">
        <v>6313</v>
      </c>
      <c r="CI136" s="148">
        <v>76</v>
      </c>
      <c r="CJ136" s="148" cm="1">
        <f t="array" ref="CJ136">_xlfn.IFS($AZ$7&gt;=17,80,$AZ$7&gt;=11,79,$AZ$7&gt;=6,78,$AZ$7&gt;=3,77,1,0)</f>
        <v>0</v>
      </c>
    </row>
    <row r="137" spans="1:88" ht="16.149999999999999" customHeight="1" x14ac:dyDescent="0.15">
      <c r="A137" s="140">
        <v>104</v>
      </c>
      <c r="B137" s="166">
        <v>3</v>
      </c>
      <c r="C137" s="179" t="s">
        <v>7853</v>
      </c>
      <c r="D137" s="240" t="s">
        <v>7854</v>
      </c>
      <c r="E137" s="148">
        <v>3</v>
      </c>
      <c r="F137" s="239" t="s">
        <v>9018</v>
      </c>
      <c r="G137" s="305" t="s">
        <v>9019</v>
      </c>
      <c r="H137" s="148">
        <v>6</v>
      </c>
      <c r="I137" s="179" t="s">
        <v>7799</v>
      </c>
      <c r="J137" s="240" t="s">
        <v>7800</v>
      </c>
      <c r="K137" s="148">
        <v>3</v>
      </c>
      <c r="L137" s="237" t="s">
        <v>9113</v>
      </c>
      <c r="M137" s="236" t="s">
        <v>9118</v>
      </c>
      <c r="N137" s="148">
        <v>7</v>
      </c>
      <c r="O137" s="148" t="s">
        <v>5458</v>
      </c>
      <c r="P137" s="153" t="s">
        <v>5459</v>
      </c>
      <c r="Q137" s="148">
        <v>3</v>
      </c>
      <c r="R137" s="180" t="s">
        <v>7679</v>
      </c>
      <c r="S137" s="233" t="s">
        <v>7696</v>
      </c>
      <c r="T137" s="148">
        <v>3</v>
      </c>
      <c r="U137" s="235" t="s">
        <v>9201</v>
      </c>
      <c r="V137" s="270" t="s">
        <v>9202</v>
      </c>
      <c r="W137" s="148">
        <v>7</v>
      </c>
      <c r="X137" s="179" t="s">
        <v>9890</v>
      </c>
      <c r="Y137" s="240" t="s">
        <v>9891</v>
      </c>
      <c r="AA137" s="181" t="s">
        <v>7570</v>
      </c>
      <c r="AB137" s="188" t="s">
        <v>7571</v>
      </c>
      <c r="AC137" s="148">
        <v>6</v>
      </c>
      <c r="AD137" s="237" t="s">
        <v>2235</v>
      </c>
      <c r="AE137" s="236" t="s">
        <v>9250</v>
      </c>
      <c r="AF137" s="148">
        <v>3</v>
      </c>
      <c r="AG137" s="148" t="s">
        <v>5438</v>
      </c>
      <c r="AH137" s="153" t="s">
        <v>5439</v>
      </c>
      <c r="AI137" s="148">
        <v>14</v>
      </c>
      <c r="AJ137" s="235" t="s">
        <v>7472</v>
      </c>
      <c r="AK137" s="270" t="s">
        <v>7473</v>
      </c>
      <c r="AU137" s="148">
        <v>6</v>
      </c>
      <c r="AV137" s="148" t="s">
        <v>6096</v>
      </c>
      <c r="AW137" s="153" t="s">
        <v>6097</v>
      </c>
      <c r="BO137" s="153"/>
      <c r="CH137" s="180" t="s">
        <v>6314</v>
      </c>
      <c r="CI137" s="148">
        <v>81</v>
      </c>
      <c r="CJ137" s="148" cm="1">
        <f t="array" ref="CJ137">_xlfn.IFS($AZ$7&gt;=17,93,$AZ$7&gt;=11,92,$AZ$7&gt;=6,90,$AZ$7&gt;=3,89,1,0)</f>
        <v>0</v>
      </c>
    </row>
    <row r="138" spans="1:88" ht="16.149999999999999" customHeight="1" x14ac:dyDescent="0.15">
      <c r="A138" s="140">
        <v>105</v>
      </c>
      <c r="B138" s="166">
        <v>6</v>
      </c>
      <c r="C138" s="179" t="s">
        <v>7855</v>
      </c>
      <c r="D138" s="240" t="s">
        <v>7856</v>
      </c>
      <c r="E138" s="148">
        <v>3</v>
      </c>
      <c r="F138" s="239" t="s">
        <v>9020</v>
      </c>
      <c r="G138" s="240" t="s">
        <v>9021</v>
      </c>
      <c r="H138" s="148">
        <v>17</v>
      </c>
      <c r="I138" s="179" t="s">
        <v>7801</v>
      </c>
      <c r="J138" s="240" t="s">
        <v>7802</v>
      </c>
      <c r="K138" s="148">
        <v>6</v>
      </c>
      <c r="L138" s="237" t="s">
        <v>9114</v>
      </c>
      <c r="M138" s="236" t="s">
        <v>9119</v>
      </c>
      <c r="N138" s="148">
        <v>7</v>
      </c>
      <c r="O138" s="148" t="s">
        <v>5462</v>
      </c>
      <c r="P138" s="153" t="s">
        <v>5463</v>
      </c>
      <c r="Q138" s="148">
        <v>6</v>
      </c>
      <c r="R138" s="180" t="s">
        <v>7680</v>
      </c>
      <c r="S138" s="233" t="s">
        <v>7697</v>
      </c>
      <c r="T138" s="148">
        <v>3</v>
      </c>
      <c r="U138" s="237" t="s">
        <v>6620</v>
      </c>
      <c r="V138" s="236" t="s">
        <v>9217</v>
      </c>
      <c r="W138" s="148">
        <v>11</v>
      </c>
      <c r="X138" s="179" t="s">
        <v>9892</v>
      </c>
      <c r="Y138" s="240" t="s">
        <v>9893</v>
      </c>
      <c r="AA138" s="181" t="s">
        <v>7572</v>
      </c>
      <c r="AB138" s="188" t="s">
        <v>7573</v>
      </c>
      <c r="AC138" s="148">
        <v>14</v>
      </c>
      <c r="AD138" s="237" t="s">
        <v>9246</v>
      </c>
      <c r="AE138" s="236" t="s">
        <v>9251</v>
      </c>
      <c r="AF138" s="148">
        <v>3</v>
      </c>
      <c r="AG138" s="148" t="s">
        <v>5443</v>
      </c>
      <c r="AH138" s="153" t="s">
        <v>5444</v>
      </c>
      <c r="AI138" s="148">
        <v>3</v>
      </c>
      <c r="AJ138" s="179" t="s">
        <v>9131</v>
      </c>
      <c r="AK138" s="240" t="s">
        <v>9132</v>
      </c>
      <c r="AU138" s="148">
        <v>6</v>
      </c>
      <c r="AV138" s="148" t="s">
        <v>6098</v>
      </c>
      <c r="AW138" s="153" t="s">
        <v>6099</v>
      </c>
      <c r="BO138" s="153"/>
      <c r="CH138" s="180" t="s">
        <v>6578</v>
      </c>
      <c r="CI138" s="148">
        <v>94</v>
      </c>
      <c r="CJ138" s="148" cm="1">
        <f t="array" ref="CJ138">_xlfn.IFS($AZ$7&gt;=17,98,$AZ$7&gt;=11,97,$AZ$7&gt;=6,96,$AZ$7&gt;=3,94,1,0)</f>
        <v>0</v>
      </c>
    </row>
    <row r="139" spans="1:88" ht="16.149999999999999" customHeight="1" x14ac:dyDescent="0.15">
      <c r="A139" s="140">
        <v>106</v>
      </c>
      <c r="B139" s="166">
        <v>10</v>
      </c>
      <c r="C139" s="179" t="s">
        <v>7857</v>
      </c>
      <c r="D139" s="240" t="s">
        <v>7858</v>
      </c>
      <c r="F139" s="239" t="s">
        <v>9026</v>
      </c>
      <c r="G139" s="240" t="s">
        <v>9027</v>
      </c>
      <c r="H139" s="148">
        <v>3</v>
      </c>
      <c r="I139" s="235" t="s">
        <v>8714</v>
      </c>
      <c r="J139" s="270" t="s">
        <v>8715</v>
      </c>
      <c r="K139" s="148">
        <v>10</v>
      </c>
      <c r="L139" s="237" t="s">
        <v>9115</v>
      </c>
      <c r="M139" s="236" t="s">
        <v>9120</v>
      </c>
      <c r="N139" s="148">
        <v>7</v>
      </c>
      <c r="O139" s="148" t="s">
        <v>5466</v>
      </c>
      <c r="P139" s="153" t="s">
        <v>5467</v>
      </c>
      <c r="Q139" s="148">
        <v>6</v>
      </c>
      <c r="R139" s="180" t="s">
        <v>7681</v>
      </c>
      <c r="S139" s="233" t="s">
        <v>7698</v>
      </c>
      <c r="T139" s="148">
        <v>3</v>
      </c>
      <c r="U139" s="237" t="s">
        <v>9213</v>
      </c>
      <c r="V139" s="236" t="s">
        <v>9218</v>
      </c>
      <c r="W139" s="148">
        <v>15</v>
      </c>
      <c r="X139" s="179" t="s">
        <v>9894</v>
      </c>
      <c r="Y139" s="240" t="s">
        <v>9895</v>
      </c>
      <c r="AA139" s="181" t="s">
        <v>7574</v>
      </c>
      <c r="AB139" s="188" t="s">
        <v>7575</v>
      </c>
      <c r="AC139" s="148">
        <v>18</v>
      </c>
      <c r="AD139" s="237" t="s">
        <v>9247</v>
      </c>
      <c r="AE139" s="236" t="s">
        <v>9252</v>
      </c>
      <c r="AF139" s="148">
        <v>3</v>
      </c>
      <c r="AG139" s="148" t="s">
        <v>5447</v>
      </c>
      <c r="AH139" s="153" t="s">
        <v>5448</v>
      </c>
      <c r="AI139" s="148">
        <v>3</v>
      </c>
      <c r="AJ139" s="180" t="s">
        <v>9136</v>
      </c>
      <c r="AK139" s="233" t="s">
        <v>9140</v>
      </c>
      <c r="AU139" s="148">
        <v>10</v>
      </c>
      <c r="AV139" s="148" t="s">
        <v>6100</v>
      </c>
      <c r="AW139" s="153" t="s">
        <v>6101</v>
      </c>
      <c r="BO139" s="153"/>
      <c r="CH139" s="180" t="s">
        <v>7445</v>
      </c>
      <c r="CI139" s="148">
        <v>99</v>
      </c>
      <c r="CJ139" s="148" cm="1">
        <f t="array" ref="CJ139">_xlfn.IFS($AZ$7&gt;=17,103,$AZ$7&gt;=11,102,$AZ$7&gt;=6,101,$AZ$7&gt;=3,100,1,0)</f>
        <v>0</v>
      </c>
    </row>
    <row r="140" spans="1:88" ht="16.149999999999999" customHeight="1" x14ac:dyDescent="0.15">
      <c r="A140" s="140">
        <v>107</v>
      </c>
      <c r="B140" s="166">
        <v>14</v>
      </c>
      <c r="C140" s="179" t="s">
        <v>7859</v>
      </c>
      <c r="D140" s="240" t="s">
        <v>7860</v>
      </c>
      <c r="F140" s="239" t="s">
        <v>9028</v>
      </c>
      <c r="G140" s="240" t="s">
        <v>9029</v>
      </c>
      <c r="H140" s="148">
        <v>3</v>
      </c>
      <c r="I140" s="237" t="s">
        <v>8719</v>
      </c>
      <c r="J140" s="236" t="s">
        <v>8724</v>
      </c>
      <c r="K140" s="148">
        <v>14</v>
      </c>
      <c r="L140" s="237" t="s">
        <v>9116</v>
      </c>
      <c r="M140" s="236" t="s">
        <v>9121</v>
      </c>
      <c r="N140" s="148">
        <v>10</v>
      </c>
      <c r="O140" s="148" t="s">
        <v>5470</v>
      </c>
      <c r="P140" s="153" t="s">
        <v>5471</v>
      </c>
      <c r="Q140" s="148">
        <v>11</v>
      </c>
      <c r="R140" s="180" t="s">
        <v>7682</v>
      </c>
      <c r="S140" s="233" t="s">
        <v>7699</v>
      </c>
      <c r="T140" s="148">
        <v>7</v>
      </c>
      <c r="U140" s="237" t="s">
        <v>9214</v>
      </c>
      <c r="V140" s="236" t="s">
        <v>9219</v>
      </c>
      <c r="AA140" s="265" t="s">
        <v>7576</v>
      </c>
      <c r="AB140" s="266" t="s">
        <v>7577</v>
      </c>
      <c r="AC140" s="148">
        <v>3</v>
      </c>
      <c r="AD140" s="180" t="s">
        <v>9757</v>
      </c>
      <c r="AE140" s="234" t="s">
        <v>9762</v>
      </c>
      <c r="AF140" s="148">
        <v>6</v>
      </c>
      <c r="AG140" s="148" t="s">
        <v>5452</v>
      </c>
      <c r="AH140" s="153" t="s">
        <v>5453</v>
      </c>
      <c r="AI140" s="148">
        <v>6</v>
      </c>
      <c r="AJ140" s="180" t="s">
        <v>9137</v>
      </c>
      <c r="AK140" s="233" t="s">
        <v>9141</v>
      </c>
      <c r="AU140" s="148">
        <v>14</v>
      </c>
      <c r="AV140" s="148" t="s">
        <v>6102</v>
      </c>
      <c r="AW140" s="153" t="s">
        <v>6103</v>
      </c>
      <c r="BO140" s="153"/>
      <c r="CH140" s="180" t="s">
        <v>8773</v>
      </c>
      <c r="CI140" s="148">
        <v>104</v>
      </c>
      <c r="CJ140" s="148" cm="1">
        <f t="array" ref="CJ140">_xlfn.IFS($AZ$7&gt;=17,108,$AZ$7&gt;=11,107,$AZ$7&gt;=6,106,$AZ$7&gt;=3,104,1,0)</f>
        <v>0</v>
      </c>
    </row>
    <row r="141" spans="1:88" ht="16.149999999999999" customHeight="1" x14ac:dyDescent="0.15">
      <c r="A141" s="140">
        <v>108</v>
      </c>
      <c r="B141" s="166">
        <v>3</v>
      </c>
      <c r="C141" s="235" t="s">
        <v>8657</v>
      </c>
      <c r="D141" s="270" t="s">
        <v>8656</v>
      </c>
      <c r="F141" s="239" t="s">
        <v>9030</v>
      </c>
      <c r="G141" s="240" t="s">
        <v>9031</v>
      </c>
      <c r="H141" s="148">
        <v>3</v>
      </c>
      <c r="I141" s="237" t="s">
        <v>8720</v>
      </c>
      <c r="J141" s="236" t="s">
        <v>8725</v>
      </c>
      <c r="K141" s="148">
        <v>3</v>
      </c>
      <c r="L141" s="179" t="s">
        <v>9168</v>
      </c>
      <c r="M141" s="240" t="s">
        <v>9169</v>
      </c>
      <c r="N141" s="148">
        <v>15</v>
      </c>
      <c r="O141" s="148" t="s">
        <v>5475</v>
      </c>
      <c r="P141" s="153" t="s">
        <v>5476</v>
      </c>
      <c r="Q141" s="148">
        <v>17</v>
      </c>
      <c r="R141" s="180" t="s">
        <v>7683</v>
      </c>
      <c r="S141" s="233" t="s">
        <v>7700</v>
      </c>
      <c r="T141" s="148">
        <v>15</v>
      </c>
      <c r="U141" s="237" t="s">
        <v>9215</v>
      </c>
      <c r="V141" s="236" t="s">
        <v>9220</v>
      </c>
      <c r="Z141" s="148" t="s">
        <v>3012</v>
      </c>
      <c r="AA141" s="265" t="s">
        <v>7578</v>
      </c>
      <c r="AB141" s="266" t="s">
        <v>7579</v>
      </c>
      <c r="AC141" s="148">
        <v>3</v>
      </c>
      <c r="AD141" s="180" t="s">
        <v>9758</v>
      </c>
      <c r="AE141" s="234" t="s">
        <v>9763</v>
      </c>
      <c r="AF141" s="148">
        <v>10</v>
      </c>
      <c r="AG141" s="148" t="s">
        <v>5456</v>
      </c>
      <c r="AH141" s="153" t="s">
        <v>5457</v>
      </c>
      <c r="AI141" s="148">
        <v>10</v>
      </c>
      <c r="AJ141" s="180" t="s">
        <v>9138</v>
      </c>
      <c r="AK141" s="233" t="s">
        <v>9142</v>
      </c>
      <c r="AU141" s="148">
        <v>18</v>
      </c>
      <c r="AV141" s="148" t="s">
        <v>6104</v>
      </c>
      <c r="AW141" s="153" t="s">
        <v>6105</v>
      </c>
      <c r="BO141" s="153"/>
      <c r="CH141" s="180" t="s">
        <v>8774</v>
      </c>
      <c r="CI141" s="148">
        <v>109</v>
      </c>
      <c r="CJ141" s="148" cm="1">
        <f t="array" ref="CJ141">_xlfn.IFS($AZ$7&gt;=17,114,$AZ$7&gt;=11,113,$AZ$7&gt;=6,112,$AZ$7&gt;=3,110,1,0)</f>
        <v>0</v>
      </c>
    </row>
    <row r="142" spans="1:88" ht="16.149999999999999" customHeight="1" x14ac:dyDescent="0.15">
      <c r="A142" s="140">
        <v>109</v>
      </c>
      <c r="B142" s="166">
        <v>3</v>
      </c>
      <c r="C142" s="237" t="s">
        <v>8658</v>
      </c>
      <c r="D142" s="236" t="s">
        <v>8659</v>
      </c>
      <c r="F142" s="239" t="s">
        <v>9032</v>
      </c>
      <c r="G142" s="240" t="s">
        <v>9033</v>
      </c>
      <c r="H142" s="148">
        <v>3</v>
      </c>
      <c r="I142" s="237" t="s">
        <v>8721</v>
      </c>
      <c r="J142" s="236" t="s">
        <v>8726</v>
      </c>
      <c r="K142" s="148">
        <v>3</v>
      </c>
      <c r="L142" s="179" t="s">
        <v>9170</v>
      </c>
      <c r="M142" s="240" t="s">
        <v>9171</v>
      </c>
      <c r="N142" s="148">
        <v>18</v>
      </c>
      <c r="O142" s="148" t="s">
        <v>5479</v>
      </c>
      <c r="P142" s="153" t="s">
        <v>5480</v>
      </c>
      <c r="Q142" s="148">
        <v>3</v>
      </c>
      <c r="R142" s="235" t="s">
        <v>7684</v>
      </c>
      <c r="S142" s="270" t="s">
        <v>7685</v>
      </c>
      <c r="T142" s="148">
        <v>20</v>
      </c>
      <c r="U142" s="237" t="s">
        <v>9216</v>
      </c>
      <c r="V142" s="236" t="s">
        <v>9221</v>
      </c>
      <c r="Z142" s="148" t="s">
        <v>3012</v>
      </c>
      <c r="AA142" s="265" t="s">
        <v>7580</v>
      </c>
      <c r="AB142" s="266" t="s">
        <v>7581</v>
      </c>
      <c r="AC142" s="148">
        <v>6</v>
      </c>
      <c r="AD142" s="180" t="s">
        <v>9759</v>
      </c>
      <c r="AE142" s="234" t="s">
        <v>9764</v>
      </c>
      <c r="AF142" s="148">
        <v>14</v>
      </c>
      <c r="AG142" s="148" t="s">
        <v>5460</v>
      </c>
      <c r="AH142" s="153" t="s">
        <v>5461</v>
      </c>
      <c r="AI142" s="148">
        <v>14</v>
      </c>
      <c r="AJ142" s="180" t="s">
        <v>9139</v>
      </c>
      <c r="AK142" s="233" t="s">
        <v>9143</v>
      </c>
      <c r="BO142" s="153"/>
      <c r="CH142" s="180" t="s">
        <v>9270</v>
      </c>
      <c r="CI142" s="148">
        <v>115</v>
      </c>
      <c r="CJ142" s="148" cm="1">
        <f t="array" ref="CJ142">_xlfn.IFS($AZ$7&gt;=17,119,$AZ$7&gt;=11,118,$AZ$7&gt;=6,117,$AZ$7&gt;=3,116,1,0)</f>
        <v>0</v>
      </c>
    </row>
    <row r="143" spans="1:88" ht="16.149999999999999" customHeight="1" x14ac:dyDescent="0.15">
      <c r="A143" s="140">
        <v>110</v>
      </c>
      <c r="B143" s="166"/>
      <c r="C143" s="265" t="s">
        <v>8683</v>
      </c>
      <c r="D143" s="266" t="s">
        <v>8666</v>
      </c>
      <c r="F143" s="239" t="s">
        <v>9034</v>
      </c>
      <c r="G143" s="240" t="s">
        <v>9035</v>
      </c>
      <c r="H143" s="148">
        <v>6</v>
      </c>
      <c r="I143" s="237" t="s">
        <v>8722</v>
      </c>
      <c r="J143" s="236" t="s">
        <v>8727</v>
      </c>
      <c r="K143" s="148">
        <v>6</v>
      </c>
      <c r="L143" s="179" t="s">
        <v>9172</v>
      </c>
      <c r="M143" s="240" t="s">
        <v>9173</v>
      </c>
      <c r="N143" s="148">
        <v>3</v>
      </c>
      <c r="O143" s="169" t="s">
        <v>5484</v>
      </c>
      <c r="P143" s="183" t="s">
        <v>5485</v>
      </c>
      <c r="Q143" s="148">
        <v>3</v>
      </c>
      <c r="R143" s="235" t="s">
        <v>7686</v>
      </c>
      <c r="S143" s="270" t="s">
        <v>7687</v>
      </c>
      <c r="T143" s="148">
        <v>3</v>
      </c>
      <c r="U143" s="179" t="s">
        <v>9872</v>
      </c>
      <c r="V143" s="240" t="s">
        <v>9873</v>
      </c>
      <c r="Z143" s="148">
        <v>9</v>
      </c>
      <c r="AA143" s="237" t="s">
        <v>7582</v>
      </c>
      <c r="AB143" s="236" t="s">
        <v>7614</v>
      </c>
      <c r="AC143" s="148">
        <v>14</v>
      </c>
      <c r="AD143" s="180" t="s">
        <v>9760</v>
      </c>
      <c r="AE143" s="233" t="s">
        <v>9765</v>
      </c>
      <c r="AF143" s="148">
        <v>3</v>
      </c>
      <c r="AG143" s="169" t="s">
        <v>5464</v>
      </c>
      <c r="AH143" s="183" t="s">
        <v>5465</v>
      </c>
      <c r="AI143" s="148">
        <v>3</v>
      </c>
      <c r="AJ143" s="237" t="s">
        <v>9277</v>
      </c>
      <c r="AK143" s="236" t="s">
        <v>9282</v>
      </c>
      <c r="BO143" s="153"/>
      <c r="CH143" s="180" t="s">
        <v>9822</v>
      </c>
      <c r="CI143" s="148">
        <v>120</v>
      </c>
      <c r="CJ143" s="148" cm="1">
        <f t="array" ref="CJ143">_xlfn.IFS($AZ$7&gt;=17,124,$AZ$7&gt;=11,123,$AZ$7&gt;=6,122,$AZ$7&gt;=3,121,1,0)</f>
        <v>0</v>
      </c>
    </row>
    <row r="144" spans="1:88" ht="16.149999999999999" customHeight="1" thickBot="1" x14ac:dyDescent="0.2">
      <c r="A144" s="140">
        <v>111</v>
      </c>
      <c r="B144" s="166"/>
      <c r="C144" s="265" t="s">
        <v>8684</v>
      </c>
      <c r="D144" s="266" t="s">
        <v>8667</v>
      </c>
      <c r="F144" s="239" t="s">
        <v>9036</v>
      </c>
      <c r="G144" s="240" t="s">
        <v>9037</v>
      </c>
      <c r="H144" s="148">
        <v>17</v>
      </c>
      <c r="I144" s="237" t="s">
        <v>8723</v>
      </c>
      <c r="J144" s="236" t="s">
        <v>8728</v>
      </c>
      <c r="K144" s="148">
        <v>10</v>
      </c>
      <c r="L144" s="179" t="s">
        <v>9174</v>
      </c>
      <c r="M144" s="240" t="s">
        <v>9175</v>
      </c>
      <c r="N144" s="148">
        <v>3</v>
      </c>
      <c r="O144" s="169" t="s">
        <v>5488</v>
      </c>
      <c r="P144" s="183" t="s">
        <v>5489</v>
      </c>
      <c r="Q144" s="148">
        <v>6</v>
      </c>
      <c r="R144" s="235" t="s">
        <v>7688</v>
      </c>
      <c r="S144" s="269" t="s">
        <v>7689</v>
      </c>
      <c r="T144" s="148">
        <v>3</v>
      </c>
      <c r="U144" s="179" t="s">
        <v>9874</v>
      </c>
      <c r="V144" s="240" t="s">
        <v>9875</v>
      </c>
      <c r="Z144" s="148" t="s">
        <v>7583</v>
      </c>
      <c r="AA144" s="265" t="s">
        <v>7584</v>
      </c>
      <c r="AB144" s="266" t="s">
        <v>7585</v>
      </c>
      <c r="AC144" s="148">
        <v>18</v>
      </c>
      <c r="AD144" s="180" t="s">
        <v>9761</v>
      </c>
      <c r="AE144" s="234" t="s">
        <v>9766</v>
      </c>
      <c r="AF144" s="148">
        <v>3</v>
      </c>
      <c r="AG144" s="169" t="s">
        <v>5468</v>
      </c>
      <c r="AH144" s="183" t="s">
        <v>5469</v>
      </c>
      <c r="AI144" s="148">
        <v>3</v>
      </c>
      <c r="AJ144" s="237" t="s">
        <v>9278</v>
      </c>
      <c r="AK144" s="236" t="s">
        <v>9283</v>
      </c>
      <c r="BO144" s="153"/>
      <c r="CH144" s="180" t="s">
        <v>10668</v>
      </c>
      <c r="CI144" s="148">
        <v>125</v>
      </c>
      <c r="CJ144" s="148" cm="1">
        <f t="array" ref="CJ144">_xlfn.IFS($AZ$7&gt;=17,135,$AZ$7&gt;=11,134,$AZ$7&gt;=6,133,$AZ$7&gt;=3,131,1,0)</f>
        <v>0</v>
      </c>
    </row>
    <row r="145" spans="1:88" ht="16.149999999999999" customHeight="1" x14ac:dyDescent="0.15">
      <c r="A145" s="140">
        <v>112</v>
      </c>
      <c r="B145" s="166"/>
      <c r="C145" s="265" t="s">
        <v>8685</v>
      </c>
      <c r="D145" s="266" t="s">
        <v>8668</v>
      </c>
      <c r="F145" s="239" t="s">
        <v>9038</v>
      </c>
      <c r="G145" s="240" t="s">
        <v>9039</v>
      </c>
      <c r="H145" s="148">
        <v>3</v>
      </c>
      <c r="I145" s="239" t="s">
        <v>9059</v>
      </c>
      <c r="J145" s="240" t="s">
        <v>9060</v>
      </c>
      <c r="K145" s="148">
        <v>14</v>
      </c>
      <c r="L145" s="179" t="s">
        <v>9176</v>
      </c>
      <c r="M145" s="240" t="s">
        <v>9177</v>
      </c>
      <c r="N145" s="148">
        <v>7</v>
      </c>
      <c r="O145" s="169" t="s">
        <v>5492</v>
      </c>
      <c r="P145" s="183" t="s">
        <v>5493</v>
      </c>
      <c r="Q145" s="148">
        <v>6</v>
      </c>
      <c r="R145" s="235" t="s">
        <v>7690</v>
      </c>
      <c r="S145" s="270" t="s">
        <v>7691</v>
      </c>
      <c r="T145" s="148">
        <v>3</v>
      </c>
      <c r="U145" s="179" t="s">
        <v>9876</v>
      </c>
      <c r="V145" s="240" t="s">
        <v>9877</v>
      </c>
      <c r="Z145" s="148">
        <v>13</v>
      </c>
      <c r="AA145" s="237" t="s">
        <v>7586</v>
      </c>
      <c r="AB145" s="236" t="s">
        <v>7615</v>
      </c>
      <c r="AC145" s="148">
        <v>3</v>
      </c>
      <c r="AD145" s="235" t="s">
        <v>9906</v>
      </c>
      <c r="AE145" s="270" t="s">
        <v>9907</v>
      </c>
      <c r="AF145" s="148">
        <v>3</v>
      </c>
      <c r="AG145" s="169" t="s">
        <v>5472</v>
      </c>
      <c r="AH145" s="183" t="s">
        <v>5473</v>
      </c>
      <c r="AI145" s="148">
        <v>6</v>
      </c>
      <c r="AJ145" s="237" t="s">
        <v>9279</v>
      </c>
      <c r="AK145" s="236" t="s">
        <v>9284</v>
      </c>
      <c r="BO145" s="153"/>
      <c r="CH145" s="163" t="s">
        <v>3623</v>
      </c>
      <c r="CI145" s="163">
        <v>30</v>
      </c>
      <c r="CJ145" s="163" cm="1">
        <f t="array" ref="CJ145">_xlfn.IFS($AZ$8=20,34,$AZ$8&gt;=15,33,$AZ$8&gt;=7,32,$AZ$8&gt;=3,31,1,0)</f>
        <v>0</v>
      </c>
    </row>
    <row r="146" spans="1:88" ht="16.149999999999999" customHeight="1" x14ac:dyDescent="0.15">
      <c r="A146" s="140">
        <v>113</v>
      </c>
      <c r="B146" s="166"/>
      <c r="C146" s="265" t="s">
        <v>8686</v>
      </c>
      <c r="D146" s="266" t="s">
        <v>8669</v>
      </c>
      <c r="F146" s="239" t="s">
        <v>9040</v>
      </c>
      <c r="G146" s="240" t="s">
        <v>9041</v>
      </c>
      <c r="H146" s="148">
        <v>3</v>
      </c>
      <c r="I146" s="180" t="s">
        <v>9061</v>
      </c>
      <c r="J146" s="233" t="s">
        <v>9065</v>
      </c>
      <c r="K146" s="148">
        <v>3</v>
      </c>
      <c r="L146" s="235" t="s">
        <v>9715</v>
      </c>
      <c r="M146" s="270" t="s">
        <v>9716</v>
      </c>
      <c r="N146" s="148">
        <v>10</v>
      </c>
      <c r="O146" s="169" t="s">
        <v>5497</v>
      </c>
      <c r="P146" s="183" t="s">
        <v>5498</v>
      </c>
      <c r="Q146" s="148">
        <v>11</v>
      </c>
      <c r="R146" s="235" t="s">
        <v>7692</v>
      </c>
      <c r="S146" s="270" t="s">
        <v>7693</v>
      </c>
      <c r="T146" s="148">
        <v>7</v>
      </c>
      <c r="U146" s="179" t="s">
        <v>9878</v>
      </c>
      <c r="V146" s="240" t="s">
        <v>9879</v>
      </c>
      <c r="AA146" s="265" t="s">
        <v>7587</v>
      </c>
      <c r="AB146" s="266" t="s">
        <v>7588</v>
      </c>
      <c r="AC146" s="148">
        <v>3</v>
      </c>
      <c r="AD146" s="235" t="s">
        <v>9908</v>
      </c>
      <c r="AE146" s="270" t="s">
        <v>9909</v>
      </c>
      <c r="AF146" s="148">
        <v>3</v>
      </c>
      <c r="AG146" s="169" t="s">
        <v>5477</v>
      </c>
      <c r="AH146" s="183" t="s">
        <v>5478</v>
      </c>
      <c r="AI146" s="148">
        <v>10</v>
      </c>
      <c r="AJ146" s="237" t="s">
        <v>9280</v>
      </c>
      <c r="AK146" s="236" t="s">
        <v>9285</v>
      </c>
      <c r="BO146" s="153"/>
      <c r="CH146" s="148" t="s">
        <v>3624</v>
      </c>
      <c r="CI146" s="148">
        <v>35</v>
      </c>
      <c r="CJ146" s="148" cm="1">
        <f t="array" ref="CJ146">_xlfn.IFS($AZ$8=20,40,$AZ$8&gt;=15,39,$AZ$8&gt;=7,38,$AZ$8&gt;=3,37,1,0)</f>
        <v>0</v>
      </c>
    </row>
    <row r="147" spans="1:88" ht="16.149999999999999" customHeight="1" x14ac:dyDescent="0.15">
      <c r="A147" s="140">
        <v>114</v>
      </c>
      <c r="B147" s="166"/>
      <c r="C147" s="265" t="s">
        <v>8687</v>
      </c>
      <c r="D147" s="266" t="s">
        <v>8670</v>
      </c>
      <c r="F147" s="239" t="s">
        <v>9042</v>
      </c>
      <c r="G147" s="240" t="s">
        <v>9043</v>
      </c>
      <c r="H147" s="148">
        <v>3</v>
      </c>
      <c r="I147" s="180" t="s">
        <v>9062</v>
      </c>
      <c r="J147" s="233" t="s">
        <v>9066</v>
      </c>
      <c r="K147" s="148">
        <v>3</v>
      </c>
      <c r="L147" s="237" t="s">
        <v>9717</v>
      </c>
      <c r="M147" s="238" t="s">
        <v>9721</v>
      </c>
      <c r="N147" s="148">
        <v>15</v>
      </c>
      <c r="O147" s="169" t="s">
        <v>5502</v>
      </c>
      <c r="P147" s="183" t="s">
        <v>5503</v>
      </c>
      <c r="Q147" s="148">
        <v>17</v>
      </c>
      <c r="R147" s="235" t="s">
        <v>7694</v>
      </c>
      <c r="S147" s="270" t="s">
        <v>7695</v>
      </c>
      <c r="T147" s="148">
        <v>15</v>
      </c>
      <c r="U147" s="179" t="s">
        <v>9880</v>
      </c>
      <c r="V147" s="240" t="s">
        <v>9881</v>
      </c>
      <c r="AA147" s="265" t="s">
        <v>7589</v>
      </c>
      <c r="AB147" s="266" t="s">
        <v>7590</v>
      </c>
      <c r="AC147" s="148">
        <v>6</v>
      </c>
      <c r="AD147" s="235" t="s">
        <v>9910</v>
      </c>
      <c r="AE147" s="270" t="s">
        <v>9911</v>
      </c>
      <c r="AF147" s="148">
        <v>6</v>
      </c>
      <c r="AG147" s="169" t="s">
        <v>5481</v>
      </c>
      <c r="AH147" s="183" t="s">
        <v>5482</v>
      </c>
      <c r="AI147" s="148">
        <v>14</v>
      </c>
      <c r="AJ147" s="237" t="s">
        <v>9281</v>
      </c>
      <c r="AK147" s="236" t="s">
        <v>9286</v>
      </c>
      <c r="BO147" s="153"/>
      <c r="CH147" s="148" t="s">
        <v>3625</v>
      </c>
      <c r="CI147" s="148">
        <v>41</v>
      </c>
      <c r="CJ147" s="148" cm="1">
        <f t="array" ref="CJ147">_xlfn.IFS($AZ$8=20,45,$AZ$8&gt;=15,44,$AZ$8&gt;=7,43,$AZ$8&gt;=3,42,1,0)</f>
        <v>0</v>
      </c>
    </row>
    <row r="148" spans="1:88" ht="16.149999999999999" customHeight="1" x14ac:dyDescent="0.15">
      <c r="A148" s="140">
        <v>115</v>
      </c>
      <c r="B148" s="166"/>
      <c r="C148" s="265" t="s">
        <v>8688</v>
      </c>
      <c r="D148" s="266" t="s">
        <v>8671</v>
      </c>
      <c r="F148" s="239" t="s">
        <v>9044</v>
      </c>
      <c r="G148" s="240" t="s">
        <v>9045</v>
      </c>
      <c r="H148" s="148">
        <v>6</v>
      </c>
      <c r="I148" s="180" t="s">
        <v>9063</v>
      </c>
      <c r="J148" s="233" t="s">
        <v>9067</v>
      </c>
      <c r="K148" s="148">
        <v>6</v>
      </c>
      <c r="L148" s="237" t="s">
        <v>9718</v>
      </c>
      <c r="M148" s="238" t="s">
        <v>9722</v>
      </c>
      <c r="N148" s="148">
        <v>18</v>
      </c>
      <c r="O148" s="169" t="s">
        <v>5506</v>
      </c>
      <c r="P148" s="183" t="s">
        <v>5507</v>
      </c>
      <c r="Q148" s="148">
        <v>3</v>
      </c>
      <c r="R148" s="179" t="s">
        <v>9203</v>
      </c>
      <c r="S148" s="240" t="s">
        <v>9204</v>
      </c>
      <c r="T148" s="148">
        <v>20</v>
      </c>
      <c r="U148" s="179" t="s">
        <v>9882</v>
      </c>
      <c r="V148" s="240" t="s">
        <v>9883</v>
      </c>
      <c r="AA148" s="265" t="s">
        <v>7591</v>
      </c>
      <c r="AB148" s="266" t="s">
        <v>7592</v>
      </c>
      <c r="AC148" s="148">
        <v>14</v>
      </c>
      <c r="AD148" s="235" t="s">
        <v>9912</v>
      </c>
      <c r="AE148" s="270" t="s">
        <v>9913</v>
      </c>
      <c r="AF148" s="148">
        <v>6</v>
      </c>
      <c r="AG148" s="169" t="s">
        <v>5486</v>
      </c>
      <c r="AH148" s="183" t="s">
        <v>5487</v>
      </c>
      <c r="AI148" s="148">
        <v>3</v>
      </c>
      <c r="AJ148" s="180" t="s">
        <v>9778</v>
      </c>
      <c r="AK148" s="234" t="s">
        <v>9783</v>
      </c>
      <c r="BO148" s="153"/>
      <c r="CH148" s="148" t="s">
        <v>3626</v>
      </c>
      <c r="CI148" s="148">
        <v>46</v>
      </c>
      <c r="CJ148" s="148" cm="1">
        <f t="array" ref="CJ148">_xlfn.IFS($AZ$8=20,50,$AZ$8&gt;=15,49,$AZ$8&gt;=7,48,$AZ$8&gt;=3,47,1,0)</f>
        <v>0</v>
      </c>
    </row>
    <row r="149" spans="1:88" ht="16.149999999999999" customHeight="1" x14ac:dyDescent="0.15">
      <c r="A149" s="140">
        <v>116</v>
      </c>
      <c r="B149" s="166"/>
      <c r="C149" s="265" t="s">
        <v>8689</v>
      </c>
      <c r="D149" s="266" t="s">
        <v>8672</v>
      </c>
      <c r="E149" s="148">
        <v>6</v>
      </c>
      <c r="F149" s="239" t="s">
        <v>9022</v>
      </c>
      <c r="G149" s="240" t="s">
        <v>9023</v>
      </c>
      <c r="H149" s="148">
        <v>17</v>
      </c>
      <c r="I149" s="180" t="s">
        <v>9064</v>
      </c>
      <c r="J149" s="233" t="s">
        <v>9068</v>
      </c>
      <c r="K149" s="148">
        <v>10</v>
      </c>
      <c r="L149" s="237" t="s">
        <v>9719</v>
      </c>
      <c r="M149" s="238" t="s">
        <v>9723</v>
      </c>
      <c r="N149" s="148">
        <v>3</v>
      </c>
      <c r="O149" s="148" t="s">
        <v>6108</v>
      </c>
      <c r="P149" s="153" t="s">
        <v>6109</v>
      </c>
      <c r="Q149" s="148">
        <v>3</v>
      </c>
      <c r="R149" s="179" t="s">
        <v>9205</v>
      </c>
      <c r="S149" s="240" t="s">
        <v>9206</v>
      </c>
      <c r="T149" s="148">
        <v>3</v>
      </c>
      <c r="U149" s="235" t="s">
        <v>10685</v>
      </c>
      <c r="V149" s="270" t="s">
        <v>10686</v>
      </c>
      <c r="AA149" s="265" t="s">
        <v>7593</v>
      </c>
      <c r="AB149" s="266" t="s">
        <v>7594</v>
      </c>
      <c r="AC149" s="148">
        <v>18</v>
      </c>
      <c r="AD149" s="235" t="s">
        <v>9914</v>
      </c>
      <c r="AE149" s="270" t="s">
        <v>9915</v>
      </c>
      <c r="AF149" s="148">
        <v>10</v>
      </c>
      <c r="AG149" s="169" t="s">
        <v>5490</v>
      </c>
      <c r="AH149" s="183" t="s">
        <v>5491</v>
      </c>
      <c r="AI149" s="148">
        <v>3</v>
      </c>
      <c r="AJ149" s="180" t="s">
        <v>9779</v>
      </c>
      <c r="AK149" s="233" t="s">
        <v>9784</v>
      </c>
      <c r="BO149" s="153"/>
      <c r="CH149" s="148" t="s">
        <v>5067</v>
      </c>
      <c r="CI149" s="148">
        <v>51</v>
      </c>
      <c r="CJ149" s="148" cm="1">
        <f t="array" ref="CJ149">_xlfn.IFS($AZ$8=20,55,$AZ$8&gt;=15,54,$AZ$8&gt;=7,53,$AZ$8&gt;=3,52,1,0)</f>
        <v>0</v>
      </c>
    </row>
    <row r="150" spans="1:88" ht="16.149999999999999" customHeight="1" x14ac:dyDescent="0.15">
      <c r="A150" s="140">
        <v>117</v>
      </c>
      <c r="B150" s="166"/>
      <c r="C150" s="265" t="s">
        <v>8690</v>
      </c>
      <c r="D150" s="266" t="s">
        <v>8673</v>
      </c>
      <c r="E150" s="148">
        <v>6</v>
      </c>
      <c r="F150" s="239" t="s">
        <v>9024</v>
      </c>
      <c r="G150" s="240" t="s">
        <v>9025</v>
      </c>
      <c r="H150" s="148">
        <v>3</v>
      </c>
      <c r="I150" s="306" t="s">
        <v>9073</v>
      </c>
      <c r="J150" s="270" t="s">
        <v>9074</v>
      </c>
      <c r="K150" s="148">
        <v>14</v>
      </c>
      <c r="L150" s="237" t="s">
        <v>9720</v>
      </c>
      <c r="M150" s="238" t="s">
        <v>9724</v>
      </c>
      <c r="N150" s="148">
        <v>3</v>
      </c>
      <c r="O150" s="148" t="s">
        <v>6110</v>
      </c>
      <c r="P150" s="153" t="s">
        <v>6111</v>
      </c>
      <c r="Q150" s="148">
        <v>6</v>
      </c>
      <c r="R150" s="179" t="s">
        <v>9207</v>
      </c>
      <c r="S150" s="240" t="s">
        <v>9208</v>
      </c>
      <c r="T150" s="148">
        <v>3</v>
      </c>
      <c r="U150" s="235" t="s">
        <v>10687</v>
      </c>
      <c r="V150" s="270" t="s">
        <v>10688</v>
      </c>
      <c r="AA150" s="265" t="s">
        <v>7595</v>
      </c>
      <c r="AB150" s="266" t="s">
        <v>7596</v>
      </c>
      <c r="AC150" s="148">
        <v>3</v>
      </c>
      <c r="AD150" s="179" t="s">
        <v>10646</v>
      </c>
      <c r="AE150" s="406" t="s">
        <v>10647</v>
      </c>
      <c r="AF150" s="148">
        <v>14</v>
      </c>
      <c r="AG150" s="169" t="s">
        <v>5494</v>
      </c>
      <c r="AH150" s="183" t="s">
        <v>5495</v>
      </c>
      <c r="AI150" s="148">
        <v>6</v>
      </c>
      <c r="AJ150" s="180" t="s">
        <v>9780</v>
      </c>
      <c r="AK150" s="153" t="s">
        <v>9785</v>
      </c>
      <c r="BO150" s="153"/>
      <c r="CH150" s="148" t="s">
        <v>5091</v>
      </c>
      <c r="CI150" s="148">
        <v>56</v>
      </c>
      <c r="CJ150" s="148" cm="1">
        <f t="array" ref="CJ150">_xlfn.IFS($AZ$8=20,60,$AZ$8&gt;=15,59,$AZ$8&gt;=7,58,$AZ$8&gt;=3,57,1,0)</f>
        <v>0</v>
      </c>
    </row>
    <row r="151" spans="1:88" ht="16.149999999999999" customHeight="1" x14ac:dyDescent="0.15">
      <c r="A151" s="140">
        <v>118</v>
      </c>
      <c r="B151" s="166"/>
      <c r="C151" s="265" t="s">
        <v>8691</v>
      </c>
      <c r="D151" s="266" t="s">
        <v>8674</v>
      </c>
      <c r="E151" s="148">
        <v>3</v>
      </c>
      <c r="F151" s="237" t="s">
        <v>9158</v>
      </c>
      <c r="G151" s="236" t="s">
        <v>9164</v>
      </c>
      <c r="H151" s="148">
        <v>3</v>
      </c>
      <c r="I151" s="237" t="s">
        <v>9075</v>
      </c>
      <c r="J151" s="236" t="s">
        <v>9081</v>
      </c>
      <c r="K151" s="148">
        <v>3</v>
      </c>
      <c r="L151" s="179" t="s">
        <v>10620</v>
      </c>
      <c r="M151" s="240" t="s">
        <v>10621</v>
      </c>
      <c r="N151" s="148">
        <v>7</v>
      </c>
      <c r="O151" s="148" t="s">
        <v>6112</v>
      </c>
      <c r="P151" s="153" t="s">
        <v>6113</v>
      </c>
      <c r="Q151" s="148">
        <v>11</v>
      </c>
      <c r="R151" s="179" t="s">
        <v>9209</v>
      </c>
      <c r="S151" s="240" t="s">
        <v>9210</v>
      </c>
      <c r="T151" s="148">
        <v>3</v>
      </c>
      <c r="U151" s="235" t="s">
        <v>10689</v>
      </c>
      <c r="V151" s="269" t="s">
        <v>10690</v>
      </c>
      <c r="AA151" s="265" t="s">
        <v>7597</v>
      </c>
      <c r="AB151" s="266" t="s">
        <v>7598</v>
      </c>
      <c r="AC151" s="148">
        <v>3</v>
      </c>
      <c r="AD151" s="179" t="s">
        <v>10648</v>
      </c>
      <c r="AE151" s="406" t="s">
        <v>10649</v>
      </c>
      <c r="AF151" s="148">
        <v>3</v>
      </c>
      <c r="AG151" s="148" t="s">
        <v>5499</v>
      </c>
      <c r="AH151" s="153" t="s">
        <v>5500</v>
      </c>
      <c r="AI151" s="148">
        <v>10</v>
      </c>
      <c r="AJ151" s="180" t="s">
        <v>9781</v>
      </c>
      <c r="AK151" s="234" t="s">
        <v>9786</v>
      </c>
      <c r="BO151" s="153"/>
      <c r="CH151" s="148" t="s">
        <v>5116</v>
      </c>
      <c r="CI151" s="148">
        <v>61</v>
      </c>
      <c r="CJ151" s="148" cm="1">
        <f t="array" ref="CJ151">_xlfn.IFS($AZ$8=20,65,$AZ$8&gt;=15,64,$AZ$8&gt;=7,63,$AZ$8&gt;=3,62,1,0)</f>
        <v>0</v>
      </c>
    </row>
    <row r="152" spans="1:88" ht="16.149999999999999" customHeight="1" x14ac:dyDescent="0.15">
      <c r="A152" s="140">
        <v>119</v>
      </c>
      <c r="B152" s="166"/>
      <c r="C152" s="265" t="s">
        <v>8692</v>
      </c>
      <c r="D152" s="266" t="s">
        <v>8675</v>
      </c>
      <c r="E152" s="148">
        <v>3</v>
      </c>
      <c r="F152" s="237" t="s">
        <v>9159</v>
      </c>
      <c r="G152" s="236" t="s">
        <v>9165</v>
      </c>
      <c r="H152" s="148">
        <v>3</v>
      </c>
      <c r="I152" s="237" t="s">
        <v>9076</v>
      </c>
      <c r="J152" s="236" t="s">
        <v>9082</v>
      </c>
      <c r="K152" s="148">
        <v>3</v>
      </c>
      <c r="L152" s="179" t="s">
        <v>10622</v>
      </c>
      <c r="M152" s="240" t="s">
        <v>10624</v>
      </c>
      <c r="N152" s="148">
        <v>10</v>
      </c>
      <c r="O152" s="148" t="s">
        <v>6114</v>
      </c>
      <c r="P152" s="153" t="s">
        <v>6115</v>
      </c>
      <c r="Q152" s="148">
        <v>17</v>
      </c>
      <c r="R152" s="179" t="s">
        <v>9211</v>
      </c>
      <c r="S152" s="240" t="s">
        <v>9212</v>
      </c>
      <c r="T152" s="148">
        <v>7</v>
      </c>
      <c r="U152" s="235" t="s">
        <v>10691</v>
      </c>
      <c r="V152" s="269" t="s">
        <v>10692</v>
      </c>
      <c r="AA152" s="265" t="s">
        <v>7599</v>
      </c>
      <c r="AB152" s="266" t="s">
        <v>7600</v>
      </c>
      <c r="AC152" s="148">
        <v>6</v>
      </c>
      <c r="AD152" s="179" t="s">
        <v>10650</v>
      </c>
      <c r="AE152" s="406" t="s">
        <v>10651</v>
      </c>
      <c r="AF152" s="148">
        <v>3</v>
      </c>
      <c r="AG152" s="148" t="s">
        <v>5504</v>
      </c>
      <c r="AH152" s="153" t="s">
        <v>5505</v>
      </c>
      <c r="AI152" s="148">
        <v>14</v>
      </c>
      <c r="AJ152" s="180" t="s">
        <v>9782</v>
      </c>
      <c r="AK152" s="153" t="s">
        <v>9787</v>
      </c>
      <c r="BO152" s="153"/>
      <c r="CH152" s="148" t="s">
        <v>5140</v>
      </c>
      <c r="CI152" s="148">
        <v>66</v>
      </c>
      <c r="CJ152" s="148" cm="1">
        <f t="array" ref="CJ152">_xlfn.IFS($AZ$8=20,72,$AZ$8&gt;=15,71,$AZ$8&gt;=7,70,$AZ$8&gt;=3,68,1,0)</f>
        <v>0</v>
      </c>
    </row>
    <row r="153" spans="1:88" ht="16.149999999999999" customHeight="1" x14ac:dyDescent="0.15">
      <c r="A153" s="140">
        <v>120</v>
      </c>
      <c r="B153" s="166"/>
      <c r="C153" s="265" t="s">
        <v>8693</v>
      </c>
      <c r="D153" s="266" t="s">
        <v>8676</v>
      </c>
      <c r="E153" s="148">
        <v>6</v>
      </c>
      <c r="F153" s="237" t="s">
        <v>9160</v>
      </c>
      <c r="G153" s="236" t="s">
        <v>9166</v>
      </c>
      <c r="H153" s="148">
        <v>3</v>
      </c>
      <c r="I153" s="237" t="s">
        <v>9077</v>
      </c>
      <c r="J153" s="236" t="s">
        <v>9083</v>
      </c>
      <c r="K153" s="148">
        <v>3</v>
      </c>
      <c r="L153" s="179" t="s">
        <v>10625</v>
      </c>
      <c r="M153" s="240" t="s">
        <v>10623</v>
      </c>
      <c r="N153" s="148">
        <v>15</v>
      </c>
      <c r="O153" s="148" t="s">
        <v>6116</v>
      </c>
      <c r="P153" s="153" t="s">
        <v>6117</v>
      </c>
      <c r="Q153" s="148">
        <v>3</v>
      </c>
      <c r="R153" s="237" t="s">
        <v>9806</v>
      </c>
      <c r="S153" s="236" t="s">
        <v>9811</v>
      </c>
      <c r="T153" s="148">
        <v>15</v>
      </c>
      <c r="U153" s="235" t="s">
        <v>10693</v>
      </c>
      <c r="V153" s="270" t="s">
        <v>10694</v>
      </c>
      <c r="Z153" s="148">
        <v>17</v>
      </c>
      <c r="AA153" s="237" t="s">
        <v>7601</v>
      </c>
      <c r="AB153" s="236" t="s">
        <v>7616</v>
      </c>
      <c r="AC153" s="148">
        <v>14</v>
      </c>
      <c r="AD153" s="179" t="s">
        <v>10652</v>
      </c>
      <c r="AE153" s="406" t="s">
        <v>10653</v>
      </c>
      <c r="AF153" s="148">
        <v>6</v>
      </c>
      <c r="AG153" s="148" t="s">
        <v>5508</v>
      </c>
      <c r="AH153" s="153" t="s">
        <v>5509</v>
      </c>
      <c r="BO153" s="153"/>
      <c r="CH153" s="179" t="s">
        <v>6315</v>
      </c>
      <c r="CI153" s="148">
        <v>73</v>
      </c>
      <c r="CJ153" s="148" cm="1">
        <f t="array" ref="CJ153">_xlfn.IFS($AZ$8=20,77,$AZ$8&gt;=15,76,$AZ$8&gt;=7,75,$AZ$8&gt;=3,74,1,0)</f>
        <v>0</v>
      </c>
    </row>
    <row r="154" spans="1:88" ht="16.149999999999999" customHeight="1" x14ac:dyDescent="0.15">
      <c r="A154" s="140">
        <v>121</v>
      </c>
      <c r="B154" s="166"/>
      <c r="C154" s="265" t="s">
        <v>8694</v>
      </c>
      <c r="D154" s="266" t="s">
        <v>8677</v>
      </c>
      <c r="E154" s="148">
        <v>14</v>
      </c>
      <c r="F154" s="237" t="s">
        <v>9161</v>
      </c>
      <c r="G154" s="236" t="s">
        <v>9167</v>
      </c>
      <c r="H154" s="148">
        <v>6</v>
      </c>
      <c r="I154" s="237" t="s">
        <v>9078</v>
      </c>
      <c r="J154" s="236" t="s">
        <v>9084</v>
      </c>
      <c r="K154" s="148">
        <v>6</v>
      </c>
      <c r="L154" s="179" t="s">
        <v>10626</v>
      </c>
      <c r="M154" s="240" t="s">
        <v>10627</v>
      </c>
      <c r="N154" s="148">
        <v>18</v>
      </c>
      <c r="O154" s="148" t="s">
        <v>6118</v>
      </c>
      <c r="P154" s="153" t="s">
        <v>6119</v>
      </c>
      <c r="Q154" s="148">
        <v>3</v>
      </c>
      <c r="R154" s="237" t="s">
        <v>9807</v>
      </c>
      <c r="S154" s="236" t="s">
        <v>9812</v>
      </c>
      <c r="T154" s="148">
        <v>20</v>
      </c>
      <c r="U154" s="235" t="s">
        <v>10695</v>
      </c>
      <c r="V154" s="270" t="s">
        <v>10696</v>
      </c>
      <c r="Z154" s="148">
        <v>3</v>
      </c>
      <c r="AA154" s="179" t="s">
        <v>7602</v>
      </c>
      <c r="AB154" s="240" t="s">
        <v>7603</v>
      </c>
      <c r="AC154" s="148">
        <v>18</v>
      </c>
      <c r="AD154" s="179" t="s">
        <v>10654</v>
      </c>
      <c r="AE154" s="406" t="s">
        <v>10655</v>
      </c>
      <c r="AF154" s="148">
        <v>10</v>
      </c>
      <c r="AG154" s="148" t="s">
        <v>5511</v>
      </c>
      <c r="AH154" s="153" t="s">
        <v>5512</v>
      </c>
      <c r="BO154" s="153"/>
      <c r="CH154" s="179" t="s">
        <v>6579</v>
      </c>
      <c r="CI154" s="148">
        <v>78</v>
      </c>
      <c r="CJ154" s="148" cm="1">
        <f t="array" ref="CJ154">_xlfn.IFS($AZ$8=20,82,$AZ$8&gt;=15,81,$AZ$8&gt;=7,80,$AZ$8&gt;=3,79,1,0)</f>
        <v>0</v>
      </c>
    </row>
    <row r="155" spans="1:88" ht="16.149999999999999" customHeight="1" x14ac:dyDescent="0.15">
      <c r="A155" s="140">
        <v>122</v>
      </c>
      <c r="B155" s="166"/>
      <c r="C155" s="265" t="s">
        <v>8695</v>
      </c>
      <c r="D155" s="266" t="s">
        <v>8678</v>
      </c>
      <c r="E155" s="148">
        <v>3</v>
      </c>
      <c r="F155" s="180" t="s">
        <v>9725</v>
      </c>
      <c r="G155" s="233" t="s">
        <v>9729</v>
      </c>
      <c r="H155" s="148">
        <v>8</v>
      </c>
      <c r="I155" s="237" t="s">
        <v>9079</v>
      </c>
      <c r="J155" s="236" t="s">
        <v>9085</v>
      </c>
      <c r="K155" s="148">
        <v>10</v>
      </c>
      <c r="L155" s="179" t="s">
        <v>10628</v>
      </c>
      <c r="M155" s="240" t="s">
        <v>10629</v>
      </c>
      <c r="N155" s="148">
        <v>3</v>
      </c>
      <c r="O155" s="169" t="s">
        <v>6186</v>
      </c>
      <c r="P155" s="183" t="s">
        <v>6187</v>
      </c>
      <c r="Q155" s="148">
        <v>6</v>
      </c>
      <c r="R155" s="237" t="s">
        <v>9808</v>
      </c>
      <c r="S155" s="183" t="s">
        <v>9813</v>
      </c>
      <c r="T155" s="148">
        <v>3</v>
      </c>
      <c r="U155" s="179" t="s">
        <v>10980</v>
      </c>
      <c r="V155" s="240" t="s">
        <v>10981</v>
      </c>
      <c r="Z155" s="148">
        <v>3</v>
      </c>
      <c r="AA155" s="179" t="s">
        <v>7604</v>
      </c>
      <c r="AB155" s="240" t="s">
        <v>7605</v>
      </c>
      <c r="AF155" s="148">
        <v>14</v>
      </c>
      <c r="AG155" s="148" t="s">
        <v>5513</v>
      </c>
      <c r="AH155" s="153" t="s">
        <v>5514</v>
      </c>
      <c r="BO155" s="153"/>
      <c r="CH155" s="179" t="s">
        <v>7446</v>
      </c>
      <c r="CI155" s="148">
        <v>83</v>
      </c>
      <c r="CJ155" s="148" cm="1">
        <f t="array" ref="CJ155">_xlfn.IFS($AZ$8=20,87,$AZ$8&gt;=15,86,$AZ$8&gt;=7,85,$AZ$8&gt;=3,84,1,0)</f>
        <v>0</v>
      </c>
    </row>
    <row r="156" spans="1:88" ht="16.149999999999999" customHeight="1" x14ac:dyDescent="0.15">
      <c r="A156" s="140">
        <v>123</v>
      </c>
      <c r="B156" s="166"/>
      <c r="C156" s="265" t="s">
        <v>8696</v>
      </c>
      <c r="D156" s="266" t="s">
        <v>8679</v>
      </c>
      <c r="E156" s="148">
        <v>3</v>
      </c>
      <c r="F156" s="180" t="s">
        <v>9726</v>
      </c>
      <c r="G156" s="233" t="s">
        <v>9730</v>
      </c>
      <c r="H156" s="148">
        <v>17</v>
      </c>
      <c r="I156" s="237" t="s">
        <v>9080</v>
      </c>
      <c r="J156" s="236" t="s">
        <v>9086</v>
      </c>
      <c r="K156" s="148">
        <v>14</v>
      </c>
      <c r="L156" s="179" t="s">
        <v>10630</v>
      </c>
      <c r="M156" s="240" t="s">
        <v>10631</v>
      </c>
      <c r="N156" s="148">
        <v>3</v>
      </c>
      <c r="O156" s="169" t="s">
        <v>6188</v>
      </c>
      <c r="P156" s="238" t="s">
        <v>10759</v>
      </c>
      <c r="Q156" s="148">
        <v>11</v>
      </c>
      <c r="R156" s="237" t="s">
        <v>9809</v>
      </c>
      <c r="S156" s="238" t="s">
        <v>9814</v>
      </c>
      <c r="T156" s="148">
        <v>3</v>
      </c>
      <c r="U156" s="179" t="s">
        <v>10982</v>
      </c>
      <c r="V156" s="240" t="s">
        <v>10983</v>
      </c>
      <c r="Z156" s="148">
        <v>9</v>
      </c>
      <c r="AA156" s="179" t="s">
        <v>7606</v>
      </c>
      <c r="AB156" s="268" t="s">
        <v>7607</v>
      </c>
      <c r="AF156" s="148">
        <v>3</v>
      </c>
      <c r="AG156" s="169" t="s">
        <v>5515</v>
      </c>
      <c r="AH156" s="183" t="s">
        <v>5516</v>
      </c>
      <c r="BO156" s="153"/>
      <c r="CH156" s="179" t="s">
        <v>8775</v>
      </c>
      <c r="CI156" s="148">
        <v>88</v>
      </c>
      <c r="CJ156" s="148" cm="1">
        <f t="array" ref="CJ156">_xlfn.IFS($AZ$8=20,92,$AZ$8&gt;=15,91,$AZ$8&gt;=7,90,$AZ$8&gt;=3,89,1,0)</f>
        <v>0</v>
      </c>
    </row>
    <row r="157" spans="1:88" ht="16.149999999999999" customHeight="1" x14ac:dyDescent="0.15">
      <c r="A157" s="140">
        <v>124</v>
      </c>
      <c r="B157" s="166"/>
      <c r="C157" s="265" t="s">
        <v>8697</v>
      </c>
      <c r="D157" s="266" t="s">
        <v>8680</v>
      </c>
      <c r="E157" s="148">
        <v>6</v>
      </c>
      <c r="F157" s="180" t="s">
        <v>9727</v>
      </c>
      <c r="G157" s="153" t="s">
        <v>9731</v>
      </c>
      <c r="H157" s="148">
        <v>3</v>
      </c>
      <c r="I157" s="179" t="s">
        <v>9162</v>
      </c>
      <c r="J157" s="240" t="s">
        <v>9163</v>
      </c>
      <c r="N157" s="148">
        <v>7</v>
      </c>
      <c r="O157" s="169" t="s">
        <v>6189</v>
      </c>
      <c r="P157" s="183" t="s">
        <v>6190</v>
      </c>
      <c r="Q157" s="148">
        <v>17</v>
      </c>
      <c r="R157" s="237" t="s">
        <v>9810</v>
      </c>
      <c r="S157" s="236" t="s">
        <v>9815</v>
      </c>
      <c r="T157" s="148">
        <v>7</v>
      </c>
      <c r="U157" s="179" t="s">
        <v>10984</v>
      </c>
      <c r="V157" s="240" t="s">
        <v>10985</v>
      </c>
      <c r="Z157" s="148">
        <v>13</v>
      </c>
      <c r="AA157" s="179" t="s">
        <v>7608</v>
      </c>
      <c r="AB157" s="240" t="s">
        <v>7609</v>
      </c>
      <c r="AF157" s="148">
        <v>3</v>
      </c>
      <c r="AG157" s="169" t="s">
        <v>5517</v>
      </c>
      <c r="AH157" s="183" t="s">
        <v>5518</v>
      </c>
      <c r="BO157" s="153"/>
      <c r="CH157" s="179" t="s">
        <v>8776</v>
      </c>
      <c r="CI157" s="148">
        <v>93</v>
      </c>
      <c r="CJ157" s="148" cm="1">
        <f t="array" ref="CJ157">_xlfn.IFS($AZ$8=20,98,$AZ$8&gt;=15,97,$AZ$8&gt;=7,96,$AZ$8&gt;=3,95,1,0)</f>
        <v>0</v>
      </c>
    </row>
    <row r="158" spans="1:88" ht="16.149999999999999" customHeight="1" x14ac:dyDescent="0.15">
      <c r="A158" s="140">
        <v>125</v>
      </c>
      <c r="B158" s="166"/>
      <c r="C158" s="265" t="s">
        <v>8698</v>
      </c>
      <c r="D158" s="266" t="s">
        <v>8681</v>
      </c>
      <c r="E158" s="148">
        <v>14</v>
      </c>
      <c r="F158" s="180" t="s">
        <v>9728</v>
      </c>
      <c r="G158" s="234" t="s">
        <v>9732</v>
      </c>
      <c r="H158" s="148">
        <v>3</v>
      </c>
      <c r="I158" s="180" t="s">
        <v>8719</v>
      </c>
      <c r="J158" s="233" t="s">
        <v>9182</v>
      </c>
      <c r="N158" s="148">
        <v>10</v>
      </c>
      <c r="O158" s="169" t="s">
        <v>6191</v>
      </c>
      <c r="P158" s="183" t="s">
        <v>6192</v>
      </c>
      <c r="Q158" s="148">
        <v>3</v>
      </c>
      <c r="R158" s="148" t="s">
        <v>5845</v>
      </c>
      <c r="S158" s="233" t="s">
        <v>10669</v>
      </c>
      <c r="T158" s="148">
        <v>15</v>
      </c>
      <c r="U158" s="179" t="s">
        <v>10986</v>
      </c>
      <c r="V158" s="240" t="s">
        <v>10987</v>
      </c>
      <c r="Z158" s="148">
        <v>17</v>
      </c>
      <c r="AA158" s="179" t="s">
        <v>7610</v>
      </c>
      <c r="AB158" s="240" t="s">
        <v>7611</v>
      </c>
      <c r="AF158" s="148">
        <v>3</v>
      </c>
      <c r="AG158" s="169" t="s">
        <v>5519</v>
      </c>
      <c r="AH158" s="183" t="s">
        <v>5520</v>
      </c>
      <c r="BO158" s="153"/>
      <c r="CH158" s="179" t="s">
        <v>8701</v>
      </c>
      <c r="CI158" s="148">
        <v>99</v>
      </c>
      <c r="CJ158" s="148" cm="1">
        <f t="array" ref="CJ158">_xlfn.IFS($AZ$8=20,103,$AZ$8&gt;=15,102,$AZ$8&gt;=7,101,$AZ$8&gt;=3,100,1,0)</f>
        <v>0</v>
      </c>
    </row>
    <row r="159" spans="1:88" ht="16.149999999999999" customHeight="1" x14ac:dyDescent="0.15">
      <c r="A159" s="140">
        <v>126</v>
      </c>
      <c r="B159" s="166"/>
      <c r="C159" s="265" t="s">
        <v>8699</v>
      </c>
      <c r="D159" s="266" t="s">
        <v>8682</v>
      </c>
      <c r="E159" s="148">
        <v>3</v>
      </c>
      <c r="F159" s="235" t="s">
        <v>9843</v>
      </c>
      <c r="G159" s="270" t="s">
        <v>9844</v>
      </c>
      <c r="H159" s="148">
        <v>3</v>
      </c>
      <c r="I159" s="180" t="s">
        <v>9178</v>
      </c>
      <c r="J159" s="233" t="s">
        <v>9183</v>
      </c>
      <c r="N159" s="148">
        <v>15</v>
      </c>
      <c r="O159" s="169" t="s">
        <v>6193</v>
      </c>
      <c r="P159" s="183" t="s">
        <v>6194</v>
      </c>
      <c r="R159" s="148" t="s">
        <v>192</v>
      </c>
      <c r="S159" s="234" t="s">
        <v>10671</v>
      </c>
      <c r="T159" s="148">
        <v>20</v>
      </c>
      <c r="U159" s="179" t="s">
        <v>10988</v>
      </c>
      <c r="V159" s="240" t="s">
        <v>10989</v>
      </c>
      <c r="Z159" s="148">
        <v>3</v>
      </c>
      <c r="AA159" s="235" t="s">
        <v>8798</v>
      </c>
      <c r="AB159" s="270" t="s">
        <v>8799</v>
      </c>
      <c r="AF159" s="148">
        <v>6</v>
      </c>
      <c r="AG159" s="169" t="s">
        <v>5521</v>
      </c>
      <c r="AH159" s="183" t="s">
        <v>5522</v>
      </c>
      <c r="BO159" s="153"/>
      <c r="CH159" s="179" t="s">
        <v>9271</v>
      </c>
      <c r="CI159" s="148">
        <v>104</v>
      </c>
      <c r="CJ159" s="148" cm="1">
        <f t="array" ref="CJ159">_xlfn.IFS($AZ$8=20,109,$AZ$8&gt;=15,108,$AZ$8&gt;=7,107,$AZ$8&gt;=3,106,1,0)</f>
        <v>0</v>
      </c>
    </row>
    <row r="160" spans="1:88" ht="16.149999999999999" customHeight="1" x14ac:dyDescent="0.15">
      <c r="A160" s="140">
        <v>127</v>
      </c>
      <c r="B160" s="166">
        <v>6</v>
      </c>
      <c r="C160" s="237" t="s">
        <v>8660</v>
      </c>
      <c r="D160" s="236" t="s">
        <v>8661</v>
      </c>
      <c r="E160" s="148">
        <v>3</v>
      </c>
      <c r="F160" s="235" t="s">
        <v>9845</v>
      </c>
      <c r="G160" s="270" t="s">
        <v>9846</v>
      </c>
      <c r="H160" s="148">
        <v>3</v>
      </c>
      <c r="I160" s="180" t="s">
        <v>9179</v>
      </c>
      <c r="J160" s="233" t="s">
        <v>9184</v>
      </c>
      <c r="N160" s="148">
        <v>18</v>
      </c>
      <c r="O160" s="169" t="s">
        <v>6195</v>
      </c>
      <c r="P160" s="183" t="s">
        <v>6196</v>
      </c>
      <c r="R160" s="148" t="s">
        <v>153</v>
      </c>
      <c r="S160" s="268" t="s">
        <v>10672</v>
      </c>
      <c r="Z160" s="148">
        <v>3</v>
      </c>
      <c r="AA160" s="237" t="s">
        <v>8800</v>
      </c>
      <c r="AB160" s="236" t="s">
        <v>8829</v>
      </c>
      <c r="AF160" s="148">
        <v>10</v>
      </c>
      <c r="AG160" s="169" t="s">
        <v>5523</v>
      </c>
      <c r="AH160" s="183" t="s">
        <v>5524</v>
      </c>
      <c r="BO160" s="153"/>
      <c r="CH160" s="179" t="s">
        <v>9838</v>
      </c>
      <c r="CI160" s="148">
        <v>110</v>
      </c>
      <c r="CJ160" s="148" cm="1">
        <f t="array" ref="CJ160">_xlfn.IFS($AZ$8=20,115,$AZ$8&gt;=15,114,$AZ$8&gt;=7,113,$AZ$8&gt;=3,112,1,0)</f>
        <v>0</v>
      </c>
    </row>
    <row r="161" spans="1:88" ht="16.149999999999999" customHeight="1" x14ac:dyDescent="0.15">
      <c r="A161" s="140">
        <v>128</v>
      </c>
      <c r="B161" s="166">
        <v>10</v>
      </c>
      <c r="C161" s="237" t="s">
        <v>8662</v>
      </c>
      <c r="D161" s="236" t="s">
        <v>8663</v>
      </c>
      <c r="E161" s="148">
        <v>6</v>
      </c>
      <c r="F161" s="235" t="s">
        <v>9847</v>
      </c>
      <c r="G161" s="270" t="s">
        <v>9848</v>
      </c>
      <c r="H161" s="148">
        <v>6</v>
      </c>
      <c r="I161" s="180" t="s">
        <v>9180</v>
      </c>
      <c r="J161" s="233" t="s">
        <v>9185</v>
      </c>
      <c r="N161" s="148">
        <v>3</v>
      </c>
      <c r="O161" s="180" t="s">
        <v>7701</v>
      </c>
      <c r="P161" s="233" t="s">
        <v>7702</v>
      </c>
      <c r="R161" s="148" t="s">
        <v>5847</v>
      </c>
      <c r="S161" s="234" t="s">
        <v>10673</v>
      </c>
      <c r="AA161" s="237" t="s">
        <v>8803</v>
      </c>
      <c r="AB161" s="236" t="s">
        <v>8804</v>
      </c>
      <c r="AF161" s="148">
        <v>14</v>
      </c>
      <c r="AG161" s="169" t="s">
        <v>5525</v>
      </c>
      <c r="AH161" s="183" t="s">
        <v>5526</v>
      </c>
      <c r="BO161" s="153"/>
      <c r="CH161" s="179" t="s">
        <v>10707</v>
      </c>
      <c r="CI161" s="148">
        <v>116</v>
      </c>
      <c r="CJ161" s="148" cm="1">
        <f t="array" ref="CJ161">_xlfn.IFS($AZ$8=20,121,$AZ$8&gt;=15,120,$AZ$8&gt;=7,119,$AZ$8&gt;=3,118,1,0)</f>
        <v>0</v>
      </c>
    </row>
    <row r="162" spans="1:88" ht="16.149999999999999" customHeight="1" thickBot="1" x14ac:dyDescent="0.2">
      <c r="A162" s="140">
        <v>129</v>
      </c>
      <c r="B162" s="166">
        <v>14</v>
      </c>
      <c r="C162" s="237" t="s">
        <v>8664</v>
      </c>
      <c r="D162" s="236" t="s">
        <v>8665</v>
      </c>
      <c r="E162" s="148">
        <v>14</v>
      </c>
      <c r="F162" s="235" t="s">
        <v>9849</v>
      </c>
      <c r="G162" s="270" t="s">
        <v>9850</v>
      </c>
      <c r="H162" s="148">
        <v>17</v>
      </c>
      <c r="I162" s="180" t="s">
        <v>9181</v>
      </c>
      <c r="J162" s="233" t="s">
        <v>9186</v>
      </c>
      <c r="N162" s="148">
        <v>3</v>
      </c>
      <c r="O162" s="180" t="s">
        <v>7703</v>
      </c>
      <c r="P162" s="233" t="s">
        <v>7704</v>
      </c>
      <c r="R162" s="148" t="s">
        <v>5848</v>
      </c>
      <c r="S162" s="233" t="s">
        <v>10674</v>
      </c>
      <c r="AA162" s="237" t="s">
        <v>8805</v>
      </c>
      <c r="AB162" s="236" t="s">
        <v>8806</v>
      </c>
      <c r="AF162" s="148">
        <v>3</v>
      </c>
      <c r="AG162" s="148" t="s">
        <v>6269</v>
      </c>
      <c r="AH162" s="153" t="s">
        <v>6270</v>
      </c>
      <c r="BO162" s="153"/>
      <c r="CH162" s="179" t="s">
        <v>10979</v>
      </c>
      <c r="CI162" s="148">
        <v>122</v>
      </c>
      <c r="CJ162" s="148" cm="1">
        <f t="array" ref="CJ162">_xlfn.IFS($AZ$8=20,126,$AZ$8&gt;=15,125,$AZ$8&gt;=7,124,$AZ$8&gt;=3,123,1,0)</f>
        <v>0</v>
      </c>
    </row>
    <row r="163" spans="1:88" ht="16.149999999999999" customHeight="1" x14ac:dyDescent="0.15">
      <c r="A163" s="140">
        <v>130</v>
      </c>
      <c r="B163" s="166">
        <v>3</v>
      </c>
      <c r="C163" s="180" t="s">
        <v>9148</v>
      </c>
      <c r="D163" s="233" t="s">
        <v>9153</v>
      </c>
      <c r="H163" s="148">
        <v>3</v>
      </c>
      <c r="I163" s="235" t="s">
        <v>9737</v>
      </c>
      <c r="J163" s="270" t="s">
        <v>9738</v>
      </c>
      <c r="N163" s="148">
        <v>7</v>
      </c>
      <c r="O163" s="180" t="s">
        <v>7705</v>
      </c>
      <c r="P163" s="233" t="s">
        <v>7706</v>
      </c>
      <c r="R163" s="148" t="s">
        <v>5849</v>
      </c>
      <c r="S163" s="233" t="s">
        <v>10675</v>
      </c>
      <c r="AA163" s="237" t="s">
        <v>8807</v>
      </c>
      <c r="AB163" s="236" t="s">
        <v>8808</v>
      </c>
      <c r="AF163" s="148">
        <v>3</v>
      </c>
      <c r="AG163" s="148" t="s">
        <v>6271</v>
      </c>
      <c r="AH163" s="153" t="s">
        <v>6272</v>
      </c>
      <c r="BO163" s="153"/>
      <c r="CH163" s="163" t="s">
        <v>3630</v>
      </c>
      <c r="CI163" s="163">
        <v>29</v>
      </c>
      <c r="CJ163" s="163" cm="1">
        <f t="array" ref="CJ163">_xlfn.IFS($AZ$9&gt;=15,32,$AZ$9&gt;=11,31,$AZ$9&gt;=7,30,$AZ$9&gt;=3,29,1,0)</f>
        <v>0</v>
      </c>
    </row>
    <row r="164" spans="1:88" ht="16.149999999999999" customHeight="1" x14ac:dyDescent="0.15">
      <c r="A164" s="140">
        <v>131</v>
      </c>
      <c r="B164" s="166">
        <v>3</v>
      </c>
      <c r="C164" s="180" t="s">
        <v>9149</v>
      </c>
      <c r="D164" s="233" t="s">
        <v>9154</v>
      </c>
      <c r="H164" s="148">
        <v>3</v>
      </c>
      <c r="I164" s="237" t="s">
        <v>9733</v>
      </c>
      <c r="J164" s="238" t="s">
        <v>9741</v>
      </c>
      <c r="N164" s="148">
        <v>10</v>
      </c>
      <c r="O164" s="180" t="s">
        <v>7707</v>
      </c>
      <c r="P164" s="233" t="s">
        <v>7708</v>
      </c>
      <c r="R164" s="148" t="s">
        <v>5850</v>
      </c>
      <c r="S164" s="233" t="s">
        <v>10676</v>
      </c>
      <c r="AA164" s="237" t="s">
        <v>8809</v>
      </c>
      <c r="AB164" s="236" t="s">
        <v>8810</v>
      </c>
      <c r="AF164" s="148">
        <v>3</v>
      </c>
      <c r="AG164" s="148" t="s">
        <v>6273</v>
      </c>
      <c r="AH164" s="153" t="s">
        <v>6274</v>
      </c>
      <c r="BO164" s="153"/>
      <c r="CH164" s="148" t="s">
        <v>3631</v>
      </c>
      <c r="CI164" s="148">
        <v>33</v>
      </c>
      <c r="CJ164" s="148" cm="1">
        <f t="array" ref="CJ164">_xlfn.IFS($AZ$9&gt;=15,38,$AZ$9&gt;=11,37,$AZ$9&gt;=7,36,$AZ$9&gt;=3,35,1,0)</f>
        <v>0</v>
      </c>
    </row>
    <row r="165" spans="1:88" ht="16.149999999999999" customHeight="1" x14ac:dyDescent="0.15">
      <c r="A165" s="140">
        <v>132</v>
      </c>
      <c r="B165" s="166">
        <v>6</v>
      </c>
      <c r="C165" s="180" t="s">
        <v>9150</v>
      </c>
      <c r="D165" s="233" t="s">
        <v>9155</v>
      </c>
      <c r="H165" s="148">
        <v>3</v>
      </c>
      <c r="I165" s="237" t="s">
        <v>9213</v>
      </c>
      <c r="J165" s="236" t="s">
        <v>9742</v>
      </c>
      <c r="N165" s="148">
        <v>15</v>
      </c>
      <c r="O165" s="180" t="s">
        <v>7709</v>
      </c>
      <c r="P165" s="233" t="s">
        <v>7710</v>
      </c>
      <c r="Q165" s="148">
        <v>6</v>
      </c>
      <c r="R165" s="179" t="s">
        <v>10677</v>
      </c>
      <c r="S165" s="240" t="s">
        <v>10678</v>
      </c>
      <c r="AA165" s="237" t="s">
        <v>8811</v>
      </c>
      <c r="AB165" s="236" t="s">
        <v>8812</v>
      </c>
      <c r="AF165" s="148">
        <v>6</v>
      </c>
      <c r="AG165" s="148" t="s">
        <v>6275</v>
      </c>
      <c r="AH165" s="153" t="s">
        <v>6276</v>
      </c>
      <c r="BO165" s="153"/>
      <c r="CH165" s="148" t="s">
        <v>3632</v>
      </c>
      <c r="CI165" s="148">
        <v>39</v>
      </c>
      <c r="CJ165" s="148" cm="1">
        <f t="array" ref="CJ165">_xlfn.IFS($AZ$9&gt;=15,44,$AZ$9&gt;=11,43,$AZ$9&gt;=7,42,$AZ$9&gt;=3,41,1,0)</f>
        <v>0</v>
      </c>
    </row>
    <row r="166" spans="1:88" ht="16.149999999999999" customHeight="1" x14ac:dyDescent="0.15">
      <c r="A166" s="140">
        <v>133</v>
      </c>
      <c r="B166" s="166">
        <v>10</v>
      </c>
      <c r="C166" s="180" t="s">
        <v>9151</v>
      </c>
      <c r="D166" s="233" t="s">
        <v>9156</v>
      </c>
      <c r="H166" s="148">
        <v>3</v>
      </c>
      <c r="I166" s="237" t="s">
        <v>9734</v>
      </c>
      <c r="J166" s="238" t="s">
        <v>9743</v>
      </c>
      <c r="N166" s="148">
        <v>18</v>
      </c>
      <c r="O166" s="180" t="s">
        <v>7711</v>
      </c>
      <c r="P166" s="233" t="s">
        <v>7712</v>
      </c>
      <c r="Q166" s="148">
        <v>6</v>
      </c>
      <c r="R166" s="179" t="s">
        <v>10679</v>
      </c>
      <c r="S166" s="268" t="s">
        <v>10680</v>
      </c>
      <c r="AA166" s="237" t="s">
        <v>8813</v>
      </c>
      <c r="AB166" s="236" t="s">
        <v>8814</v>
      </c>
      <c r="AF166" s="148">
        <v>10</v>
      </c>
      <c r="AG166" s="148" t="s">
        <v>6277</v>
      </c>
      <c r="AH166" s="153" t="s">
        <v>6278</v>
      </c>
      <c r="BO166" s="153"/>
      <c r="CH166" s="148" t="s">
        <v>3633</v>
      </c>
      <c r="CI166" s="148">
        <v>45</v>
      </c>
      <c r="CJ166" s="148" cm="1">
        <f t="array" ref="CJ166">_xlfn.IFS($AZ$9&gt;=15,49,$AZ$9&gt;=11,48,$AZ$9&gt;=7,47,$AZ$9&gt;=3,46,1,0)</f>
        <v>0</v>
      </c>
    </row>
    <row r="167" spans="1:88" ht="16.149999999999999" customHeight="1" x14ac:dyDescent="0.15">
      <c r="A167" s="140">
        <v>134</v>
      </c>
      <c r="B167" s="166">
        <v>14</v>
      </c>
      <c r="C167" s="180" t="s">
        <v>9152</v>
      </c>
      <c r="D167" s="233" t="s">
        <v>9157</v>
      </c>
      <c r="H167" s="148">
        <v>6</v>
      </c>
      <c r="I167" s="237" t="s">
        <v>9735</v>
      </c>
      <c r="J167" s="238" t="s">
        <v>9744</v>
      </c>
      <c r="N167" s="148">
        <v>3</v>
      </c>
      <c r="O167" s="237" t="s">
        <v>7713</v>
      </c>
      <c r="P167" s="236" t="s">
        <v>7752</v>
      </c>
      <c r="Q167" s="148">
        <v>11</v>
      </c>
      <c r="R167" s="179" t="s">
        <v>10681</v>
      </c>
      <c r="S167" s="268" t="s">
        <v>10682</v>
      </c>
      <c r="AA167" s="237" t="s">
        <v>8815</v>
      </c>
      <c r="AB167" s="236" t="s">
        <v>8816</v>
      </c>
      <c r="AF167" s="148">
        <v>14</v>
      </c>
      <c r="AG167" s="148" t="s">
        <v>6279</v>
      </c>
      <c r="AH167" s="153" t="s">
        <v>6280</v>
      </c>
      <c r="BO167" s="153"/>
      <c r="CH167" s="148" t="s">
        <v>5241</v>
      </c>
      <c r="CI167" s="148">
        <v>50</v>
      </c>
      <c r="CJ167" s="148" cm="1">
        <f t="array" ref="CJ167">_xlfn.IFS($AZ$9&gt;=15,55,$AZ$9&gt;=11,54,$AZ$9&gt;=7,53,$AZ$9&gt;=3,52,1,0)</f>
        <v>0</v>
      </c>
    </row>
    <row r="168" spans="1:88" ht="16.149999999999999" customHeight="1" x14ac:dyDescent="0.15">
      <c r="A168" s="140">
        <v>135</v>
      </c>
      <c r="B168" s="166">
        <v>3</v>
      </c>
      <c r="C168" s="237" t="s">
        <v>9788</v>
      </c>
      <c r="D168" s="236" t="s">
        <v>9792</v>
      </c>
      <c r="H168" s="148">
        <v>17</v>
      </c>
      <c r="I168" s="237" t="s">
        <v>9736</v>
      </c>
      <c r="J168" s="238" t="s">
        <v>9745</v>
      </c>
      <c r="N168" s="148">
        <v>3</v>
      </c>
      <c r="O168" s="237" t="s">
        <v>7714</v>
      </c>
      <c r="P168" s="236" t="s">
        <v>7753</v>
      </c>
      <c r="Q168" s="148">
        <v>17</v>
      </c>
      <c r="R168" s="179" t="s">
        <v>10683</v>
      </c>
      <c r="S168" s="268" t="s">
        <v>10684</v>
      </c>
      <c r="AA168" s="237" t="s">
        <v>8817</v>
      </c>
      <c r="AB168" s="236" t="s">
        <v>8818</v>
      </c>
      <c r="AF168" s="148">
        <v>3</v>
      </c>
      <c r="AG168" s="169" t="s">
        <v>6281</v>
      </c>
      <c r="AH168" s="183" t="s">
        <v>6282</v>
      </c>
      <c r="BO168" s="153"/>
      <c r="CH168" s="148" t="s">
        <v>5260</v>
      </c>
      <c r="CI168" s="148">
        <v>56</v>
      </c>
      <c r="CJ168" s="148" cm="1">
        <f t="array" ref="CJ168">_xlfn.IFS($AZ$9&gt;=15,61,$AZ$9&gt;=11,60,$AZ$9&gt;=7,59,$AZ$9&gt;=3,58,1,0)</f>
        <v>0</v>
      </c>
    </row>
    <row r="169" spans="1:88" ht="16.149999999999999" customHeight="1" x14ac:dyDescent="0.15">
      <c r="A169" s="140">
        <v>136</v>
      </c>
      <c r="B169" s="166">
        <v>6</v>
      </c>
      <c r="C169" s="237" t="s">
        <v>9789</v>
      </c>
      <c r="D169" s="238" t="s">
        <v>9793</v>
      </c>
      <c r="H169" s="148">
        <v>3</v>
      </c>
      <c r="I169" s="180" t="s">
        <v>9739</v>
      </c>
      <c r="J169" s="240" t="s">
        <v>9740</v>
      </c>
      <c r="O169" s="265" t="s">
        <v>7715</v>
      </c>
      <c r="P169" s="266" t="s">
        <v>7716</v>
      </c>
      <c r="AA169" s="237" t="s">
        <v>8819</v>
      </c>
      <c r="AB169" s="236" t="s">
        <v>8820</v>
      </c>
      <c r="AF169" s="148">
        <v>3</v>
      </c>
      <c r="AG169" s="169" t="s">
        <v>5846</v>
      </c>
      <c r="AH169" s="183" t="s">
        <v>6283</v>
      </c>
      <c r="BO169" s="153"/>
      <c r="CH169" s="148" t="s">
        <v>5277</v>
      </c>
      <c r="CI169" s="148">
        <v>62</v>
      </c>
      <c r="CJ169" s="148" cm="1">
        <f t="array" ref="CJ169">_xlfn.IFS($AZ$9&gt;=15,66,$AZ$9&gt;=11,65,$AZ$9&gt;=7,64,$AZ$9&gt;=3,63,1,0)</f>
        <v>0</v>
      </c>
    </row>
    <row r="170" spans="1:88" ht="16.149999999999999" customHeight="1" x14ac:dyDescent="0.15">
      <c r="A170" s="140">
        <v>137</v>
      </c>
      <c r="B170" s="166">
        <v>10</v>
      </c>
      <c r="C170" s="237" t="s">
        <v>9790</v>
      </c>
      <c r="D170" s="238" t="s">
        <v>9794</v>
      </c>
      <c r="H170" s="148">
        <v>3</v>
      </c>
      <c r="I170" s="180" t="s">
        <v>9746</v>
      </c>
      <c r="J170" s="233" t="s">
        <v>9751</v>
      </c>
      <c r="O170" s="265" t="s">
        <v>7717</v>
      </c>
      <c r="P170" s="266" t="s">
        <v>7718</v>
      </c>
      <c r="AA170" s="237" t="s">
        <v>8821</v>
      </c>
      <c r="AB170" s="236" t="s">
        <v>8822</v>
      </c>
      <c r="AF170" s="148">
        <v>3</v>
      </c>
      <c r="AG170" s="169" t="s">
        <v>6284</v>
      </c>
      <c r="AH170" s="183" t="s">
        <v>6285</v>
      </c>
      <c r="BO170" s="153"/>
      <c r="CH170" s="148" t="s">
        <v>5292</v>
      </c>
      <c r="CI170" s="148">
        <v>67</v>
      </c>
      <c r="CJ170" s="148" cm="1">
        <f t="array" ref="CJ170">_xlfn.IFS($AZ$9&gt;=15,72,$AZ$9&gt;=11,71,$AZ$9&gt;=7,70,$AZ$9&gt;=3,69,1,0)</f>
        <v>0</v>
      </c>
    </row>
    <row r="171" spans="1:88" ht="16.149999999999999" customHeight="1" x14ac:dyDescent="0.15">
      <c r="A171" s="140">
        <v>138</v>
      </c>
      <c r="B171" s="166">
        <v>14</v>
      </c>
      <c r="C171" s="237" t="s">
        <v>9791</v>
      </c>
      <c r="D171" s="183" t="s">
        <v>9795</v>
      </c>
      <c r="H171" s="148">
        <v>3</v>
      </c>
      <c r="I171" s="180" t="s">
        <v>9747</v>
      </c>
      <c r="J171" s="234" t="s">
        <v>9752</v>
      </c>
      <c r="O171" s="265" t="s">
        <v>7719</v>
      </c>
      <c r="P171" s="266" t="s">
        <v>7720</v>
      </c>
      <c r="AA171" s="237" t="s">
        <v>8823</v>
      </c>
      <c r="AB171" s="236" t="s">
        <v>8824</v>
      </c>
      <c r="AF171" s="148">
        <v>6</v>
      </c>
      <c r="AG171" s="169" t="s">
        <v>6286</v>
      </c>
      <c r="AH171" s="183" t="s">
        <v>6287</v>
      </c>
      <c r="BO171" s="153"/>
      <c r="CH171" s="148" t="s">
        <v>5305</v>
      </c>
      <c r="CI171" s="148">
        <v>73</v>
      </c>
      <c r="CJ171" s="148" cm="1">
        <f t="array" ref="CJ171">_xlfn.IFS($AZ$9&gt;=15,78,$AZ$9&gt;=11,77,$AZ$9&gt;=7,76,$AZ$9&gt;=3,75,1,0)</f>
        <v>0</v>
      </c>
    </row>
    <row r="172" spans="1:88" ht="16.149999999999999" customHeight="1" x14ac:dyDescent="0.15">
      <c r="A172" s="140">
        <v>139</v>
      </c>
      <c r="B172" s="166"/>
      <c r="H172" s="148">
        <v>3</v>
      </c>
      <c r="I172" s="180" t="s">
        <v>9748</v>
      </c>
      <c r="J172" s="234" t="s">
        <v>9753</v>
      </c>
      <c r="O172" s="265" t="s">
        <v>7721</v>
      </c>
      <c r="P172" s="266" t="s">
        <v>7722</v>
      </c>
      <c r="AA172" s="237" t="s">
        <v>8825</v>
      </c>
      <c r="AB172" s="236" t="s">
        <v>8826</v>
      </c>
      <c r="AF172" s="148">
        <v>10</v>
      </c>
      <c r="AG172" s="169" t="s">
        <v>6288</v>
      </c>
      <c r="AH172" s="183" t="s">
        <v>6289</v>
      </c>
      <c r="BO172" s="153"/>
      <c r="CH172" s="179" t="s">
        <v>6316</v>
      </c>
      <c r="CI172" s="148">
        <v>79</v>
      </c>
      <c r="CJ172" s="148" cm="1">
        <f t="array" ref="CJ172">_xlfn.IFS($AZ$9&gt;=15,84,$AZ$9&gt;=11,83,$AZ$9&gt;=7,82,$AZ$9&gt;=3,81,1,0)</f>
        <v>0</v>
      </c>
    </row>
    <row r="173" spans="1:88" ht="16.149999999999999" customHeight="1" x14ac:dyDescent="0.15">
      <c r="A173" s="140">
        <v>140</v>
      </c>
      <c r="B173" s="166"/>
      <c r="H173" s="148">
        <v>6</v>
      </c>
      <c r="I173" s="180" t="s">
        <v>9749</v>
      </c>
      <c r="J173" s="234" t="s">
        <v>9754</v>
      </c>
      <c r="O173" s="265" t="s">
        <v>7723</v>
      </c>
      <c r="P173" s="266" t="s">
        <v>7724</v>
      </c>
      <c r="AA173" s="237" t="s">
        <v>8827</v>
      </c>
      <c r="AB173" s="236" t="s">
        <v>8828</v>
      </c>
      <c r="AF173" s="148">
        <v>14</v>
      </c>
      <c r="AG173" s="169" t="s">
        <v>6290</v>
      </c>
      <c r="AH173" s="183" t="s">
        <v>6291</v>
      </c>
      <c r="BO173" s="153"/>
      <c r="CH173" s="179" t="s">
        <v>8777</v>
      </c>
      <c r="CI173" s="148">
        <v>85</v>
      </c>
      <c r="CJ173" s="148" cm="1">
        <f t="array" ref="CJ173">_xlfn.IFS($AZ$9&gt;=15,89,$AZ$9&gt;=11,88,$AZ$9&gt;=7,87,$AZ$9&gt;=3,86,1,0)</f>
        <v>0</v>
      </c>
    </row>
    <row r="174" spans="1:88" ht="16.149999999999999" customHeight="1" x14ac:dyDescent="0.15">
      <c r="A174" s="140">
        <v>141</v>
      </c>
      <c r="B174" s="166"/>
      <c r="H174" s="148">
        <v>17</v>
      </c>
      <c r="I174" s="180" t="s">
        <v>9750</v>
      </c>
      <c r="J174" s="233" t="s">
        <v>9755</v>
      </c>
      <c r="O174" s="265" t="s">
        <v>7725</v>
      </c>
      <c r="P174" s="266" t="s">
        <v>7726</v>
      </c>
      <c r="Z174" s="148">
        <v>9</v>
      </c>
      <c r="AA174" s="237" t="s">
        <v>8801</v>
      </c>
      <c r="AB174" s="238" t="s">
        <v>8830</v>
      </c>
      <c r="AF174" s="180">
        <v>3</v>
      </c>
      <c r="AG174" s="180" t="s">
        <v>8832</v>
      </c>
      <c r="AH174" s="233" t="s">
        <v>8833</v>
      </c>
      <c r="BO174" s="153"/>
      <c r="CH174" s="179" t="s">
        <v>8778</v>
      </c>
      <c r="CI174" s="148">
        <v>90</v>
      </c>
      <c r="CJ174" s="148" cm="1">
        <f t="array" ref="CJ174">_xlfn.IFS($AZ$9&gt;=15,94,$AZ$9&gt;=11,93,$AZ$9&gt;=7,92,$AZ$9&gt;=3,91,1,0)</f>
        <v>0</v>
      </c>
    </row>
    <row r="175" spans="1:88" ht="16.149999999999999" customHeight="1" x14ac:dyDescent="0.15">
      <c r="A175" s="140">
        <v>142</v>
      </c>
      <c r="B175" s="166"/>
      <c r="H175" s="148">
        <v>3</v>
      </c>
      <c r="I175" s="235" t="s">
        <v>9851</v>
      </c>
      <c r="J175" s="269" t="s">
        <v>9852</v>
      </c>
      <c r="O175" s="265" t="s">
        <v>7727</v>
      </c>
      <c r="P175" s="266" t="s">
        <v>7728</v>
      </c>
      <c r="Z175" s="148">
        <v>13</v>
      </c>
      <c r="AA175" s="237" t="s">
        <v>8802</v>
      </c>
      <c r="AB175" s="238" t="s">
        <v>8831</v>
      </c>
      <c r="AF175" s="180">
        <v>3</v>
      </c>
      <c r="AG175" s="180" t="s">
        <v>8834</v>
      </c>
      <c r="AH175" s="233" t="s">
        <v>8835</v>
      </c>
      <c r="BO175" s="153"/>
      <c r="CH175" s="179" t="s">
        <v>9272</v>
      </c>
      <c r="CI175" s="148">
        <v>95</v>
      </c>
      <c r="CJ175" s="148" cm="1">
        <f t="array" ref="CJ175">_xlfn.IFS($AZ$9&gt;=15,100,$AZ$9&gt;=11,99,$AZ$9&gt;=7,98,$AZ$9&gt;=3,97,1,0)</f>
        <v>0</v>
      </c>
    </row>
    <row r="176" spans="1:88" ht="16.149999999999999" customHeight="1" thickBot="1" x14ac:dyDescent="0.2">
      <c r="A176" s="140">
        <v>143</v>
      </c>
      <c r="B176" s="166"/>
      <c r="H176" s="148">
        <v>3</v>
      </c>
      <c r="I176" s="235" t="s">
        <v>9853</v>
      </c>
      <c r="J176" s="270" t="s">
        <v>9854</v>
      </c>
      <c r="O176" s="265" t="s">
        <v>7729</v>
      </c>
      <c r="P176" s="266" t="s">
        <v>7730</v>
      </c>
      <c r="Z176" s="148">
        <v>3</v>
      </c>
      <c r="AA176" s="180" t="s">
        <v>9234</v>
      </c>
      <c r="AB176" s="233" t="s">
        <v>9239</v>
      </c>
      <c r="AF176" s="180">
        <v>6</v>
      </c>
      <c r="AG176" s="180" t="s">
        <v>8836</v>
      </c>
      <c r="AH176" s="233" t="s">
        <v>8837</v>
      </c>
      <c r="BO176" s="153"/>
      <c r="CH176" s="179" t="s">
        <v>9839</v>
      </c>
      <c r="CI176" s="148">
        <v>101</v>
      </c>
      <c r="CJ176" s="148" cm="1">
        <f t="array" ref="CJ176">_xlfn.IFS($AZ$9&gt;=15,106,$AZ$9&gt;=11,105,$AZ$9&gt;=7,104,$AZ$9&gt;=3,103,1,0)</f>
        <v>0</v>
      </c>
    </row>
    <row r="177" spans="1:88" ht="16.149999999999999" customHeight="1" x14ac:dyDescent="0.15">
      <c r="A177" s="140">
        <v>144</v>
      </c>
      <c r="B177" s="166"/>
      <c r="H177" s="148">
        <v>3</v>
      </c>
      <c r="I177" s="235" t="s">
        <v>9855</v>
      </c>
      <c r="J177" s="269" t="s">
        <v>9856</v>
      </c>
      <c r="N177" s="148">
        <v>7</v>
      </c>
      <c r="O177" s="237" t="s">
        <v>7731</v>
      </c>
      <c r="P177" s="236" t="s">
        <v>7754</v>
      </c>
      <c r="Z177" s="148">
        <v>3</v>
      </c>
      <c r="AA177" s="180" t="s">
        <v>9235</v>
      </c>
      <c r="AB177" s="233" t="s">
        <v>9240</v>
      </c>
      <c r="AF177" s="180">
        <v>10</v>
      </c>
      <c r="AG177" s="180" t="s">
        <v>8838</v>
      </c>
      <c r="AH177" s="233" t="s">
        <v>8839</v>
      </c>
      <c r="BO177" s="153"/>
      <c r="CH177" s="163" t="s">
        <v>3616</v>
      </c>
      <c r="CI177" s="163">
        <v>25</v>
      </c>
      <c r="CJ177" s="163" cm="1">
        <f t="array" ref="CJ177">_xlfn.IFS($AZ$10&gt;=17,35,$AZ$10&gt;=13,34,$AZ$10&gt;=9,33,$AZ$10&gt;=3,32,1,0)</f>
        <v>0</v>
      </c>
    </row>
    <row r="178" spans="1:88" ht="16.149999999999999" customHeight="1" x14ac:dyDescent="0.15">
      <c r="A178" s="140">
        <v>145</v>
      </c>
      <c r="B178" s="166"/>
      <c r="H178" s="148">
        <v>6</v>
      </c>
      <c r="I178" s="235" t="s">
        <v>9857</v>
      </c>
      <c r="J178" s="270" t="s">
        <v>9858</v>
      </c>
      <c r="N178" s="148">
        <v>7</v>
      </c>
      <c r="O178" s="237" t="s">
        <v>7732</v>
      </c>
      <c r="P178" s="236" t="s">
        <v>7755</v>
      </c>
      <c r="Z178" s="148">
        <v>9</v>
      </c>
      <c r="AA178" s="180" t="s">
        <v>9236</v>
      </c>
      <c r="AB178" s="233" t="s">
        <v>9241</v>
      </c>
      <c r="AF178" s="180">
        <v>14</v>
      </c>
      <c r="AG178" s="180" t="s">
        <v>8840</v>
      </c>
      <c r="AH178" s="233" t="s">
        <v>8841</v>
      </c>
      <c r="BO178" s="153"/>
      <c r="CH178" s="148" t="s">
        <v>3637</v>
      </c>
      <c r="CI178" s="148">
        <v>36</v>
      </c>
      <c r="CJ178" s="148" cm="1">
        <f t="array" ref="CJ178">_xlfn.IFS($AZ$10&gt;=17,40,$AZ$10&gt;=13,39,$AZ$10&gt;=9,38,$AZ$10&gt;=3,37,1,0)</f>
        <v>0</v>
      </c>
    </row>
    <row r="179" spans="1:88" ht="16.149999999999999" customHeight="1" x14ac:dyDescent="0.15">
      <c r="A179" s="140">
        <v>146</v>
      </c>
      <c r="B179" s="166"/>
      <c r="H179" s="148">
        <v>17</v>
      </c>
      <c r="I179" s="235" t="s">
        <v>9859</v>
      </c>
      <c r="J179" s="270" t="s">
        <v>9860</v>
      </c>
      <c r="N179" s="148">
        <v>10</v>
      </c>
      <c r="O179" s="237" t="s">
        <v>7733</v>
      </c>
      <c r="P179" s="236" t="s">
        <v>7756</v>
      </c>
      <c r="Z179" s="148">
        <v>13</v>
      </c>
      <c r="AA179" s="180" t="s">
        <v>9237</v>
      </c>
      <c r="AB179" s="233" t="s">
        <v>9242</v>
      </c>
      <c r="AF179" s="180">
        <v>3</v>
      </c>
      <c r="AG179" s="237" t="s">
        <v>7480</v>
      </c>
      <c r="AH179" s="236" t="s">
        <v>7481</v>
      </c>
      <c r="BO179" s="153"/>
      <c r="CH179" s="148" t="s">
        <v>3638</v>
      </c>
      <c r="CI179" s="148">
        <v>41</v>
      </c>
      <c r="CJ179" s="148" cm="1">
        <f t="array" ref="CJ179">_xlfn.IFS($AZ$10&gt;=17,45,$AZ$10&gt;=13,44,$AZ$10&gt;=9,43,$AZ$10&gt;=3,42,1,0)</f>
        <v>0</v>
      </c>
    </row>
    <row r="180" spans="1:88" ht="16.149999999999999" customHeight="1" x14ac:dyDescent="0.15">
      <c r="A180" s="140">
        <v>147</v>
      </c>
      <c r="B180" s="166"/>
      <c r="N180" s="148">
        <v>15</v>
      </c>
      <c r="O180" s="237" t="s">
        <v>7734</v>
      </c>
      <c r="P180" s="236" t="s">
        <v>7757</v>
      </c>
      <c r="Z180" s="148">
        <v>17</v>
      </c>
      <c r="AA180" s="180" t="s">
        <v>9238</v>
      </c>
      <c r="AB180" s="233" t="s">
        <v>9243</v>
      </c>
      <c r="AF180" s="180">
        <v>3</v>
      </c>
      <c r="AG180" s="237" t="s">
        <v>7482</v>
      </c>
      <c r="AH180" s="236" t="s">
        <v>8842</v>
      </c>
      <c r="BO180" s="153"/>
      <c r="CH180" s="148" t="s">
        <v>3639</v>
      </c>
      <c r="CI180" s="148">
        <v>46</v>
      </c>
      <c r="CJ180" s="148" cm="1">
        <f t="array" ref="CJ180">_xlfn.IFS($AZ$10&gt;=17,50,$AZ$10&gt;=13,49,$AZ$10&gt;=9,48,$AZ$10&gt;=3,47,1,0)</f>
        <v>0</v>
      </c>
    </row>
    <row r="181" spans="1:88" ht="16.149999999999999" customHeight="1" x14ac:dyDescent="0.15">
      <c r="A181" s="140">
        <v>148</v>
      </c>
      <c r="B181" s="166"/>
      <c r="N181" s="148">
        <v>18</v>
      </c>
      <c r="O181" s="237" t="s">
        <v>7735</v>
      </c>
      <c r="P181" s="236" t="s">
        <v>7758</v>
      </c>
      <c r="Z181" s="148">
        <v>3</v>
      </c>
      <c r="AA181" s="237" t="s">
        <v>9796</v>
      </c>
      <c r="AB181" s="236" t="s">
        <v>9801</v>
      </c>
      <c r="AF181" s="180">
        <v>3</v>
      </c>
      <c r="AG181" s="237" t="s">
        <v>7483</v>
      </c>
      <c r="AH181" s="236" t="s">
        <v>8843</v>
      </c>
      <c r="BO181" s="153"/>
      <c r="CH181" s="148" t="s">
        <v>5352</v>
      </c>
      <c r="CI181" s="148">
        <v>51</v>
      </c>
      <c r="CJ181" s="148" cm="1">
        <f t="array" ref="CJ181">_xlfn.IFS($AZ$10&gt;=17,56,$AZ$10&gt;=13,55,$AZ$10&gt;=9,54,$AZ$10&gt;=3,53,1,0)</f>
        <v>0</v>
      </c>
    </row>
    <row r="182" spans="1:88" ht="16.149999999999999" customHeight="1" x14ac:dyDescent="0.15">
      <c r="A182" s="140">
        <v>149</v>
      </c>
      <c r="B182" s="166"/>
      <c r="N182" s="148">
        <v>3</v>
      </c>
      <c r="O182" s="179" t="s">
        <v>7736</v>
      </c>
      <c r="P182" s="240" t="s">
        <v>7737</v>
      </c>
      <c r="Z182" s="148">
        <v>3</v>
      </c>
      <c r="AA182" s="237" t="s">
        <v>9797</v>
      </c>
      <c r="AB182" s="238" t="s">
        <v>9802</v>
      </c>
      <c r="AF182" s="180">
        <v>6</v>
      </c>
      <c r="AG182" s="237" t="s">
        <v>7484</v>
      </c>
      <c r="AH182" s="236" t="s">
        <v>8844</v>
      </c>
      <c r="BO182" s="153"/>
      <c r="CH182" s="148" t="s">
        <v>5361</v>
      </c>
      <c r="CI182" s="148">
        <v>57</v>
      </c>
      <c r="CJ182" s="148" cm="1">
        <f t="array" ref="CJ182">_xlfn.IFS($AZ$10&gt;=17,61,$AZ$10&gt;=13,60,$AZ$10&gt;=9,59,$AZ$10&gt;=3,58,1,0)</f>
        <v>0</v>
      </c>
    </row>
    <row r="183" spans="1:88" ht="16.149999999999999" customHeight="1" x14ac:dyDescent="0.15">
      <c r="A183" s="140">
        <v>150</v>
      </c>
      <c r="B183" s="166"/>
      <c r="O183" s="272" t="s">
        <v>7738</v>
      </c>
      <c r="P183" s="267" t="s">
        <v>7739</v>
      </c>
      <c r="Z183" s="148">
        <v>9</v>
      </c>
      <c r="AA183" s="237" t="s">
        <v>9798</v>
      </c>
      <c r="AB183" s="238" t="s">
        <v>9803</v>
      </c>
      <c r="AF183" s="180">
        <v>6</v>
      </c>
      <c r="AG183" s="237" t="s">
        <v>7485</v>
      </c>
      <c r="AH183" s="236" t="s">
        <v>8845</v>
      </c>
      <c r="BO183" s="153"/>
      <c r="CH183" s="148" t="s">
        <v>5366</v>
      </c>
      <c r="CI183" s="148">
        <v>62</v>
      </c>
      <c r="CJ183" s="148" cm="1">
        <f t="array" ref="CJ183">_xlfn.IFS($AZ$10&gt;=17,66,$AZ$10&gt;=13,65,$AZ$10&gt;=9,64,$AZ$10&gt;=3,63,1,0)</f>
        <v>0</v>
      </c>
    </row>
    <row r="184" spans="1:88" ht="16.149999999999999" customHeight="1" x14ac:dyDescent="0.15">
      <c r="A184" s="140">
        <v>151</v>
      </c>
      <c r="B184" s="166"/>
      <c r="O184" s="272" t="s">
        <v>7740</v>
      </c>
      <c r="P184" s="273" t="s">
        <v>7741</v>
      </c>
      <c r="Z184" s="148">
        <v>13</v>
      </c>
      <c r="AA184" s="237" t="s">
        <v>9799</v>
      </c>
      <c r="AB184" s="238" t="s">
        <v>9805</v>
      </c>
      <c r="AF184" s="180">
        <v>10</v>
      </c>
      <c r="AG184" s="237" t="s">
        <v>7486</v>
      </c>
      <c r="AH184" s="236" t="s">
        <v>8846</v>
      </c>
      <c r="BO184" s="153"/>
      <c r="CH184" s="148" t="s">
        <v>5371</v>
      </c>
      <c r="CI184" s="148">
        <v>67</v>
      </c>
      <c r="CJ184" s="148" cm="1">
        <f t="array" ref="CJ184">_xlfn.IFS($AZ$10&gt;=17,71,$AZ$10&gt;=13,70,$AZ$10&gt;=9,69,$AZ$10&gt;=3,68,1,0)</f>
        <v>0</v>
      </c>
    </row>
    <row r="185" spans="1:88" ht="16.149999999999999" customHeight="1" x14ac:dyDescent="0.15">
      <c r="A185" s="140">
        <v>152</v>
      </c>
      <c r="B185" s="166"/>
      <c r="O185" s="272" t="s">
        <v>7742</v>
      </c>
      <c r="P185" s="267" t="s">
        <v>7743</v>
      </c>
      <c r="Z185" s="148">
        <v>17</v>
      </c>
      <c r="AA185" s="237" t="s">
        <v>9800</v>
      </c>
      <c r="AB185" s="238" t="s">
        <v>9804</v>
      </c>
      <c r="AF185" s="180">
        <v>14</v>
      </c>
      <c r="AG185" s="237" t="s">
        <v>7487</v>
      </c>
      <c r="AH185" s="236" t="s">
        <v>8847</v>
      </c>
      <c r="BO185" s="153"/>
      <c r="CH185" s="148" t="s">
        <v>5375</v>
      </c>
      <c r="CI185" s="148">
        <v>72</v>
      </c>
      <c r="CJ185" s="148" cm="1">
        <f t="array" ref="CJ185">_xlfn.IFS($AZ$10&gt;=17,76,$AZ$10&gt;=13,75,$AZ$10&gt;=9,74,$AZ$10&gt;=3,73,1,0)</f>
        <v>0</v>
      </c>
    </row>
    <row r="186" spans="1:88" ht="16.149999999999999" customHeight="1" x14ac:dyDescent="0.15">
      <c r="A186" s="140">
        <v>153</v>
      </c>
      <c r="B186" s="166"/>
      <c r="N186" s="148">
        <v>7</v>
      </c>
      <c r="O186" s="179" t="s">
        <v>7744</v>
      </c>
      <c r="P186" s="240" t="s">
        <v>7745</v>
      </c>
      <c r="Z186" s="148">
        <v>3</v>
      </c>
      <c r="AA186" s="179" t="s">
        <v>9896</v>
      </c>
      <c r="AB186" s="240" t="s">
        <v>9897</v>
      </c>
      <c r="AF186" s="148">
        <v>3</v>
      </c>
      <c r="AG186" s="179" t="s">
        <v>7488</v>
      </c>
      <c r="AH186" s="240" t="s">
        <v>7489</v>
      </c>
      <c r="BO186" s="153"/>
      <c r="CH186" s="148" t="s">
        <v>5380</v>
      </c>
      <c r="CI186" s="148">
        <v>77</v>
      </c>
      <c r="CJ186" s="148" cm="1">
        <f t="array" ref="CJ186">_xlfn.IFS($AZ$10&gt;=17,81,$AZ$10&gt;=13,80,$AZ$10&gt;=9,79,$AZ$10&gt;=3,78,1,0)</f>
        <v>0</v>
      </c>
    </row>
    <row r="187" spans="1:88" ht="16.149999999999999" customHeight="1" x14ac:dyDescent="0.15">
      <c r="A187" s="140">
        <v>154</v>
      </c>
      <c r="B187" s="166"/>
      <c r="N187" s="148">
        <v>10</v>
      </c>
      <c r="O187" s="179" t="s">
        <v>7746</v>
      </c>
      <c r="P187" s="240" t="s">
        <v>7747</v>
      </c>
      <c r="Z187" s="148">
        <v>3</v>
      </c>
      <c r="AA187" s="179" t="s">
        <v>9898</v>
      </c>
      <c r="AB187" s="240" t="s">
        <v>9899</v>
      </c>
      <c r="AF187" s="148">
        <v>3</v>
      </c>
      <c r="AG187" s="179" t="s">
        <v>7490</v>
      </c>
      <c r="AH187" s="240" t="s">
        <v>7491</v>
      </c>
      <c r="BO187" s="153"/>
      <c r="CH187" s="179" t="s">
        <v>6317</v>
      </c>
      <c r="CI187" s="148">
        <v>82</v>
      </c>
      <c r="CJ187" s="148" cm="1">
        <f t="array" ref="CJ187">_xlfn.IFS($AZ$10&gt;=17,87,$AZ$10&gt;=13,86,$AZ$10&gt;=9,85,$AZ$10&gt;=3,84,1,0)</f>
        <v>0</v>
      </c>
    </row>
    <row r="188" spans="1:88" ht="16.149999999999999" customHeight="1" x14ac:dyDescent="0.15">
      <c r="A188" s="140">
        <v>155</v>
      </c>
      <c r="B188" s="166"/>
      <c r="N188" s="148">
        <v>15</v>
      </c>
      <c r="O188" s="179" t="s">
        <v>7748</v>
      </c>
      <c r="P188" s="240" t="s">
        <v>7749</v>
      </c>
      <c r="Z188" s="148">
        <v>9</v>
      </c>
      <c r="AA188" s="179" t="s">
        <v>9900</v>
      </c>
      <c r="AB188" s="240" t="s">
        <v>9901</v>
      </c>
      <c r="AF188" s="148">
        <v>6</v>
      </c>
      <c r="AG188" s="179" t="s">
        <v>7492</v>
      </c>
      <c r="AH188" s="240" t="s">
        <v>7493</v>
      </c>
      <c r="BO188" s="153"/>
      <c r="CH188" s="179" t="s">
        <v>7447</v>
      </c>
      <c r="CI188" s="148">
        <v>88</v>
      </c>
      <c r="CJ188" s="148" cm="1">
        <f t="array" ref="CJ188">_xlfn.IFS($AZ$10&gt;=17,92,$AZ$10&gt;=13,91,$AZ$10&gt;=9,90,$AZ$10&gt;=3,89,1,0)</f>
        <v>0</v>
      </c>
    </row>
    <row r="189" spans="1:88" ht="16.149999999999999" customHeight="1" x14ac:dyDescent="0.15">
      <c r="A189" s="140">
        <v>156</v>
      </c>
      <c r="B189" s="166"/>
      <c r="N189" s="148">
        <v>18</v>
      </c>
      <c r="O189" s="179" t="s">
        <v>7750</v>
      </c>
      <c r="P189" s="240" t="s">
        <v>7751</v>
      </c>
      <c r="Z189" s="148">
        <v>13</v>
      </c>
      <c r="AA189" s="179" t="s">
        <v>9902</v>
      </c>
      <c r="AB189" s="240" t="s">
        <v>9903</v>
      </c>
      <c r="AF189" s="148">
        <v>10</v>
      </c>
      <c r="AG189" s="179" t="s">
        <v>7494</v>
      </c>
      <c r="AH189" s="240" t="s">
        <v>7495</v>
      </c>
      <c r="BO189" s="153"/>
      <c r="CH189" s="179" t="s">
        <v>8779</v>
      </c>
      <c r="CI189" s="148">
        <v>93</v>
      </c>
      <c r="CJ189" s="148" cm="1">
        <f t="array" ref="CJ189">_xlfn.IFS($AZ$10&gt;=17,120,$AZ$10&gt;=13,119,$AZ$10&gt;=10,111,$AZ$10&gt;=9,110,$AZ$10&gt;=5,109,$AZ$10&gt;=3,107,1,0)</f>
        <v>0</v>
      </c>
    </row>
    <row r="190" spans="1:88" ht="16.149999999999999" customHeight="1" x14ac:dyDescent="0.15">
      <c r="A190" s="140">
        <v>157</v>
      </c>
      <c r="B190" s="166"/>
      <c r="N190" s="148">
        <v>3</v>
      </c>
      <c r="O190" s="235" t="s">
        <v>8657</v>
      </c>
      <c r="P190" s="270" t="s">
        <v>8716</v>
      </c>
      <c r="Z190" s="148">
        <v>17</v>
      </c>
      <c r="AA190" s="179" t="s">
        <v>9904</v>
      </c>
      <c r="AB190" s="240" t="s">
        <v>9905</v>
      </c>
      <c r="AF190" s="148">
        <v>14</v>
      </c>
      <c r="AG190" s="179" t="s">
        <v>7496</v>
      </c>
      <c r="AH190" s="240" t="s">
        <v>7497</v>
      </c>
      <c r="BO190" s="153"/>
      <c r="CH190" s="179" t="s">
        <v>8780</v>
      </c>
      <c r="CI190" s="148">
        <v>121</v>
      </c>
      <c r="CJ190" s="148" cm="1">
        <f t="array" ref="CJ190">_xlfn.IFS($AZ$10&gt;=17,125,$AZ$10&gt;=13,124,$AZ$10&gt;=9,123,$AZ$10&gt;=3,122,1,0)</f>
        <v>0</v>
      </c>
    </row>
    <row r="191" spans="1:88" ht="16.149999999999999" customHeight="1" x14ac:dyDescent="0.15">
      <c r="A191" s="140">
        <v>158</v>
      </c>
      <c r="B191" s="166"/>
      <c r="N191" s="148">
        <v>3</v>
      </c>
      <c r="O191" s="235" t="s">
        <v>8717</v>
      </c>
      <c r="P191" s="270" t="s">
        <v>8718</v>
      </c>
      <c r="Z191" s="148">
        <v>3</v>
      </c>
      <c r="AA191" s="237" t="s">
        <v>10719</v>
      </c>
      <c r="AB191" s="236" t="s">
        <v>10720</v>
      </c>
      <c r="AF191" s="148">
        <v>3</v>
      </c>
      <c r="AG191" s="235" t="s">
        <v>7498</v>
      </c>
      <c r="AH191" s="270" t="s">
        <v>7499</v>
      </c>
      <c r="BO191" s="153"/>
      <c r="CH191" s="179" t="s">
        <v>8700</v>
      </c>
      <c r="CI191" s="148">
        <v>126</v>
      </c>
      <c r="CJ191" s="148" cm="1">
        <f t="array" ref="CJ191">_xlfn.IFS($AZ$10&gt;=13,142,$AZ$10&gt;=9,141,$AZ$10&gt;=3,140,1,0)</f>
        <v>0</v>
      </c>
    </row>
    <row r="192" spans="1:88" ht="16.149999999999999" customHeight="1" x14ac:dyDescent="0.15">
      <c r="A192" s="140">
        <v>159</v>
      </c>
      <c r="B192" s="166"/>
      <c r="O192" s="265" t="s">
        <v>8733</v>
      </c>
      <c r="P192" s="266" t="s">
        <v>8734</v>
      </c>
      <c r="Z192" s="148">
        <v>3</v>
      </c>
      <c r="AA192" s="237" t="s">
        <v>10721</v>
      </c>
      <c r="AB192" s="236" t="s">
        <v>10722</v>
      </c>
      <c r="AF192" s="148">
        <v>3</v>
      </c>
      <c r="AG192" s="235" t="s">
        <v>7500</v>
      </c>
      <c r="AH192" s="270" t="s">
        <v>7501</v>
      </c>
      <c r="BO192" s="153"/>
      <c r="CH192" s="179" t="s">
        <v>9273</v>
      </c>
      <c r="CI192" s="148">
        <v>143</v>
      </c>
      <c r="CJ192" s="148" cm="1">
        <f t="array" ref="CJ192">_xlfn.IFS($AZ$10&gt;=17,147,$AZ$10&gt;=13,146,$AZ$10&gt;=9,145,$AZ$10&gt;=3,144,1,0)</f>
        <v>0</v>
      </c>
    </row>
    <row r="193" spans="1:88" ht="16.149999999999999" customHeight="1" x14ac:dyDescent="0.15">
      <c r="A193" s="140">
        <v>160</v>
      </c>
      <c r="B193" s="166"/>
      <c r="O193" s="265" t="s">
        <v>8735</v>
      </c>
      <c r="P193" s="266" t="s">
        <v>8736</v>
      </c>
      <c r="Z193" s="148">
        <v>9</v>
      </c>
      <c r="AA193" s="237" t="s">
        <v>10723</v>
      </c>
      <c r="AB193" s="236" t="s">
        <v>10724</v>
      </c>
      <c r="AF193" s="148">
        <v>3</v>
      </c>
      <c r="AG193" s="235" t="s">
        <v>7502</v>
      </c>
      <c r="AH193" s="270" t="s">
        <v>7503</v>
      </c>
      <c r="BO193" s="153"/>
      <c r="CH193" s="179" t="s">
        <v>9823</v>
      </c>
      <c r="CI193" s="148">
        <v>148</v>
      </c>
      <c r="CJ193" s="148" cm="1">
        <f t="array" ref="CJ193">_xlfn.IFS($AZ$10&gt;=17,152,$AZ$10&gt;=13,151,$AZ$10&gt;=9,150,$AZ$10&gt;=3,149,1,0)</f>
        <v>0</v>
      </c>
    </row>
    <row r="194" spans="1:88" ht="16.149999999999999" customHeight="1" x14ac:dyDescent="0.15">
      <c r="A194" s="140">
        <v>161</v>
      </c>
      <c r="B194" s="166"/>
      <c r="O194" s="265" t="s">
        <v>8737</v>
      </c>
      <c r="P194" s="266" t="s">
        <v>8738</v>
      </c>
      <c r="Z194" s="148">
        <v>13</v>
      </c>
      <c r="AA194" s="237" t="s">
        <v>10725</v>
      </c>
      <c r="AB194" s="236" t="s">
        <v>10726</v>
      </c>
      <c r="AF194" s="148">
        <v>6</v>
      </c>
      <c r="AG194" s="235" t="s">
        <v>7504</v>
      </c>
      <c r="AH194" s="270" t="s">
        <v>7505</v>
      </c>
      <c r="BO194" s="153"/>
      <c r="CH194" s="179" t="s">
        <v>9840</v>
      </c>
      <c r="CI194" s="148">
        <v>153</v>
      </c>
      <c r="CJ194" s="148" cm="1">
        <f t="array" ref="CJ194">_xlfn.IFS($AZ$10&gt;=17,157,$AZ$10&gt;=13,156,$AZ$10&gt;=9,155,$AZ$10&gt;=3,154,1,0)</f>
        <v>0</v>
      </c>
    </row>
    <row r="195" spans="1:88" ht="16.149999999999999" customHeight="1" thickBot="1" x14ac:dyDescent="0.2">
      <c r="A195" s="140">
        <v>162</v>
      </c>
      <c r="B195" s="166"/>
      <c r="O195" s="265" t="s">
        <v>8739</v>
      </c>
      <c r="P195" s="266" t="s">
        <v>8740</v>
      </c>
      <c r="Z195" s="148">
        <v>13</v>
      </c>
      <c r="AA195" s="237" t="s">
        <v>10727</v>
      </c>
      <c r="AB195" s="236" t="s">
        <v>10728</v>
      </c>
      <c r="AF195" s="148">
        <v>10</v>
      </c>
      <c r="AG195" s="235" t="s">
        <v>7506</v>
      </c>
      <c r="AH195" s="270" t="s">
        <v>7507</v>
      </c>
      <c r="BO195" s="153"/>
      <c r="CH195" s="179" t="s">
        <v>10731</v>
      </c>
      <c r="CI195" s="148">
        <v>158</v>
      </c>
      <c r="CJ195" s="148" cm="1">
        <f t="array" ref="CJ195">_xlfn.IFS($AZ$10&gt;=17,163,$AZ$10&gt;=13,162,$AZ$10&gt;=9,160,$AZ$10&gt;=3,159,1,0)</f>
        <v>0</v>
      </c>
    </row>
    <row r="196" spans="1:88" ht="16.149999999999999" customHeight="1" x14ac:dyDescent="0.15">
      <c r="A196" s="140">
        <v>163</v>
      </c>
      <c r="B196" s="166"/>
      <c r="O196" s="265" t="s">
        <v>8741</v>
      </c>
      <c r="P196" s="266" t="s">
        <v>8742</v>
      </c>
      <c r="Z196" s="148">
        <v>17</v>
      </c>
      <c r="AA196" s="237" t="s">
        <v>10729</v>
      </c>
      <c r="AB196" s="236" t="s">
        <v>10730</v>
      </c>
      <c r="AF196" s="148">
        <v>14</v>
      </c>
      <c r="AG196" s="235" t="s">
        <v>7508</v>
      </c>
      <c r="AH196" s="270" t="s">
        <v>7509</v>
      </c>
      <c r="BO196" s="153"/>
      <c r="CH196" s="163" t="s">
        <v>3643</v>
      </c>
      <c r="CI196" s="163">
        <v>33</v>
      </c>
      <c r="CJ196" s="163" cm="1">
        <f t="array" ref="CJ196">_xlfn.IFS($AZ$11&gt;=18,38,$AZ$11&gt;=14,37,$AZ$11&gt;=6,36,$AZ$11&gt;=3,34,1,0)</f>
        <v>0</v>
      </c>
    </row>
    <row r="197" spans="1:88" ht="16.149999999999999" customHeight="1" x14ac:dyDescent="0.15">
      <c r="A197" s="140">
        <v>164</v>
      </c>
      <c r="B197" s="166"/>
      <c r="O197" s="265" t="s">
        <v>8743</v>
      </c>
      <c r="P197" s="266" t="s">
        <v>8744</v>
      </c>
      <c r="AF197" s="148">
        <v>3</v>
      </c>
      <c r="AG197" s="179" t="s">
        <v>9110</v>
      </c>
      <c r="AH197" s="240" t="s">
        <v>9111</v>
      </c>
      <c r="BO197" s="153"/>
      <c r="CH197" s="148" t="s">
        <v>3644</v>
      </c>
      <c r="CI197" s="148">
        <v>39</v>
      </c>
      <c r="CJ197" s="148" cm="1">
        <f t="array" ref="CJ197">_xlfn.IFS($AZ$11&gt;=18,43,$AZ$11&gt;=14,42,$AZ$11&gt;=6,41,$AZ$11&gt;=3,40,1,0)</f>
        <v>0</v>
      </c>
    </row>
    <row r="198" spans="1:88" ht="16.149999999999999" customHeight="1" x14ac:dyDescent="0.15">
      <c r="A198" s="140">
        <v>165</v>
      </c>
      <c r="B198" s="166"/>
      <c r="O198" s="265" t="s">
        <v>8745</v>
      </c>
      <c r="P198" s="266" t="s">
        <v>8746</v>
      </c>
      <c r="AF198" s="148">
        <v>3</v>
      </c>
      <c r="AG198" s="180" t="s">
        <v>8719</v>
      </c>
      <c r="AH198" s="233" t="s">
        <v>9126</v>
      </c>
      <c r="BO198" s="153"/>
      <c r="CH198" s="148" t="s">
        <v>3645</v>
      </c>
      <c r="CI198" s="148">
        <v>44</v>
      </c>
      <c r="CJ198" s="148" cm="1">
        <f t="array" ref="CJ198">_xlfn.IFS($AZ$11&gt;=18,48,$AZ$11&gt;=14,47,$AZ$11&gt;=6,46,$AZ$11&gt;=3,45,1,0)</f>
        <v>0</v>
      </c>
    </row>
    <row r="199" spans="1:88" ht="16.149999999999999" customHeight="1" x14ac:dyDescent="0.15">
      <c r="A199" s="140">
        <v>166</v>
      </c>
      <c r="B199" s="166"/>
      <c r="O199" s="265" t="s">
        <v>8747</v>
      </c>
      <c r="P199" s="266" t="s">
        <v>8748</v>
      </c>
      <c r="AF199" s="148">
        <v>3</v>
      </c>
      <c r="AG199" s="180" t="s">
        <v>9122</v>
      </c>
      <c r="AH199" s="233" t="s">
        <v>9127</v>
      </c>
      <c r="BO199" s="153"/>
      <c r="CH199" s="148" t="s">
        <v>3646</v>
      </c>
      <c r="CI199" s="148">
        <v>49</v>
      </c>
      <c r="CJ199" s="148" cm="1">
        <f t="array" ref="CJ199">_xlfn.IFS($AZ$11&gt;=18,53,$AZ$11&gt;=14,52,$AZ$11&gt;=6,51,$AZ$11&gt;=3,50,1,0)</f>
        <v>0</v>
      </c>
    </row>
    <row r="200" spans="1:88" ht="16.149999999999999" customHeight="1" x14ac:dyDescent="0.15">
      <c r="A200" s="140">
        <v>167</v>
      </c>
      <c r="B200" s="166"/>
      <c r="O200" s="265" t="s">
        <v>8749</v>
      </c>
      <c r="P200" s="266" t="s">
        <v>8750</v>
      </c>
      <c r="AF200" s="148">
        <v>6</v>
      </c>
      <c r="AG200" s="180" t="s">
        <v>9123</v>
      </c>
      <c r="AH200" s="233" t="s">
        <v>9128</v>
      </c>
      <c r="BO200" s="153"/>
      <c r="CH200" s="140" t="s">
        <v>5401</v>
      </c>
      <c r="CI200" s="148">
        <v>54</v>
      </c>
      <c r="CJ200" s="148" cm="1">
        <f t="array" ref="CJ200">_xlfn.IFS($AZ$11&gt;=18,58,$AZ$11&gt;=14,57,$AZ$11&gt;=6,56,$AZ$11&gt;=3,55,1,0)</f>
        <v>0</v>
      </c>
    </row>
    <row r="201" spans="1:88" ht="16.149999999999999" customHeight="1" x14ac:dyDescent="0.15">
      <c r="A201" s="140">
        <v>168</v>
      </c>
      <c r="B201" s="166"/>
      <c r="O201" s="265" t="s">
        <v>8751</v>
      </c>
      <c r="P201" s="266" t="s">
        <v>8752</v>
      </c>
      <c r="AF201" s="148">
        <v>10</v>
      </c>
      <c r="AG201" s="180" t="s">
        <v>9124</v>
      </c>
      <c r="AH201" s="233" t="s">
        <v>9129</v>
      </c>
      <c r="BO201" s="153"/>
      <c r="CH201" s="140" t="s">
        <v>5405</v>
      </c>
      <c r="CI201" s="148">
        <v>59</v>
      </c>
      <c r="CJ201" s="148" cm="1">
        <f t="array" ref="CJ201">_xlfn.IFS($AZ$11&gt;=18,63,$AZ$11&gt;=14,62,$AZ$11&gt;=6,61,$AZ$11&gt;=3,60,1,0)</f>
        <v>0</v>
      </c>
    </row>
    <row r="202" spans="1:88" ht="16.149999999999999" customHeight="1" x14ac:dyDescent="0.15">
      <c r="A202" s="140">
        <v>169</v>
      </c>
      <c r="B202" s="166"/>
      <c r="O202" s="265" t="s">
        <v>8753</v>
      </c>
      <c r="P202" s="266" t="s">
        <v>8754</v>
      </c>
      <c r="AF202" s="148">
        <v>14</v>
      </c>
      <c r="AG202" s="180" t="s">
        <v>9125</v>
      </c>
      <c r="AH202" s="233" t="s">
        <v>9130</v>
      </c>
      <c r="BO202" s="153"/>
      <c r="CH202" s="140" t="s">
        <v>5410</v>
      </c>
      <c r="CI202" s="148">
        <v>64</v>
      </c>
      <c r="CJ202" s="148" cm="1">
        <f t="array" ref="CJ202">_xlfn.IFS($AZ$11&gt;=18,69,$AZ$11&gt;=14,68,$AZ$11&gt;=6,67,$AZ$11&gt;=3,65,1,0)</f>
        <v>0</v>
      </c>
    </row>
    <row r="203" spans="1:88" ht="16.149999999999999" customHeight="1" x14ac:dyDescent="0.15">
      <c r="A203" s="140">
        <v>170</v>
      </c>
      <c r="B203" s="166"/>
      <c r="O203" s="265" t="s">
        <v>8755</v>
      </c>
      <c r="P203" s="266" t="s">
        <v>8756</v>
      </c>
      <c r="AF203" s="148">
        <v>3</v>
      </c>
      <c r="AG203" s="235" t="s">
        <v>9253</v>
      </c>
      <c r="AH203" s="270" t="s">
        <v>9254</v>
      </c>
      <c r="BO203" s="153"/>
      <c r="CH203" s="148" t="s">
        <v>5419</v>
      </c>
      <c r="CI203" s="148">
        <v>70</v>
      </c>
      <c r="CJ203" s="148" cm="1">
        <f t="array" ref="CJ203">_xlfn.IFS($AZ$11&gt;=18,74,$AZ$11&gt;=14,73,$AZ$11&gt;=6,72,$AZ$11&gt;=3,71,1,0)</f>
        <v>0</v>
      </c>
    </row>
    <row r="204" spans="1:88" ht="16.149999999999999" customHeight="1" x14ac:dyDescent="0.15">
      <c r="A204" s="140">
        <v>171</v>
      </c>
      <c r="B204" s="166"/>
      <c r="O204" s="265" t="s">
        <v>8757</v>
      </c>
      <c r="P204" s="266" t="s">
        <v>8758</v>
      </c>
      <c r="AF204" s="148">
        <v>3</v>
      </c>
      <c r="AG204" s="237" t="s">
        <v>9255</v>
      </c>
      <c r="AH204" s="236" t="s">
        <v>9260</v>
      </c>
      <c r="BO204" s="153"/>
      <c r="CH204" s="179" t="s">
        <v>6318</v>
      </c>
      <c r="CI204" s="148">
        <v>75</v>
      </c>
      <c r="CJ204" s="148" cm="1">
        <f t="array" ref="CJ204">_xlfn.IFS($AZ$11&gt;=18,79,$AZ$11&gt;=14,78,$AZ$11&gt;=6,77,$AZ$11&gt;=3,76,1,0)</f>
        <v>0</v>
      </c>
    </row>
    <row r="205" spans="1:88" ht="16.149999999999999" customHeight="1" x14ac:dyDescent="0.15">
      <c r="A205" s="140">
        <v>172</v>
      </c>
      <c r="B205" s="166"/>
      <c r="N205" s="148">
        <v>7</v>
      </c>
      <c r="O205" s="237" t="s">
        <v>8729</v>
      </c>
      <c r="P205" s="236" t="s">
        <v>8760</v>
      </c>
      <c r="AF205" s="148">
        <v>3</v>
      </c>
      <c r="AG205" s="237" t="s">
        <v>9256</v>
      </c>
      <c r="AH205" s="236" t="s">
        <v>9261</v>
      </c>
      <c r="BO205" s="153"/>
      <c r="CH205" s="179" t="s">
        <v>6580</v>
      </c>
      <c r="CI205" s="148">
        <v>80</v>
      </c>
      <c r="CJ205" s="148" cm="1">
        <f t="array" ref="CJ205">_xlfn.IFS($AZ$11&gt;=18,86,$AZ$11&gt;=14,85,$AZ$11&gt;=6,84,$AZ$11&gt;=3,82,1,0)</f>
        <v>0</v>
      </c>
    </row>
    <row r="206" spans="1:88" ht="16.149999999999999" customHeight="1" x14ac:dyDescent="0.15">
      <c r="A206" s="140">
        <v>173</v>
      </c>
      <c r="B206" s="166"/>
      <c r="N206" s="148">
        <v>10</v>
      </c>
      <c r="O206" s="237" t="s">
        <v>8730</v>
      </c>
      <c r="P206" s="236" t="s">
        <v>8761</v>
      </c>
      <c r="AF206" s="148">
        <v>6</v>
      </c>
      <c r="AG206" s="237" t="s">
        <v>9257</v>
      </c>
      <c r="AH206" s="238" t="s">
        <v>9262</v>
      </c>
      <c r="BO206" s="153"/>
      <c r="CH206" s="179" t="s">
        <v>8781</v>
      </c>
      <c r="CI206" s="148">
        <v>87</v>
      </c>
      <c r="CJ206" s="148" cm="1">
        <f t="array" ref="CJ206">_xlfn.IFS($AZ$11&gt;=18,95,$AZ$11&gt;=14,94,$AZ$11&gt;=6,993,$AZ$11&gt;=3,92,1,0)</f>
        <v>0</v>
      </c>
    </row>
    <row r="207" spans="1:88" ht="16.149999999999999" customHeight="1" x14ac:dyDescent="0.15">
      <c r="A207" s="140">
        <v>174</v>
      </c>
      <c r="B207" s="166"/>
      <c r="N207" s="148">
        <v>15</v>
      </c>
      <c r="O207" s="237" t="s">
        <v>8731</v>
      </c>
      <c r="P207" s="236" t="s">
        <v>8762</v>
      </c>
      <c r="AF207" s="148">
        <v>10</v>
      </c>
      <c r="AG207" s="237" t="s">
        <v>9258</v>
      </c>
      <c r="AH207" s="236" t="s">
        <v>9263</v>
      </c>
      <c r="BO207" s="153"/>
      <c r="CH207" s="179" t="s">
        <v>8782</v>
      </c>
      <c r="CI207" s="148">
        <v>96</v>
      </c>
      <c r="CJ207" s="148" cm="1">
        <f t="array" ref="CJ207">_xlfn.IFS($AZ$11&gt;=18,101,$AZ$11&gt;=14,100,$AZ$11&gt;=6,99,$AZ$11&gt;=3,97,1,0)</f>
        <v>0</v>
      </c>
    </row>
    <row r="208" spans="1:88" ht="16.149999999999999" customHeight="1" x14ac:dyDescent="0.15">
      <c r="A208" s="140">
        <v>175</v>
      </c>
      <c r="B208" s="166"/>
      <c r="N208" s="148">
        <v>18</v>
      </c>
      <c r="O208" s="237" t="s">
        <v>8732</v>
      </c>
      <c r="P208" s="236" t="s">
        <v>8759</v>
      </c>
      <c r="AF208" s="148">
        <v>14</v>
      </c>
      <c r="AG208" s="237" t="s">
        <v>9259</v>
      </c>
      <c r="AH208" s="238" t="s">
        <v>9264</v>
      </c>
      <c r="BO208" s="153"/>
      <c r="CH208" s="179" t="s">
        <v>9274</v>
      </c>
      <c r="CI208" s="148">
        <v>102</v>
      </c>
      <c r="CJ208" s="148" cm="1">
        <f t="array" ref="CJ208">_xlfn.IFS($AZ$11&gt;=18,106,$AZ$11&gt;=14,105,$AZ$11&gt;=6,104,$AZ$11&gt;=3,103,1,0)</f>
        <v>0</v>
      </c>
    </row>
    <row r="209" spans="1:88" ht="16.149999999999999" customHeight="1" x14ac:dyDescent="0.15">
      <c r="A209" s="140">
        <v>176</v>
      </c>
      <c r="B209" s="166"/>
      <c r="N209" s="148">
        <v>3</v>
      </c>
      <c r="O209" s="180" t="s">
        <v>6563</v>
      </c>
      <c r="P209" s="233" t="s">
        <v>9052</v>
      </c>
      <c r="AF209" s="148">
        <v>3</v>
      </c>
      <c r="AG209" s="179" t="s">
        <v>9756</v>
      </c>
      <c r="AH209" s="240" t="s">
        <v>9772</v>
      </c>
      <c r="BO209" s="153"/>
      <c r="CH209" s="179" t="s">
        <v>9824</v>
      </c>
      <c r="CI209" s="148">
        <v>107</v>
      </c>
      <c r="CJ209" s="148" cm="1">
        <f t="array" ref="CJ209">_xlfn.IFS($AZ$11&gt;=18,111,$AZ$11&gt;=14,110,$AZ$11&gt;=6,109,$AZ$11&gt;=3,108,1,0)</f>
        <v>0</v>
      </c>
    </row>
    <row r="210" spans="1:88" ht="16.149999999999999" customHeight="1" x14ac:dyDescent="0.15">
      <c r="A210" s="140">
        <v>177</v>
      </c>
      <c r="B210" s="166"/>
      <c r="N210" s="148">
        <v>3</v>
      </c>
      <c r="O210" s="180" t="s">
        <v>9046</v>
      </c>
      <c r="P210" s="233" t="s">
        <v>9053</v>
      </c>
      <c r="AF210" s="148">
        <v>3</v>
      </c>
      <c r="AG210" s="180" t="s">
        <v>9767</v>
      </c>
      <c r="AH210" s="233" t="s">
        <v>9773</v>
      </c>
      <c r="BO210" s="153"/>
      <c r="CH210" s="179" t="s">
        <v>9841</v>
      </c>
      <c r="CI210" s="148">
        <v>112</v>
      </c>
      <c r="CJ210" s="148" cm="1">
        <f t="array" ref="CJ210">_xlfn.IFS($AZ$11&gt;=18,116,$AZ$11&gt;=14,115,$AZ$11&gt;=6,114,$AZ$11&gt;=3,113,1,0)</f>
        <v>0</v>
      </c>
    </row>
    <row r="211" spans="1:88" ht="16.149999999999999" customHeight="1" thickBot="1" x14ac:dyDescent="0.2">
      <c r="A211" s="140">
        <v>178</v>
      </c>
      <c r="B211" s="166"/>
      <c r="N211" s="148">
        <v>3</v>
      </c>
      <c r="O211" s="180" t="s">
        <v>9047</v>
      </c>
      <c r="P211" s="233" t="s">
        <v>9054</v>
      </c>
      <c r="AF211" s="148">
        <v>3</v>
      </c>
      <c r="AG211" s="180" t="s">
        <v>9768</v>
      </c>
      <c r="AH211" s="233" t="s">
        <v>9774</v>
      </c>
      <c r="BO211" s="153"/>
      <c r="CH211" s="179" t="s">
        <v>10656</v>
      </c>
      <c r="CI211" s="148">
        <v>117</v>
      </c>
      <c r="CJ211" s="148" cm="1">
        <f t="array" ref="CJ211">_xlfn.IFS($AZ$11&gt;=18,121,$AZ$11&gt;=14,120,$AZ$11&gt;=6,119,$AZ$11&gt;=3,118,1,0)</f>
        <v>0</v>
      </c>
    </row>
    <row r="212" spans="1:88" ht="16.149999999999999" customHeight="1" x14ac:dyDescent="0.15">
      <c r="A212" s="140">
        <v>179</v>
      </c>
      <c r="B212" s="166"/>
      <c r="N212" s="148">
        <v>7</v>
      </c>
      <c r="O212" s="180" t="s">
        <v>9048</v>
      </c>
      <c r="P212" s="233" t="s">
        <v>9055</v>
      </c>
      <c r="AF212" s="148">
        <v>6</v>
      </c>
      <c r="AG212" s="180" t="s">
        <v>9769</v>
      </c>
      <c r="AH212" s="234" t="s">
        <v>9775</v>
      </c>
      <c r="BO212" s="153"/>
      <c r="CH212" s="163" t="s">
        <v>3650</v>
      </c>
      <c r="CI212" s="163">
        <v>74</v>
      </c>
      <c r="CJ212" s="163" cm="1">
        <f t="array" ref="CJ212">_xlfn.IFS($AZ$12&gt;=14,78,$AZ$12&gt;=10,77,$AZ$12&gt;=6,76,$AZ$12&gt;=3,75,1,0)</f>
        <v>0</v>
      </c>
    </row>
    <row r="213" spans="1:88" ht="16.149999999999999" customHeight="1" x14ac:dyDescent="0.15">
      <c r="A213" s="140">
        <v>180</v>
      </c>
      <c r="B213" s="166"/>
      <c r="N213" s="148">
        <v>10</v>
      </c>
      <c r="O213" s="180" t="s">
        <v>9049</v>
      </c>
      <c r="P213" s="233" t="s">
        <v>9056</v>
      </c>
      <c r="AF213" s="148">
        <v>10</v>
      </c>
      <c r="AG213" s="180" t="s">
        <v>9770</v>
      </c>
      <c r="AH213" s="233" t="s">
        <v>9776</v>
      </c>
      <c r="BO213" s="153"/>
      <c r="CH213" s="148" t="s">
        <v>3651</v>
      </c>
      <c r="CI213" s="148">
        <v>79</v>
      </c>
      <c r="CJ213" s="148" cm="1">
        <f t="array" ref="CJ213">_xlfn.IFS($AZ$12&gt;=14,83,$AZ$12&gt;=10,82,$AZ$12&gt;=6,81,$AZ$12&gt;=3,80,1,0)</f>
        <v>0</v>
      </c>
    </row>
    <row r="214" spans="1:88" ht="16.149999999999999" customHeight="1" x14ac:dyDescent="0.15">
      <c r="A214" s="140">
        <v>181</v>
      </c>
      <c r="B214" s="166"/>
      <c r="N214" s="148">
        <v>15</v>
      </c>
      <c r="O214" s="180" t="s">
        <v>9050</v>
      </c>
      <c r="P214" s="233" t="s">
        <v>9057</v>
      </c>
      <c r="AF214" s="148">
        <v>14</v>
      </c>
      <c r="AG214" s="180" t="s">
        <v>9771</v>
      </c>
      <c r="AH214" s="234" t="s">
        <v>9777</v>
      </c>
      <c r="BO214" s="153"/>
      <c r="CH214" s="148" t="s">
        <v>3652</v>
      </c>
      <c r="CI214" s="148">
        <v>84</v>
      </c>
      <c r="CJ214" s="148" cm="1">
        <f t="array" ref="CJ214">_xlfn.IFS($AZ$12&gt;=14,88,$AZ$12&gt;=10,87,$AZ$12&gt;=6,86,$AZ$12&gt;=3,885,1,0)</f>
        <v>0</v>
      </c>
    </row>
    <row r="215" spans="1:88" ht="16.149999999999999" customHeight="1" x14ac:dyDescent="0.15">
      <c r="A215" s="140">
        <v>182</v>
      </c>
      <c r="B215" s="166"/>
      <c r="N215" s="148">
        <v>18</v>
      </c>
      <c r="O215" s="180" t="s">
        <v>9051</v>
      </c>
      <c r="P215" s="233" t="s">
        <v>9058</v>
      </c>
      <c r="AF215" s="148">
        <v>3</v>
      </c>
      <c r="AG215" s="235" t="s">
        <v>10657</v>
      </c>
      <c r="AH215" s="270" t="s">
        <v>10658</v>
      </c>
      <c r="BO215" s="153"/>
      <c r="CH215" s="148" t="s">
        <v>3653</v>
      </c>
      <c r="CI215" s="148">
        <v>89</v>
      </c>
      <c r="CJ215" s="148" cm="1">
        <f t="array" ref="CJ215">_xlfn.IFS($AZ$12&gt;=14,95,$AZ$12&gt;=10,94,$AZ$12&gt;=6,92,$AZ$12&gt;=3,91,1,0)</f>
        <v>0</v>
      </c>
    </row>
    <row r="216" spans="1:88" ht="16.149999999999999" customHeight="1" x14ac:dyDescent="0.15">
      <c r="A216" s="140">
        <v>183</v>
      </c>
      <c r="B216" s="166"/>
      <c r="N216" s="148">
        <v>3</v>
      </c>
      <c r="O216" s="237" t="s">
        <v>9187</v>
      </c>
      <c r="P216" s="236" t="s">
        <v>9194</v>
      </c>
      <c r="AF216" s="148">
        <v>3</v>
      </c>
      <c r="AG216" s="235" t="s">
        <v>10659</v>
      </c>
      <c r="AH216" s="270" t="s">
        <v>10660</v>
      </c>
      <c r="BO216" s="153"/>
      <c r="CH216" s="148" t="s">
        <v>5440</v>
      </c>
      <c r="CI216" s="148">
        <v>95</v>
      </c>
      <c r="CJ216" s="148" cm="1">
        <f t="array" ref="CJ216">_xlfn.IFS($AZ$12&gt;=14,101,$AZ$12&gt;=10,100,$AZ$12&gt;=6,99,$AZ$12&gt;=3,98,1,0)</f>
        <v>0</v>
      </c>
    </row>
    <row r="217" spans="1:88" ht="16.149999999999999" customHeight="1" x14ac:dyDescent="0.15">
      <c r="A217" s="140">
        <v>184</v>
      </c>
      <c r="B217" s="166"/>
      <c r="N217" s="148">
        <v>3</v>
      </c>
      <c r="O217" s="237" t="s">
        <v>9188</v>
      </c>
      <c r="P217" s="236" t="s">
        <v>9195</v>
      </c>
      <c r="AF217" s="148">
        <v>6</v>
      </c>
      <c r="AG217" s="235" t="s">
        <v>10661</v>
      </c>
      <c r="AH217" s="270" t="s">
        <v>10662</v>
      </c>
      <c r="BO217" s="153"/>
      <c r="CH217" s="148" t="s">
        <v>6089</v>
      </c>
      <c r="CI217" s="148">
        <v>102</v>
      </c>
      <c r="CJ217" s="148" cm="1">
        <f t="array" ref="CJ217">_xlfn.IFS($AZ$12&gt;=14,109,$AZ$12&gt;=10,108,$AZ$12&gt;=6,107,$AZ$12&gt;=3,106,1,0)</f>
        <v>0</v>
      </c>
    </row>
    <row r="218" spans="1:88" ht="16.149999999999999" customHeight="1" x14ac:dyDescent="0.15">
      <c r="A218" s="140">
        <v>185</v>
      </c>
      <c r="B218" s="166"/>
      <c r="N218" s="148">
        <v>3</v>
      </c>
      <c r="O218" s="237" t="s">
        <v>9189</v>
      </c>
      <c r="P218" s="236" t="s">
        <v>9196</v>
      </c>
      <c r="AF218" s="148">
        <v>10</v>
      </c>
      <c r="AG218" s="235" t="s">
        <v>10663</v>
      </c>
      <c r="AH218" s="270" t="s">
        <v>10664</v>
      </c>
      <c r="BO218" s="153"/>
      <c r="CH218" s="148" t="s">
        <v>5449</v>
      </c>
      <c r="CI218" s="148">
        <v>110</v>
      </c>
      <c r="CJ218" s="148" cm="1">
        <f t="array" ref="CJ218">_xlfn.IFS($AZ$12&gt;=14,117,$AZ$12&gt;=10,116,$AZ$12&gt;=6,115,$AZ$12&gt;=3,113,1,0)</f>
        <v>0</v>
      </c>
    </row>
    <row r="219" spans="1:88" ht="16.149999999999999" customHeight="1" x14ac:dyDescent="0.15">
      <c r="A219" s="140">
        <v>186</v>
      </c>
      <c r="B219" s="166"/>
      <c r="N219" s="148">
        <v>7</v>
      </c>
      <c r="O219" s="237" t="s">
        <v>9190</v>
      </c>
      <c r="P219" s="236" t="s">
        <v>9197</v>
      </c>
      <c r="AF219" s="148">
        <v>14</v>
      </c>
      <c r="AG219" s="235" t="s">
        <v>10665</v>
      </c>
      <c r="AH219" s="270" t="s">
        <v>10666</v>
      </c>
      <c r="BO219" s="153"/>
      <c r="CH219" s="148" t="s">
        <v>5454</v>
      </c>
      <c r="CI219" s="148">
        <v>118</v>
      </c>
      <c r="CJ219" s="148" cm="1">
        <f t="array" ref="CJ219">_xlfn.IFS($AZ$12&gt;=14,122,$AZ$12&gt;=10,121,$AZ$12&gt;=6,120,$AZ$12&gt;=3,119,1,0)</f>
        <v>0</v>
      </c>
    </row>
    <row r="220" spans="1:88" ht="16.149999999999999" customHeight="1" x14ac:dyDescent="0.15">
      <c r="A220" s="140">
        <v>187</v>
      </c>
      <c r="B220" s="166"/>
      <c r="N220" s="148">
        <v>10</v>
      </c>
      <c r="O220" s="237" t="s">
        <v>9191</v>
      </c>
      <c r="P220" s="236" t="s">
        <v>9198</v>
      </c>
      <c r="AF220" s="148">
        <v>3</v>
      </c>
      <c r="AG220" s="179" t="s">
        <v>10708</v>
      </c>
      <c r="AH220" s="406" t="s">
        <v>10709</v>
      </c>
      <c r="BO220" s="153"/>
      <c r="CH220" s="148" t="s">
        <v>5784</v>
      </c>
      <c r="CI220" s="148">
        <v>123</v>
      </c>
      <c r="CJ220" s="148" cm="1">
        <f t="array" ref="CJ220">_xlfn.IFS($AZ$12&gt;=14,128,$AZ$12&gt;=10,127,$AZ$12&gt;=6,126,$AZ$12&gt;=3,125,1,0)</f>
        <v>0</v>
      </c>
    </row>
    <row r="221" spans="1:88" ht="16.149999999999999" customHeight="1" x14ac:dyDescent="0.15">
      <c r="A221" s="140">
        <v>188</v>
      </c>
      <c r="B221" s="166"/>
      <c r="N221" s="148">
        <v>15</v>
      </c>
      <c r="O221" s="237" t="s">
        <v>9192</v>
      </c>
      <c r="P221" s="236" t="s">
        <v>9199</v>
      </c>
      <c r="AF221" s="148">
        <v>3</v>
      </c>
      <c r="AG221" s="179" t="s">
        <v>10710</v>
      </c>
      <c r="AH221" s="406" t="s">
        <v>10711</v>
      </c>
      <c r="BO221" s="153"/>
      <c r="CH221" s="199" t="s">
        <v>6319</v>
      </c>
      <c r="CI221" s="148">
        <v>129</v>
      </c>
      <c r="CJ221" s="148" cm="1">
        <f t="array" ref="CJ221">_xlfn.IFS($AZ$12&gt;=14,134,$AZ$12&gt;=10,133,$AZ$12&gt;=6,132,$AZ$12&gt;=3,131,1,0)</f>
        <v>0</v>
      </c>
    </row>
    <row r="222" spans="1:88" ht="16.149999999999999" customHeight="1" x14ac:dyDescent="0.15">
      <c r="A222" s="140">
        <v>189</v>
      </c>
      <c r="B222" s="166"/>
      <c r="N222" s="148">
        <v>18</v>
      </c>
      <c r="O222" s="237" t="s">
        <v>9193</v>
      </c>
      <c r="P222" s="236" t="s">
        <v>9200</v>
      </c>
      <c r="AF222" s="148">
        <v>6</v>
      </c>
      <c r="AG222" s="179" t="s">
        <v>10712</v>
      </c>
      <c r="AH222" s="179" t="s">
        <v>10713</v>
      </c>
      <c r="BO222" s="153"/>
      <c r="CH222" s="199" t="s">
        <v>6320</v>
      </c>
      <c r="CI222" s="148">
        <v>135</v>
      </c>
      <c r="CJ222" s="148" cm="1">
        <f t="array" ref="CJ222">_xlfn.IFS($AZ$12&gt;=14,140,$AZ$12&gt;=10,139,$AZ$12&gt;=6,138,$AZ$12&gt;=3,137,1,0)</f>
        <v>0</v>
      </c>
    </row>
    <row r="223" spans="1:88" ht="16.149999999999999" customHeight="1" x14ac:dyDescent="0.15">
      <c r="A223" s="140">
        <v>190</v>
      </c>
      <c r="B223" s="166"/>
      <c r="N223" s="148">
        <v>3</v>
      </c>
      <c r="O223" s="180" t="s">
        <v>9861</v>
      </c>
      <c r="P223" s="233" t="s">
        <v>9862</v>
      </c>
      <c r="AF223" s="148">
        <v>10</v>
      </c>
      <c r="AG223" s="179" t="s">
        <v>10714</v>
      </c>
      <c r="AH223" s="406" t="s">
        <v>10715</v>
      </c>
      <c r="BO223" s="153"/>
      <c r="CH223" s="199" t="s">
        <v>7448</v>
      </c>
      <c r="CI223" s="148">
        <v>141</v>
      </c>
      <c r="CJ223" s="148" cm="1">
        <f t="array" ref="CJ223">_xlfn.IFS($AZ$12&gt;=14,145,$AZ$12&gt;=10,144,$AZ$12&gt;=6,143,$AZ$12&gt;=3,142,1,0)</f>
        <v>0</v>
      </c>
    </row>
    <row r="224" spans="1:88" ht="16.149999999999999" customHeight="1" x14ac:dyDescent="0.15">
      <c r="A224" s="140">
        <v>191</v>
      </c>
      <c r="B224" s="166"/>
      <c r="N224" s="148">
        <v>3</v>
      </c>
      <c r="O224" s="180" t="s">
        <v>9863</v>
      </c>
      <c r="P224" s="233" t="s">
        <v>9864</v>
      </c>
      <c r="AF224" s="148">
        <v>14</v>
      </c>
      <c r="AG224" s="179" t="s">
        <v>10716</v>
      </c>
      <c r="AH224" s="406" t="s">
        <v>10717</v>
      </c>
      <c r="BO224" s="153"/>
      <c r="CH224" s="199" t="s">
        <v>8783</v>
      </c>
      <c r="CI224" s="148">
        <v>146</v>
      </c>
      <c r="CJ224" s="148" cm="1">
        <f t="array" ref="CJ224">_xlfn.IFS($AZ$12&gt;=14,152,$AZ$12&gt;=10,151,$AZ$12&gt;=6,150,$AZ$12&gt;=3,148,1,0)</f>
        <v>0</v>
      </c>
    </row>
    <row r="225" spans="1:88" ht="16.149999999999999" customHeight="1" x14ac:dyDescent="0.15">
      <c r="A225" s="140">
        <v>192</v>
      </c>
      <c r="B225" s="166"/>
      <c r="N225" s="148">
        <v>7</v>
      </c>
      <c r="O225" s="180" t="s">
        <v>8993</v>
      </c>
      <c r="P225" s="233" t="s">
        <v>9865</v>
      </c>
      <c r="BO225" s="153"/>
      <c r="CH225" s="199" t="s">
        <v>8784</v>
      </c>
      <c r="CI225" s="148">
        <v>153</v>
      </c>
      <c r="CJ225" s="148" cm="1">
        <f t="array" ref="CJ225">_xlfn.IFS($AZ$12&gt;=14,157,$AZ$12&gt;=10,156,$AZ$12&gt;=6,155,$AZ$12&gt;=3,154,1,0)</f>
        <v>0</v>
      </c>
    </row>
    <row r="226" spans="1:88" ht="16.149999999999999" customHeight="1" x14ac:dyDescent="0.15">
      <c r="A226" s="140">
        <v>193</v>
      </c>
      <c r="B226" s="166"/>
      <c r="N226" s="148">
        <v>10</v>
      </c>
      <c r="O226" s="179" t="s">
        <v>9866</v>
      </c>
      <c r="P226" s="240" t="s">
        <v>9867</v>
      </c>
      <c r="BO226" s="153"/>
      <c r="CH226" s="199" t="s">
        <v>8785</v>
      </c>
      <c r="CI226" s="148">
        <v>158</v>
      </c>
      <c r="CJ226" s="148" cm="1">
        <f t="array" ref="CJ226">_xlfn.IFS($AZ$12&gt;=14,163,$AZ$12&gt;=10,162,$AZ$12&gt;=6,161,$AZ$12&gt;=3,160,1,0)</f>
        <v>0</v>
      </c>
    </row>
    <row r="227" spans="1:88" ht="16.149999999999999" customHeight="1" x14ac:dyDescent="0.15">
      <c r="A227" s="140">
        <v>194</v>
      </c>
      <c r="B227" s="166"/>
      <c r="N227" s="148">
        <v>15</v>
      </c>
      <c r="O227" s="179" t="s">
        <v>9868</v>
      </c>
      <c r="P227" s="240" t="s">
        <v>9869</v>
      </c>
      <c r="BO227" s="153"/>
      <c r="CH227" s="199" t="s">
        <v>9134</v>
      </c>
      <c r="CI227" s="148">
        <v>164</v>
      </c>
      <c r="CJ227" s="148" cm="1">
        <f t="array" ref="CJ227">_xlfn.IFS($AZ$12&gt;=14,169,$AZ$12&gt;=10,168,$AZ$12&gt;=6,167,$AZ$12&gt;=3,166,1,0)</f>
        <v>0</v>
      </c>
    </row>
    <row r="228" spans="1:88" ht="16.149999999999999" customHeight="1" x14ac:dyDescent="0.15">
      <c r="A228" s="140">
        <v>195</v>
      </c>
      <c r="B228" s="166"/>
      <c r="N228" s="148">
        <v>18</v>
      </c>
      <c r="O228" s="179" t="s">
        <v>9870</v>
      </c>
      <c r="P228" s="240" t="s">
        <v>9871</v>
      </c>
      <c r="BO228" s="153"/>
      <c r="CH228" s="199" t="s">
        <v>9275</v>
      </c>
      <c r="CI228" s="148">
        <v>170</v>
      </c>
      <c r="CJ228" s="148" cm="1">
        <f t="array" ref="CJ228">_xlfn.IFS($AZ$12&gt;=14,175,$AZ$12&gt;=10,174,$AZ$12&gt;=6,173,$AZ$12&gt;=3,172,1,0)</f>
        <v>0</v>
      </c>
    </row>
    <row r="229" spans="1:88" ht="16.149999999999999" customHeight="1" x14ac:dyDescent="0.15">
      <c r="A229" s="140">
        <v>196</v>
      </c>
      <c r="B229" s="166"/>
      <c r="N229" s="148">
        <v>3</v>
      </c>
      <c r="O229" s="237" t="s">
        <v>10633</v>
      </c>
      <c r="P229" s="236" t="s">
        <v>10634</v>
      </c>
      <c r="BO229" s="153"/>
      <c r="CH229" s="199" t="s">
        <v>9825</v>
      </c>
      <c r="CI229" s="148">
        <v>176</v>
      </c>
      <c r="CJ229" s="148" cm="1">
        <f t="array" ref="CJ229">_xlfn.IFS($AZ$12&gt;=14,181,$AZ$12&gt;=10,180,$AZ$12&gt;=6,179,$AZ$12&gt;=3,178,1,0)</f>
        <v>0</v>
      </c>
    </row>
    <row r="230" spans="1:88" ht="16.149999999999999" customHeight="1" x14ac:dyDescent="0.15">
      <c r="A230" s="140">
        <v>197</v>
      </c>
      <c r="B230" s="166"/>
      <c r="N230" s="148">
        <v>3</v>
      </c>
      <c r="O230" s="237" t="s">
        <v>10635</v>
      </c>
      <c r="P230" s="236" t="s">
        <v>10636</v>
      </c>
      <c r="BO230" s="153"/>
      <c r="CH230" s="199" t="s">
        <v>10667</v>
      </c>
      <c r="CI230" s="148">
        <v>182</v>
      </c>
      <c r="CJ230" s="148" cm="1">
        <f t="array" ref="CJ230">_xlfn.IFS($AZ$12&gt;=14,186,$AZ$12&gt;=10,185,$AZ$12&gt;=6,184,$AZ$12&gt;=3,183,1,0)</f>
        <v>0</v>
      </c>
    </row>
    <row r="231" spans="1:88" ht="16.149999999999999" customHeight="1" thickBot="1" x14ac:dyDescent="0.2">
      <c r="A231" s="140">
        <v>198</v>
      </c>
      <c r="B231" s="166"/>
      <c r="N231" s="148">
        <v>7</v>
      </c>
      <c r="O231" s="237" t="s">
        <v>10637</v>
      </c>
      <c r="P231" s="236" t="s">
        <v>10638</v>
      </c>
      <c r="BO231" s="153"/>
      <c r="CH231" s="199" t="s">
        <v>10718</v>
      </c>
      <c r="CI231" s="148">
        <v>187</v>
      </c>
      <c r="CJ231" s="148" cm="1">
        <f t="array" ref="CJ231">_xlfn.IFS($AZ$12&gt;=14,191,$AZ$12&gt;=10,190,$AZ$12&gt;=6,189,$AZ$12&gt;=3,188,1,0)</f>
        <v>0</v>
      </c>
    </row>
    <row r="232" spans="1:88" ht="16.149999999999999" customHeight="1" x14ac:dyDescent="0.15">
      <c r="A232" s="140">
        <v>199</v>
      </c>
      <c r="B232" s="166"/>
      <c r="N232" s="148">
        <v>10</v>
      </c>
      <c r="O232" s="237" t="s">
        <v>10639</v>
      </c>
      <c r="P232" s="236" t="s">
        <v>10640</v>
      </c>
      <c r="BO232" s="153"/>
      <c r="CH232" s="163" t="s">
        <v>3658</v>
      </c>
      <c r="CI232" s="163">
        <v>27</v>
      </c>
      <c r="CJ232" s="163" cm="1">
        <f t="array" ref="CJ232">_xlfn.IFS($AZ$13&gt;=14,31,$AZ$13&gt;=10,33,$AZ$13&gt;=6,29,$AZ$13&gt;=3,28,1,0)</f>
        <v>0</v>
      </c>
    </row>
    <row r="233" spans="1:88" ht="16.149999999999999" customHeight="1" x14ac:dyDescent="0.15">
      <c r="A233" s="140">
        <v>200</v>
      </c>
      <c r="B233" s="166"/>
      <c r="N233" s="148">
        <v>15</v>
      </c>
      <c r="O233" s="237" t="s">
        <v>10641</v>
      </c>
      <c r="P233" s="236" t="s">
        <v>10642</v>
      </c>
      <c r="BO233" s="153"/>
      <c r="CH233" s="148" t="s">
        <v>3659</v>
      </c>
      <c r="CI233" s="148">
        <v>32</v>
      </c>
      <c r="CJ233" s="148" cm="1">
        <f t="array" ref="CJ233">_xlfn.IFS($AZ$13&gt;=14,36,$AZ$13&gt;=10,35,$AZ$13&gt;=6,34,$AZ$13&gt;=3,33,1,0)</f>
        <v>0</v>
      </c>
    </row>
    <row r="234" spans="1:88" ht="16.149999999999999" customHeight="1" x14ac:dyDescent="0.15">
      <c r="A234" s="140">
        <v>201</v>
      </c>
      <c r="B234" s="166"/>
      <c r="N234" s="148">
        <v>18</v>
      </c>
      <c r="O234" s="237" t="s">
        <v>10643</v>
      </c>
      <c r="P234" s="236" t="s">
        <v>10644</v>
      </c>
      <c r="BO234" s="153"/>
      <c r="CH234" s="148" t="s">
        <v>3660</v>
      </c>
      <c r="CI234" s="148">
        <v>37</v>
      </c>
      <c r="CJ234" s="148" cm="1">
        <f t="array" ref="CJ234">_xlfn.IFS($AZ$13&gt;=14,41,$AZ$13&gt;=10,40,$AZ$13&gt;=6,39,$AZ$13&gt;=3,38,1,0)</f>
        <v>0</v>
      </c>
    </row>
    <row r="235" spans="1:88" ht="16.149999999999999" customHeight="1" x14ac:dyDescent="0.15">
      <c r="A235" s="140">
        <v>202</v>
      </c>
      <c r="B235" s="166"/>
      <c r="BO235" s="153"/>
      <c r="CH235" s="148" t="s">
        <v>3661</v>
      </c>
      <c r="CI235" s="148">
        <v>42</v>
      </c>
      <c r="CJ235" s="148" cm="1">
        <f t="array" ref="CJ235">_xlfn.IFS($AZ$13&gt;=14,46,$AZ$13&gt;=10,45,$AZ$13&gt;=6,44,$AZ$13&gt;=3,43,1,0)</f>
        <v>0</v>
      </c>
    </row>
    <row r="236" spans="1:88" ht="16.149999999999999" customHeight="1" x14ac:dyDescent="0.15">
      <c r="A236" s="140">
        <v>203</v>
      </c>
      <c r="B236" s="166"/>
      <c r="BO236" s="153"/>
      <c r="CH236" s="148" t="s">
        <v>5474</v>
      </c>
      <c r="CI236" s="148">
        <v>47</v>
      </c>
      <c r="CJ236" s="148" cm="1">
        <f t="array" ref="CJ236">_xlfn.IFS($AZ$13&gt;=14,51,$AZ$13&gt;=10,50,$AZ$13&gt;=6,49,$AZ$13&gt;=3,48,1,0)</f>
        <v>0</v>
      </c>
    </row>
    <row r="237" spans="1:88" ht="16.149999999999999" customHeight="1" x14ac:dyDescent="0.15">
      <c r="A237" s="140">
        <v>204</v>
      </c>
      <c r="B237" s="166"/>
      <c r="BO237" s="153"/>
      <c r="CH237" s="180" t="s">
        <v>9925</v>
      </c>
      <c r="CI237" s="148">
        <v>52</v>
      </c>
      <c r="CJ237" s="148" cm="1">
        <f t="array" ref="CJ237">_xlfn.IFS($AZ$13&gt;=14,56,$AZ$13&gt;=10,55,$AZ$13&gt;=6,54,$AZ$13&gt;=3,53,1,0)</f>
        <v>0</v>
      </c>
    </row>
    <row r="238" spans="1:88" ht="16.149999999999999" customHeight="1" x14ac:dyDescent="0.15">
      <c r="A238" s="140">
        <v>205</v>
      </c>
      <c r="B238" s="166"/>
      <c r="BO238" s="153"/>
      <c r="CH238" s="148" t="s">
        <v>5483</v>
      </c>
      <c r="CI238" s="148">
        <v>57</v>
      </c>
      <c r="CJ238" s="148" cm="1">
        <f t="array" ref="CJ238">_xlfn.IFS($AZ$13&gt;=14,61,$AZ$13&gt;=10,60,$AZ$13&gt;=6,59,$AZ$13&gt;=3,58,1,0)</f>
        <v>0</v>
      </c>
    </row>
    <row r="239" spans="1:88" ht="16.149999999999999" customHeight="1" x14ac:dyDescent="0.15">
      <c r="A239" s="140">
        <v>206</v>
      </c>
      <c r="B239" s="166"/>
      <c r="BO239" s="153"/>
      <c r="CH239" s="148" t="s">
        <v>5785</v>
      </c>
      <c r="CI239" s="148">
        <v>62</v>
      </c>
      <c r="CJ239" s="148" cm="1">
        <f t="array" ref="CJ239">_xlfn.IFS($AZ$13&gt;=14,66,$AZ$13&gt;=10,65,$AZ$13&gt;=6,64,$AZ$13&gt;=3,63,1,0)</f>
        <v>0</v>
      </c>
    </row>
    <row r="240" spans="1:88" ht="16.149999999999999" customHeight="1" x14ac:dyDescent="0.15">
      <c r="A240" s="140">
        <v>207</v>
      </c>
      <c r="B240" s="166"/>
      <c r="BO240" s="153"/>
      <c r="CH240" s="148" t="s">
        <v>6106</v>
      </c>
      <c r="CI240" s="148">
        <v>67</v>
      </c>
      <c r="CJ240" s="148" cm="1">
        <f t="array" ref="CJ240">_xlfn.IFS($AZ$13&gt;=14,71,$AZ$13&gt;=10,70,$AZ$13&gt;=6,69,$AZ$13&gt;=3,68,1,0)</f>
        <v>0</v>
      </c>
    </row>
    <row r="241" spans="1:88" ht="16.149999999999999" customHeight="1" x14ac:dyDescent="0.15">
      <c r="A241" s="140">
        <v>208</v>
      </c>
      <c r="B241" s="166"/>
      <c r="BO241" s="153"/>
      <c r="CH241" s="148" t="s">
        <v>6107</v>
      </c>
      <c r="CI241" s="148">
        <v>72</v>
      </c>
      <c r="CJ241" s="148" cm="1">
        <f t="array" ref="CJ241">_xlfn.IFS($AZ$13&gt;=14,75,$AZ$13&gt;=10,74,$AZ$13&gt;=6,73,$AZ$13&gt;=3,72,1,0)</f>
        <v>0</v>
      </c>
    </row>
    <row r="242" spans="1:88" ht="16.149999999999999" customHeight="1" x14ac:dyDescent="0.15">
      <c r="A242" s="140">
        <v>209</v>
      </c>
      <c r="B242" s="166"/>
      <c r="BO242" s="153"/>
      <c r="CH242" s="179" t="s">
        <v>6321</v>
      </c>
      <c r="CI242" s="148">
        <v>76</v>
      </c>
      <c r="CJ242" s="148" cm="1">
        <f t="array" ref="CJ242">_xlfn.IFS($AZ$13&gt;=14,83,$AZ$13&gt;=10,82,$AZ$13&gt;=6,80,$AZ$13&gt;=3,78,1,0)</f>
        <v>0</v>
      </c>
    </row>
    <row r="243" spans="1:88" ht="16.149999999999999" customHeight="1" x14ac:dyDescent="0.15">
      <c r="A243" s="140">
        <v>210</v>
      </c>
      <c r="B243" s="166"/>
      <c r="BO243" s="153"/>
      <c r="CH243" s="179" t="s">
        <v>6591</v>
      </c>
      <c r="CI243" s="148">
        <v>84</v>
      </c>
      <c r="CJ243" s="148" cm="1">
        <f t="array" ref="CJ243">_xlfn.IFS($AZ$13&gt;=14,88,$AZ$13&gt;=10,87,$AZ$13&gt;=6,86,$AZ$13&gt;=3,85,1,0)</f>
        <v>0</v>
      </c>
    </row>
    <row r="244" spans="1:88" ht="16.149999999999999" customHeight="1" x14ac:dyDescent="0.15">
      <c r="A244" s="140">
        <v>211</v>
      </c>
      <c r="B244" s="166"/>
      <c r="BO244" s="153"/>
      <c r="CH244" s="179" t="s">
        <v>8786</v>
      </c>
      <c r="CI244" s="148">
        <v>89</v>
      </c>
      <c r="CJ244" s="148" cm="1">
        <f t="array" ref="CJ244">_xlfn.IFS($AZ$13&gt;=14,94,$AZ$13&gt;=10,93,$AZ$13&gt;=6,92,$AZ$13&gt;=3,90,1,0)</f>
        <v>0</v>
      </c>
    </row>
    <row r="245" spans="1:88" ht="16.149999999999999" customHeight="1" x14ac:dyDescent="0.15">
      <c r="A245" s="140">
        <v>212</v>
      </c>
      <c r="B245" s="166"/>
      <c r="BO245" s="153"/>
      <c r="CH245" s="179" t="s">
        <v>8787</v>
      </c>
      <c r="CI245" s="148">
        <v>95</v>
      </c>
      <c r="CJ245" s="148" cm="1">
        <f t="array" ref="CJ245">_xlfn.IFS($AZ$13&gt;=14,99,$AZ$13&gt;=10,98,$AZ$13&gt;=6,97,$AZ$13&gt;=3,96,1,0)</f>
        <v>0</v>
      </c>
    </row>
    <row r="246" spans="1:88" ht="16.149999999999999" customHeight="1" x14ac:dyDescent="0.15">
      <c r="A246" s="140">
        <v>213</v>
      </c>
      <c r="B246" s="166"/>
      <c r="BO246" s="153"/>
      <c r="CH246" s="179" t="s">
        <v>8788</v>
      </c>
      <c r="CI246" s="148">
        <v>100</v>
      </c>
      <c r="CJ246" s="148" cm="1">
        <f t="array" ref="CJ246">_xlfn.IFS($AZ$13&gt;=14,104,$AZ$13&gt;=10,103,$AZ$13&gt;=6,102,$AZ$13&gt;=3,101,1,0)</f>
        <v>0</v>
      </c>
    </row>
    <row r="247" spans="1:88" ht="16.149999999999999" customHeight="1" x14ac:dyDescent="0.15">
      <c r="A247" s="140">
        <v>214</v>
      </c>
      <c r="B247" s="166"/>
      <c r="BO247" s="153"/>
      <c r="CH247" s="179" t="s">
        <v>9135</v>
      </c>
      <c r="CI247" s="148">
        <v>105</v>
      </c>
      <c r="CJ247" s="148" cm="1">
        <f t="array" ref="CJ247">_xlfn.IFS($AZ$13&gt;=14,109,$AZ$13&gt;=10,108,$AZ$13&gt;=6,107,$AZ$13&gt;=3,106,1,0)</f>
        <v>0</v>
      </c>
    </row>
    <row r="248" spans="1:88" ht="16.149999999999999" customHeight="1" x14ac:dyDescent="0.15">
      <c r="A248" s="140">
        <v>215</v>
      </c>
      <c r="B248" s="166"/>
      <c r="BO248" s="153"/>
      <c r="CH248" s="179" t="s">
        <v>9276</v>
      </c>
      <c r="CI248" s="148">
        <v>110</v>
      </c>
      <c r="CJ248" s="148" cm="1">
        <f t="array" ref="CJ248">_xlfn.IFS($AZ$13&gt;=14,114,$AZ$13&gt;=10,113,$AZ$13&gt;=6,112,$AZ$13&gt;=3,111,1,0)</f>
        <v>0</v>
      </c>
    </row>
    <row r="249" spans="1:88" ht="16.149999999999999" customHeight="1" thickBot="1" x14ac:dyDescent="0.2">
      <c r="A249" s="140">
        <v>216</v>
      </c>
      <c r="B249" s="166"/>
      <c r="BO249" s="153"/>
      <c r="CH249" s="179" t="s">
        <v>9826</v>
      </c>
      <c r="CI249" s="148">
        <v>115</v>
      </c>
      <c r="CJ249" s="148" cm="1">
        <f t="array" ref="CJ249">_xlfn.IFS($AZ$13&gt;=14,119,$AZ$13&gt;=10,118,$AZ$13&gt;=6,117,$AZ$13&gt;=3,116,1,0)</f>
        <v>0</v>
      </c>
    </row>
    <row r="250" spans="1:88" ht="16.149999999999999" customHeight="1" x14ac:dyDescent="0.15">
      <c r="A250" s="140">
        <v>217</v>
      </c>
      <c r="B250" s="166"/>
      <c r="BO250" s="153"/>
      <c r="CH250" s="163" t="s">
        <v>3665</v>
      </c>
      <c r="CI250" s="163">
        <v>30</v>
      </c>
      <c r="CJ250" s="163" cm="1">
        <f t="array" ref="CJ250">_xlfn.IFS($AZ$14&gt;=15,35,$AZ$14&gt;=9,34,$AZ$14&gt;=5,33,$AZ$14&gt;=3,32,1,0)</f>
        <v>0</v>
      </c>
    </row>
    <row r="251" spans="1:88" ht="16.149999999999999" customHeight="1" x14ac:dyDescent="0.15">
      <c r="A251" s="140">
        <v>218</v>
      </c>
      <c r="B251" s="166"/>
      <c r="BO251" s="153"/>
      <c r="CH251" s="148" t="s">
        <v>5496</v>
      </c>
      <c r="CI251" s="148">
        <v>36</v>
      </c>
      <c r="CJ251" s="148" cm="1">
        <f t="array" ref="CJ251">_xlfn.IFS($AZ$14&gt;=15,45,$AZ$14&gt;=9,44,$AZ$14&gt;=5,43,$AZ$14&gt;=3,42,1,0)</f>
        <v>0</v>
      </c>
    </row>
    <row r="252" spans="1:88" ht="16.149999999999999" customHeight="1" x14ac:dyDescent="0.15">
      <c r="A252" s="140">
        <v>219</v>
      </c>
      <c r="B252" s="166"/>
      <c r="BO252" s="153"/>
      <c r="CH252" s="148" t="s">
        <v>5501</v>
      </c>
      <c r="CI252" s="148">
        <v>46</v>
      </c>
      <c r="CJ252" s="148" cm="1">
        <f t="array" ref="CJ252">_xlfn.IFS($AZ$14&gt;=15,51,$AZ$14&gt;=9,50,$AZ$14&gt;=5,49,$AZ$14&gt;=3,48,1,0)</f>
        <v>0</v>
      </c>
    </row>
    <row r="253" spans="1:88" ht="16.149999999999999" customHeight="1" x14ac:dyDescent="0.15">
      <c r="A253" s="140">
        <v>220</v>
      </c>
      <c r="B253" s="166"/>
      <c r="BO253" s="153"/>
      <c r="CH253" s="180" t="s">
        <v>10273</v>
      </c>
      <c r="CI253" s="148">
        <v>52</v>
      </c>
      <c r="CJ253" s="148" cm="1">
        <f t="array" ref="CJ253">_xlfn.IFS($AZ$14&gt;=15,58,$AZ$14&gt;=9,57,$AZ$14&gt;=5,56,$AZ$14&gt;=3,55,1,0)</f>
        <v>0</v>
      </c>
    </row>
    <row r="254" spans="1:88" ht="16.149999999999999" customHeight="1" thickBot="1" x14ac:dyDescent="0.2">
      <c r="A254" s="140">
        <v>221</v>
      </c>
      <c r="B254" s="166"/>
      <c r="BO254" s="153"/>
      <c r="CH254" s="148" t="s">
        <v>5510</v>
      </c>
      <c r="CI254" s="148">
        <v>59</v>
      </c>
      <c r="CJ254" s="148" cm="1">
        <f t="array" ref="CJ254">_xlfn.IFS($AZ$14&gt;=15,65,$AZ$14&gt;=9,64,$AZ$14&gt;=5,63,$AZ$14&gt;=3,62,1,0)</f>
        <v>0</v>
      </c>
    </row>
    <row r="255" spans="1:88" ht="16.149999999999999" customHeight="1" x14ac:dyDescent="0.15">
      <c r="A255" s="140">
        <v>222</v>
      </c>
      <c r="B255" s="166"/>
      <c r="BO255" s="153"/>
      <c r="CH255" s="163" t="s">
        <v>3671</v>
      </c>
      <c r="CI255" s="163">
        <v>35</v>
      </c>
      <c r="CJ255" s="163" cm="1">
        <f t="array" ref="CJ255">_xlfn.IFS($AZ$15&gt;=14,41,$AZ$15&gt;=10,40,$AZ$15&gt;=6,39,$AZ$15&gt;=3,37,1,0)</f>
        <v>0</v>
      </c>
    </row>
    <row r="256" spans="1:88" ht="16.149999999999999" customHeight="1" x14ac:dyDescent="0.15">
      <c r="A256" s="140">
        <v>223</v>
      </c>
      <c r="B256" s="166"/>
      <c r="BO256" s="153"/>
      <c r="CH256" s="148" t="s">
        <v>3672</v>
      </c>
      <c r="CI256" s="148">
        <v>42</v>
      </c>
      <c r="CJ256" s="148" cm="1">
        <f t="array" ref="CJ256">_xlfn.IFS($AZ$15&gt;=14,48,$AZ$15&gt;=10,47,$AZ$15&gt;=6,46,$AZ$15&gt;=3,44,1,0)</f>
        <v>0</v>
      </c>
    </row>
    <row r="257" spans="1:88" ht="16.149999999999999" customHeight="1" x14ac:dyDescent="0.15">
      <c r="A257" s="140">
        <v>224</v>
      </c>
      <c r="B257" s="166"/>
      <c r="BO257" s="153"/>
      <c r="CH257" s="148" t="s">
        <v>3673</v>
      </c>
      <c r="CI257" s="148">
        <v>49</v>
      </c>
      <c r="CJ257" s="148" cm="1">
        <f t="array" ref="CJ257">_xlfn.IFS($AZ$15&gt;=14,55,$AZ$15&gt;=10,54,$AZ$15&gt;=6,53,$AZ$15&gt;=3,51,1,0)</f>
        <v>0</v>
      </c>
    </row>
    <row r="258" spans="1:88" ht="16.149999999999999" customHeight="1" thickBot="1" x14ac:dyDescent="0.2">
      <c r="A258" s="140">
        <v>225</v>
      </c>
      <c r="B258" s="166"/>
      <c r="BO258" s="153"/>
      <c r="CH258" s="180" t="s">
        <v>10732</v>
      </c>
      <c r="CI258" s="148">
        <v>56</v>
      </c>
      <c r="CJ258" s="148" cm="1">
        <f t="array" ref="CJ258">_xlfn.IFS($AZ$15&gt;=14,62,$AZ$15&gt;=10,61,$AZ$15&gt;=6,60,$AZ$15&gt;=3,58,1,0)</f>
        <v>0</v>
      </c>
    </row>
    <row r="259" spans="1:88" ht="16.149999999999999" customHeight="1" x14ac:dyDescent="0.15">
      <c r="A259" s="140">
        <v>226</v>
      </c>
      <c r="B259" s="166"/>
      <c r="BO259" s="153"/>
      <c r="CH259" s="163" t="s">
        <v>5786</v>
      </c>
      <c r="CI259" s="163">
        <v>39</v>
      </c>
      <c r="CJ259" s="163" cm="1">
        <f t="array" ref="CJ259">_xlfn.IFS($AZ$16&gt;=18,44,$AZ$16&gt;=15,43,$AZ$16&gt;=11,42,$AZ$16=7,41,$AZ$16=3,40,1,0)</f>
        <v>0</v>
      </c>
    </row>
    <row r="260" spans="1:88" ht="16.149999999999999" customHeight="1" x14ac:dyDescent="0.15">
      <c r="A260" s="140">
        <v>227</v>
      </c>
      <c r="B260" s="166"/>
      <c r="BO260" s="153"/>
      <c r="CH260" s="148" t="s">
        <v>5787</v>
      </c>
      <c r="CI260" s="148">
        <v>45</v>
      </c>
      <c r="CJ260" s="148" cm="1">
        <f t="array" ref="CJ260">_xlfn.IFS($AZ$16&gt;=18,52,$AZ$16&gt;=15,51,$AZ$16&gt;=11,50,$AZ$16=7,49,$AZ$16=3,48,1,0)</f>
        <v>0</v>
      </c>
    </row>
    <row r="261" spans="1:88" ht="16.149999999999999" customHeight="1" x14ac:dyDescent="0.15">
      <c r="A261" s="140">
        <v>228</v>
      </c>
      <c r="B261" s="166"/>
      <c r="BO261" s="153"/>
      <c r="CH261" s="148" t="s">
        <v>5788</v>
      </c>
      <c r="CI261" s="148">
        <v>53</v>
      </c>
      <c r="CJ261" s="148" cm="1">
        <f t="array" ref="CJ261">_xlfn.IFS($AZ$16&gt;=18,78,$AZ$16&gt;=15,77,$AZ$16&gt;=11,76,$AZ$16=7,72,$AZ$16=3,70,1,0)</f>
        <v>0</v>
      </c>
    </row>
    <row r="262" spans="1:88" ht="16.149999999999999" customHeight="1" thickBot="1" x14ac:dyDescent="0.2">
      <c r="A262" s="140">
        <v>229</v>
      </c>
      <c r="B262" s="172"/>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4"/>
      <c r="CH262" s="148" t="s">
        <v>5789</v>
      </c>
      <c r="CI262" s="148">
        <v>79</v>
      </c>
      <c r="CJ262" s="148" cm="1">
        <f t="array" ref="CJ262">_xlfn.IFS($AZ$16&gt;=18,90,$AZ$16&gt;=15,89,$AZ$16&gt;=11,88,$AZ$16=7,87,$AZ$16=3,85,1,0)</f>
        <v>0</v>
      </c>
    </row>
    <row r="263" spans="1:88" ht="16.149999999999999" customHeight="1" x14ac:dyDescent="0.15">
      <c r="CH263" s="261" t="s">
        <v>8311</v>
      </c>
      <c r="CI263" s="163">
        <v>43</v>
      </c>
      <c r="CJ263" s="163" cm="1">
        <f t="array" ref="CJ263">_xlfn.IFS($AZ$19&gt;=18,56,$AZ$19&gt;=15,55,$AZ$19&gt;=13,54,$AZ$19&gt;=11,53,$AZ$19=7,52,$AZ$19=3,49,1,0)</f>
        <v>0</v>
      </c>
    </row>
    <row r="264" spans="1:88" ht="16.149999999999999" customHeight="1" x14ac:dyDescent="0.15">
      <c r="CH264" s="180" t="s">
        <v>8312</v>
      </c>
      <c r="CI264" s="148">
        <v>57</v>
      </c>
      <c r="CJ264" s="148" cm="1">
        <f t="array" ref="CJ264">_xlfn.IFS($AZ$19&gt;=18,67,$AZ$19&gt;=15,66,$AZ$19&gt;=13,65,$AZ$19&gt;=11,64,$AZ$19=7,62,$AZ$19=3,60,1,0)</f>
        <v>0</v>
      </c>
    </row>
    <row r="265" spans="1:88" ht="16.149999999999999" customHeight="1" x14ac:dyDescent="0.15">
      <c r="CH265" s="180" t="s">
        <v>8313</v>
      </c>
      <c r="CI265" s="148">
        <v>68</v>
      </c>
      <c r="CJ265" s="148" cm="1">
        <f t="array" ref="CJ265">_xlfn.IFS($AZ$19&gt;=18,77,$AZ$19&gt;=15,76,$AZ$19&gt;=13,75,$AZ$19&gt;=11,74,$AZ$19=7,73,$AZ$19=3,71,1,0)</f>
        <v>0</v>
      </c>
    </row>
    <row r="266" spans="1:88" ht="16.149999999999999" customHeight="1" x14ac:dyDescent="0.15">
      <c r="CH266" s="180" t="s">
        <v>8314</v>
      </c>
      <c r="CI266" s="148">
        <v>78</v>
      </c>
      <c r="CJ266" s="148" cm="1">
        <f t="array" ref="CJ266">_xlfn.IFS($AZ$19&gt;=18,87,$AZ$19&gt;=15,86,$AZ$19&gt;=13,85,$AZ$19&gt;=11,84,$AZ$19=7,83,$AZ$19=3,81,1,0)</f>
        <v>0</v>
      </c>
    </row>
    <row r="267" spans="1:88" ht="16.149999999999999" customHeight="1" thickBot="1" x14ac:dyDescent="0.2">
      <c r="CH267" s="180" t="s">
        <v>8315</v>
      </c>
      <c r="CI267" s="148">
        <v>88</v>
      </c>
      <c r="CJ267" s="148" cm="1">
        <f t="array" ref="CJ267">_xlfn.IFS($AZ$19&gt;=18,97,$AZ$19&gt;=15,96,$AZ$19&gt;=13,95,$AZ$19&gt;=11,94,$AZ$19=7,93,$AZ$19=3,91,1,0)</f>
        <v>0</v>
      </c>
    </row>
    <row r="268" spans="1:88" ht="16.149999999999999" customHeight="1" x14ac:dyDescent="0.15">
      <c r="CH268" s="163" t="s">
        <v>5854</v>
      </c>
      <c r="CI268" s="163">
        <v>60</v>
      </c>
      <c r="CJ268" s="163" cm="1">
        <f t="array" ref="CJ268">_xlfn.IFS($AZ$17&gt;=18,67,$AZ$17&gt;=14,66,$AZ$17&gt;=10,65,$AZ$17&gt;=6,64,$AZ$17&gt;=3,63,1,0)</f>
        <v>0</v>
      </c>
    </row>
    <row r="269" spans="1:88" ht="16.149999999999999" customHeight="1" x14ac:dyDescent="0.15">
      <c r="CH269" s="148" t="s">
        <v>5855</v>
      </c>
      <c r="CI269" s="148">
        <v>68</v>
      </c>
      <c r="CJ269" s="148" cm="1">
        <f t="array" ref="CJ269">_xlfn.IFS($AZ$17&gt;=18,75,$AZ$17&gt;=14,74,$AZ$17&gt;=10,73,$AZ$17&gt;=6,72,$AZ$17&gt;=3,70,1,0)</f>
        <v>0</v>
      </c>
    </row>
    <row r="270" spans="1:88" ht="16.149999999999999" customHeight="1" x14ac:dyDescent="0.15">
      <c r="CH270" s="148" t="s">
        <v>5856</v>
      </c>
      <c r="CI270" s="148">
        <v>76</v>
      </c>
      <c r="CJ270" s="148" cm="1">
        <f t="array" ref="CJ270">_xlfn.IFS($AZ$17&gt;=18,82,$AZ$17&gt;=14,81,$AZ$17&gt;=10,80,$AZ$17&gt;=6,79,$AZ$17&gt;=3,78,1,0)</f>
        <v>0</v>
      </c>
    </row>
    <row r="271" spans="1:88" ht="16.149999999999999" customHeight="1" x14ac:dyDescent="0.15">
      <c r="CH271" s="148" t="s">
        <v>5857</v>
      </c>
      <c r="CI271" s="148">
        <v>83</v>
      </c>
      <c r="CJ271" s="148" cm="1">
        <f t="array" ref="CJ271">_xlfn.IFS($AZ$17&gt;=18,90,$AZ$17&gt;=14,89,$AZ$17&gt;=10,88,$AZ$17&gt;=6,87,$AZ$17&gt;=3,85,1,0)</f>
        <v>0</v>
      </c>
    </row>
    <row r="272" spans="1:88" ht="16.149999999999999" customHeight="1" x14ac:dyDescent="0.15">
      <c r="CH272" s="148" t="s">
        <v>5858</v>
      </c>
      <c r="CI272" s="148">
        <v>91</v>
      </c>
      <c r="CJ272" s="148" cm="1">
        <f t="array" ref="CJ272">_xlfn.IFS($AZ$17&gt;=18,99,$AZ$17&gt;=14,98,$AZ$17&gt;=10,97,$AZ$17&gt;=6,96,$AZ$17&gt;=3,94,1,0)</f>
        <v>0</v>
      </c>
    </row>
    <row r="273" spans="2:88" ht="16.149999999999999" customHeight="1" thickBot="1" x14ac:dyDescent="0.2">
      <c r="CH273" s="148" t="s">
        <v>5859</v>
      </c>
      <c r="CI273" s="148">
        <v>100</v>
      </c>
      <c r="CJ273" s="148" cm="1">
        <f t="array" ref="CJ273">_xlfn.IFS($AZ$17&gt;=18,108,$AZ$17&gt;=14,107,$AZ$17&gt;=10,106,$AZ$17&gt;=6,105,$AZ$17&gt;=3,103,1,0)</f>
        <v>0</v>
      </c>
    </row>
    <row r="274" spans="2:88" ht="16.149999999999999" customHeight="1" x14ac:dyDescent="0.15">
      <c r="CH274" s="261" t="s">
        <v>10443</v>
      </c>
      <c r="CI274" s="163">
        <v>29</v>
      </c>
      <c r="CJ274" s="163" cm="1">
        <f t="array" ref="CJ274">_xlfn.IFS($AZ$20&gt;=17,33,$AZ$20&gt;=11,32,$AZ$20&gt;=6,31,$AZ$20&gt;=3,30,1,0)</f>
        <v>0</v>
      </c>
    </row>
    <row r="275" spans="2:88" ht="16.149999999999999" customHeight="1" x14ac:dyDescent="0.15">
      <c r="CH275" s="180" t="s">
        <v>10444</v>
      </c>
      <c r="CI275" s="148">
        <v>34</v>
      </c>
      <c r="CJ275" s="148" cm="1">
        <f t="array" ref="CJ275">_xlfn.IFS($AZ$20&gt;=17,38,$AZ$20&gt;=11,37,$AZ$20&gt;=6,36,$AZ$20&gt;=3,35,1,0)</f>
        <v>0</v>
      </c>
    </row>
    <row r="276" spans="2:88" ht="16.149999999999999" customHeight="1" x14ac:dyDescent="0.15">
      <c r="CH276" s="180" t="s">
        <v>10445</v>
      </c>
      <c r="CI276" s="148">
        <v>39</v>
      </c>
      <c r="CJ276" s="148" cm="1">
        <f t="array" ref="CJ276">_xlfn.IFS($AZ$20&gt;=17,43,$AZ$20&gt;=11,42,$AZ$20&gt;=6,41,$AZ$20&gt;=3,40,1,0)</f>
        <v>0</v>
      </c>
    </row>
    <row r="277" spans="2:88" ht="16.149999999999999" customHeight="1" x14ac:dyDescent="0.15">
      <c r="CH277" s="180" t="s">
        <v>10446</v>
      </c>
      <c r="CI277" s="148">
        <v>44</v>
      </c>
      <c r="CJ277" s="148" cm="1">
        <f t="array" ref="CJ277">_xlfn.IFS($AZ$20&gt;=17,48,$AZ$20&gt;=11,47,$AZ$20&gt;=6,46,$AZ$20&gt;=3,45,1,0)</f>
        <v>0</v>
      </c>
    </row>
    <row r="278" spans="2:88" ht="16.149999999999999" customHeight="1" x14ac:dyDescent="0.15">
      <c r="CH278" s="180" t="s">
        <v>10447</v>
      </c>
      <c r="CI278" s="148">
        <v>49</v>
      </c>
      <c r="CJ278" s="148" cm="1">
        <f t="array" ref="CJ278">_xlfn.IFS($AZ$20&gt;=17,53,$AZ$20&gt;=11,52,$AZ$20&gt;=6,51,$AZ$20&gt;=3,50,1,0)</f>
        <v>0</v>
      </c>
    </row>
    <row r="279" spans="2:88" ht="16.149999999999999" customHeight="1" thickBot="1" x14ac:dyDescent="0.2">
      <c r="B279" s="175"/>
      <c r="CH279" s="180" t="s">
        <v>10448</v>
      </c>
      <c r="CI279" s="148">
        <v>54</v>
      </c>
      <c r="CJ279" s="148" cm="1">
        <f t="array" ref="CJ279">_xlfn.IFS($AZ$20&gt;=17,58,$AZ$20&gt;=11,57,$AZ$20&gt;=6,56,$AZ$20&gt;=3,55,1,0)</f>
        <v>0</v>
      </c>
    </row>
    <row r="280" spans="2:88" ht="16.149999999999999" customHeight="1" x14ac:dyDescent="0.15">
      <c r="CH280" s="391" t="s">
        <v>7313</v>
      </c>
      <c r="CI280" s="163">
        <v>29</v>
      </c>
      <c r="CJ280" s="163" cm="1">
        <f t="array" ref="CJ280">_xlfn.IFS($AZ$18&gt;=14,33,$AZ$18&gt;=10,32,$AZ$18&gt;=6,31,$AZ$18&gt;=3,30,1,0)</f>
        <v>0</v>
      </c>
    </row>
    <row r="281" spans="2:88" ht="16.149999999999999" customHeight="1" x14ac:dyDescent="0.15">
      <c r="CH281" s="179" t="s">
        <v>7314</v>
      </c>
      <c r="CI281" s="148">
        <v>34</v>
      </c>
      <c r="CJ281" s="148" cm="1">
        <f t="array" ref="CJ281">_xlfn.IFS($AZ$18&gt;=14,38,$AZ$18&gt;=10,37,$AZ$18&gt;=6,36,$AZ$18&gt;=3,35,1,0)</f>
        <v>0</v>
      </c>
    </row>
    <row r="282" spans="2:88" ht="16.149999999999999" customHeight="1" x14ac:dyDescent="0.15">
      <c r="CH282" s="179" t="s">
        <v>7315</v>
      </c>
      <c r="CI282" s="148">
        <v>39</v>
      </c>
      <c r="CJ282" s="148" cm="1">
        <f t="array" ref="CJ282">_xlfn.IFS($AZ$18&gt;=14,43,$AZ$18&gt;=10,42,$AZ$18&gt;=6,41,$AZ$18&gt;=3,40,1,0)</f>
        <v>0</v>
      </c>
    </row>
    <row r="283" spans="2:88" ht="16.149999999999999" customHeight="1" x14ac:dyDescent="0.15">
      <c r="CH283" s="179" t="s">
        <v>7316</v>
      </c>
      <c r="CI283" s="148">
        <v>44</v>
      </c>
      <c r="CJ283" s="148" cm="1">
        <f t="array" ref="CJ283">_xlfn.IFS($AZ$18&gt;=14,54,$AZ$18&gt;=10,53,$AZ$18&gt;=6,52,$AZ$18&gt;=3,51,1,0)</f>
        <v>0</v>
      </c>
    </row>
    <row r="284" spans="2:88" ht="16.149999999999999" customHeight="1" x14ac:dyDescent="0.15">
      <c r="CH284" s="179" t="s">
        <v>7317</v>
      </c>
      <c r="CI284" s="148">
        <v>55</v>
      </c>
      <c r="CJ284" s="148" cm="1">
        <f t="array" ref="CJ284">_xlfn.IFS($AZ$18&gt;=14,59,$AZ$18&gt;=10,58,$AZ$18&gt;=6,57,$AZ$18&gt;=3,56,1,0)</f>
        <v>0</v>
      </c>
    </row>
    <row r="285" spans="2:88" ht="16.149999999999999" customHeight="1" x14ac:dyDescent="0.15">
      <c r="CH285" s="179" t="s">
        <v>7318</v>
      </c>
      <c r="CI285" s="148">
        <v>60</v>
      </c>
      <c r="CJ285" s="148" cm="1">
        <f t="array" ref="CJ285">_xlfn.IFS($AZ$18&gt;=14,64,$AZ$18&gt;=10,63,$AZ$18&gt;=6,62,$AZ$18&gt;=3,61,1,0)</f>
        <v>0</v>
      </c>
    </row>
  </sheetData>
  <mergeCells count="26">
    <mergeCell ref="AO1:AP1"/>
    <mergeCell ref="CT1:CU1"/>
    <mergeCell ref="AQ1:AR1"/>
    <mergeCell ref="AQ6:AR6"/>
    <mergeCell ref="AF33:AH33"/>
    <mergeCell ref="AI33:AK33"/>
    <mergeCell ref="AO33:AQ33"/>
    <mergeCell ref="AL33:AN33"/>
    <mergeCell ref="AR33:AT33"/>
    <mergeCell ref="AU33:AW33"/>
    <mergeCell ref="AX33:AZ33"/>
    <mergeCell ref="BA33:BC33"/>
    <mergeCell ref="BD33:BF33"/>
    <mergeCell ref="BG33:BI33"/>
    <mergeCell ref="BJ33:BL33"/>
    <mergeCell ref="BM33:BO33"/>
    <mergeCell ref="B33:D33"/>
    <mergeCell ref="E33:G33"/>
    <mergeCell ref="H33:J33"/>
    <mergeCell ref="K33:M33"/>
    <mergeCell ref="N33:P33"/>
    <mergeCell ref="Q33:S33"/>
    <mergeCell ref="T33:V33"/>
    <mergeCell ref="W33:Y33"/>
    <mergeCell ref="Z33:AB33"/>
    <mergeCell ref="AC33:AE33"/>
  </mergeCells>
  <phoneticPr fontId="68" type="noConversion"/>
  <conditionalFormatting sqref="CH268:CH273 CH280:CH285 CH30:CH262">
    <cfRule type="duplicateValues" dxfId="21" priority="473"/>
  </conditionalFormatting>
  <dataValidations count="1">
    <dataValidation allowBlank="1" showInputMessage="1" sqref="CV2:CW81" xr:uid="{00000000-0002-0000-0400-000000000000}"/>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D148"/>
  <sheetViews>
    <sheetView topLeftCell="H1" zoomScale="70" zoomScaleNormal="70" workbookViewId="0">
      <selection activeCell="S14" sqref="S14"/>
    </sheetView>
  </sheetViews>
  <sheetFormatPr defaultColWidth="9" defaultRowHeight="16.899999999999999" customHeight="1" x14ac:dyDescent="0.15"/>
  <cols>
    <col min="1" max="1" width="30.875" style="69" bestFit="1" customWidth="1"/>
    <col min="2" max="10" width="9" style="69"/>
    <col min="11" max="12" width="14.5" style="69" bestFit="1" customWidth="1"/>
    <col min="13" max="13" width="6.375" style="69" bestFit="1" customWidth="1"/>
    <col min="14" max="15" width="9" style="69"/>
    <col min="16" max="17" width="6.375" style="69" bestFit="1" customWidth="1"/>
    <col min="18" max="19" width="9" style="69"/>
    <col min="20" max="20" width="14.5" style="69" bestFit="1" customWidth="1"/>
    <col min="21" max="25" width="9" style="69"/>
    <col min="26" max="32" width="9" style="53"/>
    <col min="33" max="33" width="13.5" style="53" bestFit="1" customWidth="1"/>
    <col min="34" max="34" width="14.5" style="53" bestFit="1" customWidth="1"/>
    <col min="35" max="35" width="9" style="53"/>
    <col min="36" max="36" width="11.25" style="53" bestFit="1" customWidth="1"/>
    <col min="37" max="39" width="9" style="53"/>
    <col min="40" max="40" width="9.625" style="53" bestFit="1" customWidth="1"/>
    <col min="41" max="41" width="9" style="53"/>
    <col min="42" max="42" width="11.375" style="53" bestFit="1" customWidth="1"/>
    <col min="43" max="43" width="10" style="53" customWidth="1"/>
    <col min="44" max="44" width="9.75" style="53" customWidth="1"/>
    <col min="45" max="47" width="9" style="53"/>
    <col min="48" max="48" width="10" style="53" customWidth="1"/>
    <col min="49" max="50" width="9.75" style="53" bestFit="1" customWidth="1"/>
    <col min="51" max="51" width="9" style="53"/>
    <col min="52" max="52" width="11.375" style="53" bestFit="1" customWidth="1"/>
    <col min="53" max="16384" width="9" style="53"/>
  </cols>
  <sheetData>
    <row r="1" spans="1:56" ht="16.899999999999999" customHeight="1" x14ac:dyDescent="0.15">
      <c r="A1" s="83" t="s">
        <v>174</v>
      </c>
      <c r="B1" s="83" t="s">
        <v>106</v>
      </c>
      <c r="C1" s="83" t="s">
        <v>175</v>
      </c>
      <c r="D1" s="83" t="s">
        <v>107</v>
      </c>
      <c r="E1" s="80" t="s">
        <v>174</v>
      </c>
      <c r="F1" s="80" t="s">
        <v>106</v>
      </c>
      <c r="G1" s="67" t="s">
        <v>6636</v>
      </c>
      <c r="H1" s="80" t="s">
        <v>107</v>
      </c>
      <c r="I1" s="80"/>
      <c r="K1" s="72" t="str" cm="1">
        <f t="array" ref="K1">IFERROR(INDEX($L$1:$L$45,SMALL(IF($L$1:$L$45&lt;&gt;"",ROW($L$1:$L$45),4^8),ROW($A2:$V2)))&amp;"","")</f>
        <v>炼金工具</v>
      </c>
      <c r="L1" s="83" t="s">
        <v>176</v>
      </c>
      <c r="M1" s="83" t="s">
        <v>67</v>
      </c>
      <c r="N1" s="83" t="s">
        <v>177</v>
      </c>
      <c r="O1" s="83" t="s">
        <v>178</v>
      </c>
      <c r="P1" s="83" t="s">
        <v>175</v>
      </c>
      <c r="Q1" s="83" t="s">
        <v>107</v>
      </c>
      <c r="R1" s="80" t="s">
        <v>176</v>
      </c>
      <c r="S1" s="80" t="s">
        <v>67</v>
      </c>
      <c r="T1" s="80" t="s">
        <v>177</v>
      </c>
      <c r="U1" s="80" t="s">
        <v>178</v>
      </c>
      <c r="V1" s="67" t="s">
        <v>6636</v>
      </c>
      <c r="W1" s="80" t="s">
        <v>107</v>
      </c>
      <c r="X1" s="67"/>
      <c r="Y1" s="67"/>
      <c r="Z1" s="451" t="s">
        <v>2878</v>
      </c>
      <c r="AA1" s="451" t="s">
        <v>6474</v>
      </c>
      <c r="AB1" s="451" t="s">
        <v>2878</v>
      </c>
      <c r="AC1" s="451" t="s">
        <v>6474</v>
      </c>
      <c r="AH1" s="106" t="s">
        <v>36</v>
      </c>
      <c r="AI1" s="106" t="s">
        <v>549</v>
      </c>
      <c r="AJ1" s="106" t="s">
        <v>114</v>
      </c>
      <c r="AK1" s="106" t="s">
        <v>550</v>
      </c>
      <c r="AL1" s="106" t="s">
        <v>113</v>
      </c>
      <c r="AM1" s="106" t="s">
        <v>107</v>
      </c>
      <c r="AN1" s="106" t="s">
        <v>175</v>
      </c>
      <c r="AO1" s="106" t="s">
        <v>67</v>
      </c>
      <c r="AP1" s="61" t="s">
        <v>551</v>
      </c>
      <c r="AQ1" s="61" t="s">
        <v>549</v>
      </c>
      <c r="AR1" s="61" t="s">
        <v>114</v>
      </c>
      <c r="AS1" s="61" t="s">
        <v>552</v>
      </c>
      <c r="AT1" s="61" t="s">
        <v>113</v>
      </c>
      <c r="AU1" s="62" t="s">
        <v>553</v>
      </c>
      <c r="AV1" s="838" t="s">
        <v>71</v>
      </c>
      <c r="AW1" s="838"/>
      <c r="AX1" s="61" t="s">
        <v>554</v>
      </c>
      <c r="AY1" s="53" t="s">
        <v>107</v>
      </c>
      <c r="AZ1" s="53" t="s">
        <v>10962</v>
      </c>
    </row>
    <row r="2" spans="1:56" ht="16.899999999999999" customHeight="1" x14ac:dyDescent="0.15">
      <c r="A2" s="84" t="s">
        <v>184</v>
      </c>
      <c r="B2" s="84" t="s">
        <v>185</v>
      </c>
      <c r="C2" s="84" t="s">
        <v>186</v>
      </c>
      <c r="D2" s="84">
        <v>1</v>
      </c>
      <c r="E2" s="85">
        <f>背包!B5</f>
        <v>0</v>
      </c>
      <c r="F2" s="80" t="str">
        <f>IFERROR(VLOOKUP(E2,$A$2:$D$101,2,FALSE),"")</f>
        <v/>
      </c>
      <c r="G2" s="80" t="str">
        <f>IFERROR(VLOOKUP(E2,$A$2:$D$101,3,FALSE),"")</f>
        <v/>
      </c>
      <c r="H2" s="80" t="str">
        <f>IFERROR(VLOOKUP(E2,$A$2:$D$101,4,FALSE),"")</f>
        <v/>
      </c>
      <c r="J2" s="80" t="str">
        <f>IF(ISBLANK(背包!B5),,INDEX($B$2:$D$97,MATCH(背包!B5&amp;"*",$A$2:$A$97,0),1))&amp;""</f>
        <v/>
      </c>
      <c r="K2" s="72" t="str" cm="1">
        <f t="array" ref="K2">IFERROR(INDEX($L$1:$L$45,SMALL(IF($L$1:$L$45&lt;&gt;"",ROW($L$1:$L$45),4^8),ROW($A3:$V3)))&amp;"","")</f>
        <v>酿酒工具</v>
      </c>
      <c r="L2" s="80" t="s">
        <v>187</v>
      </c>
      <c r="M2" s="80" t="s">
        <v>78</v>
      </c>
      <c r="N2" s="80" t="s">
        <v>188</v>
      </c>
      <c r="O2" s="80" t="s">
        <v>189</v>
      </c>
      <c r="P2" s="80" t="s">
        <v>190</v>
      </c>
      <c r="Q2" s="80">
        <v>8</v>
      </c>
      <c r="R2" s="415" t="str">
        <f>IF(背包!B16="","-",背包!B16)</f>
        <v>-</v>
      </c>
      <c r="S2" s="67" t="str">
        <f>IFERROR(VLOOKUP(R2,$L$2:$Q$45,2,FALSE),"")</f>
        <v/>
      </c>
      <c r="T2" s="80" t="str">
        <f>IFERROR(VLOOKUP(R2,$L$2:$Q$45,3,FALSE),"")</f>
        <v/>
      </c>
      <c r="U2" s="80" t="str">
        <f t="shared" ref="U2:U11" si="0">IFERROR(VLOOKUP(R2,$L$2:$Q$45,4,FALSE),"")</f>
        <v/>
      </c>
      <c r="V2" s="80" t="str">
        <f t="shared" ref="V2:V11" si="1">IFERROR(VLOOKUP(R2,$L$2:$Q$45,5,FALSE),"")</f>
        <v/>
      </c>
      <c r="W2" s="80" t="str">
        <f t="shared" ref="W2:W11" si="2">IFERROR(VLOOKUP(R2,$L$2:$Q$45,6,FALSE),"")</f>
        <v/>
      </c>
      <c r="X2" s="80"/>
      <c r="Y2" s="80"/>
      <c r="Z2" s="53" t="s">
        <v>628</v>
      </c>
      <c r="AA2" s="67" t="s">
        <v>10781</v>
      </c>
      <c r="AB2" s="53" t="str">
        <f>IF(主要!AN32="","-",主要!AN32)</f>
        <v>-</v>
      </c>
      <c r="AC2" s="53" t="str">
        <f>IFERROR(VLOOKUP(AB2,$Z$2:$AA$16,2,FALSE),"")</f>
        <v/>
      </c>
      <c r="AH2" s="26" t="s">
        <v>555</v>
      </c>
      <c r="AI2" s="26">
        <v>1</v>
      </c>
      <c r="AJ2" s="26" t="s">
        <v>556</v>
      </c>
      <c r="AK2" s="26" t="str">
        <f>""</f>
        <v/>
      </c>
      <c r="AL2" s="26" t="str">
        <f>""</f>
        <v/>
      </c>
      <c r="AM2" s="26" t="str">
        <f>""</f>
        <v/>
      </c>
      <c r="AN2" s="26" t="str">
        <f>""</f>
        <v/>
      </c>
      <c r="AO2" s="390" t="s">
        <v>74</v>
      </c>
      <c r="AP2" s="53" t="str">
        <f>IF(ISBLANK(主要!B32),"-",主要!B32)</f>
        <v>-</v>
      </c>
      <c r="AQ2" s="53" t="str">
        <f>IFERROR(VLOOKUP(AP2,$AH$2:$AO$85,2,FALSE),"")</f>
        <v/>
      </c>
      <c r="AR2" s="53" t="str">
        <f>IFERROR(VLOOKUP(AP2,$AH$2:$AO$85,3,FALSE),"")</f>
        <v/>
      </c>
      <c r="AS2" s="53" t="str">
        <f>IFERROR(VLOOKUP(AP2,$AH$2:$AO$85,4,FALSE),"")</f>
        <v/>
      </c>
      <c r="AT2" s="53" t="str">
        <f>IFERROR(VLOOKUP(AP2,$AH$2:$AO$85,5,FALSE),"")</f>
        <v/>
      </c>
      <c r="AU2" s="56" t="str">
        <f>IFERROR(CONCATENATE("+",SUM(AW2+IF(主要!W32="O",主要!$S$3,0)+主要!L32)),"")</f>
        <v/>
      </c>
      <c r="AV2" s="53" t="str">
        <f>IF(主要!$AA$30="默认",IFERROR(VLOOKUP(AP2,$AH$2:$AO$85,8,FALSE),""),主要!$AA$30)</f>
        <v/>
      </c>
      <c r="AW2" s="53" t="str">
        <f>IF(AP2="-","",VLOOKUP(AV2,主要!$C$13:$S$18,16,FALSE))</f>
        <v/>
      </c>
      <c r="AX2" s="53" t="str">
        <f>IF(AW2="","",IF(AZ2=1,"",IF(AW2&gt;=0,CONCATENATE("+",AW2),AW2)))</f>
        <v/>
      </c>
      <c r="AY2" s="53" t="str">
        <f>IFERROR(VLOOKUP(AP2,$AH$2:$AO$85,6,FALSE),"")</f>
        <v/>
      </c>
      <c r="AZ2" s="53">
        <f>IF(职业!$AZ$18&gt;=11,0,COUNTIF($AF$33:$AF$45,AP2))</f>
        <v>0</v>
      </c>
    </row>
    <row r="3" spans="1:56" ht="16.899999999999999" customHeight="1" x14ac:dyDescent="0.15">
      <c r="A3" s="80" t="s">
        <v>195</v>
      </c>
      <c r="B3" s="80" t="s">
        <v>196</v>
      </c>
      <c r="C3" s="80" t="s">
        <v>190</v>
      </c>
      <c r="D3" s="80">
        <v>1</v>
      </c>
      <c r="E3" s="86">
        <f>背包!B6</f>
        <v>0</v>
      </c>
      <c r="F3" s="80" t="str">
        <f t="shared" ref="F3:F11" si="3">IFERROR(VLOOKUP(E3,$A$2:$D$101,2,FALSE),"")</f>
        <v/>
      </c>
      <c r="G3" s="80" t="str">
        <f t="shared" ref="G3:G11" si="4">IFERROR(VLOOKUP(E3,$A$2:$D$101,3,FALSE),"")</f>
        <v/>
      </c>
      <c r="H3" s="80" t="str">
        <f t="shared" ref="H3:H11" si="5">IFERROR(VLOOKUP(E3,$A$2:$D$101,4,FALSE),"")</f>
        <v/>
      </c>
      <c r="I3" s="80"/>
      <c r="K3" s="72" t="str" cm="1">
        <f t="array" ref="K3">IFERROR(INDEX($L$1:$L$45,SMALL(IF($L$1:$L$45&lt;&gt;"",ROW($L$1:$L$45),4^8),ROW($A4:$V4)))&amp;"","")</f>
        <v>书法工具</v>
      </c>
      <c r="L3" s="80" t="s">
        <v>197</v>
      </c>
      <c r="M3" s="80" t="s">
        <v>78</v>
      </c>
      <c r="N3" s="80" t="s">
        <v>198</v>
      </c>
      <c r="O3" s="80" t="s">
        <v>199</v>
      </c>
      <c r="P3" s="80" t="s">
        <v>200</v>
      </c>
      <c r="Q3" s="80">
        <v>9</v>
      </c>
      <c r="R3" s="415" t="str">
        <f>IF(背包!B17="","-",背包!B17)</f>
        <v>-</v>
      </c>
      <c r="S3" s="67" t="str">
        <f t="shared" ref="S3:S11" si="6">IFERROR(VLOOKUP(R3,$L$2:$Q$45,2,FALSE),"")</f>
        <v/>
      </c>
      <c r="T3" s="80" t="str">
        <f t="shared" ref="T3:T11" si="7">IFERROR(VLOOKUP(R3,$L$2:$Q$45,3,FALSE),"")</f>
        <v/>
      </c>
      <c r="U3" s="80" t="str">
        <f t="shared" si="0"/>
        <v/>
      </c>
      <c r="V3" s="80" t="str">
        <f t="shared" si="1"/>
        <v/>
      </c>
      <c r="W3" s="80" t="str">
        <f t="shared" si="2"/>
        <v/>
      </c>
      <c r="X3" s="80"/>
      <c r="Y3" s="80"/>
      <c r="Z3" s="53" t="s">
        <v>620</v>
      </c>
      <c r="AA3" s="67" t="s">
        <v>10782</v>
      </c>
      <c r="AB3" s="53" t="str">
        <f>IF(主要!AN33="","-",主要!AN33)</f>
        <v>-</v>
      </c>
      <c r="AC3" s="53" t="str">
        <f t="shared" ref="AC3:AC6" si="8">IFERROR(VLOOKUP(AB3,$Z$2:$AA$16,2,FALSE),"")</f>
        <v/>
      </c>
      <c r="AG3" s="176" t="str" cm="1">
        <f t="array" ref="AG3">IFERROR(INDEX($AH$1:$AH$85,SMALL(IF($AH$1:$AH$85&lt;&gt;"",ROW($AH$1:$AH$85),4^8),ROW(AH2)))&amp;"","")</f>
        <v>徒手打击</v>
      </c>
      <c r="AH3" s="837" t="s">
        <v>10439</v>
      </c>
      <c r="AI3" s="837"/>
      <c r="AJ3" s="837"/>
      <c r="AK3" s="837"/>
      <c r="AL3" s="837"/>
      <c r="AM3" s="837"/>
      <c r="AN3" s="837"/>
      <c r="AO3" s="837"/>
      <c r="AP3" s="53" t="str">
        <f>IF(ISBLANK(主要!B33),"-",主要!B33)</f>
        <v>-</v>
      </c>
      <c r="AQ3" s="53" t="str">
        <f>IFERROR(VLOOKUP(AP3,$AH$2:$AO$85,2,FALSE),"")</f>
        <v/>
      </c>
      <c r="AR3" s="53" t="str">
        <f>IFERROR(VLOOKUP(AP3,$AH$2:$AO$85,3,FALSE),"")</f>
        <v/>
      </c>
      <c r="AS3" s="53" t="str">
        <f>IFERROR(VLOOKUP(AP3,$AH$2:$AO$85,4,FALSE),"")</f>
        <v/>
      </c>
      <c r="AT3" s="53" t="str">
        <f>IFERROR(VLOOKUP(AP3,$AH$2:$AO$85,5,FALSE),"")</f>
        <v/>
      </c>
      <c r="AU3" s="56" t="str">
        <f>IFERROR(CONCATENATE("+",SUM(AW3+IF(主要!W33="O",主要!$S$3,0)+主要!L33)),"")</f>
        <v/>
      </c>
      <c r="AV3" s="53" t="str">
        <f>IF(主要!$AA$30="默认",IFERROR(VLOOKUP(AP3,$AH$2:$AO$85,8,FALSE),""),主要!$AA$30)</f>
        <v/>
      </c>
      <c r="AW3" s="53" t="str">
        <f>IF(AP3="-","",VLOOKUP(AV3,主要!$C$13:$S$18,16,FALSE))</f>
        <v/>
      </c>
      <c r="AX3" s="53" t="str">
        <f t="shared" ref="AX3:AX6" si="9">IF(AW3="","",IF(AZ3=1,"",IF(AW3&gt;=0,CONCATENATE("+",AW3),AW3)))</f>
        <v/>
      </c>
      <c r="AY3" s="53" t="str">
        <f>IFERROR(VLOOKUP(AP3,$AH$2:$AO$85,6,FALSE),"")</f>
        <v/>
      </c>
      <c r="AZ3" s="53">
        <f>IF(职业!$AZ$18&gt;=11,0,COUNTIF($AF$33:$AF$45,AP3))</f>
        <v>0</v>
      </c>
    </row>
    <row r="4" spans="1:56" ht="16.899999999999999" customHeight="1" x14ac:dyDescent="0.15">
      <c r="A4" s="87" t="s">
        <v>205</v>
      </c>
      <c r="B4" s="87" t="s">
        <v>206</v>
      </c>
      <c r="C4" s="87" t="s">
        <v>207</v>
      </c>
      <c r="D4" s="87">
        <v>1</v>
      </c>
      <c r="E4" s="86">
        <f>背包!B7</f>
        <v>0</v>
      </c>
      <c r="F4" s="80" t="str">
        <f t="shared" si="3"/>
        <v/>
      </c>
      <c r="G4" s="80" t="str">
        <f t="shared" si="4"/>
        <v/>
      </c>
      <c r="H4" s="80" t="str">
        <f t="shared" si="5"/>
        <v/>
      </c>
      <c r="I4" s="80"/>
      <c r="K4" s="72" t="str" cm="1">
        <f t="array" ref="K4">IFERROR(INDEX($L$1:$L$45,SMALL(IF($L$1:$L$45&lt;&gt;"",ROW($L$1:$L$45),4^8),ROW($A5:$V5)))&amp;"","")</f>
        <v>木匠工具</v>
      </c>
      <c r="L4" s="80" t="s">
        <v>208</v>
      </c>
      <c r="M4" s="80" t="s">
        <v>76</v>
      </c>
      <c r="N4" s="80" t="s">
        <v>209</v>
      </c>
      <c r="O4" s="80" t="s">
        <v>210</v>
      </c>
      <c r="P4" s="80" t="s">
        <v>211</v>
      </c>
      <c r="Q4" s="80">
        <v>5</v>
      </c>
      <c r="R4" s="415" t="str">
        <f>IF(背包!B18="","-",背包!B18)</f>
        <v>-</v>
      </c>
      <c r="S4" s="67" t="str">
        <f t="shared" si="6"/>
        <v/>
      </c>
      <c r="T4" s="80" t="str">
        <f t="shared" si="7"/>
        <v/>
      </c>
      <c r="U4" s="80" t="str">
        <f t="shared" si="0"/>
        <v/>
      </c>
      <c r="V4" s="80" t="str">
        <f t="shared" si="1"/>
        <v/>
      </c>
      <c r="W4" s="80" t="str">
        <f t="shared" si="2"/>
        <v/>
      </c>
      <c r="X4" s="80"/>
      <c r="Y4" s="80"/>
      <c r="Z4" s="53" t="s">
        <v>565</v>
      </c>
      <c r="AA4" s="67" t="s">
        <v>10783</v>
      </c>
      <c r="AB4" s="53" t="str">
        <f>IF(主要!AN34="","-",主要!AN34)</f>
        <v>-</v>
      </c>
      <c r="AC4" s="53" t="str">
        <f t="shared" si="8"/>
        <v/>
      </c>
      <c r="AG4" s="176" t="str" cm="1">
        <f t="array" ref="AG4">IFERROR(INDEX($AH$1:$AH$85,SMALL(IF($AH$1:$AH$85&lt;&gt;"",ROW($AH$1:$AH$85),4^8),ROW(AH3)))&amp;"","")</f>
        <v>—简易近战—</v>
      </c>
      <c r="AH4" s="59" t="s">
        <v>557</v>
      </c>
      <c r="AI4" s="59" t="s">
        <v>558</v>
      </c>
      <c r="AJ4" s="59" t="s">
        <v>556</v>
      </c>
      <c r="AK4" s="59" t="s">
        <v>559</v>
      </c>
      <c r="AL4" s="59" t="s">
        <v>560</v>
      </c>
      <c r="AM4" s="59">
        <v>2</v>
      </c>
      <c r="AN4" s="59" t="s">
        <v>561</v>
      </c>
      <c r="AO4" s="248" t="s">
        <v>74</v>
      </c>
      <c r="AP4" s="53" t="str">
        <f>IF(ISBLANK(主要!B34),"-",主要!B34)</f>
        <v>-</v>
      </c>
      <c r="AQ4" s="53" t="str">
        <f>IFERROR(VLOOKUP(AP4,$AH$2:$AO$85,2,FALSE),"")</f>
        <v/>
      </c>
      <c r="AR4" s="53" t="str">
        <f>IFERROR(VLOOKUP(AP4,$AH$2:$AO$85,3,FALSE),"")</f>
        <v/>
      </c>
      <c r="AS4" s="53" t="str">
        <f>IFERROR(VLOOKUP(AP4,$AH$2:$AO$85,4,FALSE),"")</f>
        <v/>
      </c>
      <c r="AT4" s="53" t="str">
        <f>IFERROR(VLOOKUP(AP4,$AH$2:$AO$85,5,FALSE),"")</f>
        <v/>
      </c>
      <c r="AU4" s="56" t="str">
        <f>IFERROR(CONCATENATE("+",SUM(AW4+IF(主要!W34="O",主要!$S$3,0)+主要!L34)),"")</f>
        <v/>
      </c>
      <c r="AV4" s="53" t="str">
        <f>IF(主要!$AA$30="默认",IFERROR(VLOOKUP(AP4,$AH$2:$AO$85,8,FALSE),""),主要!$AA$30)</f>
        <v/>
      </c>
      <c r="AW4" s="228" t="str">
        <f>IF(AP4="-","",VLOOKUP(AV4,主要!$C$13:$S$18,16,FALSE))</f>
        <v/>
      </c>
      <c r="AX4" s="228" t="str">
        <f t="shared" si="9"/>
        <v/>
      </c>
      <c r="AY4" s="53" t="str">
        <f>IFERROR(VLOOKUP(AP4,$AH$2:$AO$85,6,FALSE),"")</f>
        <v/>
      </c>
      <c r="AZ4" s="53">
        <f>IF(职业!$AZ$18&gt;=11,0,COUNTIF($AF$33:$AF$45,AP4))</f>
        <v>0</v>
      </c>
    </row>
    <row r="5" spans="1:56" ht="16.899999999999999" customHeight="1" x14ac:dyDescent="0.15">
      <c r="A5" s="80" t="s">
        <v>216</v>
      </c>
      <c r="B5" s="80" t="s">
        <v>206</v>
      </c>
      <c r="C5" s="80" t="s">
        <v>207</v>
      </c>
      <c r="D5" s="80">
        <v>1.5</v>
      </c>
      <c r="E5" s="86">
        <f>背包!B8</f>
        <v>0</v>
      </c>
      <c r="F5" s="80" t="str">
        <f t="shared" si="3"/>
        <v/>
      </c>
      <c r="G5" s="80" t="str">
        <f t="shared" si="4"/>
        <v/>
      </c>
      <c r="H5" s="80" t="str">
        <f t="shared" si="5"/>
        <v/>
      </c>
      <c r="K5" s="72" t="str" cm="1">
        <f t="array" ref="K5">IFERROR(INDEX($L$1:$L$45,SMALL(IF($L$1:$L$45&lt;&gt;"",ROW($L$1:$L$45),4^8),ROW($A6:$V6)))&amp;"","")</f>
        <v>制图工具</v>
      </c>
      <c r="L5" s="80" t="s">
        <v>217</v>
      </c>
      <c r="M5" s="80" t="s">
        <v>74</v>
      </c>
      <c r="N5" s="80" t="s">
        <v>218</v>
      </c>
      <c r="O5" s="80" t="s">
        <v>219</v>
      </c>
      <c r="P5" s="80" t="s">
        <v>220</v>
      </c>
      <c r="Q5" s="80">
        <v>6</v>
      </c>
      <c r="R5" s="415" t="str">
        <f>IF(背包!B19="","-",背包!B19)</f>
        <v>-</v>
      </c>
      <c r="S5" s="67" t="str">
        <f t="shared" si="6"/>
        <v/>
      </c>
      <c r="T5" s="80" t="str">
        <f t="shared" si="7"/>
        <v/>
      </c>
      <c r="U5" s="80" t="str">
        <f t="shared" si="0"/>
        <v/>
      </c>
      <c r="V5" s="80" t="str">
        <f t="shared" si="1"/>
        <v/>
      </c>
      <c r="W5" s="80" t="str">
        <f t="shared" si="2"/>
        <v/>
      </c>
      <c r="X5" s="80"/>
      <c r="Y5" s="80"/>
      <c r="Z5" s="53" t="s">
        <v>569</v>
      </c>
      <c r="AA5" s="67" t="s">
        <v>10785</v>
      </c>
      <c r="AB5" s="53" t="str">
        <f>IF(主要!AN35="","-",主要!AN35)</f>
        <v>-</v>
      </c>
      <c r="AC5" s="53" t="str">
        <f t="shared" si="8"/>
        <v/>
      </c>
      <c r="AF5" s="55" t="s">
        <v>330</v>
      </c>
      <c r="AG5" s="176" t="str" cm="1">
        <f t="array" ref="AG5">IFERROR(INDEX($AH$1:$AH$85,SMALL(IF($AH$1:$AH$85&lt;&gt;"",ROW($AH$1:$AH$85),4^8),ROW(AH4)))&amp;"","")</f>
        <v>短棒</v>
      </c>
      <c r="AH5" s="26" t="s">
        <v>562</v>
      </c>
      <c r="AI5" s="26" t="s">
        <v>558</v>
      </c>
      <c r="AJ5" s="26" t="s">
        <v>563</v>
      </c>
      <c r="AK5" s="26" t="s">
        <v>564</v>
      </c>
      <c r="AL5" s="26" t="s">
        <v>565</v>
      </c>
      <c r="AM5" s="26">
        <v>1</v>
      </c>
      <c r="AN5" s="26" t="s">
        <v>566</v>
      </c>
      <c r="AO5" s="180" t="str">
        <f>IF(主要!$R$13&gt;=主要!$R$14,"力量","敏捷")</f>
        <v>力量</v>
      </c>
      <c r="AP5" s="227" t="str">
        <f>IF(ISBLANK(主要!B35),"-",主要!B35)</f>
        <v>-</v>
      </c>
      <c r="AQ5" s="227" t="str">
        <f>IFERROR(VLOOKUP(AP5,$AH$2:$AO$85,2,FALSE),"")</f>
        <v/>
      </c>
      <c r="AR5" s="227" t="str">
        <f>IFERROR(VLOOKUP(AP5,$AH$2:$AO$85,3,FALSE),"")</f>
        <v/>
      </c>
      <c r="AS5" s="227" t="str">
        <f>IFERROR(VLOOKUP(AP5,$AH$2:$AO$85,4,FALSE),"")</f>
        <v/>
      </c>
      <c r="AT5" s="227" t="str">
        <f>IFERROR(VLOOKUP(AP5,$AH$2:$AO$85,5,FALSE),"")</f>
        <v/>
      </c>
      <c r="AU5" s="412" t="str">
        <f>IFERROR(CONCATENATE("+",SUM(AW5+IF(主要!W35="O",主要!$S$3,0)+主要!L35)),"")</f>
        <v/>
      </c>
      <c r="AV5" s="227" t="str">
        <f>IFERROR(VLOOKUP(AP5,$AH$2:$AO$85,8,FALSE),"")</f>
        <v/>
      </c>
      <c r="AW5" s="53" t="str">
        <f>IF(AP5="-","",VLOOKUP(AV5,主要!$C$13:$S$18,16,FALSE))</f>
        <v/>
      </c>
      <c r="AX5" s="53" t="str">
        <f t="shared" si="9"/>
        <v/>
      </c>
      <c r="AY5" s="227" t="str">
        <f>IFERROR(VLOOKUP(AP5,$AH$2:$AO$85,6,FALSE),"")</f>
        <v/>
      </c>
      <c r="AZ5" s="53">
        <f>IF(职业!$AZ$18&gt;=11,0,COUNTIF($AF$33:$AF$45,AP5))</f>
        <v>0</v>
      </c>
      <c r="BA5" s="53">
        <v>5</v>
      </c>
      <c r="BD5" s="53">
        <v>1</v>
      </c>
    </row>
    <row r="6" spans="1:56" ht="16.899999999999999" customHeight="1" x14ac:dyDescent="0.15">
      <c r="A6" s="87" t="s">
        <v>225</v>
      </c>
      <c r="B6" s="87" t="s">
        <v>226</v>
      </c>
      <c r="C6" s="87" t="s">
        <v>227</v>
      </c>
      <c r="D6" s="87">
        <v>2</v>
      </c>
      <c r="E6" s="86">
        <f>背包!B9</f>
        <v>0</v>
      </c>
      <c r="F6" s="80" t="str">
        <f t="shared" si="3"/>
        <v/>
      </c>
      <c r="G6" s="80" t="str">
        <f t="shared" si="4"/>
        <v/>
      </c>
      <c r="H6" s="80" t="str">
        <f t="shared" si="5"/>
        <v/>
      </c>
      <c r="K6" s="72" t="str" cm="1">
        <f t="array" ref="K6">IFERROR(INDEX($L$1:$L$45,SMALL(IF($L$1:$L$45&lt;&gt;"",ROW($L$1:$L$45),4^8),ROW($A7:$V7)))&amp;"","")</f>
        <v>鞋匠工具</v>
      </c>
      <c r="L6" s="80" t="s">
        <v>228</v>
      </c>
      <c r="M6" s="80" t="s">
        <v>79</v>
      </c>
      <c r="N6" s="80" t="s">
        <v>229</v>
      </c>
      <c r="O6" s="80" t="s">
        <v>230</v>
      </c>
      <c r="P6" s="80" t="s">
        <v>231</v>
      </c>
      <c r="Q6" s="80">
        <v>6</v>
      </c>
      <c r="R6" s="415" t="str">
        <f>IF(背包!B20="","-",背包!B20)</f>
        <v>-</v>
      </c>
      <c r="S6" s="67" t="str">
        <f t="shared" si="6"/>
        <v/>
      </c>
      <c r="T6" s="80" t="str">
        <f t="shared" si="7"/>
        <v/>
      </c>
      <c r="U6" s="80" t="str">
        <f t="shared" si="0"/>
        <v/>
      </c>
      <c r="V6" s="80" t="str">
        <f t="shared" si="1"/>
        <v/>
      </c>
      <c r="W6" s="80" t="str">
        <f t="shared" si="2"/>
        <v/>
      </c>
      <c r="X6" s="80"/>
      <c r="Y6" s="80"/>
      <c r="Z6" s="53" t="s">
        <v>582</v>
      </c>
      <c r="AA6" s="67" t="s">
        <v>10784</v>
      </c>
      <c r="AB6" s="53" t="str">
        <f>IF(主要!AN36="","-",主要!AN36)</f>
        <v>-</v>
      </c>
      <c r="AC6" s="53" t="str">
        <f t="shared" si="8"/>
        <v/>
      </c>
      <c r="AF6" s="55" t="s">
        <v>580</v>
      </c>
      <c r="AG6" s="176" t="str" cm="1">
        <f t="array" ref="AG6">IFERROR(INDEX($AH$1:$AH$85,SMALL(IF($AH$1:$AH$85&lt;&gt;"",ROW($AH$1:$AH$85),4^8),ROW(AH5)))&amp;"","")</f>
        <v>匕首</v>
      </c>
      <c r="AH6" s="59" t="s">
        <v>567</v>
      </c>
      <c r="AI6" s="59" t="s">
        <v>536</v>
      </c>
      <c r="AJ6" s="59" t="s">
        <v>556</v>
      </c>
      <c r="AK6" s="59" t="s">
        <v>568</v>
      </c>
      <c r="AL6" s="59" t="s">
        <v>569</v>
      </c>
      <c r="AM6" s="59">
        <v>10</v>
      </c>
      <c r="AN6" s="59" t="s">
        <v>570</v>
      </c>
      <c r="AO6" s="248" t="s">
        <v>74</v>
      </c>
      <c r="AP6" s="53" t="str">
        <f>IF(ISBLANK(主要!B36),"-",主要!B36)</f>
        <v>-</v>
      </c>
      <c r="AQ6" s="53" t="str">
        <f>IFERROR(VLOOKUP(AP6,$AH$2:$AO$85,2,FALSE),"")</f>
        <v/>
      </c>
      <c r="AR6" s="53" t="str">
        <f>IFERROR(VLOOKUP(AP6,$AH$2:$AO$85,3,FALSE),"")</f>
        <v/>
      </c>
      <c r="AS6" s="53" t="str">
        <f>IFERROR(VLOOKUP(AP6,$AH$2:$AO$85,4,FALSE),"")</f>
        <v/>
      </c>
      <c r="AT6" s="53" t="str">
        <f>IFERROR(VLOOKUP(AP6,$AH$2:$AO$85,5,FALSE),"")</f>
        <v/>
      </c>
      <c r="AU6" s="56" t="str">
        <f>IFERROR(CONCATENATE("+",SUM(AW6+IF(主要!W36="O",主要!$S$3,0)+主要!L36)),"")</f>
        <v/>
      </c>
      <c r="AV6" s="53" t="str">
        <f>IFERROR(VLOOKUP(AP6,$AH$2:$AO$85,8,FALSE),"")</f>
        <v/>
      </c>
      <c r="AW6" s="53" t="str">
        <f>IF(AP6="-","",VLOOKUP(AV6,主要!$C$13:$S$18,16,FALSE))</f>
        <v/>
      </c>
      <c r="AX6" s="53" t="str">
        <f t="shared" si="9"/>
        <v/>
      </c>
      <c r="AY6" s="53" t="str">
        <f>IFERROR(VLOOKUP(AP6,$AH$2:$AO$85,6,FALSE),"")</f>
        <v/>
      </c>
      <c r="AZ6" s="53">
        <f>IF(职业!$AZ$18&gt;=11,0,COUNTIF($AF$33:$AF$45,AP6))</f>
        <v>0</v>
      </c>
      <c r="BA6" s="53">
        <v>2</v>
      </c>
      <c r="BD6" s="53">
        <v>1</v>
      </c>
    </row>
    <row r="7" spans="1:56" ht="16.899999999999999" customHeight="1" x14ac:dyDescent="0.15">
      <c r="A7" s="80" t="s">
        <v>235</v>
      </c>
      <c r="B7" s="80" t="s">
        <v>236</v>
      </c>
      <c r="C7" s="80" t="s">
        <v>237</v>
      </c>
      <c r="D7" s="80">
        <v>1.5</v>
      </c>
      <c r="E7" s="86">
        <f>背包!B10</f>
        <v>0</v>
      </c>
      <c r="F7" s="80" t="str">
        <f t="shared" si="3"/>
        <v/>
      </c>
      <c r="G7" s="80" t="str">
        <f t="shared" si="4"/>
        <v/>
      </c>
      <c r="H7" s="80" t="str">
        <f t="shared" si="5"/>
        <v/>
      </c>
      <c r="K7" s="72" t="str" cm="1">
        <f t="array" ref="K7">IFERROR(INDEX($L$1:$L$45,SMALL(IF($L$1:$L$45&lt;&gt;"",ROW($L$1:$L$45),4^8),ROW($A8:$V8)))&amp;"","")</f>
        <v>厨师工具</v>
      </c>
      <c r="L7" s="80" t="s">
        <v>238</v>
      </c>
      <c r="M7" s="80" t="s">
        <v>76</v>
      </c>
      <c r="N7" s="80" t="s">
        <v>239</v>
      </c>
      <c r="O7" s="80" t="s">
        <v>240</v>
      </c>
      <c r="P7" s="80" t="s">
        <v>241</v>
      </c>
      <c r="Q7" s="80">
        <v>5</v>
      </c>
      <c r="R7" s="415" t="str">
        <f>IF(背包!B21="","-",背包!B21)</f>
        <v>-</v>
      </c>
      <c r="S7" s="67" t="str">
        <f t="shared" si="6"/>
        <v/>
      </c>
      <c r="T7" s="80" t="str">
        <f t="shared" si="7"/>
        <v/>
      </c>
      <c r="U7" s="80" t="str">
        <f t="shared" si="0"/>
        <v/>
      </c>
      <c r="V7" s="80" t="str">
        <f t="shared" si="1"/>
        <v/>
      </c>
      <c r="W7" s="80" t="str">
        <f t="shared" si="2"/>
        <v/>
      </c>
      <c r="X7" s="80"/>
      <c r="Y7" s="80"/>
      <c r="Z7" s="53" t="s">
        <v>560</v>
      </c>
      <c r="AA7" s="67" t="s">
        <v>10786</v>
      </c>
      <c r="AF7" s="55" t="s">
        <v>583</v>
      </c>
      <c r="AG7" s="176" t="str" cm="1">
        <f t="array" ref="AG7">IFERROR(INDEX($AH$1:$AH$85,SMALL(IF($AH$1:$AH$85&lt;&gt;"",ROW($AH$1:$AH$85),4^8),ROW(AH6)))&amp;"","")</f>
        <v>巨棒</v>
      </c>
      <c r="AH7" s="26" t="s">
        <v>571</v>
      </c>
      <c r="AI7" s="26" t="s">
        <v>533</v>
      </c>
      <c r="AJ7" s="26" t="s">
        <v>572</v>
      </c>
      <c r="AK7" s="26" t="s">
        <v>573</v>
      </c>
      <c r="AL7" s="26" t="s">
        <v>574</v>
      </c>
      <c r="AM7" s="26">
        <v>2</v>
      </c>
      <c r="AN7" s="26" t="s">
        <v>575</v>
      </c>
      <c r="AO7" s="180" t="s">
        <v>74</v>
      </c>
      <c r="AT7" s="56"/>
      <c r="BA7" s="53">
        <v>0</v>
      </c>
      <c r="BD7" s="53">
        <v>1</v>
      </c>
    </row>
    <row r="8" spans="1:56" ht="16.899999999999999" customHeight="1" x14ac:dyDescent="0.15">
      <c r="A8" s="87" t="s">
        <v>245</v>
      </c>
      <c r="B8" s="87" t="s">
        <v>246</v>
      </c>
      <c r="C8" s="87" t="s">
        <v>207</v>
      </c>
      <c r="D8" s="87">
        <v>1</v>
      </c>
      <c r="E8" s="86">
        <f>背包!B11</f>
        <v>0</v>
      </c>
      <c r="F8" s="80" t="str">
        <f t="shared" si="3"/>
        <v/>
      </c>
      <c r="G8" s="80" t="str">
        <f t="shared" si="4"/>
        <v/>
      </c>
      <c r="H8" s="80" t="str">
        <f t="shared" si="5"/>
        <v/>
      </c>
      <c r="K8" s="72" t="str" cm="1">
        <f t="array" ref="K8">IFERROR(INDEX($L$1:$L$45,SMALL(IF($L$1:$L$45&lt;&gt;"",ROW($L$1:$L$45),4^8),ROW($A9:$V9)))&amp;"","")</f>
        <v>玻璃匠工具</v>
      </c>
      <c r="L8" s="80" t="s">
        <v>247</v>
      </c>
      <c r="M8" s="80" t="s">
        <v>79</v>
      </c>
      <c r="N8" s="80" t="s">
        <v>248</v>
      </c>
      <c r="O8" s="80" t="s">
        <v>249</v>
      </c>
      <c r="P8" s="80" t="s">
        <v>207</v>
      </c>
      <c r="Q8" s="80">
        <v>8</v>
      </c>
      <c r="R8" s="415" t="str">
        <f>IF(背包!B22="","-",背包!B22)</f>
        <v>-</v>
      </c>
      <c r="S8" s="67" t="str">
        <f t="shared" si="6"/>
        <v/>
      </c>
      <c r="T8" s="80" t="str">
        <f t="shared" si="7"/>
        <v/>
      </c>
      <c r="U8" s="80" t="str">
        <f t="shared" si="0"/>
        <v/>
      </c>
      <c r="V8" s="80" t="str">
        <f t="shared" si="1"/>
        <v/>
      </c>
      <c r="W8" s="80" t="str">
        <f t="shared" si="2"/>
        <v/>
      </c>
      <c r="X8" s="80"/>
      <c r="Y8" s="80"/>
      <c r="Z8" s="53" t="s">
        <v>586</v>
      </c>
      <c r="AA8" s="67" t="s">
        <v>10787</v>
      </c>
      <c r="AE8" s="53" t="s">
        <v>10806</v>
      </c>
      <c r="AF8" s="55" t="s">
        <v>587</v>
      </c>
      <c r="AG8" s="176" t="str" cm="1">
        <f t="array" ref="AG8">IFERROR(INDEX($AH$1:$AH$85,SMALL(IF($AH$1:$AH$85&lt;&gt;"",ROW($AH$1:$AH$85),4^8),ROW(AH7)))&amp;"","")</f>
        <v>手斧</v>
      </c>
      <c r="AH8" s="59" t="s">
        <v>576</v>
      </c>
      <c r="AI8" s="59" t="s">
        <v>533</v>
      </c>
      <c r="AJ8" s="59" t="s">
        <v>563</v>
      </c>
      <c r="AK8" s="59" t="s">
        <v>577</v>
      </c>
      <c r="AL8" s="59" t="s">
        <v>560</v>
      </c>
      <c r="AM8" s="59">
        <v>2</v>
      </c>
      <c r="AN8" s="59" t="s">
        <v>578</v>
      </c>
      <c r="AO8" s="248" t="s">
        <v>74</v>
      </c>
      <c r="AT8" s="56"/>
      <c r="AU8" s="56"/>
      <c r="AV8" s="56"/>
      <c r="BA8" s="53">
        <v>0</v>
      </c>
      <c r="BD8" s="53">
        <v>10</v>
      </c>
    </row>
    <row r="9" spans="1:56" ht="16.899999999999999" customHeight="1" x14ac:dyDescent="0.15">
      <c r="A9" s="80" t="s">
        <v>199</v>
      </c>
      <c r="B9" s="80" t="s">
        <v>253</v>
      </c>
      <c r="C9" s="80" t="s">
        <v>190</v>
      </c>
      <c r="D9" s="80">
        <v>0</v>
      </c>
      <c r="E9" s="86">
        <f>背包!B12</f>
        <v>0</v>
      </c>
      <c r="F9" s="80" t="str">
        <f t="shared" si="3"/>
        <v/>
      </c>
      <c r="G9" s="80" t="str">
        <f t="shared" si="4"/>
        <v/>
      </c>
      <c r="H9" s="80" t="str">
        <f t="shared" si="5"/>
        <v/>
      </c>
      <c r="K9" s="72" t="str" cm="1">
        <f t="array" ref="K9">IFERROR(INDEX($L$1:$L$45,SMALL(IF($L$1:$L$45&lt;&gt;"",ROW($L$1:$L$45),4^8),ROW($A10:$V10)))&amp;"","")</f>
        <v>珠宝匠工具</v>
      </c>
      <c r="L9" s="80" t="s">
        <v>254</v>
      </c>
      <c r="M9" s="80" t="s">
        <v>78</v>
      </c>
      <c r="N9" s="80" t="s">
        <v>255</v>
      </c>
      <c r="O9" s="80" t="s">
        <v>256</v>
      </c>
      <c r="P9" s="80" t="s">
        <v>257</v>
      </c>
      <c r="Q9" s="80">
        <v>5</v>
      </c>
      <c r="R9" s="415" t="str">
        <f>IF(背包!B23="","-",背包!B23)</f>
        <v>-</v>
      </c>
      <c r="S9" s="67" t="str">
        <f t="shared" si="6"/>
        <v/>
      </c>
      <c r="T9" s="80" t="str">
        <f t="shared" si="7"/>
        <v/>
      </c>
      <c r="U9" s="80" t="str">
        <f t="shared" si="0"/>
        <v/>
      </c>
      <c r="V9" s="80" t="str">
        <f t="shared" si="1"/>
        <v/>
      </c>
      <c r="W9" s="80" t="str">
        <f t="shared" si="2"/>
        <v/>
      </c>
      <c r="X9" s="80"/>
      <c r="Y9" s="80"/>
      <c r="Z9" s="53" t="s">
        <v>574</v>
      </c>
      <c r="AA9" s="67" t="s">
        <v>10788</v>
      </c>
      <c r="AE9" s="53" t="s">
        <v>10807</v>
      </c>
      <c r="AF9" s="55" t="s">
        <v>590</v>
      </c>
      <c r="AG9" s="176" t="str" cm="1">
        <f t="array" ref="AG9">IFERROR(INDEX($AH$1:$AH$85,SMALL(IF($AH$1:$AH$85&lt;&gt;"",ROW($AH$1:$AH$85),4^8),ROW(AH8)))&amp;"","")</f>
        <v>标枪</v>
      </c>
      <c r="AH9" s="26" t="s">
        <v>579</v>
      </c>
      <c r="AI9" s="26" t="s">
        <v>558</v>
      </c>
      <c r="AJ9" s="26" t="s">
        <v>556</v>
      </c>
      <c r="AK9" s="26" t="s">
        <v>573</v>
      </c>
      <c r="AL9" s="26" t="s">
        <v>565</v>
      </c>
      <c r="AM9" s="26">
        <v>2</v>
      </c>
      <c r="AN9" s="26" t="s">
        <v>566</v>
      </c>
      <c r="AO9" s="180" t="s">
        <v>74</v>
      </c>
      <c r="AP9" s="63" t="s">
        <v>92</v>
      </c>
      <c r="AT9" s="56"/>
      <c r="AU9" s="56"/>
      <c r="AV9" s="56"/>
      <c r="BA9" s="53">
        <v>5</v>
      </c>
      <c r="BD9" s="53">
        <v>1</v>
      </c>
    </row>
    <row r="10" spans="1:56" ht="16.899999999999999" customHeight="1" x14ac:dyDescent="0.15">
      <c r="A10" s="87" t="s">
        <v>261</v>
      </c>
      <c r="B10" s="87" t="s">
        <v>262</v>
      </c>
      <c r="C10" s="87" t="s">
        <v>211</v>
      </c>
      <c r="D10" s="87">
        <v>1</v>
      </c>
      <c r="E10" s="86">
        <f>背包!B13</f>
        <v>0</v>
      </c>
      <c r="F10" s="80" t="str">
        <f t="shared" si="3"/>
        <v/>
      </c>
      <c r="G10" s="80" t="str">
        <f t="shared" si="4"/>
        <v/>
      </c>
      <c r="H10" s="80" t="str">
        <f t="shared" si="5"/>
        <v/>
      </c>
      <c r="K10" s="72" t="str" cm="1">
        <f t="array" ref="K10">IFERROR(INDEX($L$1:$L$45,SMALL(IF($L$1:$L$45&lt;&gt;"",ROW($L$1:$L$45),4^8),ROW($A11:$V11)))&amp;"","")</f>
        <v>皮匠工具</v>
      </c>
      <c r="L10" s="80" t="s">
        <v>263</v>
      </c>
      <c r="M10" s="80" t="s">
        <v>78</v>
      </c>
      <c r="N10" s="80" t="s">
        <v>264</v>
      </c>
      <c r="O10" s="80" t="s">
        <v>265</v>
      </c>
      <c r="P10" s="80" t="s">
        <v>186</v>
      </c>
      <c r="Q10" s="80">
        <v>2</v>
      </c>
      <c r="R10" s="415" t="str">
        <f>IF(背包!B24="","-",背包!B24)</f>
        <v>-</v>
      </c>
      <c r="S10" s="67" t="str">
        <f t="shared" si="6"/>
        <v/>
      </c>
      <c r="T10" s="80" t="str">
        <f t="shared" si="7"/>
        <v/>
      </c>
      <c r="U10" s="80" t="str">
        <f t="shared" si="0"/>
        <v/>
      </c>
      <c r="V10" s="80" t="str">
        <f t="shared" si="1"/>
        <v/>
      </c>
      <c r="W10" s="80" t="str">
        <f t="shared" si="2"/>
        <v/>
      </c>
      <c r="Z10" s="67" t="s">
        <v>6855</v>
      </c>
      <c r="AA10" s="67" t="s">
        <v>10789</v>
      </c>
      <c r="AE10" s="53" t="s">
        <v>10808</v>
      </c>
      <c r="AF10" s="55" t="s">
        <v>593</v>
      </c>
      <c r="AG10" s="176" t="str" cm="1">
        <f t="array" ref="AG10">IFERROR(INDEX($AH$1:$AH$85,SMALL(IF($AH$1:$AH$85&lt;&gt;"",ROW($AH$1:$AH$85),4^8),ROW(AH9)))&amp;"","")</f>
        <v>轻锤</v>
      </c>
      <c r="AH10" s="59" t="s">
        <v>581</v>
      </c>
      <c r="AI10" s="59" t="s">
        <v>533</v>
      </c>
      <c r="AJ10" s="59" t="s">
        <v>556</v>
      </c>
      <c r="AK10" s="59" t="str">
        <f>""</f>
        <v/>
      </c>
      <c r="AL10" s="59" t="s">
        <v>582</v>
      </c>
      <c r="AM10" s="59">
        <v>4</v>
      </c>
      <c r="AN10" s="59" t="s">
        <v>575</v>
      </c>
      <c r="AO10" s="248" t="s">
        <v>74</v>
      </c>
      <c r="AP10" s="63" t="b">
        <v>0</v>
      </c>
      <c r="AT10" s="56"/>
      <c r="AU10" s="56"/>
      <c r="AV10" s="56"/>
      <c r="BA10" s="53">
        <v>2</v>
      </c>
      <c r="BD10" s="53">
        <v>1</v>
      </c>
    </row>
    <row r="11" spans="1:56" ht="16.899999999999999" customHeight="1" x14ac:dyDescent="0.15">
      <c r="A11" s="80" t="s">
        <v>268</v>
      </c>
      <c r="B11" s="80" t="s">
        <v>262</v>
      </c>
      <c r="C11" s="80" t="s">
        <v>200</v>
      </c>
      <c r="D11" s="80">
        <v>3</v>
      </c>
      <c r="E11" s="88">
        <f>背包!B14</f>
        <v>0</v>
      </c>
      <c r="F11" s="80" t="str">
        <f t="shared" si="3"/>
        <v/>
      </c>
      <c r="G11" s="80" t="str">
        <f t="shared" si="4"/>
        <v/>
      </c>
      <c r="H11" s="80" t="str">
        <f t="shared" si="5"/>
        <v/>
      </c>
      <c r="K11" s="72" t="str" cm="1">
        <f t="array" ref="K11">IFERROR(INDEX($L$1:$L$45,SMALL(IF($L$1:$L$45&lt;&gt;"",ROW($L$1:$L$45),4^8),ROW($A12:$W12)))&amp;"","")</f>
        <v>石匠工具</v>
      </c>
      <c r="L11" s="80" t="s">
        <v>269</v>
      </c>
      <c r="M11" s="80" t="s">
        <v>76</v>
      </c>
      <c r="N11" s="80" t="s">
        <v>270</v>
      </c>
      <c r="O11" s="80" t="s">
        <v>271</v>
      </c>
      <c r="P11" s="80" t="s">
        <v>241</v>
      </c>
      <c r="Q11" s="80">
        <v>5</v>
      </c>
      <c r="R11" s="415" t="str">
        <f>IF(背包!B25="","-",背包!B25)</f>
        <v>-</v>
      </c>
      <c r="S11" s="67" t="str">
        <f t="shared" si="6"/>
        <v/>
      </c>
      <c r="T11" s="80" t="str">
        <f t="shared" si="7"/>
        <v/>
      </c>
      <c r="U11" s="80" t="str">
        <f t="shared" si="0"/>
        <v/>
      </c>
      <c r="V11" s="80" t="str">
        <f t="shared" si="1"/>
        <v/>
      </c>
      <c r="W11" s="80" t="str">
        <f t="shared" si="2"/>
        <v/>
      </c>
      <c r="Z11" s="67" t="s">
        <v>6874</v>
      </c>
      <c r="AA11" s="67" t="s">
        <v>10790</v>
      </c>
      <c r="AE11" s="53" t="s">
        <v>10809</v>
      </c>
      <c r="AF11" s="57" t="s">
        <v>597</v>
      </c>
      <c r="AG11" s="176" t="str" cm="1">
        <f t="array" ref="AG11">IFERROR(INDEX($AH$1:$AH$85,SMALL(IF($AH$1:$AH$85&lt;&gt;"",ROW($AH$1:$AH$85),4^8),ROW(AH10)))&amp;"","")</f>
        <v>硬头锤</v>
      </c>
      <c r="AH11" s="26" t="s">
        <v>584</v>
      </c>
      <c r="AI11" s="26" t="s">
        <v>533</v>
      </c>
      <c r="AJ11" s="26" t="s">
        <v>556</v>
      </c>
      <c r="AK11" s="26" t="s">
        <v>585</v>
      </c>
      <c r="AL11" s="26" t="s">
        <v>586</v>
      </c>
      <c r="AM11" s="26">
        <v>4</v>
      </c>
      <c r="AN11" s="26" t="s">
        <v>570</v>
      </c>
      <c r="AO11" s="180" t="s">
        <v>74</v>
      </c>
      <c r="AP11" s="411" t="s">
        <v>622</v>
      </c>
      <c r="AQ11" s="411" t="s">
        <v>89</v>
      </c>
      <c r="AR11" s="54" t="s">
        <v>108</v>
      </c>
      <c r="AS11" s="54" t="s">
        <v>107</v>
      </c>
      <c r="AT11" s="54" t="s">
        <v>67</v>
      </c>
      <c r="AU11" s="61" t="s">
        <v>623</v>
      </c>
      <c r="AV11" s="61" t="s">
        <v>89</v>
      </c>
      <c r="AW11" s="62" t="s">
        <v>108</v>
      </c>
      <c r="AX11" s="62" t="s">
        <v>107</v>
      </c>
      <c r="AY11" s="62" t="s">
        <v>67</v>
      </c>
      <c r="AZ11" s="176" t="str" cm="1">
        <f t="array" ref="AZ11">IFERROR(INDEX($AP$1:$AP$48,SMALL(IF($AP$1:$AP$48&lt;&gt;"",ROW($AP$1:$AP$48),4^8),ROW(10:10)))&amp;"","")</f>
        <v>法师护甲</v>
      </c>
      <c r="BA11" s="53">
        <v>1</v>
      </c>
      <c r="BD11" s="53">
        <v>7</v>
      </c>
    </row>
    <row r="12" spans="1:56" ht="16.899999999999999" customHeight="1" x14ac:dyDescent="0.15">
      <c r="A12" s="87" t="s">
        <v>274</v>
      </c>
      <c r="B12" s="87" t="s">
        <v>262</v>
      </c>
      <c r="C12" s="87" t="s">
        <v>211</v>
      </c>
      <c r="D12" s="87">
        <v>2</v>
      </c>
      <c r="E12" s="80"/>
      <c r="F12" s="80"/>
      <c r="G12" s="80"/>
      <c r="H12" s="80"/>
      <c r="K12" s="72" t="str" cm="1">
        <f t="array" ref="K12">IFERROR(INDEX($L$1:$L$45,SMALL(IF($L$1:$L$45&lt;&gt;"",ROW($L$1:$L$45),4^8),ROW($A13:$W13)))&amp;"","")</f>
        <v>画家工具</v>
      </c>
      <c r="L12" s="80" t="s">
        <v>275</v>
      </c>
      <c r="M12" s="80" t="s">
        <v>74</v>
      </c>
      <c r="N12" s="80" t="s">
        <v>276</v>
      </c>
      <c r="O12" s="80" t="s">
        <v>277</v>
      </c>
      <c r="P12" s="80" t="s">
        <v>211</v>
      </c>
      <c r="Q12" s="80">
        <v>8</v>
      </c>
      <c r="R12" s="80"/>
      <c r="S12" s="80"/>
      <c r="T12" s="80"/>
      <c r="U12" s="80"/>
      <c r="V12" s="80"/>
      <c r="W12" s="80"/>
      <c r="Z12" s="67" t="s">
        <v>6863</v>
      </c>
      <c r="AA12" s="67" t="s">
        <v>10791</v>
      </c>
      <c r="AE12" s="53" t="s">
        <v>10810</v>
      </c>
      <c r="AF12" s="57" t="s">
        <v>601</v>
      </c>
      <c r="AG12" s="176" t="str" cm="1">
        <f t="array" ref="AG12">IFERROR(INDEX($AH$1:$AH$85,SMALL(IF($AH$1:$AH$85&lt;&gt;"",ROW($AH$1:$AH$85),4^8),ROW(AH11)))&amp;"","")</f>
        <v>长棍</v>
      </c>
      <c r="AH12" s="59" t="s">
        <v>588</v>
      </c>
      <c r="AI12" s="59" t="s">
        <v>558</v>
      </c>
      <c r="AJ12" s="59" t="s">
        <v>572</v>
      </c>
      <c r="AK12" s="59" t="s">
        <v>559</v>
      </c>
      <c r="AL12" s="59" t="s">
        <v>565</v>
      </c>
      <c r="AM12" s="59">
        <v>2</v>
      </c>
      <c r="AN12" s="59" t="s">
        <v>589</v>
      </c>
      <c r="AO12" s="248" t="s">
        <v>74</v>
      </c>
      <c r="AP12" s="54" t="s">
        <v>635</v>
      </c>
      <c r="AQ12" s="54">
        <v>13</v>
      </c>
      <c r="AR12" s="54">
        <f>主要!$R$14</f>
        <v>0</v>
      </c>
      <c r="AS12" s="54" t="str">
        <f>""</f>
        <v/>
      </c>
      <c r="AT12" s="54" t="str">
        <f>""</f>
        <v/>
      </c>
      <c r="AU12" s="61">
        <f>主要!L40</f>
        <v>0</v>
      </c>
      <c r="AV12" s="61">
        <f>IFERROR(VLOOKUP(AU12,AP12:AT48,2,FALSE),10)</f>
        <v>10</v>
      </c>
      <c r="AW12" s="62">
        <f>IFERROR(VLOOKUP(AU12,AP12:AT48,3,FALSE),主要!$R$14)</f>
        <v>0</v>
      </c>
      <c r="AX12" s="62" t="str">
        <f>IFERROR(VLOOKUP(AU12,AP12:AT48,4,FALSE),"")</f>
        <v/>
      </c>
      <c r="AY12" s="62" t="str">
        <f>IFERROR(VLOOKUP(AU12,AP12:AT48,5,FALSE),"")</f>
        <v/>
      </c>
      <c r="AZ12" s="176" t="str" cm="1">
        <f t="array" ref="AZ12">IFERROR(INDEX($AP$1:$AP$48,SMALL(IF($AP$1:$AP$48&lt;&gt;"",ROW($AP$1:$AP$48),4^8),ROW(11:11)))&amp;"","")</f>
        <v>大法师法袍</v>
      </c>
      <c r="BA12" s="53">
        <v>2</v>
      </c>
      <c r="BD12" s="53">
        <v>5</v>
      </c>
    </row>
    <row r="13" spans="1:56" ht="16.899999999999999" customHeight="1" x14ac:dyDescent="0.15">
      <c r="A13" s="80" t="s">
        <v>279</v>
      </c>
      <c r="B13" s="80" t="s">
        <v>262</v>
      </c>
      <c r="C13" s="80" t="s">
        <v>241</v>
      </c>
      <c r="D13" s="80">
        <v>4</v>
      </c>
      <c r="E13" s="69" t="s">
        <v>129</v>
      </c>
      <c r="F13" s="80" t="s">
        <v>130</v>
      </c>
      <c r="G13" s="80" t="s">
        <v>139</v>
      </c>
      <c r="H13" s="80"/>
      <c r="I13" s="85" t="str">
        <f>IF(ISBLANK(背包!B5),,INDEX($A$2:$D$97,MATCH(背包!B5&amp;"*",$A$2:$A$97,0),1))&amp;""</f>
        <v/>
      </c>
      <c r="K13" s="72" t="str" cm="1">
        <f t="array" ref="K13">IFERROR(INDEX($L$1:$L$45,SMALL(IF($L$1:$L$45&lt;&gt;"",ROW($L$1:$L$45),4^8),ROW($A14:$W14)))&amp;"","")</f>
        <v>陶匠工具</v>
      </c>
      <c r="L13" s="80" t="s">
        <v>280</v>
      </c>
      <c r="M13" s="80" t="s">
        <v>79</v>
      </c>
      <c r="N13" s="80" t="s">
        <v>281</v>
      </c>
      <c r="O13" s="80" t="s">
        <v>282</v>
      </c>
      <c r="P13" s="80" t="s">
        <v>211</v>
      </c>
      <c r="Q13" s="80">
        <v>5</v>
      </c>
      <c r="Z13" s="67" t="s">
        <v>6859</v>
      </c>
      <c r="AA13" s="67" t="s">
        <v>10792</v>
      </c>
      <c r="AE13" s="53" t="s">
        <v>10811</v>
      </c>
      <c r="AF13" s="57" t="s">
        <v>604</v>
      </c>
      <c r="AG13" s="176" t="str" cm="1">
        <f t="array" ref="AG13">IFERROR(INDEX($AH$1:$AH$85,SMALL(IF($AH$1:$AH$85&lt;&gt;"",ROW($AH$1:$AH$85),4^8),ROW(AH12)))&amp;"","")</f>
        <v>镰刀</v>
      </c>
      <c r="AH13" s="26" t="s">
        <v>591</v>
      </c>
      <c r="AI13" s="26" t="s">
        <v>533</v>
      </c>
      <c r="AJ13" s="26" t="s">
        <v>563</v>
      </c>
      <c r="AK13" s="26" t="s">
        <v>592</v>
      </c>
      <c r="AL13" s="26" t="s">
        <v>582</v>
      </c>
      <c r="AM13" s="26">
        <v>3</v>
      </c>
      <c r="AN13" s="26" t="s">
        <v>589</v>
      </c>
      <c r="AO13" s="180" t="s">
        <v>74</v>
      </c>
      <c r="AP13" s="54" t="s">
        <v>2884</v>
      </c>
      <c r="AQ13" s="54">
        <v>15</v>
      </c>
      <c r="AR13" s="54">
        <f>主要!$R$14</f>
        <v>0</v>
      </c>
      <c r="AS13" s="54" t="str">
        <f>""</f>
        <v/>
      </c>
      <c r="AT13" s="54" t="str">
        <f>""</f>
        <v/>
      </c>
      <c r="AV13" s="56"/>
      <c r="AW13" s="56"/>
      <c r="AX13" s="56"/>
      <c r="AY13" s="56"/>
      <c r="AZ13" s="176" t="str" cm="1">
        <f t="array" ref="AZ13">IFERROR(INDEX($AP$1:$AP$48,SMALL(IF($AP$1:$AP$48&lt;&gt;"",ROW($AP$1:$AP$48),4^8),ROW(12:12)))&amp;"","")</f>
        <v>武僧</v>
      </c>
      <c r="BA13" s="53">
        <v>5</v>
      </c>
      <c r="BD13" s="53">
        <v>1</v>
      </c>
    </row>
    <row r="14" spans="1:56" ht="16.899999999999999" customHeight="1" x14ac:dyDescent="0.15">
      <c r="A14" s="87" t="s">
        <v>284</v>
      </c>
      <c r="B14" s="87" t="s">
        <v>262</v>
      </c>
      <c r="C14" s="87" t="s">
        <v>211</v>
      </c>
      <c r="D14" s="87">
        <v>1</v>
      </c>
      <c r="E14" s="80">
        <f>背包!AP5*IF(ISBLANK(背包!AS5),1,背包!AS5)</f>
        <v>0</v>
      </c>
      <c r="F14" s="69">
        <f>背包!S29*IF(ISBLANK(背包!V29),1,背包!V29)</f>
        <v>0</v>
      </c>
      <c r="G14" s="80">
        <f>背包!AP29*IF(ISBLANK(背包!AS29),1,背包!AS29)</f>
        <v>0</v>
      </c>
      <c r="H14" s="80"/>
      <c r="K14" s="72" t="str" cm="1">
        <f t="array" ref="K14">IFERROR(INDEX($L$1:$L$45,SMALL(IF($L$1:$L$45&lt;&gt;"",ROW($L$1:$L$45),4^8),ROW($A15:$W15)))&amp;"","")</f>
        <v>铁匠工具</v>
      </c>
      <c r="L14" s="80" t="s">
        <v>285</v>
      </c>
      <c r="M14" s="80" t="s">
        <v>78</v>
      </c>
      <c r="N14" s="80" t="s">
        <v>286</v>
      </c>
      <c r="O14" s="80" t="s">
        <v>287</v>
      </c>
      <c r="P14" s="80" t="s">
        <v>211</v>
      </c>
      <c r="Q14" s="80">
        <v>3</v>
      </c>
      <c r="R14" s="415" t="str">
        <f>IF(ISBLANK(背包!B25),,INDEX($L$2:$Q$45,MATCH(背包!B25&amp;"*",$L$2:$L$45,0),1))&amp;"-"</f>
        <v>-</v>
      </c>
      <c r="Z14" s="69" t="str">
        <f>自定义调整栏!U9</f>
        <v>精通1</v>
      </c>
      <c r="AA14" s="69" t="str">
        <f>自定义调整栏!V9</f>
        <v>-</v>
      </c>
      <c r="AF14" s="57" t="s">
        <v>608</v>
      </c>
      <c r="AG14" s="176" t="str" cm="1">
        <f t="array" ref="AG14">IFERROR(INDEX($AH$1:$AH$85,SMALL(IF($AH$1:$AH$85&lt;&gt;"",ROW($AH$1:$AH$85),4^8),ROW(AH13)))&amp;"","")</f>
        <v>矛</v>
      </c>
      <c r="AH14" s="59" t="str">
        <f>IF(自定义调整栏!$E$33="O","船桨","")</f>
        <v/>
      </c>
      <c r="AI14" s="59" t="s">
        <v>6878</v>
      </c>
      <c r="AJ14" s="59" t="s">
        <v>6852</v>
      </c>
      <c r="AK14" s="59" t="s">
        <v>6932</v>
      </c>
      <c r="AL14" s="59" t="str">
        <f>""</f>
        <v/>
      </c>
      <c r="AM14" s="59">
        <v>8</v>
      </c>
      <c r="AN14" s="59" t="s">
        <v>6931</v>
      </c>
      <c r="AO14" s="248" t="s">
        <v>74</v>
      </c>
      <c r="AP14" s="54" t="s">
        <v>538</v>
      </c>
      <c r="AQ14" s="54">
        <f>10+主要!R17</f>
        <v>10</v>
      </c>
      <c r="AR14" s="54">
        <f>主要!$R$14</f>
        <v>0</v>
      </c>
      <c r="AS14" s="54" t="str">
        <f>""</f>
        <v/>
      </c>
      <c r="AT14" s="54" t="s">
        <v>639</v>
      </c>
      <c r="AV14" s="56"/>
      <c r="AW14" s="56"/>
      <c r="AX14" s="56"/>
      <c r="AY14" s="56"/>
      <c r="AZ14" s="176" t="str" cm="1">
        <f t="array" ref="AZ14">IFERROR(INDEX($AP$1:$AP$48,SMALL(IF($AP$1:$AP$48&lt;&gt;"",ROW($AP$1:$AP$48),4^8),ROW(13:13)))&amp;"","")</f>
        <v>野蛮人</v>
      </c>
      <c r="BA14" s="53">
        <v>1</v>
      </c>
      <c r="BD14" s="53">
        <v>1</v>
      </c>
    </row>
    <row r="15" spans="1:56" ht="16.899999999999999" customHeight="1" x14ac:dyDescent="0.15">
      <c r="A15" s="80" t="s">
        <v>290</v>
      </c>
      <c r="B15" s="80" t="s">
        <v>291</v>
      </c>
      <c r="C15" s="80" t="s">
        <v>292</v>
      </c>
      <c r="D15" s="80">
        <v>5</v>
      </c>
      <c r="E15" s="80">
        <f>背包!AP6*IF(ISBLANK(背包!AS6),1,背包!AS6)</f>
        <v>0</v>
      </c>
      <c r="F15" s="69">
        <f>背包!S30*IF(ISBLANK(背包!V30),1,背包!V30)</f>
        <v>0</v>
      </c>
      <c r="G15" s="80">
        <f>背包!AP30*IF(ISBLANK(背包!AS30),1,背包!AS30)</f>
        <v>0</v>
      </c>
      <c r="H15" s="80"/>
      <c r="K15" s="72" t="str" cm="1">
        <f t="array" ref="K15">IFERROR(INDEX($L$1:$L$45,SMALL(IF($L$1:$L$45&lt;&gt;"",ROW($L$1:$L$45),4^8),ROW($A16:$W16)))&amp;"","")</f>
        <v>修补工具</v>
      </c>
      <c r="L15" s="80" t="s">
        <v>293</v>
      </c>
      <c r="M15" s="80" t="s">
        <v>74</v>
      </c>
      <c r="N15" s="80" t="s">
        <v>294</v>
      </c>
      <c r="O15" s="80" t="s">
        <v>295</v>
      </c>
      <c r="P15" s="80" t="s">
        <v>200</v>
      </c>
      <c r="Q15" s="80">
        <v>8</v>
      </c>
      <c r="Z15" s="69" t="str">
        <f>自定义调整栏!U10</f>
        <v>精通2</v>
      </c>
      <c r="AA15" s="69" t="str">
        <f>自定义调整栏!V10</f>
        <v>-</v>
      </c>
      <c r="AF15" s="57" t="s">
        <v>613</v>
      </c>
      <c r="AG15" s="176" t="str" cm="1">
        <f t="array" ref="AG15">IFERROR(INDEX($AH$1:$AH$85,SMALL(IF($AH$1:$AH$85&lt;&gt;"",ROW($AH$1:$AH$85),4^8),ROW(AH14)))&amp;"","")</f>
        <v>—简易远程—</v>
      </c>
      <c r="AH15" s="26" t="str">
        <f>IF(自定义调整栏!$E$33="O","回旋镖","")</f>
        <v/>
      </c>
      <c r="AI15" s="26" t="s">
        <v>6886</v>
      </c>
      <c r="AJ15" s="26" t="s">
        <v>6885</v>
      </c>
      <c r="AK15" s="26" t="s">
        <v>6930</v>
      </c>
      <c r="AL15" s="26" t="str">
        <f>""</f>
        <v/>
      </c>
      <c r="AM15" s="26">
        <v>1</v>
      </c>
      <c r="AN15" s="26" t="s">
        <v>6883</v>
      </c>
      <c r="AO15" s="180" t="s">
        <v>74</v>
      </c>
      <c r="AP15" s="54" t="s">
        <v>534</v>
      </c>
      <c r="AQ15" s="54">
        <f>10+主要!R15</f>
        <v>10</v>
      </c>
      <c r="AR15" s="54">
        <f>主要!$R$14</f>
        <v>0</v>
      </c>
      <c r="AS15" s="54" t="str">
        <f>""</f>
        <v/>
      </c>
      <c r="AT15" s="54" t="s">
        <v>644</v>
      </c>
      <c r="AV15" s="56"/>
      <c r="AW15" s="56"/>
      <c r="AX15" s="56"/>
      <c r="AY15" s="56"/>
      <c r="AZ15" s="176" t="str" cm="1">
        <f t="array" ref="AZ15">IFERROR(INDEX($AP$1:$AP$48,SMALL(IF($AP$1:$AP$48&lt;&gt;"",ROW($AP$1:$AP$48),4^8),ROW(14:14)))&amp;"","")</f>
        <v>龙术</v>
      </c>
    </row>
    <row r="16" spans="1:56" ht="16.899999999999999" customHeight="1" x14ac:dyDescent="0.15">
      <c r="A16" s="84" t="s">
        <v>297</v>
      </c>
      <c r="B16" s="84" t="s">
        <v>298</v>
      </c>
      <c r="C16" s="84" t="s">
        <v>207</v>
      </c>
      <c r="D16" s="84">
        <v>2</v>
      </c>
      <c r="E16" s="80">
        <f>背包!AP7*IF(ISBLANK(背包!AS7),1,背包!AS7)</f>
        <v>0</v>
      </c>
      <c r="F16" s="69">
        <f>背包!S31*IF(ISBLANK(背包!V31),1,背包!V31)</f>
        <v>0</v>
      </c>
      <c r="G16" s="80">
        <f>背包!AP31*IF(ISBLANK(背包!AS31),1,背包!AS31)</f>
        <v>0</v>
      </c>
      <c r="H16" s="80"/>
      <c r="K16" s="72" t="str" cm="1">
        <f t="array" ref="K16">IFERROR(INDEX($L$1:$L$45,SMALL(IF($L$1:$L$45&lt;&gt;"",ROW($L$1:$L$45),4^8),ROW($A17:$W17)))&amp;"","")</f>
        <v>织布工具</v>
      </c>
      <c r="L16" s="80" t="s">
        <v>299</v>
      </c>
      <c r="M16" s="80" t="s">
        <v>76</v>
      </c>
      <c r="N16" s="80" t="s">
        <v>300</v>
      </c>
      <c r="O16" s="80" t="s">
        <v>301</v>
      </c>
      <c r="P16" s="80" t="s">
        <v>190</v>
      </c>
      <c r="Q16" s="80">
        <v>10</v>
      </c>
      <c r="Z16" s="69" t="str">
        <f>自定义调整栏!U11</f>
        <v>精通3</v>
      </c>
      <c r="AA16" s="69" t="str">
        <f>自定义调整栏!V11</f>
        <v>-</v>
      </c>
      <c r="AF16" s="57" t="s">
        <v>616</v>
      </c>
      <c r="AG16" s="176" t="str" cm="1">
        <f t="array" ref="AG16">IFERROR(INDEX($AH$1:$AH$85,SMALL(IF($AH$1:$AH$85&lt;&gt;"",ROW($AH$1:$AH$85),4^8),ROW(AH15)))&amp;"","")</f>
        <v>飞镖</v>
      </c>
      <c r="AH16" s="59" t="str">
        <f>IF(自定义调整栏!$E$33="O","蝴蝶杖","")</f>
        <v/>
      </c>
      <c r="AI16" s="59" t="s">
        <v>6920</v>
      </c>
      <c r="AJ16" s="59" t="s">
        <v>6852</v>
      </c>
      <c r="AK16" s="59" t="s">
        <v>6929</v>
      </c>
      <c r="AL16" s="59" t="str">
        <f>""</f>
        <v/>
      </c>
      <c r="AM16" s="59">
        <v>1</v>
      </c>
      <c r="AN16" s="59" t="s">
        <v>6928</v>
      </c>
      <c r="AO16" s="248" t="s">
        <v>74</v>
      </c>
      <c r="AP16" s="54" t="s">
        <v>2977</v>
      </c>
      <c r="AQ16" s="54">
        <f>10+主要!R18</f>
        <v>10</v>
      </c>
      <c r="AR16" s="54">
        <f>主要!$R$14</f>
        <v>0</v>
      </c>
      <c r="AS16" s="54" t="str">
        <f>""</f>
        <v/>
      </c>
      <c r="AT16" s="54" t="s">
        <v>2978</v>
      </c>
      <c r="AV16" s="56"/>
      <c r="AW16" s="56"/>
      <c r="AX16" s="56"/>
      <c r="AY16" s="56"/>
      <c r="AZ16" s="176" t="str" cm="1">
        <f t="array" ref="AZ16">IFERROR(INDEX($AP$1:$AP$48,SMALL(IF($AP$1:$AP$48&lt;&gt;"",ROW($AP$1:$AP$48),4^8),ROW(15:15)))&amp;"","")</f>
        <v>舞蹈诗</v>
      </c>
      <c r="BA16" s="53">
        <v>5</v>
      </c>
      <c r="BD16" s="53">
        <v>1</v>
      </c>
    </row>
    <row r="17" spans="1:52" ht="16.899999999999999" customHeight="1" x14ac:dyDescent="0.15">
      <c r="A17" s="80" t="s">
        <v>304</v>
      </c>
      <c r="B17" s="80" t="s">
        <v>305</v>
      </c>
      <c r="C17" s="80" t="s">
        <v>292</v>
      </c>
      <c r="D17" s="80">
        <v>70</v>
      </c>
      <c r="E17" s="80">
        <f>背包!AP8*IF(ISBLANK(背包!AS8),1,背包!AS8)</f>
        <v>0</v>
      </c>
      <c r="F17" s="69">
        <f>背包!S32*IF(ISBLANK(背包!V32),1,背包!V32)</f>
        <v>0</v>
      </c>
      <c r="G17" s="80">
        <f>背包!AP32*IF(ISBLANK(背包!AS32),1,背包!AS32)</f>
        <v>0</v>
      </c>
      <c r="H17" s="80"/>
      <c r="K17" s="72" t="str" cm="1">
        <f t="array" ref="K17">IFERROR(INDEX($L$1:$L$45,SMALL(IF($L$1:$L$45&lt;&gt;"",ROW($L$1:$L$45),4^8),ROW($A18:$W18)))&amp;"","")</f>
        <v>木雕工具</v>
      </c>
      <c r="L17" s="80" t="s">
        <v>306</v>
      </c>
      <c r="M17" s="80" t="s">
        <v>76</v>
      </c>
      <c r="N17" s="80" t="s">
        <v>307</v>
      </c>
      <c r="O17" s="80" t="s">
        <v>308</v>
      </c>
      <c r="P17" s="80" t="s">
        <v>207</v>
      </c>
      <c r="Q17" s="80">
        <v>5</v>
      </c>
      <c r="AF17" s="58" t="s">
        <v>624</v>
      </c>
      <c r="AG17" s="176" t="str" cm="1">
        <f t="array" ref="AG17">IFERROR(INDEX($AH$1:$AH$85,SMALL(IF($AH$1:$AH$85&lt;&gt;"",ROW($AH$1:$AH$85),4^8),ROW(AH16)))&amp;"","")</f>
        <v>轻弩</v>
      </c>
      <c r="AH17" s="26" t="str">
        <f>IF(自定义调整栏!$E$33="O","扇","")</f>
        <v/>
      </c>
      <c r="AI17" s="26" t="s">
        <v>6920</v>
      </c>
      <c r="AJ17" s="26" t="s">
        <v>6885</v>
      </c>
      <c r="AK17" s="26" t="s">
        <v>6927</v>
      </c>
      <c r="AL17" s="26" t="str">
        <f>""</f>
        <v/>
      </c>
      <c r="AM17" s="26">
        <v>0.25</v>
      </c>
      <c r="AN17" s="26" t="s">
        <v>6926</v>
      </c>
      <c r="AO17" s="180" t="s">
        <v>74</v>
      </c>
      <c r="AP17" s="54" t="s">
        <v>648</v>
      </c>
      <c r="AQ17" s="54">
        <f>10+主要!R18</f>
        <v>10</v>
      </c>
      <c r="AR17" s="54">
        <f>主要!$R$14</f>
        <v>0</v>
      </c>
      <c r="AS17" s="54" t="str">
        <f>""</f>
        <v/>
      </c>
      <c r="AT17" s="54" t="s">
        <v>2978</v>
      </c>
      <c r="AV17" s="56"/>
      <c r="AW17" s="56"/>
      <c r="AX17" s="56"/>
      <c r="AY17" s="56"/>
      <c r="AZ17" s="176" t="str" cm="1">
        <f t="array" ref="AZ17">IFERROR(INDEX($AP$1:$AP$48,SMALL(IF($AP$1:$AP$48&lt;&gt;"",ROW($AP$1:$AP$48),4^8),ROW(16:16)))&amp;"","")</f>
        <v>拳斗士</v>
      </c>
    </row>
    <row r="18" spans="1:52" ht="16.899999999999999" customHeight="1" x14ac:dyDescent="0.15">
      <c r="A18" s="84" t="s">
        <v>311</v>
      </c>
      <c r="B18" s="84" t="s">
        <v>312</v>
      </c>
      <c r="C18" s="84" t="s">
        <v>313</v>
      </c>
      <c r="D18" s="84">
        <v>2</v>
      </c>
      <c r="E18" s="80">
        <f>背包!AP9*IF(ISBLANK(背包!AS9),1,背包!AS9)</f>
        <v>0</v>
      </c>
      <c r="F18" s="69">
        <f>背包!S33*IF(ISBLANK(背包!V33),1,背包!V33)</f>
        <v>0</v>
      </c>
      <c r="G18" s="80">
        <f>背包!AP33*IF(ISBLANK(背包!AS33),1,背包!AS33)</f>
        <v>0</v>
      </c>
      <c r="H18" s="80"/>
      <c r="K18" s="72" t="str" cm="1">
        <f t="array" ref="K18">IFERROR(INDEX($L$1:$L$45,SMALL(IF($L$1:$L$45&lt;&gt;"",ROW($L$1:$L$45),4^8),ROW($A19:$S19)))&amp;"","")</f>
        <v>易容工具</v>
      </c>
      <c r="L18" s="77" t="s">
        <v>314</v>
      </c>
      <c r="M18" s="77" t="s">
        <v>76</v>
      </c>
      <c r="N18" s="77" t="s">
        <v>315</v>
      </c>
      <c r="O18" s="77" t="s">
        <v>316</v>
      </c>
      <c r="P18" s="77" t="s">
        <v>207</v>
      </c>
      <c r="Q18" s="77">
        <v>5</v>
      </c>
      <c r="AF18" s="58" t="s">
        <v>630</v>
      </c>
      <c r="AG18" s="176" t="str" cm="1">
        <f t="array" ref="AG18">IFERROR(INDEX($AH$1:$AH$85,SMALL(IF($AH$1:$AH$85&lt;&gt;"",ROW($AH$1:$AH$85),4^8),ROW(AH17)))&amp;"","")</f>
        <v>短弓</v>
      </c>
      <c r="AH18" s="59" t="str">
        <f>IF(自定义调整栏!$E$33="O","煎锅","")</f>
        <v/>
      </c>
      <c r="AI18" s="59" t="s">
        <v>6886</v>
      </c>
      <c r="AJ18" s="59" t="s">
        <v>6852</v>
      </c>
      <c r="AK18" s="59" t="s">
        <v>6925</v>
      </c>
      <c r="AL18" s="59" t="str">
        <f>""</f>
        <v/>
      </c>
      <c r="AM18" s="59">
        <v>6</v>
      </c>
      <c r="AN18" s="59" t="s">
        <v>6921</v>
      </c>
      <c r="AO18" s="248" t="s">
        <v>74</v>
      </c>
      <c r="AP18" s="54" t="s">
        <v>10188</v>
      </c>
      <c r="AQ18" s="54">
        <f>12+主要!$R$15</f>
        <v>12</v>
      </c>
      <c r="AR18" s="54" t="str">
        <f>""</f>
        <v/>
      </c>
      <c r="AS18" s="54" t="str">
        <f>""</f>
        <v/>
      </c>
      <c r="AT18" s="54" t="s">
        <v>3195</v>
      </c>
      <c r="AV18" s="56"/>
      <c r="AW18" s="56"/>
      <c r="AX18" s="56"/>
      <c r="AY18" s="56"/>
      <c r="AZ18" s="176" t="str" cm="1">
        <f t="array" ref="AZ18">IFERROR(INDEX($AP$1:$AP$48,SMALL(IF($AP$1:$AP$48&lt;&gt;"",ROW($AP$1:$AP$48),4^8),ROW(17:17)))&amp;"","")</f>
        <v>巨灵流光</v>
      </c>
    </row>
    <row r="19" spans="1:52" ht="16.899999999999999" customHeight="1" x14ac:dyDescent="0.15">
      <c r="A19" s="80" t="s">
        <v>318</v>
      </c>
      <c r="B19" s="80" t="s">
        <v>319</v>
      </c>
      <c r="C19" s="80" t="s">
        <v>207</v>
      </c>
      <c r="D19" s="80">
        <v>7</v>
      </c>
      <c r="E19" s="80">
        <f>背包!AP10*IF(ISBLANK(背包!AS10),1,背包!AS10)</f>
        <v>0</v>
      </c>
      <c r="F19" s="69">
        <f>背包!S34*IF(ISBLANK(背包!V34),1,背包!V34)</f>
        <v>0</v>
      </c>
      <c r="G19" s="80">
        <f>背包!AP34*IF(ISBLANK(背包!AS34),1,背包!AS34)</f>
        <v>0</v>
      </c>
      <c r="H19" s="80"/>
      <c r="K19" s="72" t="str" cm="1">
        <f t="array" ref="K19">IFERROR(INDEX($L$1:$L$45,SMALL(IF($L$1:$L$45&lt;&gt;"",ROW($L$1:$L$45),4^8),ROW($A20:$S20)))&amp;"","")</f>
        <v>文书伪造工具</v>
      </c>
      <c r="L19" s="80" t="s">
        <v>320</v>
      </c>
      <c r="M19" s="69" t="s">
        <v>80</v>
      </c>
      <c r="N19" s="80" t="s">
        <v>321</v>
      </c>
      <c r="O19" s="80" t="s">
        <v>322</v>
      </c>
      <c r="P19" s="80" t="s">
        <v>186</v>
      </c>
      <c r="Q19" s="80">
        <v>3</v>
      </c>
      <c r="T19" s="69" t="s">
        <v>345</v>
      </c>
      <c r="V19" s="452" t="s">
        <v>563</v>
      </c>
      <c r="W19" s="53" t="s">
        <v>6882</v>
      </c>
      <c r="X19" s="455"/>
      <c r="Y19"/>
      <c r="Z19"/>
      <c r="AA19"/>
      <c r="AB19"/>
      <c r="AF19" s="58" t="s">
        <v>636</v>
      </c>
      <c r="AG19" s="176" t="str" cm="1">
        <f t="array" ref="AG19">IFERROR(INDEX($AH$1:$AH$85,SMALL(IF($AH$1:$AH$85&lt;&gt;"",ROW($AH$1:$AH$85),4^8),ROW(AH18)))&amp;"","")</f>
        <v>投石索</v>
      </c>
      <c r="AH19" s="26" t="str">
        <f>IF(自定义调整栏!$E$33="O","铁茶壶","")</f>
        <v/>
      </c>
      <c r="AI19" s="26" t="s">
        <v>6853</v>
      </c>
      <c r="AJ19" s="26" t="s">
        <v>6852</v>
      </c>
      <c r="AK19" s="26" t="str">
        <f>""</f>
        <v/>
      </c>
      <c r="AL19" s="26" t="str">
        <f>""</f>
        <v/>
      </c>
      <c r="AM19" s="26">
        <v>2</v>
      </c>
      <c r="AN19" s="26" t="s">
        <v>6924</v>
      </c>
      <c r="AO19" s="180" t="s">
        <v>74</v>
      </c>
      <c r="AP19" s="54" t="str">
        <f>IF(自定义调整栏!$E$10="O","巨灵流光","")</f>
        <v>巨灵流光</v>
      </c>
      <c r="AQ19" s="54">
        <f>10+主要!R18</f>
        <v>10</v>
      </c>
      <c r="AR19" s="54">
        <f>主要!$R$14</f>
        <v>0</v>
      </c>
      <c r="AS19" s="54" t="str">
        <f>""</f>
        <v/>
      </c>
      <c r="AT19" s="54" t="s">
        <v>2978</v>
      </c>
      <c r="AV19" s="56"/>
      <c r="AW19" s="56"/>
      <c r="AX19" s="56"/>
      <c r="AY19" s="56"/>
      <c r="AZ19" s="176" t="str" cm="1">
        <f t="array" ref="AZ19">IFERROR(INDEX($AP$1:$AP$48,SMALL(IF($AP$1:$AP$48&lt;&gt;"",ROW($AP$1:$AP$48),4^8),ROW(18:18)))&amp;"","")</f>
        <v>象族</v>
      </c>
    </row>
    <row r="20" spans="1:52" ht="16.899999999999999" customHeight="1" x14ac:dyDescent="0.15">
      <c r="A20" s="84" t="s">
        <v>326</v>
      </c>
      <c r="B20" s="84" t="s">
        <v>327</v>
      </c>
      <c r="C20" s="84" t="s">
        <v>207</v>
      </c>
      <c r="D20" s="84">
        <v>0</v>
      </c>
      <c r="E20" s="80">
        <f>背包!AP11*IF(ISBLANK(背包!AS11),1,背包!AS11)</f>
        <v>0</v>
      </c>
      <c r="F20" s="69">
        <f>背包!S35*IF(ISBLANK(背包!V35),1,背包!V35)</f>
        <v>0</v>
      </c>
      <c r="G20" s="80">
        <f>背包!AP35*IF(ISBLANK(背包!AS35),1,背包!AS35)</f>
        <v>0</v>
      </c>
      <c r="H20" s="80"/>
      <c r="K20" s="72" t="str" cm="1">
        <f t="array" ref="K20">IFERROR(INDEX($L$1:$L$45,SMALL(IF($L$1:$L$45&lt;&gt;"",ROW($L$1:$L$45),4^8),ROW($A21:$S21)))&amp;"","")</f>
        <v>赌具（多种）</v>
      </c>
      <c r="L20" s="80" t="s">
        <v>328</v>
      </c>
      <c r="M20" s="69" t="s">
        <v>76</v>
      </c>
      <c r="N20" s="80" t="s">
        <v>329</v>
      </c>
      <c r="O20" s="80" t="s">
        <v>330</v>
      </c>
      <c r="P20" s="80" t="s">
        <v>231</v>
      </c>
      <c r="Q20" s="80">
        <v>5</v>
      </c>
      <c r="S20" s="129" t="s">
        <v>8556</v>
      </c>
      <c r="T20" s="69">
        <f>IF(主要!P40="O",1,0)</f>
        <v>0</v>
      </c>
      <c r="V20" s="453" t="s">
        <v>572</v>
      </c>
      <c r="W20" s="53" t="s">
        <v>76</v>
      </c>
      <c r="AF20" s="58" t="s">
        <v>640</v>
      </c>
      <c r="AG20" s="176" t="str" cm="1">
        <f t="array" ref="AG20">IFERROR(INDEX($AH$1:$AH$85,SMALL(IF($AH$1:$AH$85&lt;&gt;"",ROW($AH$1:$AH$85),4^8),ROW(AH19)))&amp;"","")</f>
        <v>—军用近战—</v>
      </c>
      <c r="AH20" s="59" t="str">
        <f>IF(自定义调整栏!$E$33="O","铲子","")</f>
        <v/>
      </c>
      <c r="AI20" s="59" t="s">
        <v>6886</v>
      </c>
      <c r="AJ20" s="59" t="s">
        <v>6923</v>
      </c>
      <c r="AK20" s="59" t="s">
        <v>6922</v>
      </c>
      <c r="AL20" s="59" t="str">
        <f>""</f>
        <v/>
      </c>
      <c r="AM20" s="59">
        <v>4</v>
      </c>
      <c r="AN20" s="59" t="s">
        <v>6921</v>
      </c>
      <c r="AO20" s="248" t="s">
        <v>74</v>
      </c>
      <c r="AP20" s="54" t="str">
        <f>IF(自定义调整栏!$E$15="O","象族","")</f>
        <v>象族</v>
      </c>
      <c r="AQ20" s="54">
        <v>12</v>
      </c>
      <c r="AR20" s="54">
        <f>主要!R16</f>
        <v>0</v>
      </c>
      <c r="AS20" s="54" t="str">
        <f>""</f>
        <v/>
      </c>
      <c r="AT20" s="54" t="s">
        <v>3195</v>
      </c>
      <c r="AV20" s="56"/>
      <c r="AW20" s="56"/>
      <c r="AX20" s="56"/>
      <c r="AY20" s="56"/>
      <c r="AZ20" s="176" t="str" cm="1">
        <f t="array" ref="AZ20">IFERROR(INDEX($AP$1:$AP$48,SMALL(IF($AP$1:$AP$48&lt;&gt;"",ROW($AP$1:$AP$48),4^8),ROW(19:19)))&amp;"","")</f>
        <v>蜥蜴人</v>
      </c>
    </row>
    <row r="21" spans="1:52" ht="16.899999999999999" customHeight="1" x14ac:dyDescent="0.15">
      <c r="A21" s="80" t="s">
        <v>333</v>
      </c>
      <c r="B21" s="80" t="s">
        <v>334</v>
      </c>
      <c r="C21" s="80" t="s">
        <v>335</v>
      </c>
      <c r="D21" s="80">
        <v>3</v>
      </c>
      <c r="E21" s="80">
        <f>背包!AP12*IF(ISBLANK(背包!AS12),1,背包!AS12)</f>
        <v>0</v>
      </c>
      <c r="F21" s="69">
        <f>背包!S36*IF(ISBLANK(背包!V36),1,背包!V36)</f>
        <v>0</v>
      </c>
      <c r="G21" s="80">
        <f>背包!AP36*IF(ISBLANK(背包!AS36),1,背包!AS36)</f>
        <v>0</v>
      </c>
      <c r="H21" s="80"/>
      <c r="K21" s="72" t="str" cm="1">
        <f t="array" ref="K21">IFERROR(INDEX($L$1:$L$45,SMALL(IF($L$1:$L$45&lt;&gt;"",ROW($L$1:$L$45),4^8),ROW($A22:$S22)))&amp;"","")</f>
        <v>骰子</v>
      </c>
      <c r="L21" s="80" t="s">
        <v>336</v>
      </c>
      <c r="M21" s="69" t="s">
        <v>79</v>
      </c>
      <c r="N21" s="80" t="s">
        <v>337</v>
      </c>
      <c r="O21" s="80" t="s">
        <v>330</v>
      </c>
      <c r="P21" s="69" t="s">
        <v>330</v>
      </c>
      <c r="Q21" s="80">
        <v>0</v>
      </c>
      <c r="S21" s="129" t="s">
        <v>8557</v>
      </c>
      <c r="T21" s="69">
        <f>IF(主要!F32="O",1,0)</f>
        <v>0</v>
      </c>
      <c r="V21" s="453" t="s">
        <v>556</v>
      </c>
      <c r="W21" s="53" t="s">
        <v>77</v>
      </c>
      <c r="AF21" s="58" t="s">
        <v>645</v>
      </c>
      <c r="AG21" s="176" t="str" cm="1">
        <f t="array" ref="AG21">IFERROR(INDEX($AH$1:$AH$85,SMALL(IF($AH$1:$AH$85&lt;&gt;"",ROW($AH$1:$AH$85),4^8),ROW(AH20)))&amp;"","")</f>
        <v>战斧</v>
      </c>
      <c r="AH21" s="26" t="str">
        <f>IF(自定义调整栏!$E$33="O","雨伞","")</f>
        <v/>
      </c>
      <c r="AI21" s="26" t="s">
        <v>6920</v>
      </c>
      <c r="AJ21" s="26" t="s">
        <v>6852</v>
      </c>
      <c r="AK21" s="26" t="s">
        <v>6919</v>
      </c>
      <c r="AL21" s="26" t="str">
        <f>""</f>
        <v/>
      </c>
      <c r="AM21" s="26">
        <v>2</v>
      </c>
      <c r="AN21" s="26" t="s">
        <v>6918</v>
      </c>
      <c r="AO21" s="180" t="s">
        <v>6882</v>
      </c>
      <c r="AP21" s="54" t="str">
        <f>IF(自定义调整栏!$E$5="O","蜥蜴人","")</f>
        <v>蜥蜴人</v>
      </c>
      <c r="AQ21" s="54">
        <v>13</v>
      </c>
      <c r="AR21" s="54">
        <f>主要!$R$14</f>
        <v>0</v>
      </c>
      <c r="AS21" s="54" t="str">
        <f>""</f>
        <v/>
      </c>
      <c r="AT21" s="54" t="s">
        <v>3196</v>
      </c>
      <c r="AV21" s="56"/>
      <c r="AW21" s="56"/>
      <c r="AX21" s="56"/>
      <c r="AY21" s="56"/>
      <c r="AZ21" s="176" t="str" cm="1">
        <f t="array" ref="AZ21">IFERROR(INDEX($AP$1:$AP$48,SMALL(IF($AP$1:$AP$48&lt;&gt;"",ROW($AP$1:$AP$48),4^8),ROW(20:20)))&amp;"","")</f>
        <v>龟人</v>
      </c>
    </row>
    <row r="22" spans="1:52" ht="16.899999999999999" customHeight="1" x14ac:dyDescent="0.15">
      <c r="A22" s="84" t="s">
        <v>277</v>
      </c>
      <c r="B22" s="84" t="s">
        <v>340</v>
      </c>
      <c r="C22" s="84" t="s">
        <v>207</v>
      </c>
      <c r="D22" s="84">
        <v>5</v>
      </c>
      <c r="E22" s="80">
        <f>背包!AP13*IF(ISBLANK(背包!AS13),1,背包!AS13)</f>
        <v>0</v>
      </c>
      <c r="F22" s="69">
        <f>背包!S37*IF(ISBLANK(背包!V37),1,背包!V37)</f>
        <v>0</v>
      </c>
      <c r="G22" s="80">
        <f>背包!AP37*IF(ISBLANK(背包!AS37),1,背包!AS37)</f>
        <v>0</v>
      </c>
      <c r="H22" s="80"/>
      <c r="K22" s="72" t="str" cm="1">
        <f t="array" ref="K22">IFERROR(INDEX($L$1:$L$45,SMALL(IF($L$1:$L$45&lt;&gt;"",ROW($L$1:$L$45),4^8),ROW($A23:$S23)))&amp;"","")</f>
        <v>龙棋</v>
      </c>
      <c r="L22" s="69" t="s">
        <v>341</v>
      </c>
      <c r="M22" s="69" t="s">
        <v>79</v>
      </c>
      <c r="N22" s="80" t="s">
        <v>337</v>
      </c>
      <c r="O22" s="80" t="s">
        <v>330</v>
      </c>
      <c r="P22" s="80" t="s">
        <v>342</v>
      </c>
      <c r="Q22" s="80">
        <v>0</v>
      </c>
      <c r="S22" s="129"/>
      <c r="T22" s="69">
        <f>IF(主要!F33="O",1,0)</f>
        <v>0</v>
      </c>
      <c r="V22" s="453" t="s">
        <v>605</v>
      </c>
      <c r="W22" s="53" t="s">
        <v>78</v>
      </c>
      <c r="AF22" s="58" t="s">
        <v>649</v>
      </c>
      <c r="AG22" s="176" t="str" cm="1">
        <f t="array" ref="AG22">IFERROR(INDEX($AH$1:$AH$85,SMALL(IF($AH$1:$AH$85&lt;&gt;"",ROW($AH$1:$AH$85),4^8),ROW(AH21)))&amp;"","")</f>
        <v>链枷</v>
      </c>
      <c r="AH22" s="59" t="str">
        <f>IF(自定义调整栏!$E$38="O","指虎","")</f>
        <v/>
      </c>
      <c r="AI22" s="59" t="s">
        <v>558</v>
      </c>
      <c r="AJ22" s="59" t="s">
        <v>6852</v>
      </c>
      <c r="AK22" s="59" t="s">
        <v>10431</v>
      </c>
      <c r="AL22" s="59" t="s">
        <v>10433</v>
      </c>
      <c r="AM22" s="59">
        <v>1</v>
      </c>
      <c r="AN22" s="59" t="s">
        <v>6892</v>
      </c>
      <c r="AO22" s="248" t="s">
        <v>6882</v>
      </c>
      <c r="AP22" s="54" t="str">
        <f>IF(自定义调整栏!$E$5="O","龟人","")</f>
        <v>龟人</v>
      </c>
      <c r="AQ22" s="54">
        <v>17</v>
      </c>
      <c r="AR22" s="54" t="str">
        <f>""</f>
        <v/>
      </c>
      <c r="AS22" s="54" t="str">
        <f>""</f>
        <v/>
      </c>
      <c r="AT22" s="54"/>
      <c r="AV22" s="56"/>
      <c r="AW22" s="56"/>
      <c r="AX22" s="56"/>
      <c r="AY22" s="56"/>
      <c r="AZ22" s="176" t="str" cm="1">
        <f t="array" ref="AZ22">IFERROR(INDEX($AP$1:$AP$48,SMALL(IF($AP$1:$AP$48&lt;&gt;"",ROW($AP$1:$AP$48),4^8),ROW(21:21)))&amp;"","")</f>
        <v>螳螂人</v>
      </c>
    </row>
    <row r="23" spans="1:52" ht="16.899999999999999" customHeight="1" x14ac:dyDescent="0.15">
      <c r="A23" s="80" t="s">
        <v>343</v>
      </c>
      <c r="B23" s="67" t="s">
        <v>2871</v>
      </c>
      <c r="C23" s="80" t="s">
        <v>186</v>
      </c>
      <c r="D23" s="80">
        <v>5</v>
      </c>
      <c r="E23" s="80">
        <f>背包!AP14*IF(ISBLANK(背包!AS14),1,背包!AS14)</f>
        <v>0</v>
      </c>
      <c r="F23" s="69">
        <f>背包!S38*IF(ISBLANK(背包!V38),1,背包!V38)</f>
        <v>0</v>
      </c>
      <c r="G23" s="80">
        <f>背包!AP38*IF(ISBLANK(背包!AS38),1,背包!AS38)</f>
        <v>0</v>
      </c>
      <c r="H23" s="80"/>
      <c r="K23" s="72" t="str" cm="1">
        <f t="array" ref="K23">IFERROR(INDEX($L$1:$L$45,SMALL(IF($L$1:$L$45&lt;&gt;"",ROW($L$1:$L$45),4^8),ROW($A24:$S24)))&amp;"","")</f>
        <v>纸牌</v>
      </c>
      <c r="L23" s="69" t="s">
        <v>344</v>
      </c>
      <c r="M23" s="69" t="s">
        <v>79</v>
      </c>
      <c r="N23" s="80" t="s">
        <v>337</v>
      </c>
      <c r="O23" s="80" t="s">
        <v>330</v>
      </c>
      <c r="P23" s="69" t="s">
        <v>207</v>
      </c>
      <c r="Q23" s="80">
        <v>0</v>
      </c>
      <c r="S23" s="129"/>
      <c r="T23" s="69">
        <f>IF(主要!F34="O",1,0)</f>
        <v>0</v>
      </c>
      <c r="V23" s="453" t="s">
        <v>609</v>
      </c>
      <c r="W23" s="53" t="s">
        <v>79</v>
      </c>
      <c r="AF23" s="57" t="s">
        <v>651</v>
      </c>
      <c r="AG23" s="176" t="str" cm="1">
        <f t="array" ref="AG23">IFERROR(INDEX($AH$1:$AH$85,SMALL(IF($AH$1:$AH$85&lt;&gt;"",ROW($AH$1:$AH$85),4^8),ROW(AH22)))&amp;"","")</f>
        <v>长柄刀</v>
      </c>
      <c r="AH23" s="26" t="str">
        <f>IF(自定义调整栏!$E$38="O","手爪","")</f>
        <v/>
      </c>
      <c r="AI23" s="26" t="s">
        <v>558</v>
      </c>
      <c r="AJ23" s="26" t="s">
        <v>6885</v>
      </c>
      <c r="AK23" s="26" t="s">
        <v>10432</v>
      </c>
      <c r="AL23" s="26" t="s">
        <v>6877</v>
      </c>
      <c r="AM23" s="26">
        <v>2</v>
      </c>
      <c r="AN23" s="26" t="s">
        <v>10435</v>
      </c>
      <c r="AO23" s="180" t="str">
        <f>IF(主要!$R$13&gt;=主要!$R$14,"力量","敏捷")</f>
        <v>力量</v>
      </c>
      <c r="AP23" s="54" t="str">
        <f>IF(自定义调整栏!$E$21="O","螳螂人","")</f>
        <v>螳螂人</v>
      </c>
      <c r="AQ23" s="54">
        <v>13</v>
      </c>
      <c r="AR23" s="54">
        <f>主要!$R$14</f>
        <v>0</v>
      </c>
      <c r="AS23" s="54" t="str">
        <f>""</f>
        <v/>
      </c>
      <c r="AT23" s="54" t="s">
        <v>3196</v>
      </c>
      <c r="AV23" s="56"/>
      <c r="AW23" s="56"/>
      <c r="AX23" s="56"/>
      <c r="AZ23" s="176" t="str" cm="1">
        <f t="array" ref="AZ23">IFERROR(INDEX($AP$1:$AP$48,SMALL(IF($AP$1:$AP$48&lt;&gt;"",ROW($AP$1:$AP$48),4^8),ROW(22:22)))&amp;"","")</f>
        <v>自动侏儒</v>
      </c>
    </row>
    <row r="24" spans="1:52" ht="16.899999999999999" customHeight="1" x14ac:dyDescent="0.15">
      <c r="A24" s="84" t="s">
        <v>346</v>
      </c>
      <c r="B24" s="84" t="s">
        <v>347</v>
      </c>
      <c r="C24" s="84" t="s">
        <v>292</v>
      </c>
      <c r="D24" s="84">
        <v>2</v>
      </c>
      <c r="E24" s="80"/>
      <c r="G24" s="80"/>
      <c r="H24" s="80"/>
      <c r="K24" s="72" t="str" cm="1">
        <f t="array" ref="K24">IFERROR(INDEX($L$1:$L$45,SMALL(IF($L$1:$L$45&lt;&gt;"",ROW($L$1:$L$45),4^8),ROW($A25:$S25)))&amp;"","")</f>
        <v>三龙牌</v>
      </c>
      <c r="L24" s="69" t="s">
        <v>348</v>
      </c>
      <c r="M24" s="69" t="s">
        <v>79</v>
      </c>
      <c r="N24" s="80" t="s">
        <v>337</v>
      </c>
      <c r="O24" s="80" t="s">
        <v>330</v>
      </c>
      <c r="P24" s="69" t="s">
        <v>335</v>
      </c>
      <c r="Q24" s="80">
        <v>0</v>
      </c>
      <c r="S24" s="129"/>
      <c r="T24" s="69">
        <f>IF(主要!F35="O",1,0)</f>
        <v>0</v>
      </c>
      <c r="V24" s="453" t="s">
        <v>614</v>
      </c>
      <c r="W24" s="53" t="s">
        <v>80</v>
      </c>
      <c r="AF24" s="57" t="s">
        <v>655</v>
      </c>
      <c r="AG24" s="176" t="str" cm="1">
        <f t="array" ref="AG24">IFERROR(INDEX($AH$1:$AH$85,SMALL(IF($AH$1:$AH$85&lt;&gt;"",ROW($AH$1:$AH$85),4^8),ROW(AH23)))&amp;"","")</f>
        <v>巨斧</v>
      </c>
      <c r="AH24" s="60" t="str">
        <f>IF(自定义调整栏!$E$38="O","推刃匕首","")</f>
        <v/>
      </c>
      <c r="AI24" s="60" t="s">
        <v>558</v>
      </c>
      <c r="AJ24" s="60" t="s">
        <v>6857</v>
      </c>
      <c r="AK24" s="60" t="str">
        <f>""</f>
        <v/>
      </c>
      <c r="AL24" s="60" t="s">
        <v>10434</v>
      </c>
      <c r="AM24" s="60">
        <v>3</v>
      </c>
      <c r="AN24" s="60" t="s">
        <v>6883</v>
      </c>
      <c r="AO24" s="248" t="s">
        <v>6882</v>
      </c>
      <c r="AP24" s="54" t="str">
        <f>IF(自定义调整栏!$E$21="O","自动侏儒","")</f>
        <v>自动侏儒</v>
      </c>
      <c r="AQ24" s="54">
        <v>13</v>
      </c>
      <c r="AR24" s="54">
        <f>主要!$R$14</f>
        <v>0</v>
      </c>
      <c r="AS24" s="54" t="str">
        <f>""</f>
        <v/>
      </c>
      <c r="AT24" s="54" t="s">
        <v>3196</v>
      </c>
      <c r="AV24" s="56"/>
      <c r="AW24" s="56"/>
      <c r="AX24" s="56"/>
      <c r="AZ24" s="176" t="str" cm="1">
        <f t="array" ref="AZ24">IFERROR(INDEX($AP$1:$AP$48,SMALL(IF($AP$1:$AP$48&lt;&gt;"",ROW($AP$1:$AP$48),4^8),ROW(23:23)))&amp;"","")</f>
        <v>蛇鳞甲</v>
      </c>
    </row>
    <row r="25" spans="1:52" ht="16.899999999999999" customHeight="1" x14ac:dyDescent="0.15">
      <c r="A25" s="80" t="s">
        <v>349</v>
      </c>
      <c r="B25" s="80" t="s">
        <v>350</v>
      </c>
      <c r="C25" s="80" t="s">
        <v>351</v>
      </c>
      <c r="D25" s="80">
        <v>2</v>
      </c>
      <c r="E25" s="80">
        <f>背包!AP16*IF(ISBLANK(背包!AS16),1,背包!AS16)</f>
        <v>0</v>
      </c>
      <c r="F25" s="69">
        <f>背包!S40*IF(ISBLANK(背包!V40),1,背包!V40)</f>
        <v>0</v>
      </c>
      <c r="G25" s="80">
        <f>背包!AP40*IF(ISBLANK(背包!AS40),1,背包!AS40)</f>
        <v>0</v>
      </c>
      <c r="H25" s="80"/>
      <c r="K25" s="72" t="str" cm="1">
        <f t="array" ref="K25">IFERROR(INDEX($L$1:$L$45,SMALL(IF($L$1:$L$45&lt;&gt;"",ROW($L$1:$L$45),4^8),ROW($A26:$S26)))&amp;"","")</f>
        <v>草药工具</v>
      </c>
      <c r="L25" s="69" t="s">
        <v>352</v>
      </c>
      <c r="M25" s="69" t="s">
        <v>79</v>
      </c>
      <c r="N25" s="80" t="s">
        <v>337</v>
      </c>
      <c r="O25" s="80" t="s">
        <v>330</v>
      </c>
      <c r="P25" s="69" t="s">
        <v>207</v>
      </c>
      <c r="Q25" s="80">
        <v>0</v>
      </c>
      <c r="S25" s="129"/>
      <c r="T25" s="69">
        <f>IF(主要!F36="O",1,0)</f>
        <v>0</v>
      </c>
      <c r="V25" s="453" t="s">
        <v>617</v>
      </c>
      <c r="AF25" s="57" t="s">
        <v>568</v>
      </c>
      <c r="AG25" s="176" t="str" cm="1">
        <f t="array" ref="AG25">IFERROR(INDEX($AH$1:$AH$85,SMALL(IF($AH$1:$AH$85&lt;&gt;"",ROW($AH$1:$AH$85),4^8),ROW(AH24)))&amp;"","")</f>
        <v>巨剑</v>
      </c>
      <c r="AH25" s="837" t="s">
        <v>10440</v>
      </c>
      <c r="AI25" s="837"/>
      <c r="AJ25" s="837"/>
      <c r="AK25" s="837"/>
      <c r="AL25" s="837"/>
      <c r="AM25" s="837"/>
      <c r="AN25" s="837"/>
      <c r="AO25" s="837"/>
      <c r="AP25" s="54" t="str">
        <f>IF(自定义调整栏!$E$29="O","猬族","")</f>
        <v/>
      </c>
      <c r="AQ25" s="54">
        <v>14</v>
      </c>
      <c r="AR25" s="54">
        <f>主要!$R$14</f>
        <v>0</v>
      </c>
      <c r="AS25" s="54" t="str">
        <f>""</f>
        <v/>
      </c>
      <c r="AT25" s="54" t="s">
        <v>9479</v>
      </c>
      <c r="AU25" s="56"/>
      <c r="AV25" s="56"/>
      <c r="AZ25" s="176" t="str" cm="1">
        <f t="array" ref="AZ25">IFERROR(INDEX($AP$1:$AP$48,SMALL(IF($AP$1:$AP$48&lt;&gt;"",ROW($AP$1:$AP$48),4^8),ROW(24:24)))&amp;"","")</f>
        <v xml:space="preserve">—轻甲— </v>
      </c>
    </row>
    <row r="26" spans="1:52" ht="16.899999999999999" customHeight="1" x14ac:dyDescent="0.15">
      <c r="A26" s="84" t="s">
        <v>353</v>
      </c>
      <c r="B26" s="84" t="s">
        <v>354</v>
      </c>
      <c r="C26" s="84" t="s">
        <v>355</v>
      </c>
      <c r="D26" s="84">
        <v>42</v>
      </c>
      <c r="E26" s="80">
        <f>背包!AP17*IF(ISBLANK(背包!AS17),1,背包!AS17)</f>
        <v>0</v>
      </c>
      <c r="F26" s="69">
        <f>背包!S41*IF(ISBLANK(背包!V41),1,背包!V41)</f>
        <v>0</v>
      </c>
      <c r="G26" s="80">
        <f>背包!AP41*IF(ISBLANK(背包!AS41),1,背包!AS41)</f>
        <v>0</v>
      </c>
      <c r="H26" s="80"/>
      <c r="I26" s="80"/>
      <c r="K26" s="72" t="str" cm="1">
        <f t="array" ref="K26">IFERROR(INDEX($L$1:$L$45,SMALL(IF($L$1:$L$45&lt;&gt;"",ROW($L$1:$L$45),4^8),ROW($A27:$S27)))&amp;"","")</f>
        <v>乐器（多类）</v>
      </c>
      <c r="L26" s="80" t="s">
        <v>356</v>
      </c>
      <c r="M26" s="69" t="s">
        <v>78</v>
      </c>
      <c r="N26" s="80" t="s">
        <v>357</v>
      </c>
      <c r="O26" s="80" t="s">
        <v>358</v>
      </c>
      <c r="P26" s="69" t="s">
        <v>241</v>
      </c>
      <c r="Q26" s="80">
        <v>3</v>
      </c>
      <c r="S26" s="129" t="s">
        <v>6934</v>
      </c>
      <c r="T26" s="69">
        <f>IF(主要!P42="O",1,0)</f>
        <v>0</v>
      </c>
      <c r="V26" s="453" t="s">
        <v>625</v>
      </c>
      <c r="AF26" s="57" t="s">
        <v>661</v>
      </c>
      <c r="AG26" s="176" t="str" cm="1">
        <f t="array" ref="AG26">IFERROR(INDEX($AH$1:$AH$85,SMALL(IF($AH$1:$AH$85&lt;&gt;"",ROW($AH$1:$AH$85),4^8),ROW(AH25)))&amp;"","")</f>
        <v>戟</v>
      </c>
      <c r="AH26" s="26" t="s">
        <v>594</v>
      </c>
      <c r="AI26" s="26" t="s">
        <v>558</v>
      </c>
      <c r="AJ26" s="26" t="s">
        <v>6857</v>
      </c>
      <c r="AK26" s="26" t="s">
        <v>595</v>
      </c>
      <c r="AL26" s="26" t="s">
        <v>6877</v>
      </c>
      <c r="AM26" s="26">
        <v>0.25</v>
      </c>
      <c r="AN26" s="26" t="s">
        <v>596</v>
      </c>
      <c r="AO26" s="180" t="str">
        <f>IF(主要!$R$13&gt;=主要!$R$14,"力量","敏捷")</f>
        <v>力量</v>
      </c>
      <c r="AP26" s="54" t="str">
        <f>IF(自定义调整栏!$E$30="O","熊民","")</f>
        <v/>
      </c>
      <c r="AQ26" s="54">
        <v>13</v>
      </c>
      <c r="AR26" s="54">
        <f>主要!$R$14</f>
        <v>0</v>
      </c>
      <c r="AS26" s="54" t="str">
        <f>""</f>
        <v/>
      </c>
      <c r="AT26" s="54" t="s">
        <v>3196</v>
      </c>
      <c r="AV26" s="56"/>
      <c r="AW26" s="56"/>
      <c r="AX26" s="56"/>
      <c r="AZ26" s="176" t="str" cm="1">
        <f t="array" ref="AZ26">IFERROR(INDEX($AP$1:$AP$48,SMALL(IF($AP$1:$AP$48&lt;&gt;"",ROW($AP$1:$AP$48),4^8),ROW(25:25)))&amp;"","")</f>
        <v>布甲</v>
      </c>
    </row>
    <row r="27" spans="1:52" ht="16.899999999999999" customHeight="1" x14ac:dyDescent="0.15">
      <c r="A27" s="80" t="s">
        <v>359</v>
      </c>
      <c r="B27" s="80" t="s">
        <v>360</v>
      </c>
      <c r="C27" s="80" t="s">
        <v>207</v>
      </c>
      <c r="D27" s="80">
        <v>2</v>
      </c>
      <c r="E27" s="80">
        <f>背包!AP18*IF(ISBLANK(背包!AS18),1,背包!AS18)</f>
        <v>0</v>
      </c>
      <c r="F27" s="69">
        <f>背包!S42*IF(ISBLANK(背包!V42),1,背包!V42)</f>
        <v>0</v>
      </c>
      <c r="G27" s="80">
        <f>背包!AP42*IF(ISBLANK(背包!AS42),1,背包!AS42)</f>
        <v>0</v>
      </c>
      <c r="H27" s="80"/>
      <c r="I27" s="80"/>
      <c r="K27" s="72" t="str" cm="1">
        <f t="array" ref="K27">IFERROR(INDEX($L$1:$L$45,SMALL(IF($L$1:$L$45&lt;&gt;"",ROW($L$1:$L$45),4^8),ROW($A28:$S28)))&amp;"","")</f>
        <v>风笛</v>
      </c>
      <c r="L27" s="80" t="s">
        <v>361</v>
      </c>
      <c r="M27" s="69" t="s">
        <v>80</v>
      </c>
      <c r="N27" s="80" t="s">
        <v>362</v>
      </c>
      <c r="O27" s="80" t="s">
        <v>330</v>
      </c>
      <c r="P27" s="69" t="s">
        <v>330</v>
      </c>
      <c r="Q27" s="80">
        <v>0</v>
      </c>
      <c r="T27" s="69">
        <f>IF(主要!P43="O",1,0)</f>
        <v>0</v>
      </c>
      <c r="V27" s="453" t="s">
        <v>8303</v>
      </c>
      <c r="AE27" s="56"/>
      <c r="AF27" s="57" t="s">
        <v>664</v>
      </c>
      <c r="AG27" s="176" t="str" cm="1">
        <f t="array" ref="AG27">IFERROR(INDEX($AH$1:$AH$85,SMALL(IF($AH$1:$AH$85&lt;&gt;"",ROW($AH$1:$AH$85),4^8),ROW(AH26)))&amp;"","")</f>
        <v>骑枪</v>
      </c>
      <c r="AH27" s="59" t="s">
        <v>598</v>
      </c>
      <c r="AI27" s="59" t="s">
        <v>536</v>
      </c>
      <c r="AJ27" s="59" t="s">
        <v>563</v>
      </c>
      <c r="AK27" s="59" t="s">
        <v>599</v>
      </c>
      <c r="AL27" s="59" t="s">
        <v>560</v>
      </c>
      <c r="AM27" s="59">
        <v>5</v>
      </c>
      <c r="AN27" s="59" t="s">
        <v>600</v>
      </c>
      <c r="AO27" s="248" t="s">
        <v>2990</v>
      </c>
      <c r="AP27" s="54" t="s">
        <v>10972</v>
      </c>
      <c r="AQ27" s="54">
        <v>14</v>
      </c>
      <c r="AR27" s="54">
        <v>5</v>
      </c>
      <c r="AS27" s="54"/>
      <c r="AT27" s="54" t="s">
        <v>10973</v>
      </c>
      <c r="AV27" s="56"/>
      <c r="AW27" s="56"/>
      <c r="AX27" s="56"/>
      <c r="AZ27" s="176" t="str" cm="1">
        <f t="array" ref="AZ27">IFERROR(INDEX($AP$1:$AP$48,SMALL(IF($AP$1:$AP$48&lt;&gt;"",ROW($AP$1:$AP$48),4^8),ROW(26:26)))&amp;"","")</f>
        <v>皮甲</v>
      </c>
    </row>
    <row r="28" spans="1:52" ht="16.899999999999999" customHeight="1" x14ac:dyDescent="0.15">
      <c r="A28" s="84" t="s">
        <v>364</v>
      </c>
      <c r="B28" s="84" t="s">
        <v>365</v>
      </c>
      <c r="C28" s="84" t="s">
        <v>366</v>
      </c>
      <c r="D28" s="84">
        <v>0</v>
      </c>
      <c r="E28" s="80">
        <f>背包!AP19*IF(ISBLANK(背包!AS19),1,背包!AS19)</f>
        <v>0</v>
      </c>
      <c r="F28" s="69">
        <f>背包!S43*IF(ISBLANK(背包!V43),1,背包!V43)</f>
        <v>0</v>
      </c>
      <c r="G28" s="80">
        <f>背包!AP43*IF(ISBLANK(背包!AS43),1,背包!AS43)</f>
        <v>0</v>
      </c>
      <c r="H28" s="80"/>
      <c r="I28" s="80"/>
      <c r="K28" s="72" t="str" cm="1">
        <f t="array" ref="K28">IFERROR(INDEX($L$1:$L$45,SMALL(IF($L$1:$L$45&lt;&gt;"",ROW($L$1:$L$45),4^8),ROW($A29:$S29)))&amp;"","")</f>
        <v>鼓</v>
      </c>
      <c r="L28" s="69" t="s">
        <v>367</v>
      </c>
      <c r="M28" s="69" t="s">
        <v>80</v>
      </c>
      <c r="N28" s="80" t="s">
        <v>362</v>
      </c>
      <c r="O28" s="80" t="s">
        <v>330</v>
      </c>
      <c r="P28" s="80" t="s">
        <v>257</v>
      </c>
      <c r="Q28" s="69">
        <v>6</v>
      </c>
      <c r="T28" s="69">
        <f>IF(主要!P44="O",1,0)</f>
        <v>0</v>
      </c>
      <c r="V28" s="453" t="s">
        <v>637</v>
      </c>
      <c r="AF28" s="57" t="s">
        <v>667</v>
      </c>
      <c r="AG28" s="176" t="str" cm="1">
        <f t="array" ref="AG28">IFERROR(INDEX($AH$1:$AH$85,SMALL(IF($AH$1:$AH$85&lt;&gt;"",ROW($AH$1:$AH$85),4^8),ROW(AH27)))&amp;"","")</f>
        <v>长剑</v>
      </c>
      <c r="AH28" s="26" t="s">
        <v>602</v>
      </c>
      <c r="AI28" s="26" t="s">
        <v>533</v>
      </c>
      <c r="AJ28" s="26" t="s">
        <v>563</v>
      </c>
      <c r="AK28" s="26" t="s">
        <v>603</v>
      </c>
      <c r="AL28" s="26" t="s">
        <v>574</v>
      </c>
      <c r="AM28" s="26">
        <v>2</v>
      </c>
      <c r="AN28" s="26" t="s">
        <v>600</v>
      </c>
      <c r="AO28" s="180" t="s">
        <v>76</v>
      </c>
      <c r="AP28" s="54" t="s">
        <v>10436</v>
      </c>
      <c r="AQ28" s="54" t="str">
        <f>""</f>
        <v/>
      </c>
      <c r="AR28" s="54" t="str">
        <f>""</f>
        <v/>
      </c>
      <c r="AS28" s="54" t="str">
        <f>""</f>
        <v/>
      </c>
      <c r="AT28" s="54" t="str">
        <f>""</f>
        <v/>
      </c>
      <c r="AV28" s="56"/>
      <c r="AW28" s="56"/>
      <c r="AX28" s="56"/>
      <c r="AZ28" s="176" t="str" cm="1">
        <f t="array" ref="AZ28">IFERROR(INDEX($AP$1:$AP$48,SMALL(IF($AP$1:$AP$48&lt;&gt;"",ROW($AP$1:$AP$48),4^8),ROW(27:27)))&amp;"","")</f>
        <v>镶钉皮甲</v>
      </c>
    </row>
    <row r="29" spans="1:52" ht="16.899999999999999" customHeight="1" x14ac:dyDescent="0.15">
      <c r="A29" s="80" t="s">
        <v>368</v>
      </c>
      <c r="B29" s="80" t="s">
        <v>369</v>
      </c>
      <c r="C29" s="80" t="s">
        <v>207</v>
      </c>
      <c r="D29" s="80">
        <v>1</v>
      </c>
      <c r="E29" s="80">
        <f>背包!AP20*IF(ISBLANK(背包!AS20),1,背包!AS20)</f>
        <v>0</v>
      </c>
      <c r="F29" s="69">
        <f>背包!S44*IF(ISBLANK(背包!V44),1,背包!V44)</f>
        <v>0</v>
      </c>
      <c r="G29" s="80">
        <f>背包!AP44*IF(ISBLANK(背包!AS44),1,背包!AS44)</f>
        <v>0</v>
      </c>
      <c r="H29" s="80"/>
      <c r="I29" s="80"/>
      <c r="K29" s="72" t="str" cm="1">
        <f t="array" ref="K29">IFERROR(INDEX($L$1:$L$45,SMALL(IF($L$1:$L$45&lt;&gt;"",ROW($L$1:$L$45),4^8),ROW($A30:$S30)))&amp;"","")</f>
        <v>扬琴</v>
      </c>
      <c r="L29" s="69" t="s">
        <v>370</v>
      </c>
      <c r="M29" s="69" t="s">
        <v>80</v>
      </c>
      <c r="N29" s="80" t="s">
        <v>362</v>
      </c>
      <c r="O29" s="80" t="s">
        <v>330</v>
      </c>
      <c r="P29" s="80" t="s">
        <v>371</v>
      </c>
      <c r="Q29" s="69">
        <v>3</v>
      </c>
      <c r="T29" s="69">
        <f>IF(主要!P45="O",1,0)</f>
        <v>0</v>
      </c>
      <c r="V29" s="453" t="s">
        <v>641</v>
      </c>
      <c r="AF29" s="55" t="s">
        <v>671</v>
      </c>
      <c r="AG29" s="176" t="str" cm="1">
        <f t="array" ref="AG29">IFERROR(INDEX($AH$1:$AH$85,SMALL(IF($AH$1:$AH$85&lt;&gt;"",ROW($AH$1:$AH$85),4^8),ROW(AH28)))&amp;"","")</f>
        <v>巨锤</v>
      </c>
      <c r="AH29" s="59" t="s">
        <v>606</v>
      </c>
      <c r="AI29" s="59" t="s">
        <v>558</v>
      </c>
      <c r="AJ29" s="59" t="s">
        <v>556</v>
      </c>
      <c r="AK29" s="59" t="s">
        <v>607</v>
      </c>
      <c r="AL29" s="59" t="s">
        <v>560</v>
      </c>
      <c r="AM29" s="59">
        <v>0</v>
      </c>
      <c r="AN29" s="59" t="s">
        <v>561</v>
      </c>
      <c r="AO29" s="248" t="s">
        <v>76</v>
      </c>
      <c r="AP29" s="411" t="s">
        <v>653</v>
      </c>
      <c r="AQ29" s="411">
        <v>11</v>
      </c>
      <c r="AR29" s="54">
        <f>主要!$R$14</f>
        <v>0</v>
      </c>
      <c r="AS29" s="54">
        <v>8</v>
      </c>
      <c r="AT29" s="54" t="s">
        <v>654</v>
      </c>
      <c r="AV29" s="56"/>
      <c r="AW29" s="56"/>
      <c r="AX29" s="56"/>
      <c r="AZ29" s="176" t="str" cm="1">
        <f t="array" ref="AZ29">IFERROR(INDEX($AP$1:$AP$48,SMALL(IF($AP$1:$AP$48&lt;&gt;"",ROW($AP$1:$AP$48),4^8),ROW(28:28)))&amp;"","")</f>
        <v>—中甲—</v>
      </c>
    </row>
    <row r="30" spans="1:52" ht="16.899999999999999" customHeight="1" x14ac:dyDescent="0.15">
      <c r="A30" s="84" t="s">
        <v>372</v>
      </c>
      <c r="B30" s="84" t="s">
        <v>373</v>
      </c>
      <c r="C30" s="84" t="s">
        <v>207</v>
      </c>
      <c r="D30" s="84">
        <v>1</v>
      </c>
      <c r="E30" s="80">
        <f>背包!AP21*IF(ISBLANK(背包!AS21),1,背包!AS21)</f>
        <v>0</v>
      </c>
      <c r="F30" s="69">
        <f>背包!S45*IF(ISBLANK(背包!V45),1,背包!V45)</f>
        <v>0</v>
      </c>
      <c r="G30" s="80">
        <f>背包!AP45*IF(ISBLANK(背包!AS45),1,背包!AS45)</f>
        <v>0</v>
      </c>
      <c r="H30" s="80"/>
      <c r="I30" s="80"/>
      <c r="K30" s="72" t="str" cm="1">
        <f t="array" ref="K30">IFERROR(INDEX($L$1:$L$45,SMALL(IF($L$1:$L$45&lt;&gt;"",ROW($L$1:$L$45),4^8),ROW($A31:$S31)))&amp;"","")</f>
        <v>长笛</v>
      </c>
      <c r="L30" s="69" t="s">
        <v>374</v>
      </c>
      <c r="M30" s="69" t="s">
        <v>80</v>
      </c>
      <c r="N30" s="80" t="s">
        <v>362</v>
      </c>
      <c r="O30" s="80" t="s">
        <v>330</v>
      </c>
      <c r="P30" s="69" t="s">
        <v>186</v>
      </c>
      <c r="Q30" s="69">
        <v>10</v>
      </c>
      <c r="T30" s="69">
        <f>IF(主要!P46="O",1,0)</f>
        <v>0</v>
      </c>
      <c r="V30" s="453" t="s">
        <v>10936</v>
      </c>
      <c r="AF30" s="56"/>
      <c r="AG30" s="176" t="str" cm="1">
        <f t="array" ref="AG30">IFERROR(INDEX($AH$1:$AH$85,SMALL(IF($AH$1:$AH$85&lt;&gt;"",ROW($AH$1:$AH$85),4^8),ROW(AH29)))&amp;"","")</f>
        <v>钉头锤</v>
      </c>
      <c r="AH30" s="67" t="str">
        <f>IF(自定义调整栏!$E$34="O","双管霰弹枪","")</f>
        <v/>
      </c>
      <c r="AI30" s="67" t="s">
        <v>6867</v>
      </c>
      <c r="AJ30" s="67" t="s">
        <v>6857</v>
      </c>
      <c r="AK30" s="67" t="s">
        <v>6917</v>
      </c>
      <c r="AL30" s="67" t="s">
        <v>6863</v>
      </c>
      <c r="AM30" s="67">
        <v>8</v>
      </c>
      <c r="AN30" s="67" t="s">
        <v>6916</v>
      </c>
      <c r="AO30" s="180" t="s">
        <v>2990</v>
      </c>
      <c r="AP30" s="411" t="s">
        <v>657</v>
      </c>
      <c r="AQ30" s="411">
        <v>11</v>
      </c>
      <c r="AR30" s="54">
        <f>主要!$R$14</f>
        <v>0</v>
      </c>
      <c r="AS30" s="54">
        <v>10</v>
      </c>
      <c r="AT30" s="54" t="str">
        <f>""</f>
        <v/>
      </c>
      <c r="AV30" s="56"/>
      <c r="AW30" s="56"/>
      <c r="AX30" s="56"/>
      <c r="AZ30" s="176" t="str" cm="1">
        <f t="array" ref="AZ30">IFERROR(INDEX($AP$1:$AP$48,SMALL(IF($AP$1:$AP$48&lt;&gt;"",ROW($AP$1:$AP$48),4^8),ROW(29:29)))&amp;"","")</f>
        <v>兽皮甲</v>
      </c>
    </row>
    <row r="31" spans="1:52" ht="16.899999999999999" customHeight="1" x14ac:dyDescent="0.15">
      <c r="A31" s="80" t="s">
        <v>375</v>
      </c>
      <c r="B31" s="80" t="s">
        <v>376</v>
      </c>
      <c r="C31" s="80" t="s">
        <v>241</v>
      </c>
      <c r="D31" s="80">
        <v>10</v>
      </c>
      <c r="E31" s="80">
        <f>背包!AP22*IF(ISBLANK(背包!AS22),1,背包!AS22)</f>
        <v>0</v>
      </c>
      <c r="F31" s="69">
        <f>背包!S46*IF(ISBLANK(背包!V46),1,背包!V46)</f>
        <v>0</v>
      </c>
      <c r="G31" s="80">
        <f>背包!AP46*IF(ISBLANK(背包!AS46),1,背包!AS46)</f>
        <v>0</v>
      </c>
      <c r="H31" s="80"/>
      <c r="I31" s="80"/>
      <c r="K31" s="72" t="str" cm="1">
        <f t="array" ref="K31">IFERROR(INDEX($L$1:$L$45,SMALL(IF($L$1:$L$45&lt;&gt;"",ROW($L$1:$L$45),4^8),ROW($A32:$S32)))&amp;"","")</f>
        <v>号角</v>
      </c>
      <c r="L31" s="69" t="s">
        <v>377</v>
      </c>
      <c r="M31" s="69" t="s">
        <v>80</v>
      </c>
      <c r="N31" s="80" t="s">
        <v>362</v>
      </c>
      <c r="O31" s="80" t="s">
        <v>330</v>
      </c>
      <c r="P31" s="69" t="s">
        <v>292</v>
      </c>
      <c r="Q31" s="69">
        <v>1</v>
      </c>
      <c r="T31" s="69">
        <f>IF(主要!P47="O",1,0)</f>
        <v>0</v>
      </c>
      <c r="V31" s="454" t="s">
        <v>184</v>
      </c>
      <c r="X31" s="80"/>
      <c r="Y31" s="80"/>
      <c r="AF31" s="56"/>
      <c r="AG31" s="176" t="str" cm="1">
        <f t="array" ref="AG31">IFERROR(INDEX($AH$1:$AH$85,SMALL(IF($AH$1:$AH$85&lt;&gt;"",ROW($AH$1:$AH$85),4^8),ROW(AH30)))&amp;"","")</f>
        <v>长矛</v>
      </c>
      <c r="AH31" s="249" t="str">
        <f>IF(自定义调整栏!$E$34="O","狩猎步枪","")</f>
        <v/>
      </c>
      <c r="AI31" s="249" t="s">
        <v>6867</v>
      </c>
      <c r="AJ31" s="249" t="s">
        <v>6857</v>
      </c>
      <c r="AK31" s="249" t="s">
        <v>6915</v>
      </c>
      <c r="AL31" s="249" t="s">
        <v>6859</v>
      </c>
      <c r="AM31" s="249">
        <v>8</v>
      </c>
      <c r="AN31" s="249" t="s">
        <v>6914</v>
      </c>
      <c r="AO31" s="248" t="s">
        <v>2990</v>
      </c>
      <c r="AP31" s="411" t="s">
        <v>660</v>
      </c>
      <c r="AQ31" s="411">
        <v>12</v>
      </c>
      <c r="AR31" s="54">
        <f>主要!$R$14</f>
        <v>0</v>
      </c>
      <c r="AS31" s="54">
        <v>13</v>
      </c>
      <c r="AT31" s="54" t="str">
        <f>""</f>
        <v/>
      </c>
      <c r="AV31" s="56"/>
      <c r="AW31" s="56"/>
      <c r="AX31" s="56"/>
      <c r="AZ31" s="176" t="str" cm="1">
        <f t="array" ref="AZ31">IFERROR(INDEX($AP$1:$AP$48,SMALL(IF($AP$1:$AP$48&lt;&gt;"",ROW($AP$1:$AP$48),4^8),ROW(30:30)))&amp;"","")</f>
        <v>链甲衫</v>
      </c>
    </row>
    <row r="32" spans="1:52" ht="16.899999999999999" customHeight="1" x14ac:dyDescent="0.15">
      <c r="A32" s="84" t="s">
        <v>378</v>
      </c>
      <c r="B32" s="84" t="s">
        <v>379</v>
      </c>
      <c r="C32" s="84" t="s">
        <v>241</v>
      </c>
      <c r="D32" s="84">
        <v>25</v>
      </c>
      <c r="E32" s="80">
        <f>背包!AP23*IF(ISBLANK(背包!AS23),1,背包!AS23)</f>
        <v>0</v>
      </c>
      <c r="F32" s="69">
        <f>背包!S47*IF(ISBLANK(背包!V47),1,背包!V47)</f>
        <v>0</v>
      </c>
      <c r="G32" s="80">
        <f>背包!AP47*IF(ISBLANK(背包!AS47),1,背包!AS47)</f>
        <v>0</v>
      </c>
      <c r="H32" s="80"/>
      <c r="I32" s="80"/>
      <c r="K32" s="72" t="str" cm="1">
        <f t="array" ref="K32">IFERROR(INDEX($L$1:$L$45,SMALL(IF($L$1:$L$45&lt;&gt;"",ROW($L$1:$L$45),4^8),ROW($A33:$S33)))&amp;"","")</f>
        <v>鲁特琴</v>
      </c>
      <c r="L32" s="69" t="s">
        <v>380</v>
      </c>
      <c r="M32" s="69" t="s">
        <v>80</v>
      </c>
      <c r="N32" s="80" t="s">
        <v>362</v>
      </c>
      <c r="O32" s="80" t="s">
        <v>330</v>
      </c>
      <c r="P32" s="69" t="s">
        <v>227</v>
      </c>
      <c r="Q32" s="69">
        <v>2</v>
      </c>
      <c r="T32" s="69">
        <f>IF(主要!P48="O",1,0)</f>
        <v>0</v>
      </c>
      <c r="X32" s="80"/>
      <c r="Y32" s="80"/>
      <c r="AF32" s="56"/>
      <c r="AG32" s="176" t="str" cm="1">
        <f t="array" ref="AG32">IFERROR(INDEX($AH$1:$AH$85,SMALL(IF($AH$1:$AH$85&lt;&gt;"",ROW($AH$1:$AH$85),4^8),ROW(AH31)))&amp;"","")</f>
        <v>刺剑</v>
      </c>
      <c r="AH32" s="67" t="str">
        <f>IF(自定义调整栏!$E$34="O","袖珍手枪","")</f>
        <v/>
      </c>
      <c r="AI32" s="67" t="s">
        <v>6853</v>
      </c>
      <c r="AJ32" s="67" t="s">
        <v>6857</v>
      </c>
      <c r="AK32" s="67" t="s">
        <v>6913</v>
      </c>
      <c r="AL32" s="67" t="s">
        <v>6912</v>
      </c>
      <c r="AM32" s="67">
        <v>1</v>
      </c>
      <c r="AN32" s="67" t="s">
        <v>6911</v>
      </c>
      <c r="AO32" s="180" t="s">
        <v>2990</v>
      </c>
      <c r="AP32" s="411" t="str">
        <f>IF(自定义调整栏!$E$33="O","树皮甲","")</f>
        <v/>
      </c>
      <c r="AQ32" s="411">
        <v>11</v>
      </c>
      <c r="AR32" s="54">
        <f>主要!$R$14</f>
        <v>0</v>
      </c>
      <c r="AS32" s="54">
        <v>14</v>
      </c>
      <c r="AT32" s="54" t="s">
        <v>6936</v>
      </c>
      <c r="AU32" s="56"/>
      <c r="AV32" s="56"/>
      <c r="AW32" s="56"/>
      <c r="AZ32" s="176" t="str" cm="1">
        <f t="array" ref="AZ32">IFERROR(INDEX($AP$1:$AP$48,SMALL(IF($AP$1:$AP$48&lt;&gt;"",ROW($AP$1:$AP$48),4^8),ROW(31:31)))&amp;"","")</f>
        <v>鳞甲</v>
      </c>
    </row>
    <row r="33" spans="1:52" ht="16.899999999999999" customHeight="1" x14ac:dyDescent="0.15">
      <c r="A33" s="80" t="s">
        <v>240</v>
      </c>
      <c r="B33" s="80" t="s">
        <v>381</v>
      </c>
      <c r="C33" s="80" t="s">
        <v>186</v>
      </c>
      <c r="D33" s="80">
        <v>12</v>
      </c>
      <c r="E33" s="80">
        <f>背包!AP24*IF(ISBLANK(背包!AS24),1,背包!AS24)</f>
        <v>0</v>
      </c>
      <c r="F33" s="69">
        <f>背包!S48*IF(ISBLANK(背包!V48),1,背包!V48)</f>
        <v>0</v>
      </c>
      <c r="G33" s="80">
        <f>背包!AP48*IF(ISBLANK(背包!AS48),1,背包!AS48)</f>
        <v>0</v>
      </c>
      <c r="H33" s="80"/>
      <c r="I33" s="80"/>
      <c r="K33" s="72" t="str" cm="1">
        <f t="array" ref="K33">IFERROR(INDEX($L$1:$L$45,SMALL(IF($L$1:$L$45&lt;&gt;"",ROW($L$1:$L$45),4^8),ROW($A34:$S34)))&amp;"","")</f>
        <v>里拉琴</v>
      </c>
      <c r="L33" s="69" t="s">
        <v>382</v>
      </c>
      <c r="M33" s="69" t="s">
        <v>80</v>
      </c>
      <c r="N33" s="80" t="s">
        <v>362</v>
      </c>
      <c r="O33" s="80" t="s">
        <v>330</v>
      </c>
      <c r="P33" s="69" t="s">
        <v>383</v>
      </c>
      <c r="Q33" s="69">
        <v>2</v>
      </c>
      <c r="T33" s="69">
        <f>IF(主要!P49="O",1,0)</f>
        <v>0</v>
      </c>
      <c r="V33" s="456" t="s">
        <v>10793</v>
      </c>
      <c r="W33" s="456" t="s">
        <v>10794</v>
      </c>
      <c r="X33" s="456" t="s">
        <v>10795</v>
      </c>
      <c r="Y33" s="456" t="s">
        <v>107</v>
      </c>
      <c r="Z33" s="456" t="s">
        <v>10794</v>
      </c>
      <c r="AA33" s="456" t="s">
        <v>10793</v>
      </c>
      <c r="AB33" s="456" t="s">
        <v>10794</v>
      </c>
      <c r="AC33" s="456" t="s">
        <v>10800</v>
      </c>
      <c r="AF33" s="485" t="s">
        <v>10949</v>
      </c>
      <c r="AG33" s="176" t="str" cm="1">
        <f t="array" ref="AG33">IFERROR(INDEX($AH$1:$AH$85,SMALL(IF($AH$1:$AH$85&lt;&gt;"",ROW($AH$1:$AH$85),4^8),ROW(AH32)))&amp;"","")</f>
        <v>弯刀</v>
      </c>
      <c r="AH33" s="249" t="str">
        <f>IF(自定义调整栏!$E$34="O","左轮枪","")</f>
        <v/>
      </c>
      <c r="AI33" s="249" t="s">
        <v>6867</v>
      </c>
      <c r="AJ33" s="249" t="s">
        <v>6857</v>
      </c>
      <c r="AK33" s="249" t="s">
        <v>6910</v>
      </c>
      <c r="AL33" s="249" t="s">
        <v>6909</v>
      </c>
      <c r="AM33" s="249">
        <v>3</v>
      </c>
      <c r="AN33" s="249" t="s">
        <v>6906</v>
      </c>
      <c r="AO33" s="248" t="s">
        <v>2990</v>
      </c>
      <c r="AP33" s="54" t="s">
        <v>10437</v>
      </c>
      <c r="AQ33" s="54" t="str">
        <f>""</f>
        <v/>
      </c>
      <c r="AR33" s="54" t="str">
        <f>""</f>
        <v/>
      </c>
      <c r="AS33" s="54" t="str">
        <f>""</f>
        <v/>
      </c>
      <c r="AT33" s="54" t="str">
        <f>""</f>
        <v/>
      </c>
      <c r="AZ33" s="176" t="str" cm="1">
        <f t="array" ref="AZ33">IFERROR(INDEX($AP$1:$AP$48,SMALL(IF($AP$1:$AP$48&lt;&gt;"",ROW($AP$1:$AP$48),4^8),ROW(32:32)))&amp;"","")</f>
        <v>胸甲</v>
      </c>
    </row>
    <row r="34" spans="1:52" ht="16.899999999999999" customHeight="1" x14ac:dyDescent="0.15">
      <c r="A34" s="84" t="s">
        <v>384</v>
      </c>
      <c r="B34" s="84" t="s">
        <v>385</v>
      </c>
      <c r="C34" s="84" t="s">
        <v>231</v>
      </c>
      <c r="D34" s="84">
        <v>6</v>
      </c>
      <c r="E34" s="80">
        <f>背包!AP25*IF(ISBLANK(背包!AS25),1,背包!AS25)</f>
        <v>0</v>
      </c>
      <c r="F34" s="69">
        <f>背包!S49*IF(ISBLANK(背包!V49),1,背包!V49)</f>
        <v>0</v>
      </c>
      <c r="G34" s="80">
        <f>背包!AP49*IF(ISBLANK(背包!AS49),1,背包!AS49)</f>
        <v>0</v>
      </c>
      <c r="H34" s="80"/>
      <c r="I34" s="80"/>
      <c r="K34" s="72" t="str" cm="1">
        <f t="array" ref="K34">IFERROR(INDEX($L$1:$L$45,SMALL(IF($L$1:$L$45&lt;&gt;"",ROW($L$1:$L$45),4^8),ROW($A35:$S35)))&amp;"","")</f>
        <v>排箫</v>
      </c>
      <c r="L34" s="80" t="s">
        <v>386</v>
      </c>
      <c r="M34" s="69" t="s">
        <v>80</v>
      </c>
      <c r="N34" s="80" t="s">
        <v>362</v>
      </c>
      <c r="O34" s="80" t="s">
        <v>330</v>
      </c>
      <c r="P34" s="69" t="s">
        <v>257</v>
      </c>
      <c r="Q34" s="69">
        <v>2</v>
      </c>
      <c r="T34" s="69">
        <f>IF(主要!P50="O",1,0)</f>
        <v>0</v>
      </c>
      <c r="V34" s="457" t="s">
        <v>205</v>
      </c>
      <c r="W34" s="457" t="s">
        <v>10796</v>
      </c>
      <c r="X34" s="457" t="s">
        <v>481</v>
      </c>
      <c r="Y34" s="457">
        <v>1</v>
      </c>
      <c r="Z34" s="457">
        <v>20</v>
      </c>
      <c r="AA34" s="53" t="str">
        <f>IF(主要!AK30="","-",主要!AK30)</f>
        <v>箭矢</v>
      </c>
      <c r="AB34" s="53" t="str">
        <f>IFERROR(VLOOKUP(AA34,$V$34:$X$38,2,FALSE),"")</f>
        <v>20/1磅</v>
      </c>
      <c r="AC34" s="53">
        <f>ROUND(ROUND(主要!AS30/VLOOKUP(AA34,$V$34:$Z$38,5,FALSE),1)*VLOOKUP(AA34,$V$34:$Z$38,4,FALSE),1)</f>
        <v>0</v>
      </c>
      <c r="AF34" s="61" t="s">
        <v>10950</v>
      </c>
      <c r="AG34" s="176" t="str" cm="1">
        <f t="array" ref="AG34">IFERROR(INDEX($AH$1:$AH$85,SMALL(IF($AH$1:$AH$85&lt;&gt;"",ROW($AH$1:$AH$85),4^8),ROW(AH33)))&amp;"","")</f>
        <v>短剑</v>
      </c>
      <c r="AH34" s="67" t="str">
        <f>IF(自定义调整栏!$E$34="O","信号枪","")</f>
        <v/>
      </c>
      <c r="AI34" s="67" t="s">
        <v>6867</v>
      </c>
      <c r="AJ34" s="67" t="s">
        <v>6876</v>
      </c>
      <c r="AK34" s="67" t="s">
        <v>6908</v>
      </c>
      <c r="AL34" s="67" t="s">
        <v>6869</v>
      </c>
      <c r="AM34" s="67">
        <v>1</v>
      </c>
      <c r="AN34" s="67" t="s">
        <v>6900</v>
      </c>
      <c r="AO34" s="180" t="s">
        <v>2990</v>
      </c>
      <c r="AP34" s="411" t="s">
        <v>666</v>
      </c>
      <c r="AQ34" s="411">
        <v>12</v>
      </c>
      <c r="AR34" s="54">
        <f>IF(主要!$R$14&gt;=2,2,主要!$R$14)</f>
        <v>0</v>
      </c>
      <c r="AS34" s="54">
        <v>12</v>
      </c>
      <c r="AT34" s="54" t="str">
        <f>""</f>
        <v/>
      </c>
      <c r="AZ34" s="176" t="str" cm="1">
        <f t="array" ref="AZ34">IFERROR(INDEX($AP$1:$AP$48,SMALL(IF($AP$1:$AP$48&lt;&gt;"",ROW($AP$1:$AP$48),4^8),ROW(33:33)))&amp;"","")</f>
        <v>半身板甲</v>
      </c>
    </row>
    <row r="35" spans="1:52" ht="16.899999999999999" customHeight="1" x14ac:dyDescent="0.15">
      <c r="A35" s="80" t="s">
        <v>387</v>
      </c>
      <c r="B35" s="80" t="s">
        <v>388</v>
      </c>
      <c r="C35" s="80" t="s">
        <v>292</v>
      </c>
      <c r="D35" s="80">
        <v>4</v>
      </c>
      <c r="E35" s="80"/>
      <c r="F35" s="80"/>
      <c r="G35" s="80"/>
      <c r="H35" s="80"/>
      <c r="I35" s="80"/>
      <c r="K35" s="72" t="str" cm="1">
        <f t="array" ref="K35">IFERROR(INDEX($L$1:$L$45,SMALL(IF($L$1:$L$45&lt;&gt;"",ROW($L$1:$L$45),4^8),ROW($A36:$S36)))&amp;"","")</f>
        <v>芦笛</v>
      </c>
      <c r="L35" s="80" t="s">
        <v>389</v>
      </c>
      <c r="M35" s="69" t="s">
        <v>80</v>
      </c>
      <c r="N35" s="80" t="s">
        <v>362</v>
      </c>
      <c r="O35" s="80" t="s">
        <v>330</v>
      </c>
      <c r="P35" s="69" t="s">
        <v>390</v>
      </c>
      <c r="Q35" s="69">
        <v>2</v>
      </c>
      <c r="T35" s="69">
        <f>IF(主要!P51="O",1,0)</f>
        <v>0</v>
      </c>
      <c r="V35" s="458" t="s">
        <v>216</v>
      </c>
      <c r="W35" s="458" t="s">
        <v>10797</v>
      </c>
      <c r="X35" s="458" t="s">
        <v>368</v>
      </c>
      <c r="Y35" s="458">
        <v>1.5</v>
      </c>
      <c r="Z35" s="458">
        <v>20</v>
      </c>
      <c r="AF35" s="61" t="s">
        <v>10951</v>
      </c>
      <c r="AG35" s="176" t="str" cm="1">
        <f t="array" ref="AG35">IFERROR(INDEX($AH$1:$AH$85,SMALL(IF($AH$1:$AH$85&lt;&gt;"",ROW($AH$1:$AH$85),4^8),ROW(AH34)))&amp;"","")</f>
        <v>三叉戟</v>
      </c>
      <c r="AH35" s="249" t="str">
        <f>IF(自定义调整栏!$E$34="O","手枪","")</f>
        <v/>
      </c>
      <c r="AI35" s="249" t="s">
        <v>6853</v>
      </c>
      <c r="AJ35" s="249" t="s">
        <v>6857</v>
      </c>
      <c r="AK35" s="249" t="s">
        <v>6907</v>
      </c>
      <c r="AL35" s="249" t="s">
        <v>6877</v>
      </c>
      <c r="AM35" s="249">
        <v>3</v>
      </c>
      <c r="AN35" s="249" t="s">
        <v>6906</v>
      </c>
      <c r="AO35" s="248" t="s">
        <v>2990</v>
      </c>
      <c r="AP35" s="411" t="s">
        <v>670</v>
      </c>
      <c r="AQ35" s="411">
        <v>13</v>
      </c>
      <c r="AR35" s="54">
        <f>IF(主要!$R$14&gt;=2,2,主要!$R$14)</f>
        <v>0</v>
      </c>
      <c r="AS35" s="54">
        <v>20</v>
      </c>
      <c r="AT35" s="54" t="str">
        <f>""</f>
        <v/>
      </c>
      <c r="AZ35" s="176" t="str" cm="1">
        <f t="array" ref="AZ35">IFERROR(INDEX($AP$1:$AP$48,SMALL(IF($AP$1:$AP$48&lt;&gt;"",ROW($AP$1:$AP$48),4^8),ROW(34:34)))&amp;"","")</f>
        <v xml:space="preserve">—重甲—  </v>
      </c>
    </row>
    <row r="36" spans="1:52" ht="16.899999999999999" customHeight="1" x14ac:dyDescent="0.15">
      <c r="A36" s="84" t="s">
        <v>391</v>
      </c>
      <c r="B36" s="84" t="s">
        <v>392</v>
      </c>
      <c r="C36" s="84" t="s">
        <v>186</v>
      </c>
      <c r="D36" s="84">
        <v>2</v>
      </c>
      <c r="E36" s="80"/>
      <c r="F36" s="80"/>
      <c r="G36" s="80"/>
      <c r="H36" s="80"/>
      <c r="I36" s="80"/>
      <c r="K36" s="72" t="str" cm="1">
        <f t="array" ref="K36">IFERROR(INDEX($L$1:$L$45,SMALL(IF($L$1:$L$45&lt;&gt;"",ROW($L$1:$L$45),4^8),ROW($A37:$U37)))&amp;"","")</f>
        <v>提琴</v>
      </c>
      <c r="L36" s="80" t="s">
        <v>393</v>
      </c>
      <c r="M36" s="69" t="s">
        <v>80</v>
      </c>
      <c r="N36" s="80" t="s">
        <v>362</v>
      </c>
      <c r="O36" s="80" t="s">
        <v>330</v>
      </c>
      <c r="P36" s="69" t="s">
        <v>292</v>
      </c>
      <c r="Q36" s="69">
        <v>1</v>
      </c>
      <c r="S36" s="129" t="s">
        <v>8558</v>
      </c>
      <c r="T36" s="69">
        <f>IF(主要!AP40="O",1,0)</f>
        <v>0</v>
      </c>
      <c r="V36" s="457" t="s">
        <v>225</v>
      </c>
      <c r="W36" s="457" t="s">
        <v>10798</v>
      </c>
      <c r="X36" s="457" t="s">
        <v>476</v>
      </c>
      <c r="Y36" s="457">
        <v>2</v>
      </c>
      <c r="Z36" s="457">
        <v>10</v>
      </c>
      <c r="AF36" s="61" t="s">
        <v>10952</v>
      </c>
      <c r="AG36" s="176" t="str" cm="1">
        <f t="array" ref="AG36">IFERROR(INDEX($AH$1:$AH$85,SMALL(IF($AH$1:$AH$85&lt;&gt;"",ROW($AH$1:$AH$85),4^8),ROW(AH35)))&amp;"","")</f>
        <v>战镐</v>
      </c>
      <c r="AH36" s="837" t="s">
        <v>10441</v>
      </c>
      <c r="AI36" s="837"/>
      <c r="AJ36" s="837"/>
      <c r="AK36" s="837"/>
      <c r="AL36" s="837"/>
      <c r="AM36" s="837"/>
      <c r="AN36" s="837"/>
      <c r="AO36" s="837"/>
      <c r="AP36" s="411" t="s">
        <v>673</v>
      </c>
      <c r="AQ36" s="411">
        <v>14</v>
      </c>
      <c r="AR36" s="54">
        <f>IF(主要!$R$14&gt;=2,2,主要!$R$14)</f>
        <v>0</v>
      </c>
      <c r="AS36" s="54">
        <v>45</v>
      </c>
      <c r="AT36" s="54" t="s">
        <v>654</v>
      </c>
      <c r="AZ36" s="176" t="str" cm="1">
        <f t="array" ref="AZ36">IFERROR(INDEX($AP$1:$AP$48,SMALL(IF($AP$1:$AP$48&lt;&gt;"",ROW($AP$1:$AP$48),4^8),ROW(35:35)))&amp;"","")</f>
        <v>环甲</v>
      </c>
    </row>
    <row r="37" spans="1:52" ht="16.899999999999999" customHeight="1" x14ac:dyDescent="0.15">
      <c r="A37" s="80" t="s">
        <v>322</v>
      </c>
      <c r="B37" s="80" t="s">
        <v>394</v>
      </c>
      <c r="C37" s="80" t="s">
        <v>241</v>
      </c>
      <c r="D37" s="80">
        <v>4</v>
      </c>
      <c r="E37" s="80"/>
      <c r="F37" s="80"/>
      <c r="G37" s="80"/>
      <c r="H37" s="80"/>
      <c r="I37" s="80"/>
      <c r="K37" s="72" t="str" cm="1">
        <f t="array" ref="K37">IFERROR(INDEX($L$1:$L$45,SMALL(IF($L$1:$L$45&lt;&gt;"",ROW($L$1:$L$45),4^8),ROW($A38:$U38)))&amp;"","")</f>
        <v>班多里琴</v>
      </c>
      <c r="L37" s="80" t="s">
        <v>395</v>
      </c>
      <c r="M37" s="69" t="s">
        <v>80</v>
      </c>
      <c r="N37" s="80" t="s">
        <v>362</v>
      </c>
      <c r="O37" s="80" t="s">
        <v>330</v>
      </c>
      <c r="P37" s="129" t="s">
        <v>10052</v>
      </c>
      <c r="Q37" s="69">
        <v>1</v>
      </c>
      <c r="V37" s="458" t="s">
        <v>235</v>
      </c>
      <c r="W37" s="458" t="s">
        <v>10797</v>
      </c>
      <c r="X37" s="458" t="s">
        <v>476</v>
      </c>
      <c r="Y37" s="458">
        <v>1.5</v>
      </c>
      <c r="Z37" s="458">
        <v>20</v>
      </c>
      <c r="AF37" s="61" t="s">
        <v>10953</v>
      </c>
      <c r="AG37" s="176" t="str" cm="1">
        <f t="array" ref="AG37">IFERROR(INDEX($AH$1:$AH$85,SMALL(IF($AH$1:$AH$85&lt;&gt;"",ROW($AH$1:$AH$85),4^8),ROW(AH36)))&amp;"","")</f>
        <v>战锤</v>
      </c>
      <c r="AH37" s="67" t="s">
        <v>610</v>
      </c>
      <c r="AI37" s="67" t="s">
        <v>536</v>
      </c>
      <c r="AJ37" s="67" t="s">
        <v>572</v>
      </c>
      <c r="AK37" s="67" t="s">
        <v>611</v>
      </c>
      <c r="AL37" s="67" t="s">
        <v>586</v>
      </c>
      <c r="AM37" s="67">
        <v>4</v>
      </c>
      <c r="AN37" s="67" t="s">
        <v>612</v>
      </c>
      <c r="AO37" s="180" t="s">
        <v>74</v>
      </c>
      <c r="AP37" s="411" t="s">
        <v>675</v>
      </c>
      <c r="AQ37" s="411">
        <v>14</v>
      </c>
      <c r="AR37" s="54">
        <f>IF(主要!$R$14&gt;=2,2,主要!$R$14)</f>
        <v>0</v>
      </c>
      <c r="AS37" s="54">
        <v>20</v>
      </c>
      <c r="AT37" s="54" t="str">
        <f>""</f>
        <v/>
      </c>
      <c r="AZ37" s="176" t="str" cm="1">
        <f t="array" ref="AZ37">IFERROR(INDEX($AP$1:$AP$48,SMALL(IF($AP$1:$AP$48&lt;&gt;"",ROW($AP$1:$AP$48),4^8),ROW(36:36)))&amp;"","")</f>
        <v>链甲</v>
      </c>
    </row>
    <row r="38" spans="1:52" ht="16.899999999999999" customHeight="1" x14ac:dyDescent="0.15">
      <c r="A38" s="84" t="s">
        <v>396</v>
      </c>
      <c r="B38" s="84" t="s">
        <v>397</v>
      </c>
      <c r="C38" s="84" t="s">
        <v>292</v>
      </c>
      <c r="D38" s="84">
        <v>5</v>
      </c>
      <c r="E38" s="80"/>
      <c r="F38" s="80"/>
      <c r="G38" s="80"/>
      <c r="H38" s="80"/>
      <c r="I38" s="80"/>
      <c r="K38" s="72" t="str" cm="1">
        <f t="array" ref="K38">IFERROR(INDEX($L$1:$L$45,SMALL(IF($L$1:$L$45&lt;&gt;"",ROW($L$1:$L$45),4^8),ROW($A39:$W39)))&amp;"","")</f>
        <v>西特琴</v>
      </c>
      <c r="L38" s="80" t="str">
        <f>IF(自定义调整栏!$E$10="O","班多里琴","")</f>
        <v>班多里琴</v>
      </c>
      <c r="M38" s="69" t="s">
        <v>80</v>
      </c>
      <c r="N38" s="80" t="s">
        <v>362</v>
      </c>
      <c r="O38" s="80" t="s">
        <v>330</v>
      </c>
      <c r="P38" s="129" t="s">
        <v>10053</v>
      </c>
      <c r="Q38" s="69">
        <v>3</v>
      </c>
      <c r="S38" s="428" t="s">
        <v>10761</v>
      </c>
      <c r="T38" s="428" t="s">
        <v>10760</v>
      </c>
      <c r="V38" s="457" t="s">
        <v>245</v>
      </c>
      <c r="W38" s="457" t="s">
        <v>10799</v>
      </c>
      <c r="X38" s="457" t="s">
        <v>476</v>
      </c>
      <c r="Y38" s="457">
        <v>1</v>
      </c>
      <c r="Z38" s="457">
        <v>50</v>
      </c>
      <c r="AF38" s="485" t="s">
        <v>10954</v>
      </c>
      <c r="AG38" s="176" t="str" cm="1">
        <f t="array" ref="AG38">IFERROR(INDEX($AH$1:$AH$85,SMALL(IF($AH$1:$AH$85&lt;&gt;"",ROW($AH$1:$AH$85),4^8),ROW(AH37)))&amp;"","")</f>
        <v>鞭</v>
      </c>
      <c r="AH38" s="59" t="s">
        <v>615</v>
      </c>
      <c r="AI38" s="59" t="s">
        <v>536</v>
      </c>
      <c r="AJ38" s="59" t="s">
        <v>556</v>
      </c>
      <c r="AK38" s="59" t="str">
        <f>""</f>
        <v/>
      </c>
      <c r="AL38" s="59" t="s">
        <v>582</v>
      </c>
      <c r="AM38" s="59">
        <v>2</v>
      </c>
      <c r="AN38" s="59" t="s">
        <v>612</v>
      </c>
      <c r="AO38" s="248" t="s">
        <v>74</v>
      </c>
      <c r="AP38" s="411" t="s">
        <v>678</v>
      </c>
      <c r="AQ38" s="411">
        <v>15</v>
      </c>
      <c r="AR38" s="54">
        <f>IF(主要!$R$14&gt;=2,2,主要!$R$14)</f>
        <v>0</v>
      </c>
      <c r="AS38" s="54">
        <v>40</v>
      </c>
      <c r="AT38" s="54" t="s">
        <v>654</v>
      </c>
      <c r="AZ38" s="176" t="str" cm="1">
        <f t="array" ref="AZ38">IFERROR(INDEX($AP$1:$AP$48,SMALL(IF($AP$1:$AP$48&lt;&gt;"",ROW($AP$1:$AP$48),4^8),ROW(37:37)))&amp;"","")</f>
        <v>板条甲</v>
      </c>
    </row>
    <row r="39" spans="1:52" ht="16.899999999999999" customHeight="1" x14ac:dyDescent="0.15">
      <c r="A39" s="80" t="s">
        <v>400</v>
      </c>
      <c r="B39" s="80" t="s">
        <v>401</v>
      </c>
      <c r="C39" s="80" t="s">
        <v>402</v>
      </c>
      <c r="D39" s="80">
        <v>39</v>
      </c>
      <c r="E39" s="80"/>
      <c r="F39" s="80"/>
      <c r="G39" s="80"/>
      <c r="H39" s="80"/>
      <c r="I39" s="80"/>
      <c r="K39" s="72" t="str" cm="1">
        <f t="array" ref="K39">IFERROR(INDEX($L$1:$L$45,SMALL(IF($L$1:$L$45&lt;&gt;"",ROW($L$1:$L$45),4^8),ROW($A40:$W40)))&amp;"","")</f>
        <v>雅廷琴</v>
      </c>
      <c r="L39" s="80" t="str">
        <f>IF(自定义调整栏!$E$10="O","西特琴","")</f>
        <v>西特琴</v>
      </c>
      <c r="M39" s="69" t="s">
        <v>80</v>
      </c>
      <c r="N39" s="80" t="s">
        <v>362</v>
      </c>
      <c r="O39" s="80" t="s">
        <v>330</v>
      </c>
      <c r="P39" s="129" t="s">
        <v>10053</v>
      </c>
      <c r="Q39" s="69">
        <v>2</v>
      </c>
      <c r="S39" s="429" t="s">
        <v>302</v>
      </c>
      <c r="T39" s="429">
        <v>7.5</v>
      </c>
      <c r="AF39" s="485" t="s">
        <v>10955</v>
      </c>
      <c r="AG39" s="176" t="str" cm="1">
        <f t="array" ref="AG39">IFERROR(INDEX($AH$1:$AH$85,SMALL(IF($AH$1:$AH$85&lt;&gt;"",ROW($AH$1:$AH$85),4^8),ROW(AH38)))&amp;"","")</f>
        <v>双刃弯刀</v>
      </c>
      <c r="AH39" s="26" t="s">
        <v>618</v>
      </c>
      <c r="AI39" s="26" t="s">
        <v>540</v>
      </c>
      <c r="AJ39" s="26" t="s">
        <v>572</v>
      </c>
      <c r="AK39" s="26" t="s">
        <v>619</v>
      </c>
      <c r="AL39" s="26" t="s">
        <v>620</v>
      </c>
      <c r="AM39" s="26">
        <v>6</v>
      </c>
      <c r="AN39" s="26" t="s">
        <v>621</v>
      </c>
      <c r="AO39" s="180" t="s">
        <v>74</v>
      </c>
      <c r="AP39" s="411" t="str">
        <f>IF(自定义调整栏!$E$33="O","海藻甲","")</f>
        <v/>
      </c>
      <c r="AQ39" s="411">
        <v>15</v>
      </c>
      <c r="AR39" s="54">
        <f>IF(主要!$R$14&gt;=1,1,主要!$R$14)</f>
        <v>0</v>
      </c>
      <c r="AS39" s="54">
        <v>22</v>
      </c>
      <c r="AT39" s="54" t="str">
        <f>""</f>
        <v/>
      </c>
      <c r="AZ39" s="176" t="str" cm="1">
        <f t="array" ref="AZ39">IFERROR(INDEX($AP$1:$AP$48,SMALL(IF($AP$1:$AP$48&lt;&gt;"",ROW($AP$1:$AP$48),4^8),ROW(38:38)))&amp;"","")</f>
        <v>板甲</v>
      </c>
    </row>
    <row r="40" spans="1:52" ht="16.899999999999999" customHeight="1" x14ac:dyDescent="0.15">
      <c r="A40" s="84" t="s">
        <v>406</v>
      </c>
      <c r="B40" s="84" t="s">
        <v>407</v>
      </c>
      <c r="C40" s="84" t="s">
        <v>207</v>
      </c>
      <c r="D40" s="84">
        <v>0</v>
      </c>
      <c r="E40" s="80"/>
      <c r="F40" s="80"/>
      <c r="G40" s="80"/>
      <c r="H40" s="80"/>
      <c r="I40" s="80"/>
      <c r="K40" s="72" t="str" cm="1">
        <f t="array" ref="K40">IFERROR(INDEX($L$1:$L$45,SMALL(IF($L$1:$L$45&lt;&gt;"",ROW($L$1:$L$45),4^8),ROW($A41:$W41)))&amp;"","")</f>
        <v>领航工具</v>
      </c>
      <c r="L40" s="80" t="str">
        <f>IF(自定义调整栏!$E$10="O","雅廷琴","")</f>
        <v>雅廷琴</v>
      </c>
      <c r="M40" s="69" t="s">
        <v>80</v>
      </c>
      <c r="N40" s="80" t="s">
        <v>362</v>
      </c>
      <c r="O40" s="80" t="s">
        <v>330</v>
      </c>
      <c r="P40" s="129" t="s">
        <v>10054</v>
      </c>
      <c r="Q40" s="69">
        <v>2</v>
      </c>
      <c r="S40" s="430" t="s">
        <v>10762</v>
      </c>
      <c r="T40" s="430">
        <v>15</v>
      </c>
      <c r="AF40" s="485" t="s">
        <v>10956</v>
      </c>
      <c r="AG40" s="176" t="str" cm="1">
        <f t="array" ref="AG40">IFERROR(INDEX($AH$1:$AH$85,SMALL(IF($AH$1:$AH$85&lt;&gt;"",ROW($AH$1:$AH$85),4^8),ROW(AH39)))&amp;"","")</f>
        <v>—军用远程—</v>
      </c>
      <c r="AH40" s="59" t="s">
        <v>626</v>
      </c>
      <c r="AI40" s="59" t="s">
        <v>542</v>
      </c>
      <c r="AJ40" s="59" t="s">
        <v>572</v>
      </c>
      <c r="AK40" s="59" t="s">
        <v>627</v>
      </c>
      <c r="AL40" s="59" t="s">
        <v>628</v>
      </c>
      <c r="AM40" s="59">
        <v>7</v>
      </c>
      <c r="AN40" s="59" t="s">
        <v>629</v>
      </c>
      <c r="AO40" s="248" t="s">
        <v>74</v>
      </c>
      <c r="AP40" s="54" t="s">
        <v>10438</v>
      </c>
      <c r="AQ40" s="54" t="str">
        <f>""</f>
        <v/>
      </c>
      <c r="AR40" s="54" t="str">
        <f>""</f>
        <v/>
      </c>
      <c r="AS40" s="54" t="str">
        <f>""</f>
        <v/>
      </c>
      <c r="AT40" s="54" t="str">
        <f>""</f>
        <v/>
      </c>
      <c r="AZ40" s="176" t="str" cm="1">
        <f t="array" ref="AZ40">IFERROR(INDEX($AP$1:$AP$48,SMALL(IF($AP$1:$AP$48&lt;&gt;"",ROW($AP$1:$AP$48),4^8),ROW(39:39)))&amp;"","")</f>
        <v/>
      </c>
    </row>
    <row r="41" spans="1:52" ht="16.899999999999999" customHeight="1" x14ac:dyDescent="0.15">
      <c r="A41" s="80" t="s">
        <v>410</v>
      </c>
      <c r="B41" s="80" t="s">
        <v>407</v>
      </c>
      <c r="C41" s="80" t="s">
        <v>241</v>
      </c>
      <c r="D41" s="80">
        <v>4</v>
      </c>
      <c r="E41" s="80"/>
      <c r="F41" s="80"/>
      <c r="G41" s="80"/>
      <c r="H41" s="80"/>
      <c r="I41" s="80"/>
      <c r="K41" s="72" t="str" cm="1">
        <f t="array" ref="K41">IFERROR(INDEX($L$1:$L$45,SMALL(IF($L$1:$L$45&lt;&gt;"",ROW($L$1:$L$45),4^8),ROW($A42:$W42)))&amp;"","")</f>
        <v>毒药工具</v>
      </c>
      <c r="L41" s="80" t="s">
        <v>398</v>
      </c>
      <c r="M41" s="69" t="s">
        <v>79</v>
      </c>
      <c r="N41" s="80" t="s">
        <v>399</v>
      </c>
      <c r="O41" s="80" t="s">
        <v>330</v>
      </c>
      <c r="P41" s="69" t="s">
        <v>186</v>
      </c>
      <c r="Q41" s="80">
        <v>2</v>
      </c>
      <c r="S41" s="429" t="s">
        <v>9456</v>
      </c>
      <c r="T41" s="429">
        <v>15</v>
      </c>
      <c r="AF41" s="485" t="s">
        <v>10957</v>
      </c>
      <c r="AG41" s="176" t="str" cm="1">
        <f t="array" ref="AG41">IFERROR(INDEX($AH$1:$AH$85,SMALL(IF($AH$1:$AH$85&lt;&gt;"",ROW($AH$1:$AH$85),4^8),ROW(AH40)))&amp;"","")</f>
        <v>吹箭筒</v>
      </c>
      <c r="AH41" s="26" t="s">
        <v>632</v>
      </c>
      <c r="AI41" s="26" t="s">
        <v>633</v>
      </c>
      <c r="AJ41" s="26" t="s">
        <v>572</v>
      </c>
      <c r="AK41" s="26" t="s">
        <v>627</v>
      </c>
      <c r="AL41" s="26" t="s">
        <v>620</v>
      </c>
      <c r="AM41" s="26">
        <v>6</v>
      </c>
      <c r="AN41" s="26" t="s">
        <v>634</v>
      </c>
      <c r="AO41" s="180" t="s">
        <v>74</v>
      </c>
      <c r="AP41" s="411" t="s">
        <v>683</v>
      </c>
      <c r="AQ41" s="411">
        <v>14</v>
      </c>
      <c r="AR41" s="54" t="str">
        <f>""</f>
        <v/>
      </c>
      <c r="AS41" s="54">
        <v>40</v>
      </c>
      <c r="AT41" s="54" t="s">
        <v>654</v>
      </c>
      <c r="AZ41" s="176" t="str" cm="1">
        <f t="array" ref="AZ41">IFERROR(INDEX($AP$1:$AP$48,SMALL(IF($AP$1:$AP$48&lt;&gt;"",ROW($AP$1:$AP$48),4^8),ROW(40:40)))&amp;"","")</f>
        <v/>
      </c>
    </row>
    <row r="42" spans="1:52" ht="16.899999999999999" customHeight="1" x14ac:dyDescent="0.15">
      <c r="A42" s="84" t="s">
        <v>411</v>
      </c>
      <c r="B42" s="84" t="s">
        <v>407</v>
      </c>
      <c r="C42" s="84" t="s">
        <v>211</v>
      </c>
      <c r="D42" s="84">
        <v>1</v>
      </c>
      <c r="E42" s="80"/>
      <c r="F42" s="80"/>
      <c r="G42" s="80"/>
      <c r="H42" s="80"/>
      <c r="I42" s="80"/>
      <c r="K42" s="72" t="str" cm="1">
        <f t="array" ref="K42">IFERROR(INDEX($L$1:$L$45,SMALL(IF($L$1:$L$45&lt;&gt;"",ROW($L$1:$L$45),4^8),ROW($A43:$W43)))&amp;"","")</f>
        <v>盗贼工具</v>
      </c>
      <c r="L42" s="80" t="s">
        <v>403</v>
      </c>
      <c r="M42" s="69" t="s">
        <v>78</v>
      </c>
      <c r="N42" s="80" t="s">
        <v>404</v>
      </c>
      <c r="O42" s="80" t="s">
        <v>405</v>
      </c>
      <c r="P42" s="69" t="s">
        <v>190</v>
      </c>
      <c r="Q42" s="80">
        <v>2</v>
      </c>
      <c r="S42" s="430" t="s">
        <v>323</v>
      </c>
      <c r="T42" s="430">
        <v>30</v>
      </c>
      <c r="AF42" s="485" t="s">
        <v>10958</v>
      </c>
      <c r="AG42" s="176" t="str" cm="1">
        <f t="array" ref="AG42">IFERROR(INDEX($AH$1:$AH$85,SMALL(IF($AH$1:$AH$85&lt;&gt;"",ROW($AH$1:$AH$85),4^8),ROW(AH41)))&amp;"","")</f>
        <v>手弩</v>
      </c>
      <c r="AH42" s="59" t="s">
        <v>638</v>
      </c>
      <c r="AI42" s="59" t="s">
        <v>540</v>
      </c>
      <c r="AJ42" s="59" t="s">
        <v>572</v>
      </c>
      <c r="AK42" s="59" t="s">
        <v>619</v>
      </c>
      <c r="AL42" s="59" t="s">
        <v>628</v>
      </c>
      <c r="AM42" s="59">
        <v>6</v>
      </c>
      <c r="AN42" s="59" t="s">
        <v>621</v>
      </c>
      <c r="AO42" s="248" t="s">
        <v>74</v>
      </c>
      <c r="AP42" s="411" t="s">
        <v>686</v>
      </c>
      <c r="AQ42" s="411">
        <v>16</v>
      </c>
      <c r="AR42" s="54" t="str">
        <f>""</f>
        <v/>
      </c>
      <c r="AS42" s="54">
        <v>55</v>
      </c>
      <c r="AT42" s="54" t="s">
        <v>687</v>
      </c>
      <c r="AZ42" s="176" t="str" cm="1">
        <f t="array" ref="AZ42">IFERROR(INDEX($AP$1:$AP$48,SMALL(IF($AP$1:$AP$48&lt;&gt;"",ROW($AP$1:$AP$48),4^8),ROW(41:41)))&amp;"","")</f>
        <v/>
      </c>
    </row>
    <row r="43" spans="1:52" ht="16.899999999999999" customHeight="1" x14ac:dyDescent="0.15">
      <c r="A43" s="80" t="s">
        <v>412</v>
      </c>
      <c r="B43" s="80" t="s">
        <v>413</v>
      </c>
      <c r="C43" s="80" t="s">
        <v>390</v>
      </c>
      <c r="D43" s="80">
        <v>55</v>
      </c>
      <c r="E43" s="80"/>
      <c r="F43" s="80"/>
      <c r="G43" s="80"/>
      <c r="H43" s="80"/>
      <c r="I43" s="80"/>
      <c r="K43" s="72" t="str" cm="1">
        <f t="array" ref="K43">IFERROR(INDEX($L$1:$L$45,SMALL(IF($L$1:$L$45&lt;&gt;"",ROW($L$1:$L$45),4^8),ROW($A44:$W44)))&amp;"","")</f>
        <v/>
      </c>
      <c r="L43" s="77" t="s">
        <v>408</v>
      </c>
      <c r="M43" s="79" t="s">
        <v>76</v>
      </c>
      <c r="N43" s="77" t="s">
        <v>409</v>
      </c>
      <c r="O43" s="77" t="s">
        <v>330</v>
      </c>
      <c r="P43" s="77" t="s">
        <v>186</v>
      </c>
      <c r="Q43" s="77">
        <v>1</v>
      </c>
      <c r="S43" s="429" t="s">
        <v>331</v>
      </c>
      <c r="T43" s="429">
        <v>60</v>
      </c>
      <c r="AF43" s="485" t="s">
        <v>10959</v>
      </c>
      <c r="AG43" s="176" t="str" cm="1">
        <f t="array" ref="AG43">IFERROR(INDEX($AH$1:$AH$85,SMALL(IF($AH$1:$AH$85&lt;&gt;"",ROW($AH$1:$AH$85),4^8),ROW(AH42)))&amp;"","")</f>
        <v>重弩</v>
      </c>
      <c r="AH43" s="26" t="s">
        <v>642</v>
      </c>
      <c r="AI43" s="26" t="s">
        <v>540</v>
      </c>
      <c r="AJ43" s="26" t="s">
        <v>563</v>
      </c>
      <c r="AK43" s="26" t="s">
        <v>643</v>
      </c>
      <c r="AL43" s="26" t="s">
        <v>586</v>
      </c>
      <c r="AM43" s="26">
        <v>6</v>
      </c>
      <c r="AN43" s="26" t="s">
        <v>612</v>
      </c>
      <c r="AO43" s="180" t="s">
        <v>74</v>
      </c>
      <c r="AP43" s="411" t="s">
        <v>690</v>
      </c>
      <c r="AQ43" s="411">
        <v>17</v>
      </c>
      <c r="AR43" s="54" t="str">
        <f>""</f>
        <v/>
      </c>
      <c r="AS43" s="54">
        <v>60</v>
      </c>
      <c r="AT43" s="54" t="s">
        <v>691</v>
      </c>
      <c r="AZ43" s="176" t="str" cm="1">
        <f t="array" ref="AZ43">IFERROR(INDEX($AP$1:$AP$48,SMALL(IF($AP$1:$AP$48&lt;&gt;"",ROW($AP$1:$AP$48),4^8),ROW(42:42)))&amp;"","")</f>
        <v/>
      </c>
    </row>
    <row r="44" spans="1:52" ht="16.899999999999999" customHeight="1" x14ac:dyDescent="0.15">
      <c r="A44" s="84" t="s">
        <v>415</v>
      </c>
      <c r="B44" s="84" t="s">
        <v>416</v>
      </c>
      <c r="C44" s="84" t="s">
        <v>417</v>
      </c>
      <c r="D44" s="84">
        <v>58.5</v>
      </c>
      <c r="E44" s="80"/>
      <c r="F44" s="80"/>
      <c r="G44" s="80"/>
      <c r="H44" s="80"/>
      <c r="I44" s="80"/>
      <c r="K44" s="72" t="str" cm="1">
        <f t="array" ref="K44">IFERROR(INDEX($L$1:$L$45,SMALL(IF($L$1:$L$45&lt;&gt;"",ROW($L$1:$L$45),4^8),ROW($A45:$W45)))&amp;"","")</f>
        <v/>
      </c>
      <c r="L44" s="129" t="str">
        <f>IF(自定义调整栏!$E$36="O","指纹采集工具","")</f>
        <v/>
      </c>
      <c r="M44" s="129" t="s">
        <v>5532</v>
      </c>
      <c r="N44" s="67" t="s">
        <v>5535</v>
      </c>
      <c r="O44" s="67" t="s">
        <v>5536</v>
      </c>
      <c r="P44" s="129" t="s">
        <v>5533</v>
      </c>
      <c r="Q44" s="69">
        <v>1</v>
      </c>
      <c r="S44" s="430" t="s">
        <v>10763</v>
      </c>
      <c r="T44" s="430">
        <v>120</v>
      </c>
      <c r="AF44" s="485" t="s">
        <v>10960</v>
      </c>
      <c r="AG44" s="176" t="str" cm="1">
        <f t="array" ref="AG44">IFERROR(INDEX($AH$1:$AH$85,SMALL(IF($AH$1:$AH$85&lt;&gt;"",ROW($AH$1:$AH$85),4^8),ROW(AH43)))&amp;"","")</f>
        <v>长弓</v>
      </c>
      <c r="AH44" s="59" t="s">
        <v>646</v>
      </c>
      <c r="AI44" s="59" t="s">
        <v>536</v>
      </c>
      <c r="AJ44" s="59" t="s">
        <v>572</v>
      </c>
      <c r="AK44" s="59" t="s">
        <v>611</v>
      </c>
      <c r="AL44" s="59" t="s">
        <v>582</v>
      </c>
      <c r="AM44" s="59">
        <v>3</v>
      </c>
      <c r="AN44" s="59" t="s">
        <v>647</v>
      </c>
      <c r="AO44" s="248" t="s">
        <v>74</v>
      </c>
      <c r="AP44" s="411" t="str">
        <f>IF(自定义调整栏!$E$33="O","潜水甲","")</f>
        <v/>
      </c>
      <c r="AQ44" s="411">
        <v>17</v>
      </c>
      <c r="AR44" s="54" t="str">
        <f>""</f>
        <v/>
      </c>
      <c r="AS44" s="54">
        <v>100</v>
      </c>
      <c r="AT44" s="54" t="s">
        <v>6935</v>
      </c>
      <c r="AZ44" s="176" t="str" cm="1">
        <f t="array" ref="AZ44">IFERROR(INDEX($AP$1:$AP$48,SMALL(IF($AP$1:$AP$48&lt;&gt;"",ROW($AP$1:$AP$48),4^8),ROW(43:43)))&amp;"","")</f>
        <v/>
      </c>
    </row>
    <row r="45" spans="1:52" ht="16.899999999999999" customHeight="1" x14ac:dyDescent="0.15">
      <c r="A45" s="80" t="s">
        <v>418</v>
      </c>
      <c r="B45" s="80" t="s">
        <v>419</v>
      </c>
      <c r="C45" s="80" t="s">
        <v>211</v>
      </c>
      <c r="D45" s="80">
        <v>55</v>
      </c>
      <c r="E45" s="80"/>
      <c r="F45" s="80"/>
      <c r="G45" s="80"/>
      <c r="H45" s="80"/>
      <c r="I45" s="80"/>
      <c r="K45" s="72" t="str" cm="1">
        <f t="array" ref="K45">IFERROR(INDEX($L$1:$L$45,SMALL(IF($L$1:$L$45&lt;&gt;"",ROW($L$1:$L$45),4^8),ROW($A46:$W46)))&amp;"","")</f>
        <v/>
      </c>
      <c r="L45" s="129" t="str">
        <f>IF(自定义调整栏!$E$36="O","通灵板","")</f>
        <v/>
      </c>
      <c r="M45" s="129" t="s">
        <v>5537</v>
      </c>
      <c r="N45" s="67" t="s">
        <v>5538</v>
      </c>
      <c r="O45" s="67" t="s">
        <v>5539</v>
      </c>
      <c r="P45" s="129" t="s">
        <v>5534</v>
      </c>
      <c r="Q45" s="69">
        <v>1</v>
      </c>
      <c r="AF45" s="485" t="s">
        <v>10961</v>
      </c>
      <c r="AG45" s="176" t="str" cm="1">
        <f t="array" ref="AG45">IFERROR(INDEX($AH$1:$AH$85,SMALL(IF($AH$1:$AH$85&lt;&gt;"",ROW($AH$1:$AH$85),4^8),ROW(AH44)))&amp;"","")</f>
        <v>火铳</v>
      </c>
      <c r="AH45" s="26" t="s">
        <v>650</v>
      </c>
      <c r="AI45" s="26" t="s">
        <v>633</v>
      </c>
      <c r="AJ45" s="26" t="s">
        <v>556</v>
      </c>
      <c r="AK45" s="26" t="s">
        <v>627</v>
      </c>
      <c r="AL45" s="26" t="s">
        <v>586</v>
      </c>
      <c r="AM45" s="26">
        <v>10</v>
      </c>
      <c r="AN45" s="26" t="s">
        <v>612</v>
      </c>
      <c r="AO45" s="180" t="s">
        <v>74</v>
      </c>
      <c r="AP45" s="411" t="s">
        <v>695</v>
      </c>
      <c r="AQ45" s="411">
        <v>18</v>
      </c>
      <c r="AR45" s="54" t="str">
        <f>""</f>
        <v/>
      </c>
      <c r="AS45" s="54">
        <v>65</v>
      </c>
      <c r="AT45" s="54" t="s">
        <v>691</v>
      </c>
      <c r="AZ45" s="176" t="str" cm="1">
        <f t="array" ref="AZ45">IFERROR(INDEX($AP$1:$AP$48,SMALL(IF($AP$1:$AP$48&lt;&gt;"",ROW($AP$1:$AP$48),4^8),ROW(44:44)))&amp;"","")</f>
        <v/>
      </c>
    </row>
    <row r="46" spans="1:52" ht="16.899999999999999" customHeight="1" x14ac:dyDescent="0.15">
      <c r="A46" s="84" t="s">
        <v>420</v>
      </c>
      <c r="B46" s="104" t="s">
        <v>2879</v>
      </c>
      <c r="C46" s="84" t="s">
        <v>421</v>
      </c>
      <c r="D46" s="84">
        <v>1</v>
      </c>
      <c r="E46" s="80"/>
      <c r="F46" s="80"/>
      <c r="G46" s="80"/>
      <c r="H46" s="80"/>
      <c r="I46" s="80"/>
      <c r="AF46" s="56"/>
      <c r="AG46" s="176" t="str" cm="1">
        <f t="array" ref="AG46">IFERROR(INDEX($AH$1:$AH$85,SMALL(IF($AH$1:$AH$85&lt;&gt;"",ROW($AH$1:$AH$85),4^8),ROW(AH45)))&amp;"","")</f>
        <v>手铳</v>
      </c>
      <c r="AH46" s="59" t="s">
        <v>652</v>
      </c>
      <c r="AI46" s="59" t="s">
        <v>536</v>
      </c>
      <c r="AJ46" s="59" t="s">
        <v>563</v>
      </c>
      <c r="AK46" s="59" t="str">
        <f>""</f>
        <v/>
      </c>
      <c r="AL46" s="59" t="s">
        <v>582</v>
      </c>
      <c r="AM46" s="59">
        <v>4</v>
      </c>
      <c r="AN46" s="59" t="s">
        <v>647</v>
      </c>
      <c r="AO46" s="248" t="s">
        <v>74</v>
      </c>
      <c r="AP46" s="411"/>
      <c r="AQ46" s="411"/>
      <c r="AR46" s="54"/>
      <c r="AS46" s="54"/>
      <c r="AT46" s="54"/>
      <c r="AZ46" s="176" t="str" cm="1">
        <f t="array" ref="AZ46">IFERROR(INDEX($AP$1:$AP$48,SMALL(IF($AP$1:$AP$48&lt;&gt;"",ROW($AP$1:$AP$48),4^8),ROW(45:45)))&amp;"","")</f>
        <v/>
      </c>
    </row>
    <row r="47" spans="1:52" ht="16.899999999999999" customHeight="1" x14ac:dyDescent="0.15">
      <c r="A47" s="80" t="s">
        <v>422</v>
      </c>
      <c r="B47" s="80" t="s">
        <v>423</v>
      </c>
      <c r="C47" s="80" t="s">
        <v>292</v>
      </c>
      <c r="D47" s="80">
        <v>4</v>
      </c>
      <c r="E47" s="80"/>
      <c r="F47" s="80"/>
      <c r="G47" s="80"/>
      <c r="H47" s="80"/>
      <c r="I47" s="80"/>
      <c r="AF47" s="56"/>
      <c r="AG47" s="176" t="str" cm="1">
        <f t="array" ref="AG47">IFERROR(INDEX($AH$1:$AH$85,SMALL(IF($AH$1:$AH$85&lt;&gt;"",ROW($AH$1:$AH$85),4^8),ROW(AH46)))&amp;"","")</f>
        <v>自定义武器1</v>
      </c>
      <c r="AH47" s="26" t="s">
        <v>656</v>
      </c>
      <c r="AI47" s="26" t="s">
        <v>540</v>
      </c>
      <c r="AJ47" s="26" t="s">
        <v>563</v>
      </c>
      <c r="AK47" s="26" t="s">
        <v>619</v>
      </c>
      <c r="AL47" s="26" t="s">
        <v>569</v>
      </c>
      <c r="AM47" s="26">
        <v>18</v>
      </c>
      <c r="AN47" s="26" t="s">
        <v>575</v>
      </c>
      <c r="AO47" s="180" t="s">
        <v>74</v>
      </c>
      <c r="AP47" s="411"/>
      <c r="AQ47" s="411"/>
      <c r="AR47" s="54"/>
      <c r="AS47" s="54"/>
      <c r="AT47" s="54"/>
      <c r="AZ47" s="176" t="str" cm="1">
        <f t="array" ref="AZ47">IFERROR(INDEX($AP$1:$AP$48,SMALL(IF($AP$1:$AP$48&lt;&gt;"",ROW($AP$1:$AP$48),4^8),ROW(46:46)))&amp;"","")</f>
        <v/>
      </c>
    </row>
    <row r="48" spans="1:52" ht="16.899999999999999" customHeight="1" x14ac:dyDescent="0.15">
      <c r="A48" s="84" t="s">
        <v>424</v>
      </c>
      <c r="B48" s="84" t="s">
        <v>425</v>
      </c>
      <c r="C48" s="84" t="s">
        <v>241</v>
      </c>
      <c r="D48" s="84">
        <v>3</v>
      </c>
      <c r="E48" s="80"/>
      <c r="F48" s="80"/>
      <c r="G48" s="80"/>
      <c r="H48" s="80"/>
      <c r="I48" s="80"/>
      <c r="AF48" s="56"/>
      <c r="AG48" s="176" t="str" cm="1">
        <f t="array" ref="AG48">IFERROR(INDEX($AH$1:$AH$85,SMALL(IF($AH$1:$AH$85&lt;&gt;"",ROW($AH$1:$AH$85),4^8),ROW(AH47)))&amp;"","")</f>
        <v>自定义武器2</v>
      </c>
      <c r="AH48" s="59" t="s">
        <v>658</v>
      </c>
      <c r="AI48" s="59" t="s">
        <v>536</v>
      </c>
      <c r="AJ48" s="59" t="s">
        <v>563</v>
      </c>
      <c r="AK48" s="59" t="s">
        <v>659</v>
      </c>
      <c r="AL48" s="59" t="s">
        <v>574</v>
      </c>
      <c r="AM48" s="59">
        <v>2</v>
      </c>
      <c r="AN48" s="59" t="s">
        <v>600</v>
      </c>
      <c r="AO48" s="248" t="str">
        <f>IF(主要!$R$13&gt;=主要!$R$14,"力量","敏捷")</f>
        <v>力量</v>
      </c>
      <c r="AP48" s="411"/>
      <c r="AQ48" s="411"/>
      <c r="AR48" s="54"/>
      <c r="AS48" s="54"/>
      <c r="AT48" s="54"/>
      <c r="AZ48" s="176" t="str" cm="1">
        <f t="array" ref="AZ48">IFERROR(INDEX($AP$1:$AP$48,SMALL(IF($AP$1:$AP$48&lt;&gt;"",ROW($AP$1:$AP$48),4^8),ROW(47:47)))&amp;"","")</f>
        <v/>
      </c>
    </row>
    <row r="49" spans="1:41" ht="16.899999999999999" customHeight="1" x14ac:dyDescent="0.15">
      <c r="A49" s="80" t="s">
        <v>426</v>
      </c>
      <c r="B49" s="80" t="s">
        <v>427</v>
      </c>
      <c r="C49" s="80" t="s">
        <v>241</v>
      </c>
      <c r="D49" s="80">
        <v>1</v>
      </c>
      <c r="E49" s="80"/>
      <c r="F49" s="80"/>
      <c r="G49" s="80"/>
      <c r="H49" s="80"/>
      <c r="I49" s="80"/>
      <c r="R49" s="81"/>
      <c r="S49" s="81"/>
      <c r="T49" s="81"/>
      <c r="U49" s="81"/>
      <c r="V49" s="81"/>
      <c r="W49" s="81"/>
      <c r="X49" s="81"/>
      <c r="Y49" s="81"/>
      <c r="AG49" s="176" t="str" cm="1">
        <f t="array" ref="AG49">IFERROR(INDEX($AH$1:$AH$85,SMALL(IF($AH$1:$AH$85&lt;&gt;"",ROW($AH$1:$AH$85),4^8),ROW(AH48)))&amp;"","")</f>
        <v>自定义武器3</v>
      </c>
      <c r="AH49" s="26" t="s">
        <v>662</v>
      </c>
      <c r="AI49" s="26" t="s">
        <v>533</v>
      </c>
      <c r="AJ49" s="26" t="s">
        <v>572</v>
      </c>
      <c r="AK49" s="26" t="s">
        <v>663</v>
      </c>
      <c r="AL49" s="26" t="s">
        <v>565</v>
      </c>
      <c r="AM49" s="26">
        <v>3</v>
      </c>
      <c r="AN49" s="26" t="s">
        <v>600</v>
      </c>
      <c r="AO49" s="180" t="str">
        <f>IF(主要!$R$13&gt;=主要!$R$14,"力量","敏捷")</f>
        <v>力量</v>
      </c>
    </row>
    <row r="50" spans="1:41" ht="16.899999999999999" customHeight="1" x14ac:dyDescent="0.15">
      <c r="A50" s="84" t="s">
        <v>428</v>
      </c>
      <c r="B50" s="84" t="s">
        <v>427</v>
      </c>
      <c r="C50" s="84" t="s">
        <v>241</v>
      </c>
      <c r="D50" s="84">
        <v>0</v>
      </c>
      <c r="E50" s="80"/>
      <c r="F50" s="80"/>
      <c r="G50" s="80"/>
      <c r="H50" s="80"/>
      <c r="I50" s="80"/>
      <c r="R50" s="82"/>
      <c r="S50" s="81"/>
      <c r="T50" s="81"/>
      <c r="U50" s="81"/>
      <c r="V50" s="81"/>
      <c r="W50" s="81"/>
      <c r="X50" s="81"/>
      <c r="Y50" s="81"/>
      <c r="AG50" s="176" t="str" cm="1">
        <f t="array" ref="AG50">IFERROR(INDEX($AH$1:$AH$85,SMALL(IF($AH$1:$AH$85&lt;&gt;"",ROW($AH$1:$AH$85),4^8),ROW(AH49)))&amp;"","")</f>
        <v/>
      </c>
      <c r="AH50" s="59" t="s">
        <v>665</v>
      </c>
      <c r="AI50" s="59" t="s">
        <v>533</v>
      </c>
      <c r="AJ50" s="59" t="s">
        <v>563</v>
      </c>
      <c r="AK50" s="59" t="s">
        <v>663</v>
      </c>
      <c r="AL50" s="59" t="s">
        <v>574</v>
      </c>
      <c r="AM50" s="59">
        <v>2</v>
      </c>
      <c r="AN50" s="59" t="s">
        <v>612</v>
      </c>
      <c r="AO50" s="248" t="str">
        <f>IF(主要!$R$13&gt;=主要!$R$14,"力量","敏捷")</f>
        <v>力量</v>
      </c>
    </row>
    <row r="51" spans="1:41" ht="16.899999999999999" customHeight="1" x14ac:dyDescent="0.15">
      <c r="A51" s="80" t="s">
        <v>429</v>
      </c>
      <c r="B51" s="80" t="s">
        <v>427</v>
      </c>
      <c r="C51" s="80" t="s">
        <v>241</v>
      </c>
      <c r="D51" s="80">
        <v>2</v>
      </c>
      <c r="E51" s="80"/>
      <c r="F51" s="80"/>
      <c r="G51" s="80"/>
      <c r="H51" s="80"/>
      <c r="I51" s="80"/>
      <c r="N51" s="81"/>
      <c r="R51" s="81"/>
      <c r="S51" s="81"/>
      <c r="T51" s="81"/>
      <c r="U51" s="81"/>
      <c r="V51" s="81"/>
      <c r="W51" s="81"/>
      <c r="X51" s="81"/>
      <c r="Y51" s="81"/>
      <c r="AG51" s="176" t="str" cm="1">
        <f t="array" ref="AG51">IFERROR(INDEX($AH$1:$AH$85,SMALL(IF($AH$1:$AH$85&lt;&gt;"",ROW($AH$1:$AH$85),4^8),ROW(AH50)))&amp;"","")</f>
        <v/>
      </c>
      <c r="AH51" s="26" t="s">
        <v>668</v>
      </c>
      <c r="AI51" s="26" t="s">
        <v>536</v>
      </c>
      <c r="AJ51" s="26" t="s">
        <v>563</v>
      </c>
      <c r="AK51" s="26" t="s">
        <v>669</v>
      </c>
      <c r="AL51" s="26" t="s">
        <v>586</v>
      </c>
      <c r="AM51" s="26">
        <v>4</v>
      </c>
      <c r="AN51" s="26" t="s">
        <v>575</v>
      </c>
      <c r="AO51" s="180" t="s">
        <v>74</v>
      </c>
    </row>
    <row r="52" spans="1:41" ht="16.899999999999999" customHeight="1" x14ac:dyDescent="0.15">
      <c r="A52" s="84" t="s">
        <v>430</v>
      </c>
      <c r="B52" s="84" t="s">
        <v>431</v>
      </c>
      <c r="C52" s="84" t="s">
        <v>186</v>
      </c>
      <c r="D52" s="84">
        <v>1</v>
      </c>
      <c r="E52" s="80"/>
      <c r="F52" s="80"/>
      <c r="G52" s="80"/>
      <c r="H52" s="80"/>
      <c r="I52" s="80"/>
      <c r="N52" s="81"/>
      <c r="O52" s="81"/>
      <c r="P52" s="81"/>
      <c r="Q52" s="81"/>
      <c r="R52" s="82"/>
      <c r="S52" s="81"/>
      <c r="T52" s="81"/>
      <c r="U52" s="81"/>
      <c r="V52" s="81"/>
      <c r="W52" s="81"/>
      <c r="X52" s="81"/>
      <c r="Y52" s="81"/>
      <c r="AG52" s="176" t="str" cm="1">
        <f t="array" ref="AG52">IFERROR(INDEX($AH$1:$AH$85,SMALL(IF($AH$1:$AH$85&lt;&gt;"",ROW($AH$1:$AH$85),4^8),ROW(AH51)))&amp;"","")</f>
        <v/>
      </c>
      <c r="AH52" s="59" t="s">
        <v>672</v>
      </c>
      <c r="AI52" s="59" t="s">
        <v>536</v>
      </c>
      <c r="AJ52" s="59" t="s">
        <v>563</v>
      </c>
      <c r="AK52" s="59" t="s">
        <v>611</v>
      </c>
      <c r="AL52" s="59" t="s">
        <v>582</v>
      </c>
      <c r="AM52" s="59">
        <v>2</v>
      </c>
      <c r="AN52" s="59" t="s">
        <v>575</v>
      </c>
      <c r="AO52" s="248" t="s">
        <v>74</v>
      </c>
    </row>
    <row r="53" spans="1:41" ht="16.899999999999999" customHeight="1" x14ac:dyDescent="0.15">
      <c r="A53" s="80" t="s">
        <v>432</v>
      </c>
      <c r="B53" s="80" t="s">
        <v>433</v>
      </c>
      <c r="C53" s="80" t="s">
        <v>241</v>
      </c>
      <c r="D53" s="80">
        <v>25</v>
      </c>
      <c r="E53" s="80"/>
      <c r="F53" s="80"/>
      <c r="G53" s="80"/>
      <c r="H53" s="80"/>
      <c r="I53" s="80"/>
      <c r="N53" s="81"/>
      <c r="O53" s="81"/>
      <c r="P53" s="81"/>
      <c r="Q53" s="81"/>
      <c r="R53" s="81"/>
      <c r="S53" s="81"/>
      <c r="T53" s="81"/>
      <c r="U53" s="81"/>
      <c r="V53" s="81"/>
      <c r="W53" s="81"/>
      <c r="X53" s="81"/>
      <c r="Y53" s="81"/>
      <c r="AG53" s="176" t="str" cm="1">
        <f t="array" ref="AG53">IFERROR(INDEX($AH$1:$AH$85,SMALL(IF($AH$1:$AH$85&lt;&gt;"",ROW($AH$1:$AH$85),4^8),ROW(AH52)))&amp;"","")</f>
        <v/>
      </c>
      <c r="AH53" s="26" t="s">
        <v>674</v>
      </c>
      <c r="AI53" s="26" t="s">
        <v>536</v>
      </c>
      <c r="AJ53" s="26" t="s">
        <v>556</v>
      </c>
      <c r="AK53" s="26" t="s">
        <v>611</v>
      </c>
      <c r="AL53" s="26" t="s">
        <v>569</v>
      </c>
      <c r="AM53" s="26">
        <v>2</v>
      </c>
      <c r="AN53" s="26" t="s">
        <v>647</v>
      </c>
      <c r="AO53" s="180" t="s">
        <v>74</v>
      </c>
    </row>
    <row r="54" spans="1:41" ht="16.899999999999999" customHeight="1" x14ac:dyDescent="0.15">
      <c r="A54" s="84" t="s">
        <v>434</v>
      </c>
      <c r="B54" s="84" t="s">
        <v>435</v>
      </c>
      <c r="C54" s="84" t="s">
        <v>211</v>
      </c>
      <c r="D54" s="84">
        <v>0</v>
      </c>
      <c r="E54" s="80"/>
      <c r="F54" s="80"/>
      <c r="G54" s="80"/>
      <c r="H54" s="80"/>
      <c r="I54" s="80"/>
      <c r="N54" s="81"/>
      <c r="O54" s="81"/>
      <c r="P54" s="81"/>
      <c r="Q54" s="81"/>
      <c r="R54" s="82"/>
      <c r="S54" s="81"/>
      <c r="T54" s="81"/>
      <c r="U54" s="81"/>
      <c r="V54" s="81"/>
      <c r="W54" s="81"/>
      <c r="X54" s="81"/>
      <c r="Y54" s="81"/>
      <c r="AG54" s="176" t="str" cm="1">
        <f t="array" ref="AG54">IFERROR(INDEX($AH$1:$AH$85,SMALL(IF($AH$1:$AH$85&lt;&gt;"",ROW($AH$1:$AH$85),4^8),ROW(AH53)))&amp;"","")</f>
        <v/>
      </c>
      <c r="AH54" s="59" t="s">
        <v>676</v>
      </c>
      <c r="AI54" s="59" t="s">
        <v>558</v>
      </c>
      <c r="AJ54" s="59" t="s">
        <v>572</v>
      </c>
      <c r="AK54" s="59" t="s">
        <v>677</v>
      </c>
      <c r="AL54" s="59" t="s">
        <v>560</v>
      </c>
      <c r="AM54" s="59">
        <v>3</v>
      </c>
      <c r="AN54" s="59" t="s">
        <v>566</v>
      </c>
      <c r="AO54" s="248" t="str">
        <f>IF(主要!$R$13&gt;=主要!$R$14,"力量","敏捷")</f>
        <v>力量</v>
      </c>
    </row>
    <row r="55" spans="1:41" ht="16.899999999999999" customHeight="1" x14ac:dyDescent="0.15">
      <c r="A55" s="84" t="s">
        <v>436</v>
      </c>
      <c r="B55" s="84" t="s">
        <v>437</v>
      </c>
      <c r="C55" s="84" t="s">
        <v>421</v>
      </c>
      <c r="D55" s="84">
        <v>0</v>
      </c>
      <c r="E55" s="80"/>
      <c r="F55" s="80"/>
      <c r="G55" s="80"/>
      <c r="H55" s="80"/>
      <c r="I55" s="80"/>
      <c r="N55" s="81"/>
      <c r="O55" s="81"/>
      <c r="P55" s="81"/>
      <c r="Q55" s="81"/>
      <c r="R55" s="81"/>
      <c r="S55" s="81"/>
      <c r="T55" s="81"/>
      <c r="U55" s="81"/>
      <c r="V55" s="81"/>
      <c r="W55" s="81"/>
      <c r="X55" s="81"/>
      <c r="Y55" s="81"/>
      <c r="AG55" s="176" t="str" cm="1">
        <f t="array" ref="AG55">IFERROR(INDEX($AH$1:$AH$85,SMALL(IF($AH$1:$AH$85&lt;&gt;"",ROW($AH$1:$AH$85),4^8),ROW(AH54)))&amp;"","")</f>
        <v/>
      </c>
      <c r="AH55" s="26" t="str">
        <f>IF(自定义调整栏!$E$33="O","风笛","")</f>
        <v/>
      </c>
      <c r="AI55" s="26" t="s">
        <v>6886</v>
      </c>
      <c r="AJ55" s="26" t="s">
        <v>6852</v>
      </c>
      <c r="AK55" s="26" t="s">
        <v>6905</v>
      </c>
      <c r="AL55" s="26" t="str">
        <f>""</f>
        <v/>
      </c>
      <c r="AM55" s="26">
        <v>0.5</v>
      </c>
      <c r="AN55" s="26" t="s">
        <v>6892</v>
      </c>
      <c r="AO55" s="180" t="str">
        <f>IF(主要!$R$13&gt;=主要!$R$14,"力量","敏捷")</f>
        <v>力量</v>
      </c>
    </row>
    <row r="56" spans="1:41" ht="16.899999999999999" customHeight="1" x14ac:dyDescent="0.15">
      <c r="A56" s="80" t="s">
        <v>438</v>
      </c>
      <c r="B56" s="80" t="s">
        <v>439</v>
      </c>
      <c r="C56" s="80" t="s">
        <v>421</v>
      </c>
      <c r="D56" s="80">
        <v>4</v>
      </c>
      <c r="E56" s="80"/>
      <c r="F56" s="80"/>
      <c r="G56" s="80"/>
      <c r="H56" s="80"/>
      <c r="I56" s="80"/>
      <c r="N56" s="81"/>
      <c r="O56" s="81"/>
      <c r="P56" s="81"/>
      <c r="Q56" s="81"/>
      <c r="R56" s="82"/>
      <c r="S56" s="81"/>
      <c r="T56" s="81"/>
      <c r="U56" s="81"/>
      <c r="V56" s="81"/>
      <c r="W56" s="81"/>
      <c r="X56" s="81"/>
      <c r="Y56" s="81"/>
      <c r="AG56" s="176" t="str" cm="1">
        <f t="array" ref="AG56">IFERROR(INDEX($AH$1:$AH$85,SMALL(IF($AH$1:$AH$85&lt;&gt;"",ROW($AH$1:$AH$85),4^8),ROW(AH55)))&amp;"","")</f>
        <v/>
      </c>
      <c r="AH56" s="59" t="str">
        <f>IF(自定义调整栏!$E$33="O","制烛人之棒","")</f>
        <v/>
      </c>
      <c r="AI56" s="59" t="s">
        <v>6867</v>
      </c>
      <c r="AJ56" s="59" t="s">
        <v>6852</v>
      </c>
      <c r="AK56" s="59" t="s">
        <v>6904</v>
      </c>
      <c r="AL56" s="59" t="str">
        <f>""</f>
        <v/>
      </c>
      <c r="AM56" s="59">
        <v>10</v>
      </c>
      <c r="AN56" s="59" t="s">
        <v>6894</v>
      </c>
      <c r="AO56" s="248" t="str">
        <f>IF(主要!$R$13&gt;=主要!$R$14,"力量","敏捷")</f>
        <v>力量</v>
      </c>
    </row>
    <row r="57" spans="1:41" ht="16.899999999999999" customHeight="1" x14ac:dyDescent="0.15">
      <c r="A57" s="84" t="s">
        <v>440</v>
      </c>
      <c r="B57" s="84" t="s">
        <v>441</v>
      </c>
      <c r="C57" s="84" t="s">
        <v>342</v>
      </c>
      <c r="D57" s="84">
        <v>25</v>
      </c>
      <c r="E57" s="80"/>
      <c r="F57" s="80"/>
      <c r="G57" s="80"/>
      <c r="H57" s="80"/>
      <c r="I57" s="80"/>
      <c r="N57" s="81"/>
      <c r="O57" s="81"/>
      <c r="P57" s="81"/>
      <c r="Q57" s="81"/>
      <c r="R57" s="81"/>
      <c r="S57" s="81"/>
      <c r="T57" s="81"/>
      <c r="U57" s="81"/>
      <c r="V57" s="81"/>
      <c r="W57" s="81"/>
      <c r="X57" s="81"/>
      <c r="Y57" s="81"/>
      <c r="AG57" s="176" t="str" cm="1">
        <f t="array" ref="AG57">IFERROR(INDEX($AH$1:$AH$85,SMALL(IF($AH$1:$AH$85&lt;&gt;"",ROW($AH$1:$AH$85),4^8),ROW(AH56)))&amp;"","")</f>
        <v/>
      </c>
      <c r="AH57" s="26" t="str">
        <f>IF(自定义调整栏!$E$33="O","蒲公英矛","")</f>
        <v/>
      </c>
      <c r="AI57" s="26" t="s">
        <v>6891</v>
      </c>
      <c r="AJ57" s="26" t="s">
        <v>6857</v>
      </c>
      <c r="AK57" s="26" t="s">
        <v>6903</v>
      </c>
      <c r="AL57" s="26" t="str">
        <f>""</f>
        <v/>
      </c>
      <c r="AM57" s="26">
        <v>6</v>
      </c>
      <c r="AN57" s="26" t="s">
        <v>6887</v>
      </c>
      <c r="AO57" s="180" t="str">
        <f>IF(主要!$R$13&gt;=主要!$R$14,"力量","敏捷")</f>
        <v>力量</v>
      </c>
    </row>
    <row r="58" spans="1:41" ht="16.899999999999999" customHeight="1" x14ac:dyDescent="0.15">
      <c r="A58" s="80" t="s">
        <v>442</v>
      </c>
      <c r="B58" s="80" t="s">
        <v>443</v>
      </c>
      <c r="C58" s="80" t="s">
        <v>335</v>
      </c>
      <c r="D58" s="80">
        <v>1</v>
      </c>
      <c r="E58" s="80"/>
      <c r="F58" s="80"/>
      <c r="G58" s="80"/>
      <c r="H58" s="80"/>
      <c r="I58" s="80"/>
      <c r="N58" s="81"/>
      <c r="O58" s="81"/>
      <c r="P58" s="81"/>
      <c r="Q58" s="81"/>
      <c r="R58" s="82"/>
      <c r="S58" s="81"/>
      <c r="T58" s="81"/>
      <c r="U58" s="81"/>
      <c r="V58" s="81"/>
      <c r="W58" s="81"/>
      <c r="X58" s="81"/>
      <c r="Y58" s="81"/>
      <c r="AG58" s="176" t="str" cm="1">
        <f t="array" ref="AG58">IFERROR(INDEX($AH$1:$AH$85,SMALL(IF($AH$1:$AH$85&lt;&gt;"",ROW($AH$1:$AH$85),4^8),ROW(AH57)))&amp;"","")</f>
        <v/>
      </c>
      <c r="AH58" s="59" t="str">
        <f>IF(自定义调整栏!$E$33="O","传动轴","")</f>
        <v/>
      </c>
      <c r="AI58" s="59" t="s">
        <v>6902</v>
      </c>
      <c r="AJ58" s="59" t="s">
        <v>6852</v>
      </c>
      <c r="AK58" s="59" t="s">
        <v>6901</v>
      </c>
      <c r="AL58" s="59" t="str">
        <f>""</f>
        <v/>
      </c>
      <c r="AM58" s="59">
        <v>20</v>
      </c>
      <c r="AN58" s="59" t="s">
        <v>6900</v>
      </c>
      <c r="AO58" s="248" t="str">
        <f>IF(主要!$R$13&gt;=主要!$R$14,"力量","敏捷")</f>
        <v>力量</v>
      </c>
    </row>
    <row r="59" spans="1:41" ht="16.899999999999999" customHeight="1" x14ac:dyDescent="0.15">
      <c r="A59" s="84" t="s">
        <v>444</v>
      </c>
      <c r="B59" s="84" t="s">
        <v>445</v>
      </c>
      <c r="C59" s="84" t="s">
        <v>211</v>
      </c>
      <c r="D59" s="84">
        <v>2</v>
      </c>
      <c r="E59" s="80"/>
      <c r="F59" s="80"/>
      <c r="G59" s="80"/>
      <c r="H59" s="80"/>
      <c r="I59" s="80"/>
      <c r="N59" s="81"/>
      <c r="O59" s="81"/>
      <c r="P59" s="81"/>
      <c r="Q59" s="81"/>
      <c r="R59" s="81"/>
      <c r="S59" s="81"/>
      <c r="T59" s="81"/>
      <c r="U59" s="81"/>
      <c r="V59" s="81"/>
      <c r="W59" s="81"/>
      <c r="X59" s="81"/>
      <c r="Y59" s="81"/>
      <c r="AG59" s="176" t="str" cm="1">
        <f t="array" ref="AG59">IFERROR(INDEX($AH$1:$AH$85,SMALL(IF($AH$1:$AH$85&lt;&gt;"",ROW($AH$1:$AH$85),4^8),ROW(AH58)))&amp;"","")</f>
        <v/>
      </c>
      <c r="AH59" s="26" t="str">
        <f>IF(自定义调整栏!$E$33="O","隆隆匕首","")</f>
        <v/>
      </c>
      <c r="AI59" s="26" t="s">
        <v>6886</v>
      </c>
      <c r="AJ59" s="26" t="s">
        <v>6885</v>
      </c>
      <c r="AK59" s="26" t="s">
        <v>6899</v>
      </c>
      <c r="AL59" s="26" t="str">
        <f>""</f>
        <v/>
      </c>
      <c r="AM59" s="26">
        <v>1</v>
      </c>
      <c r="AN59" s="26" t="s">
        <v>6898</v>
      </c>
      <c r="AO59" s="180" t="str">
        <f>IF(主要!$R$13&gt;=主要!$R$14,"力量","敏捷")</f>
        <v>力量</v>
      </c>
    </row>
    <row r="60" spans="1:41" ht="16.899999999999999" customHeight="1" x14ac:dyDescent="0.15">
      <c r="A60" s="80" t="s">
        <v>446</v>
      </c>
      <c r="B60" s="80" t="s">
        <v>447</v>
      </c>
      <c r="C60" s="80" t="s">
        <v>241</v>
      </c>
      <c r="D60" s="80">
        <v>2</v>
      </c>
      <c r="E60" s="80"/>
      <c r="F60" s="80"/>
      <c r="G60" s="80"/>
      <c r="H60" s="80"/>
      <c r="I60" s="80"/>
      <c r="N60" s="81"/>
      <c r="O60" s="81"/>
      <c r="P60" s="81"/>
      <c r="Q60" s="81"/>
      <c r="R60" s="82"/>
      <c r="S60" s="81"/>
      <c r="T60" s="81"/>
      <c r="U60" s="81"/>
      <c r="V60" s="81"/>
      <c r="W60" s="81"/>
      <c r="X60" s="81"/>
      <c r="Y60" s="81"/>
      <c r="AG60" s="176" t="str" cm="1">
        <f t="array" ref="AG60">IFERROR(INDEX($AH$1:$AH$85,SMALL(IF($AH$1:$AH$85&lt;&gt;"",ROW($AH$1:$AH$85),4^8),ROW(AH59)))&amp;"","")</f>
        <v/>
      </c>
      <c r="AH60" s="59" t="str">
        <f>IF(自定义调整栏!$E$33="O","秘石剑","")</f>
        <v/>
      </c>
      <c r="AI60" s="59" t="s">
        <v>6886</v>
      </c>
      <c r="AJ60" s="59" t="s">
        <v>6852</v>
      </c>
      <c r="AK60" s="59" t="s">
        <v>6897</v>
      </c>
      <c r="AL60" s="59" t="str">
        <f>""</f>
        <v/>
      </c>
      <c r="AM60" s="59">
        <v>1</v>
      </c>
      <c r="AN60" s="59" t="s">
        <v>6896</v>
      </c>
      <c r="AO60" s="248" t="s">
        <v>6882</v>
      </c>
    </row>
    <row r="61" spans="1:41" ht="16.899999999999999" customHeight="1" x14ac:dyDescent="0.15">
      <c r="A61" s="84" t="s">
        <v>448</v>
      </c>
      <c r="B61" s="84" t="s">
        <v>449</v>
      </c>
      <c r="C61" s="84" t="s">
        <v>211</v>
      </c>
      <c r="D61" s="84">
        <v>1</v>
      </c>
      <c r="E61" s="80"/>
      <c r="F61" s="80"/>
      <c r="G61" s="80"/>
      <c r="H61" s="80"/>
      <c r="I61" s="80"/>
      <c r="N61" s="81"/>
      <c r="O61" s="81"/>
      <c r="P61" s="81"/>
      <c r="Q61" s="81"/>
      <c r="R61" s="81"/>
      <c r="S61" s="81"/>
      <c r="T61" s="81"/>
      <c r="U61" s="81"/>
      <c r="V61" s="81"/>
      <c r="W61" s="81"/>
      <c r="X61" s="81"/>
      <c r="Y61" s="81"/>
      <c r="AG61" s="176" t="str" cm="1">
        <f t="array" ref="AG61">IFERROR(INDEX($AH$1:$AH$85,SMALL(IF($AH$1:$AH$85&lt;&gt;"",ROW($AH$1:$AH$85),4^8),ROW(AH60)))&amp;"","")</f>
        <v/>
      </c>
      <c r="AH61" s="26" t="str">
        <f>IF(自定义调整栏!$E$33="O","牧羊钩","")</f>
        <v/>
      </c>
      <c r="AI61" s="26" t="s">
        <v>6886</v>
      </c>
      <c r="AJ61" s="26" t="s">
        <v>6852</v>
      </c>
      <c r="AK61" s="26" t="s">
        <v>6895</v>
      </c>
      <c r="AL61" s="26" t="str">
        <f>""</f>
        <v/>
      </c>
      <c r="AM61" s="26">
        <v>4</v>
      </c>
      <c r="AN61" s="26" t="s">
        <v>6894</v>
      </c>
      <c r="AO61" s="180" t="s">
        <v>74</v>
      </c>
    </row>
    <row r="62" spans="1:41" ht="16.899999999999999" customHeight="1" x14ac:dyDescent="0.15">
      <c r="A62" s="80" t="s">
        <v>450</v>
      </c>
      <c r="B62" s="80" t="s">
        <v>451</v>
      </c>
      <c r="C62" s="80" t="s">
        <v>452</v>
      </c>
      <c r="D62" s="80">
        <v>0</v>
      </c>
      <c r="E62" s="80"/>
      <c r="F62" s="80"/>
      <c r="G62" s="80"/>
      <c r="H62" s="80"/>
      <c r="I62" s="80"/>
      <c r="N62" s="81"/>
      <c r="O62" s="81"/>
      <c r="P62" s="81"/>
      <c r="Q62" s="81"/>
      <c r="R62" s="81"/>
      <c r="S62" s="81"/>
      <c r="T62" s="81"/>
      <c r="U62" s="81"/>
      <c r="V62" s="81"/>
      <c r="W62" s="81"/>
      <c r="X62" s="81"/>
      <c r="Y62" s="81"/>
      <c r="AG62" s="176" t="str" cm="1">
        <f t="array" ref="AG62">IFERROR(INDEX($AH$1:$AH$85,SMALL(IF($AH$1:$AH$85&lt;&gt;"",ROW($AH$1:$AH$85),4^8),ROW(AH61)))&amp;"","")</f>
        <v/>
      </c>
      <c r="AH62" s="59" t="str">
        <f>IF(自定义调整栏!$E$33="O","沙袋锤","")</f>
        <v/>
      </c>
      <c r="AI62" s="59" t="s">
        <v>6886</v>
      </c>
      <c r="AJ62" s="59" t="s">
        <v>6852</v>
      </c>
      <c r="AK62" s="59" t="s">
        <v>6893</v>
      </c>
      <c r="AL62" s="59" t="str">
        <f>""</f>
        <v/>
      </c>
      <c r="AM62" s="59">
        <v>5</v>
      </c>
      <c r="AN62" s="59" t="s">
        <v>6892</v>
      </c>
      <c r="AO62" s="248" t="s">
        <v>74</v>
      </c>
    </row>
    <row r="63" spans="1:41" ht="16.899999999999999" customHeight="1" x14ac:dyDescent="0.15">
      <c r="A63" s="84" t="s">
        <v>453</v>
      </c>
      <c r="B63" s="84" t="s">
        <v>454</v>
      </c>
      <c r="C63" s="84" t="s">
        <v>292</v>
      </c>
      <c r="D63" s="84">
        <v>6</v>
      </c>
      <c r="E63" s="80"/>
      <c r="F63" s="80"/>
      <c r="G63" s="80"/>
      <c r="H63" s="80"/>
      <c r="I63" s="80"/>
      <c r="N63" s="81"/>
      <c r="O63" s="81"/>
      <c r="P63" s="81"/>
      <c r="Q63" s="81"/>
      <c r="X63" s="81"/>
      <c r="Y63" s="81"/>
      <c r="AG63" s="176" t="str" cm="1">
        <f t="array" ref="AG63">IFERROR(INDEX($AH$1:$AH$85,SMALL(IF($AH$1:$AH$85&lt;&gt;"",ROW($AH$1:$AH$85),4^8),ROW(AH62)))&amp;"","")</f>
        <v/>
      </c>
      <c r="AH63" s="26" t="str">
        <f>IF(自定义调整栏!$E$33="O","脊骨剑","")</f>
        <v/>
      </c>
      <c r="AI63" s="26" t="s">
        <v>6891</v>
      </c>
      <c r="AJ63" s="26" t="s">
        <v>6857</v>
      </c>
      <c r="AK63" s="26" t="s">
        <v>6890</v>
      </c>
      <c r="AL63" s="26" t="str">
        <f>""</f>
        <v/>
      </c>
      <c r="AM63" s="26">
        <v>1</v>
      </c>
      <c r="AN63" s="26" t="s">
        <v>6889</v>
      </c>
      <c r="AO63" s="180" t="s">
        <v>74</v>
      </c>
    </row>
    <row r="64" spans="1:41" ht="16.899999999999999" customHeight="1" x14ac:dyDescent="0.15">
      <c r="A64" s="80" t="s">
        <v>230</v>
      </c>
      <c r="B64" s="80" t="s">
        <v>455</v>
      </c>
      <c r="C64" s="80" t="s">
        <v>207</v>
      </c>
      <c r="D64" s="80">
        <v>0</v>
      </c>
      <c r="E64" s="80"/>
      <c r="F64" s="80"/>
      <c r="G64" s="80"/>
      <c r="H64" s="80"/>
      <c r="I64" s="80"/>
      <c r="N64" s="81"/>
      <c r="O64" s="81"/>
      <c r="P64" s="81"/>
      <c r="Q64" s="81"/>
      <c r="X64" s="81"/>
      <c r="Y64" s="81"/>
      <c r="AG64" s="176" t="str" cm="1">
        <f t="array" ref="AG64">IFERROR(INDEX($AH$1:$AH$85,SMALL(IF($AH$1:$AH$85&lt;&gt;"",ROW($AH$1:$AH$85),4^8),ROW(AH63)))&amp;"","")</f>
        <v/>
      </c>
      <c r="AH64" s="59" t="str">
        <f>IF(自定义调整栏!$E$33="O","跳马斧","")</f>
        <v/>
      </c>
      <c r="AI64" s="59" t="s">
        <v>6878</v>
      </c>
      <c r="AJ64" s="59" t="s">
        <v>6885</v>
      </c>
      <c r="AK64" s="59" t="s">
        <v>6888</v>
      </c>
      <c r="AL64" s="59" t="str">
        <f>""</f>
        <v/>
      </c>
      <c r="AM64" s="59">
        <v>15</v>
      </c>
      <c r="AN64" s="59" t="s">
        <v>6887</v>
      </c>
      <c r="AO64" s="248" t="s">
        <v>74</v>
      </c>
    </row>
    <row r="65" spans="1:41" ht="16.899999999999999" customHeight="1" x14ac:dyDescent="0.15">
      <c r="A65" s="87" t="s">
        <v>456</v>
      </c>
      <c r="B65" s="87" t="s">
        <v>457</v>
      </c>
      <c r="C65" s="87" t="s">
        <v>241</v>
      </c>
      <c r="D65" s="87">
        <v>0</v>
      </c>
      <c r="E65" s="80"/>
      <c r="F65" s="80"/>
      <c r="G65" s="80"/>
      <c r="H65" s="80"/>
      <c r="I65" s="80"/>
      <c r="N65" s="81"/>
      <c r="O65" s="81"/>
      <c r="P65" s="81"/>
      <c r="Q65" s="81"/>
      <c r="X65" s="81"/>
      <c r="Y65" s="81"/>
      <c r="AG65" s="176" t="str" cm="1">
        <f t="array" ref="AG65">IFERROR(INDEX($AH$1:$AH$85,SMALL(IF($AH$1:$AH$85&lt;&gt;"",ROW($AH$1:$AH$85),4^8),ROW(AH64)))&amp;"","")</f>
        <v/>
      </c>
      <c r="AH65" s="26" t="str">
        <f>IF(自定义调整栏!$E$33="O","野矛","")</f>
        <v/>
      </c>
      <c r="AI65" s="26" t="s">
        <v>6886</v>
      </c>
      <c r="AJ65" s="26" t="s">
        <v>6885</v>
      </c>
      <c r="AK65" s="26" t="s">
        <v>6884</v>
      </c>
      <c r="AL65" s="26" t="str">
        <f>""</f>
        <v/>
      </c>
      <c r="AM65" s="26">
        <v>1</v>
      </c>
      <c r="AN65" s="26" t="s">
        <v>6883</v>
      </c>
      <c r="AO65" s="180" t="s">
        <v>6882</v>
      </c>
    </row>
    <row r="66" spans="1:41" ht="16.899999999999999" customHeight="1" x14ac:dyDescent="0.15">
      <c r="A66" s="80" t="s">
        <v>458</v>
      </c>
      <c r="B66" s="80" t="s">
        <v>459</v>
      </c>
      <c r="C66" s="80" t="s">
        <v>207</v>
      </c>
      <c r="D66" s="80">
        <v>3</v>
      </c>
      <c r="E66" s="80"/>
      <c r="F66" s="80"/>
      <c r="G66" s="80"/>
      <c r="H66" s="80"/>
      <c r="I66" s="80"/>
      <c r="N66" s="81"/>
      <c r="O66" s="81"/>
      <c r="P66" s="81"/>
      <c r="Q66" s="81"/>
      <c r="X66" s="81"/>
      <c r="Y66" s="81"/>
      <c r="AG66" s="176" t="str" cm="1">
        <f t="array" ref="AG66">IFERROR(INDEX($AH$1:$AH$85,SMALL(IF($AH$1:$AH$85&lt;&gt;"",ROW($AH$1:$AH$85),4^8),ROW(AH65)))&amp;"","")</f>
        <v/>
      </c>
      <c r="AH66" s="59" t="s">
        <v>10751</v>
      </c>
      <c r="AI66" s="59" t="s">
        <v>6853</v>
      </c>
      <c r="AJ66" s="59" t="s">
        <v>6885</v>
      </c>
      <c r="AK66" s="59" t="s">
        <v>10752</v>
      </c>
      <c r="AL66" s="59" t="str">
        <f>""</f>
        <v/>
      </c>
      <c r="AM66" s="59">
        <v>6</v>
      </c>
      <c r="AN66" s="59" t="s">
        <v>6900</v>
      </c>
      <c r="AO66" s="248" t="s">
        <v>74</v>
      </c>
    </row>
    <row r="67" spans="1:41" ht="16.899999999999999" customHeight="1" x14ac:dyDescent="0.15">
      <c r="A67" s="87" t="s">
        <v>460</v>
      </c>
      <c r="B67" s="87" t="s">
        <v>461</v>
      </c>
      <c r="C67" s="87" t="s">
        <v>342</v>
      </c>
      <c r="D67" s="87">
        <v>1</v>
      </c>
      <c r="E67" s="80"/>
      <c r="F67" s="80"/>
      <c r="G67" s="80"/>
      <c r="H67" s="80"/>
      <c r="I67" s="80"/>
      <c r="N67" s="81"/>
      <c r="O67" s="81"/>
      <c r="P67" s="81"/>
      <c r="Q67" s="81"/>
      <c r="X67" s="81"/>
      <c r="Y67" s="81"/>
      <c r="AG67" s="176" t="str" cm="1">
        <f t="array" ref="AG67">IFERROR(INDEX($AH$1:$AH$85,SMALL(IF($AH$1:$AH$85&lt;&gt;"",ROW($AH$1:$AH$85),4^8),ROW(AH66)))&amp;"","")</f>
        <v/>
      </c>
      <c r="AH67" s="837" t="s">
        <v>10442</v>
      </c>
      <c r="AI67" s="837"/>
      <c r="AJ67" s="837"/>
      <c r="AK67" s="837"/>
      <c r="AL67" s="837"/>
      <c r="AM67" s="837"/>
      <c r="AN67" s="837"/>
      <c r="AO67" s="837"/>
    </row>
    <row r="68" spans="1:41" ht="16.899999999999999" customHeight="1" x14ac:dyDescent="0.15">
      <c r="A68" s="80" t="s">
        <v>462</v>
      </c>
      <c r="B68" s="80" t="s">
        <v>463</v>
      </c>
      <c r="C68" s="80" t="s">
        <v>464</v>
      </c>
      <c r="D68" s="80">
        <v>0</v>
      </c>
      <c r="E68" s="80"/>
      <c r="F68" s="80"/>
      <c r="G68" s="80"/>
      <c r="H68" s="80"/>
      <c r="I68" s="80"/>
      <c r="N68" s="81"/>
      <c r="O68" s="81"/>
      <c r="P68" s="81"/>
      <c r="Q68" s="81"/>
      <c r="X68" s="81"/>
      <c r="Y68" s="81"/>
      <c r="AG68" s="176" t="str" cm="1">
        <f t="array" ref="AG68">IFERROR(INDEX($AH$1:$AH$85,SMALL(IF($AH$1:$AH$85&lt;&gt;"",ROW($AH$1:$AH$85),4^8),ROW(AH67)))&amp;"","")</f>
        <v/>
      </c>
      <c r="AH68" s="59" t="s">
        <v>6881</v>
      </c>
      <c r="AI68" s="59">
        <v>1</v>
      </c>
      <c r="AJ68" s="59" t="s">
        <v>563</v>
      </c>
      <c r="AK68" s="59" t="s">
        <v>679</v>
      </c>
      <c r="AL68" s="59" t="s">
        <v>574</v>
      </c>
      <c r="AM68" s="59">
        <v>1</v>
      </c>
      <c r="AN68" s="59" t="s">
        <v>612</v>
      </c>
      <c r="AO68" s="248" t="s">
        <v>76</v>
      </c>
    </row>
    <row r="69" spans="1:41" ht="16.899999999999999" customHeight="1" x14ac:dyDescent="0.15">
      <c r="A69" s="87" t="s">
        <v>465</v>
      </c>
      <c r="B69" s="87" t="s">
        <v>466</v>
      </c>
      <c r="C69" s="87" t="s">
        <v>342</v>
      </c>
      <c r="D69" s="87">
        <v>0</v>
      </c>
      <c r="E69" s="80"/>
      <c r="F69" s="80"/>
      <c r="G69" s="80"/>
      <c r="H69" s="80"/>
      <c r="I69" s="80"/>
      <c r="N69" s="81"/>
      <c r="O69" s="81"/>
      <c r="P69" s="81"/>
      <c r="Q69" s="81"/>
      <c r="AG69" s="176" t="str" cm="1">
        <f t="array" ref="AG69">IFERROR(INDEX($AH$1:$AH$85,SMALL(IF($AH$1:$AH$85&lt;&gt;"",ROW($AH$1:$AH$85),4^8),ROW(AH68)))&amp;"","")</f>
        <v/>
      </c>
      <c r="AH69" s="26" t="s">
        <v>680</v>
      </c>
      <c r="AI69" s="26" t="s">
        <v>533</v>
      </c>
      <c r="AJ69" s="26" t="s">
        <v>563</v>
      </c>
      <c r="AK69" s="26" t="s">
        <v>681</v>
      </c>
      <c r="AL69" s="26" t="s">
        <v>574</v>
      </c>
      <c r="AM69" s="26">
        <v>3</v>
      </c>
      <c r="AN69" s="26" t="s">
        <v>682</v>
      </c>
      <c r="AO69" s="180" t="s">
        <v>76</v>
      </c>
    </row>
    <row r="70" spans="1:41" ht="16.899999999999999" customHeight="1" x14ac:dyDescent="0.15">
      <c r="A70" s="80" t="s">
        <v>467</v>
      </c>
      <c r="B70" s="80" t="s">
        <v>468</v>
      </c>
      <c r="C70" s="80" t="s">
        <v>241</v>
      </c>
      <c r="D70" s="80">
        <v>0</v>
      </c>
      <c r="E70" s="80"/>
      <c r="F70" s="80"/>
      <c r="G70" s="80"/>
      <c r="H70" s="80"/>
      <c r="I70" s="80"/>
      <c r="N70" s="81"/>
      <c r="O70" s="81"/>
      <c r="P70" s="81"/>
      <c r="Q70" s="81"/>
      <c r="AG70" s="176" t="str" cm="1">
        <f t="array" ref="AG70">IFERROR(INDEX($AH$1:$AH$85,SMALL(IF($AH$1:$AH$85&lt;&gt;"",ROW($AH$1:$AH$85),4^8),ROW(AH69)))&amp;"","")</f>
        <v/>
      </c>
      <c r="AH70" s="59" t="s">
        <v>684</v>
      </c>
      <c r="AI70" s="59" t="s">
        <v>540</v>
      </c>
      <c r="AJ70" s="59" t="s">
        <v>563</v>
      </c>
      <c r="AK70" s="59" t="s">
        <v>685</v>
      </c>
      <c r="AL70" s="59" t="s">
        <v>569</v>
      </c>
      <c r="AM70" s="59">
        <v>18</v>
      </c>
      <c r="AN70" s="59" t="s">
        <v>634</v>
      </c>
      <c r="AO70" s="248" t="s">
        <v>76</v>
      </c>
    </row>
    <row r="71" spans="1:41" ht="16.899999999999999" customHeight="1" x14ac:dyDescent="0.15">
      <c r="A71" s="87" t="s">
        <v>405</v>
      </c>
      <c r="B71" s="87" t="s">
        <v>469</v>
      </c>
      <c r="C71" s="87" t="s">
        <v>452</v>
      </c>
      <c r="D71" s="87">
        <v>0</v>
      </c>
      <c r="E71" s="80"/>
      <c r="F71" s="80"/>
      <c r="G71" s="80"/>
      <c r="H71" s="80"/>
      <c r="I71" s="80"/>
      <c r="N71" s="81"/>
      <c r="O71" s="81"/>
      <c r="P71" s="81"/>
      <c r="Q71" s="81"/>
      <c r="AG71" s="176" t="str" cm="1">
        <f t="array" ref="AG71">IFERROR(INDEX($AH$1:$AH$85,SMALL(IF($AH$1:$AH$85&lt;&gt;"",ROW($AH$1:$AH$85),4^8),ROW(AH70)))&amp;"","")</f>
        <v/>
      </c>
      <c r="AH71" s="26" t="s">
        <v>688</v>
      </c>
      <c r="AI71" s="26" t="s">
        <v>536</v>
      </c>
      <c r="AJ71" s="26" t="s">
        <v>563</v>
      </c>
      <c r="AK71" s="26" t="s">
        <v>689</v>
      </c>
      <c r="AL71" s="26" t="s">
        <v>560</v>
      </c>
      <c r="AM71" s="26">
        <v>2</v>
      </c>
      <c r="AN71" s="26" t="s">
        <v>634</v>
      </c>
      <c r="AO71" s="180" t="s">
        <v>76</v>
      </c>
    </row>
    <row r="72" spans="1:41" ht="16.899999999999999" customHeight="1" x14ac:dyDescent="0.15">
      <c r="A72" s="80" t="s">
        <v>470</v>
      </c>
      <c r="B72" s="80" t="s">
        <v>471</v>
      </c>
      <c r="C72" s="80" t="s">
        <v>351</v>
      </c>
      <c r="D72" s="80">
        <v>7</v>
      </c>
      <c r="E72" s="80"/>
      <c r="F72" s="80"/>
      <c r="G72" s="80"/>
      <c r="H72" s="80"/>
      <c r="I72" s="80"/>
      <c r="AG72" s="176" t="str" cm="1">
        <f t="array" ref="AG72">IFERROR(INDEX($AH$1:$AH$85,SMALL(IF($AH$1:$AH$85&lt;&gt;"",ROW($AH$1:$AH$85),4^8),ROW(AH71)))&amp;"","")</f>
        <v/>
      </c>
      <c r="AH72" s="59" t="s">
        <v>692</v>
      </c>
      <c r="AI72" s="59" t="s">
        <v>542</v>
      </c>
      <c r="AJ72" s="59" t="s">
        <v>563</v>
      </c>
      <c r="AK72" s="59" t="s">
        <v>693</v>
      </c>
      <c r="AL72" s="59" t="s">
        <v>560</v>
      </c>
      <c r="AM72" s="59">
        <v>10</v>
      </c>
      <c r="AN72" s="59" t="s">
        <v>694</v>
      </c>
      <c r="AO72" s="248" t="s">
        <v>76</v>
      </c>
    </row>
    <row r="73" spans="1:41" ht="16.899999999999999" customHeight="1" x14ac:dyDescent="0.15">
      <c r="A73" s="87" t="s">
        <v>472</v>
      </c>
      <c r="B73" s="87" t="s">
        <v>473</v>
      </c>
      <c r="C73" s="87" t="s">
        <v>292</v>
      </c>
      <c r="D73" s="87">
        <v>10</v>
      </c>
      <c r="E73" s="80"/>
      <c r="F73" s="80"/>
      <c r="G73" s="80"/>
      <c r="H73" s="80"/>
      <c r="I73" s="80"/>
      <c r="AG73" s="176" t="str" cm="1">
        <f t="array" ref="AG73">IFERROR(INDEX($AH$1:$AH$85,SMALL(IF($AH$1:$AH$85&lt;&gt;"",ROW($AH$1:$AH$85),4^8),ROW(AH72)))&amp;"","")</f>
        <v/>
      </c>
      <c r="AH73" s="26" t="s">
        <v>696</v>
      </c>
      <c r="AI73" s="26" t="s">
        <v>540</v>
      </c>
      <c r="AJ73" s="26" t="s">
        <v>563</v>
      </c>
      <c r="AK73" s="26" t="s">
        <v>697</v>
      </c>
      <c r="AL73" s="26" t="s">
        <v>574</v>
      </c>
      <c r="AM73" s="26">
        <v>3</v>
      </c>
      <c r="AN73" s="26" t="s">
        <v>698</v>
      </c>
      <c r="AO73" s="180" t="s">
        <v>76</v>
      </c>
    </row>
    <row r="74" spans="1:41" ht="16.899999999999999" customHeight="1" x14ac:dyDescent="0.15">
      <c r="A74" s="80" t="s">
        <v>474</v>
      </c>
      <c r="B74" s="80" t="s">
        <v>475</v>
      </c>
      <c r="C74" s="80" t="s">
        <v>190</v>
      </c>
      <c r="D74" s="80">
        <v>0.5</v>
      </c>
      <c r="E74" s="80"/>
      <c r="F74" s="80"/>
      <c r="G74" s="80"/>
      <c r="H74" s="80"/>
      <c r="I74" s="80"/>
      <c r="AG74" s="176" t="str" cm="1">
        <f t="array" ref="AG74">IFERROR(INDEX($AH$1:$AH$85,SMALL(IF($AH$1:$AH$85&lt;&gt;"",ROW($AH$1:$AH$85),4^8),ROW(AH73)))&amp;"","")</f>
        <v/>
      </c>
      <c r="AH74" s="249" t="str">
        <f>IF(自定义调整栏!$E$34="O","喇叭铳","")</f>
        <v/>
      </c>
      <c r="AI74" s="249" t="s">
        <v>6879</v>
      </c>
      <c r="AJ74" s="249" t="s">
        <v>6857</v>
      </c>
      <c r="AK74" s="249" t="s">
        <v>6880</v>
      </c>
      <c r="AL74" s="249" t="s">
        <v>6863</v>
      </c>
      <c r="AM74" s="249">
        <v>15</v>
      </c>
      <c r="AN74" s="249" t="s">
        <v>6871</v>
      </c>
      <c r="AO74" s="248" t="s">
        <v>2990</v>
      </c>
    </row>
    <row r="75" spans="1:41" ht="16.899999999999999" customHeight="1" x14ac:dyDescent="0.15">
      <c r="A75" s="87" t="s">
        <v>476</v>
      </c>
      <c r="B75" s="87" t="s">
        <v>477</v>
      </c>
      <c r="C75" s="87" t="s">
        <v>335</v>
      </c>
      <c r="D75" s="87">
        <v>1</v>
      </c>
      <c r="E75" s="80"/>
      <c r="F75" s="80"/>
      <c r="G75" s="80"/>
      <c r="H75" s="80"/>
      <c r="I75" s="80"/>
      <c r="AG75" s="176" t="str" cm="1">
        <f t="array" ref="AG75">IFERROR(INDEX($AH$1:$AH$85,SMALL(IF($AH$1:$AH$85&lt;&gt;"",ROW($AH$1:$AH$85),4^8),ROW(AH74)))&amp;"","")</f>
        <v/>
      </c>
      <c r="AH75" s="67" t="str">
        <f>IF(自定义调整栏!$E$34="O","加农炮","")</f>
        <v/>
      </c>
      <c r="AI75" s="67" t="s">
        <v>6861</v>
      </c>
      <c r="AJ75" s="67" t="s">
        <v>6876</v>
      </c>
      <c r="AK75" s="67" t="s">
        <v>6875</v>
      </c>
      <c r="AL75" s="67" t="s">
        <v>6874</v>
      </c>
      <c r="AM75" s="67">
        <v>225</v>
      </c>
      <c r="AN75" s="67" t="s">
        <v>6873</v>
      </c>
      <c r="AO75" s="180" t="s">
        <v>2990</v>
      </c>
    </row>
    <row r="76" spans="1:41" ht="16.899999999999999" customHeight="1" x14ac:dyDescent="0.15">
      <c r="A76" s="80" t="s">
        <v>478</v>
      </c>
      <c r="B76" s="80" t="s">
        <v>479</v>
      </c>
      <c r="C76" s="80" t="s">
        <v>480</v>
      </c>
      <c r="D76" s="80">
        <v>29</v>
      </c>
      <c r="E76" s="80"/>
      <c r="F76" s="80"/>
      <c r="G76" s="80"/>
      <c r="H76" s="80"/>
      <c r="I76" s="80"/>
      <c r="AG76" s="176" t="str" cm="1">
        <f t="array" ref="AG76">IFERROR(INDEX($AH$1:$AH$85,SMALL(IF($AH$1:$AH$85&lt;&gt;"",ROW($AH$1:$AH$85),4^8),ROW(AH75)))&amp;"","")</f>
        <v/>
      </c>
      <c r="AH76" s="249" t="str">
        <f>IF(自定义调整栏!$E$34="O","加特林机枪","")</f>
        <v/>
      </c>
      <c r="AI76" s="249" t="s">
        <v>6867</v>
      </c>
      <c r="AJ76" s="249" t="s">
        <v>6857</v>
      </c>
      <c r="AK76" s="249" t="s">
        <v>6872</v>
      </c>
      <c r="AL76" s="249" t="s">
        <v>6855</v>
      </c>
      <c r="AM76" s="249">
        <v>125</v>
      </c>
      <c r="AN76" s="249" t="s">
        <v>6871</v>
      </c>
      <c r="AO76" s="248" t="s">
        <v>2990</v>
      </c>
    </row>
    <row r="77" spans="1:41" ht="16.899999999999999" customHeight="1" x14ac:dyDescent="0.15">
      <c r="A77" s="87" t="s">
        <v>481</v>
      </c>
      <c r="B77" s="87" t="s">
        <v>482</v>
      </c>
      <c r="C77" s="87" t="s">
        <v>207</v>
      </c>
      <c r="D77" s="87">
        <v>1</v>
      </c>
      <c r="E77" s="80"/>
      <c r="F77" s="80"/>
      <c r="G77" s="80"/>
      <c r="H77" s="80"/>
      <c r="I77" s="80"/>
      <c r="AG77" s="176" t="str" cm="1">
        <f t="array" ref="AG77">IFERROR(INDEX($AH$1:$AH$85,SMALL(IF($AH$1:$AH$85&lt;&gt;"",ROW($AH$1:$AH$85),4^8),ROW(AH76)))&amp;"","")</f>
        <v/>
      </c>
      <c r="AH77" s="67" t="str">
        <f>IF(自定义调整栏!$E$34="O","马格南","")</f>
        <v/>
      </c>
      <c r="AI77" s="67" t="s">
        <v>6861</v>
      </c>
      <c r="AJ77" s="67" t="s">
        <v>6857</v>
      </c>
      <c r="AK77" s="67" t="s">
        <v>6870</v>
      </c>
      <c r="AL77" s="67" t="s">
        <v>6869</v>
      </c>
      <c r="AM77" s="67">
        <v>6</v>
      </c>
      <c r="AN77" s="67" t="s">
        <v>6868</v>
      </c>
      <c r="AO77" s="180" t="s">
        <v>2990</v>
      </c>
    </row>
    <row r="78" spans="1:41" ht="16.899999999999999" customHeight="1" x14ac:dyDescent="0.15">
      <c r="A78" s="80" t="s">
        <v>483</v>
      </c>
      <c r="B78" s="80" t="s">
        <v>484</v>
      </c>
      <c r="C78" s="80" t="s">
        <v>485</v>
      </c>
      <c r="D78" s="80">
        <v>35</v>
      </c>
      <c r="E78" s="80"/>
      <c r="F78" s="80"/>
      <c r="G78" s="80"/>
      <c r="H78" s="80"/>
      <c r="I78" s="80"/>
      <c r="AG78" s="176" t="str" cm="1">
        <f t="array" ref="AG78">IFERROR(INDEX($AH$1:$AH$85,SMALL(IF($AH$1:$AH$85&lt;&gt;"",ROW($AH$1:$AH$85),4^8),ROW(AH77)))&amp;"","")</f>
        <v/>
      </c>
      <c r="AH78" s="249" t="str">
        <f>IF(自定义调整栏!$E$34="O","突击步枪","")</f>
        <v/>
      </c>
      <c r="AI78" s="249" t="s">
        <v>6867</v>
      </c>
      <c r="AJ78" s="249" t="s">
        <v>6857</v>
      </c>
      <c r="AK78" s="249" t="s">
        <v>6866</v>
      </c>
      <c r="AL78" s="249" t="s">
        <v>6855</v>
      </c>
      <c r="AM78" s="249">
        <v>7</v>
      </c>
      <c r="AN78" s="249" t="s">
        <v>6865</v>
      </c>
      <c r="AO78" s="248" t="s">
        <v>2990</v>
      </c>
    </row>
    <row r="79" spans="1:41" ht="16.899999999999999" customHeight="1" x14ac:dyDescent="0.15">
      <c r="A79" s="87" t="s">
        <v>249</v>
      </c>
      <c r="B79" s="87" t="s">
        <v>486</v>
      </c>
      <c r="C79" s="87" t="s">
        <v>335</v>
      </c>
      <c r="D79" s="87">
        <v>2</v>
      </c>
      <c r="E79" s="80"/>
      <c r="F79" s="80"/>
      <c r="G79" s="80"/>
      <c r="H79" s="80"/>
      <c r="I79" s="80"/>
      <c r="AG79" s="176" t="str" cm="1">
        <f t="array" ref="AG79">IFERROR(INDEX($AH$1:$AH$85,SMALL(IF($AH$1:$AH$85&lt;&gt;"",ROW($AH$1:$AH$85),4^8),ROW(AH78)))&amp;"","")</f>
        <v/>
      </c>
      <c r="AH79" s="67" t="str">
        <f>IF(自定义调整栏!$E$34="O","泵动式霰弹枪","")</f>
        <v/>
      </c>
      <c r="AI79" s="67" t="s">
        <v>6861</v>
      </c>
      <c r="AJ79" s="67" t="s">
        <v>6857</v>
      </c>
      <c r="AK79" s="67" t="s">
        <v>6864</v>
      </c>
      <c r="AL79" s="67" t="s">
        <v>6863</v>
      </c>
      <c r="AM79" s="67">
        <v>7</v>
      </c>
      <c r="AN79" s="67" t="s">
        <v>6862</v>
      </c>
      <c r="AO79" s="180" t="s">
        <v>2990</v>
      </c>
    </row>
    <row r="80" spans="1:41" ht="16.899999999999999" customHeight="1" x14ac:dyDescent="0.15">
      <c r="A80" s="80" t="s">
        <v>487</v>
      </c>
      <c r="B80" s="80" t="s">
        <v>488</v>
      </c>
      <c r="C80" s="80" t="s">
        <v>207</v>
      </c>
      <c r="D80" s="80">
        <v>4</v>
      </c>
      <c r="E80" s="80"/>
      <c r="F80" s="80"/>
      <c r="G80" s="80"/>
      <c r="H80" s="80"/>
      <c r="I80" s="80"/>
      <c r="AG80" s="176" t="str" cm="1">
        <f t="array" ref="AG80">IFERROR(INDEX($AH$1:$AH$85,SMALL(IF($AH$1:$AH$85&lt;&gt;"",ROW($AH$1:$AH$85),4^8),ROW(AH79)))&amp;"","")</f>
        <v/>
      </c>
      <c r="AH80" s="249" t="str">
        <f>IF(自定义调整栏!$E$34="O","狙击步枪","")</f>
        <v/>
      </c>
      <c r="AI80" s="249" t="s">
        <v>6861</v>
      </c>
      <c r="AJ80" s="249" t="s">
        <v>6857</v>
      </c>
      <c r="AK80" s="249" t="s">
        <v>6860</v>
      </c>
      <c r="AL80" s="249" t="s">
        <v>6859</v>
      </c>
      <c r="AM80" s="249">
        <v>8</v>
      </c>
      <c r="AN80" s="249" t="s">
        <v>6858</v>
      </c>
      <c r="AO80" s="248" t="s">
        <v>2990</v>
      </c>
    </row>
    <row r="81" spans="1:41" ht="16.899999999999999" customHeight="1" x14ac:dyDescent="0.15">
      <c r="A81" s="87" t="s">
        <v>489</v>
      </c>
      <c r="B81" s="87" t="s">
        <v>490</v>
      </c>
      <c r="C81" s="87" t="s">
        <v>207</v>
      </c>
      <c r="D81" s="87">
        <v>5</v>
      </c>
      <c r="E81" s="80"/>
      <c r="F81" s="80"/>
      <c r="G81" s="80"/>
      <c r="H81" s="80"/>
      <c r="I81" s="80"/>
      <c r="AG81" s="176" t="str" cm="1">
        <f t="array" ref="AG81">IFERROR(INDEX($AH$1:$AH$85,SMALL(IF($AH$1:$AH$85&lt;&gt;"",ROW($AH$1:$AH$85),4^8),ROW(AH80)))&amp;"","")</f>
        <v/>
      </c>
      <c r="AH81" s="67" t="str">
        <f>IF(自定义调整栏!$E$34="O","冲锋枪","")</f>
        <v/>
      </c>
      <c r="AI81" s="67" t="s">
        <v>6853</v>
      </c>
      <c r="AJ81" s="67" t="s">
        <v>6857</v>
      </c>
      <c r="AK81" s="67" t="s">
        <v>6856</v>
      </c>
      <c r="AL81" s="67" t="s">
        <v>6855</v>
      </c>
      <c r="AM81" s="67">
        <v>6</v>
      </c>
      <c r="AN81" s="67" t="s">
        <v>6854</v>
      </c>
      <c r="AO81" s="180" t="s">
        <v>2990</v>
      </c>
    </row>
    <row r="82" spans="1:41" ht="16.899999999999999" customHeight="1" x14ac:dyDescent="0.15">
      <c r="A82" s="80" t="s">
        <v>491</v>
      </c>
      <c r="B82" s="80" t="s">
        <v>492</v>
      </c>
      <c r="C82" s="80" t="s">
        <v>366</v>
      </c>
      <c r="D82" s="80">
        <v>0.5</v>
      </c>
      <c r="E82" s="80"/>
      <c r="F82" s="80"/>
      <c r="G82" s="80"/>
      <c r="H82" s="80"/>
      <c r="I82" s="80"/>
      <c r="AG82" s="176" t="str" cm="1">
        <f t="array" ref="AG82">IFERROR(INDEX($AH$1:$AH$85,SMALL(IF($AH$1:$AH$85&lt;&gt;"",ROW($AH$1:$AH$85),4^8),ROW(AH81)))&amp;"","")</f>
        <v/>
      </c>
      <c r="AH82" s="249" t="str">
        <f>IF(自定义调整栏!$E$33="O","鸣玉泡泡杖","")</f>
        <v/>
      </c>
      <c r="AI82" s="249" t="s">
        <v>6853</v>
      </c>
      <c r="AJ82" s="249" t="s">
        <v>6852</v>
      </c>
      <c r="AK82" s="249" t="s">
        <v>6851</v>
      </c>
      <c r="AL82" s="249" t="str">
        <f>""</f>
        <v/>
      </c>
      <c r="AM82" s="249">
        <v>1</v>
      </c>
      <c r="AN82" s="249" t="s">
        <v>6850</v>
      </c>
      <c r="AO82" s="248" t="s">
        <v>2990</v>
      </c>
    </row>
    <row r="83" spans="1:41" ht="16.899999999999999" customHeight="1" x14ac:dyDescent="0.15">
      <c r="A83" s="87" t="s">
        <v>493</v>
      </c>
      <c r="B83" s="87" t="s">
        <v>494</v>
      </c>
      <c r="C83" s="87" t="s">
        <v>417</v>
      </c>
      <c r="D83" s="87">
        <v>22</v>
      </c>
      <c r="E83" s="80"/>
      <c r="F83" s="80"/>
      <c r="G83" s="80"/>
      <c r="H83" s="80"/>
      <c r="I83" s="80"/>
      <c r="AG83" s="176" t="str" cm="1">
        <f t="array" ref="AG83">IFERROR(INDEX($AH$1:$AH$85,SMALL(IF($AH$1:$AH$85&lt;&gt;"",ROW($AH$1:$AH$85),4^8),ROW(AH82)))&amp;"","")</f>
        <v/>
      </c>
      <c r="AH83" s="227" t="str">
        <f>自定义调整栏!U3</f>
        <v>自定义武器1</v>
      </c>
      <c r="AI83" s="227" t="str">
        <f>IF(自定义调整栏!W3="","",自定义调整栏!W3)</f>
        <v/>
      </c>
      <c r="AJ83" s="227" t="str">
        <f>IF(自定义调整栏!X3="","",自定义调整栏!X3)</f>
        <v/>
      </c>
      <c r="AK83" s="227" t="str">
        <f>IF(自定义调整栏!Y3="","",自定义调整栏!Y3)</f>
        <v/>
      </c>
      <c r="AL83" s="227" t="str">
        <f>IF(自定义调整栏!Z3="","",自定义调整栏!Z3)</f>
        <v/>
      </c>
      <c r="AM83" s="227" t="str">
        <f>IF(自定义调整栏!AA3="","",自定义调整栏!AA3)</f>
        <v/>
      </c>
      <c r="AN83" s="227" t="s">
        <v>2882</v>
      </c>
      <c r="AO83" s="247" t="str">
        <f>IF(自定义调整栏!AB3="","",自定义调整栏!AB3)</f>
        <v>力量</v>
      </c>
    </row>
    <row r="84" spans="1:41" ht="16.899999999999999" customHeight="1" x14ac:dyDescent="0.15">
      <c r="A84" s="80" t="s">
        <v>495</v>
      </c>
      <c r="B84" s="80" t="s">
        <v>496</v>
      </c>
      <c r="C84" s="80" t="s">
        <v>292</v>
      </c>
      <c r="D84" s="80">
        <v>5</v>
      </c>
      <c r="E84" s="80"/>
      <c r="F84" s="80"/>
      <c r="G84" s="80"/>
      <c r="H84" s="80"/>
      <c r="I84" s="80"/>
      <c r="AG84" s="176" t="str" cm="1">
        <f t="array" ref="AG84">IFERROR(INDEX($AH$1:$AH$85,SMALL(IF($AH$1:$AH$85&lt;&gt;"",ROW($AH$1:$AH$85),4^8),ROW(AH83)))&amp;"","")</f>
        <v/>
      </c>
      <c r="AH84" s="53" t="str">
        <f>自定义调整栏!U4</f>
        <v>自定义武器2</v>
      </c>
      <c r="AI84" s="53" t="str">
        <f>IF(自定义调整栏!W4="","",自定义调整栏!W4)</f>
        <v/>
      </c>
      <c r="AJ84" s="53" t="str">
        <f>IF(自定义调整栏!X4="","",自定义调整栏!X4)</f>
        <v/>
      </c>
      <c r="AK84" s="53" t="str">
        <f>IF(自定义调整栏!Y4="","",自定义调整栏!Y4)</f>
        <v/>
      </c>
      <c r="AL84" s="53" t="str">
        <f>IF(自定义调整栏!Z4="","",自定义调整栏!Z4)</f>
        <v/>
      </c>
      <c r="AM84" s="53" t="str">
        <f>IF(自定义调整栏!AA4="","",自定义调整栏!AA4)</f>
        <v/>
      </c>
      <c r="AN84" s="53" t="s">
        <v>2882</v>
      </c>
      <c r="AO84" s="246" t="str">
        <f>IF(自定义调整栏!AB4="","",自定义调整栏!AB4)</f>
        <v>力量</v>
      </c>
    </row>
    <row r="85" spans="1:41" ht="16.899999999999999" customHeight="1" x14ac:dyDescent="0.15">
      <c r="A85" s="87" t="s">
        <v>497</v>
      </c>
      <c r="B85" s="87" t="s">
        <v>498</v>
      </c>
      <c r="C85" s="87" t="s">
        <v>351</v>
      </c>
      <c r="D85" s="87">
        <v>0</v>
      </c>
      <c r="E85" s="80"/>
      <c r="F85" s="80"/>
      <c r="G85" s="80"/>
      <c r="H85" s="80"/>
      <c r="I85" s="80"/>
      <c r="AG85" s="176" t="str" cm="1">
        <f t="array" ref="AG85">IFERROR(INDEX($AH$1:$AH$85,SMALL(IF($AH$1:$AH$85&lt;&gt;"",ROW($AH$1:$AH$85),4^8),ROW(AH84)))&amp;"","")</f>
        <v/>
      </c>
      <c r="AH85" s="228" t="str">
        <f>自定义调整栏!U5</f>
        <v>自定义武器3</v>
      </c>
      <c r="AI85" s="228" t="str">
        <f>IF(自定义调整栏!W5="","",自定义调整栏!W5)</f>
        <v/>
      </c>
      <c r="AJ85" s="228" t="str">
        <f>IF(自定义调整栏!X5="","",自定义调整栏!X5)</f>
        <v/>
      </c>
      <c r="AK85" s="228" t="str">
        <f>IF(自定义调整栏!Y5="","",自定义调整栏!Y5)</f>
        <v/>
      </c>
      <c r="AL85" s="228" t="str">
        <f>IF(自定义调整栏!Z5="","",自定义调整栏!Z5)</f>
        <v/>
      </c>
      <c r="AM85" s="228" t="str">
        <f>IF(自定义调整栏!AA5="","",自定义调整栏!AA5)</f>
        <v/>
      </c>
      <c r="AN85" s="228" t="s">
        <v>2882</v>
      </c>
      <c r="AO85" s="245" t="str">
        <f>IF(自定义调整栏!AB5="","",自定义调整栏!AB5)</f>
        <v>力量</v>
      </c>
    </row>
    <row r="86" spans="1:41" ht="16.899999999999999" customHeight="1" x14ac:dyDescent="0.15">
      <c r="A86" s="80" t="s">
        <v>499</v>
      </c>
      <c r="B86" s="80" t="s">
        <v>500</v>
      </c>
      <c r="C86" s="80" t="s">
        <v>257</v>
      </c>
      <c r="D86" s="80">
        <v>0</v>
      </c>
      <c r="E86" s="80"/>
      <c r="F86" s="80"/>
      <c r="G86" s="80"/>
      <c r="H86" s="80"/>
      <c r="I86" s="80"/>
      <c r="AG86" s="176" t="str" cm="1">
        <f t="array" ref="AG86">IFERROR(INDEX($AH$1:$AH$85,SMALL(IF($AH$1:$AH$85&lt;&gt;"",ROW($AH$1:$AH$85),4^8),ROW(AH85)))&amp;"","")</f>
        <v/>
      </c>
    </row>
    <row r="87" spans="1:41" ht="16.899999999999999" customHeight="1" x14ac:dyDescent="0.15">
      <c r="A87" s="87" t="s">
        <v>501</v>
      </c>
      <c r="B87" s="87" t="s">
        <v>502</v>
      </c>
      <c r="C87" s="87" t="s">
        <v>190</v>
      </c>
      <c r="D87" s="87">
        <v>0</v>
      </c>
      <c r="E87" s="80"/>
      <c r="F87" s="80"/>
      <c r="G87" s="80"/>
      <c r="H87" s="80"/>
      <c r="I87" s="80"/>
      <c r="AG87" s="176" t="str" cm="1">
        <f t="array" ref="AG87">IFERROR(INDEX($AH$1:$AH$85,SMALL(IF($AH$1:$AH$85&lt;&gt;"",ROW($AH$1:$AH$85),4^8),ROW(AH86)))&amp;"","")</f>
        <v/>
      </c>
    </row>
    <row r="88" spans="1:41" ht="16.899999999999999" customHeight="1" x14ac:dyDescent="0.15">
      <c r="A88" s="80" t="s">
        <v>503</v>
      </c>
      <c r="B88" s="80" t="s">
        <v>504</v>
      </c>
      <c r="C88" s="80" t="s">
        <v>207</v>
      </c>
      <c r="D88" s="80">
        <v>5</v>
      </c>
      <c r="E88" s="80"/>
      <c r="F88" s="80"/>
      <c r="G88" s="80"/>
      <c r="H88" s="80"/>
      <c r="I88" s="80"/>
      <c r="AG88" s="176" t="str" cm="1">
        <f t="array" ref="AG88">IFERROR(INDEX($AH$1:$AH$85,SMALL(IF($AH$1:$AH$85&lt;&gt;"",ROW($AH$1:$AH$85),4^8),ROW(AH87)))&amp;"","")</f>
        <v/>
      </c>
    </row>
    <row r="89" spans="1:41" ht="16.899999999999999" customHeight="1" x14ac:dyDescent="0.15">
      <c r="A89" s="87" t="s">
        <v>505</v>
      </c>
      <c r="B89" s="87" t="s">
        <v>506</v>
      </c>
      <c r="C89" s="87" t="s">
        <v>507</v>
      </c>
      <c r="D89" s="87">
        <v>1</v>
      </c>
      <c r="E89" s="80"/>
      <c r="F89" s="80"/>
      <c r="G89" s="80"/>
      <c r="H89" s="80"/>
      <c r="I89" s="80"/>
    </row>
    <row r="90" spans="1:41" ht="16.899999999999999" customHeight="1" x14ac:dyDescent="0.15">
      <c r="A90" s="80" t="s">
        <v>508</v>
      </c>
      <c r="B90" s="80" t="s">
        <v>509</v>
      </c>
      <c r="C90" s="80" t="s">
        <v>342</v>
      </c>
      <c r="D90" s="80">
        <v>0</v>
      </c>
      <c r="E90" s="80"/>
      <c r="F90" s="80"/>
      <c r="G90" s="80"/>
      <c r="H90" s="80"/>
      <c r="I90" s="80"/>
    </row>
    <row r="91" spans="1:41" ht="16.899999999999999" customHeight="1" x14ac:dyDescent="0.15">
      <c r="A91" s="87" t="s">
        <v>510</v>
      </c>
      <c r="B91" s="87" t="s">
        <v>511</v>
      </c>
      <c r="C91" s="87" t="s">
        <v>292</v>
      </c>
      <c r="D91" s="87">
        <v>20</v>
      </c>
      <c r="E91" s="80"/>
      <c r="F91" s="80"/>
      <c r="G91" s="80"/>
      <c r="H91" s="80"/>
      <c r="I91" s="80"/>
    </row>
    <row r="92" spans="1:41" ht="16.899999999999999" customHeight="1" x14ac:dyDescent="0.15">
      <c r="A92" s="80" t="s">
        <v>512</v>
      </c>
      <c r="B92" s="80" t="s">
        <v>513</v>
      </c>
      <c r="C92" s="80" t="s">
        <v>335</v>
      </c>
      <c r="D92" s="80">
        <v>1</v>
      </c>
      <c r="F92" s="80"/>
      <c r="G92" s="80"/>
      <c r="H92" s="80"/>
      <c r="I92" s="80"/>
    </row>
    <row r="93" spans="1:41" ht="16.899999999999999" customHeight="1" x14ac:dyDescent="0.15">
      <c r="A93" s="87" t="s">
        <v>514</v>
      </c>
      <c r="B93" s="87" t="s">
        <v>515</v>
      </c>
      <c r="C93" s="87" t="s">
        <v>366</v>
      </c>
      <c r="D93" s="87">
        <v>1</v>
      </c>
      <c r="F93" s="80"/>
      <c r="G93" s="80"/>
      <c r="H93" s="80"/>
      <c r="I93" s="80"/>
    </row>
    <row r="94" spans="1:41" ht="16.899999999999999" customHeight="1" x14ac:dyDescent="0.15">
      <c r="A94" s="80" t="s">
        <v>516</v>
      </c>
      <c r="B94" s="80" t="s">
        <v>517</v>
      </c>
      <c r="C94" s="80" t="s">
        <v>207</v>
      </c>
      <c r="D94" s="80">
        <v>0</v>
      </c>
      <c r="F94" s="80"/>
      <c r="G94" s="80"/>
      <c r="H94" s="80"/>
      <c r="I94" s="80"/>
    </row>
    <row r="95" spans="1:41" ht="16.899999999999999" customHeight="1" x14ac:dyDescent="0.15">
      <c r="A95" s="87" t="s">
        <v>518</v>
      </c>
      <c r="B95" s="87" t="s">
        <v>519</v>
      </c>
      <c r="C95" s="87" t="s">
        <v>464</v>
      </c>
      <c r="D95" s="87">
        <v>5</v>
      </c>
      <c r="F95" s="80"/>
      <c r="G95" s="80"/>
      <c r="H95" s="80"/>
      <c r="I95" s="80"/>
    </row>
    <row r="96" spans="1:41" ht="16.899999999999999" customHeight="1" x14ac:dyDescent="0.15">
      <c r="A96" s="84" t="s">
        <v>353</v>
      </c>
      <c r="F96" s="80"/>
      <c r="G96" s="80"/>
      <c r="H96" s="80"/>
      <c r="I96" s="80"/>
    </row>
    <row r="97" spans="1:9" ht="16.899999999999999" customHeight="1" x14ac:dyDescent="0.15">
      <c r="A97" s="80" t="s">
        <v>400</v>
      </c>
      <c r="F97" s="80"/>
      <c r="G97" s="80"/>
      <c r="H97" s="80"/>
      <c r="I97" s="80"/>
    </row>
    <row r="98" spans="1:9" ht="16.899999999999999" customHeight="1" x14ac:dyDescent="0.15">
      <c r="A98" s="84" t="s">
        <v>415</v>
      </c>
      <c r="F98" s="80"/>
      <c r="G98" s="80"/>
      <c r="H98" s="80"/>
      <c r="I98" s="80"/>
    </row>
    <row r="99" spans="1:9" ht="16.899999999999999" customHeight="1" x14ac:dyDescent="0.15">
      <c r="A99" s="80" t="s">
        <v>418</v>
      </c>
      <c r="F99" s="80"/>
      <c r="G99" s="80"/>
      <c r="H99" s="80"/>
      <c r="I99" s="80"/>
    </row>
    <row r="100" spans="1:9" ht="16.899999999999999" customHeight="1" x14ac:dyDescent="0.15">
      <c r="A100" s="80" t="s">
        <v>478</v>
      </c>
      <c r="F100" s="80"/>
      <c r="G100" s="80"/>
      <c r="H100" s="80"/>
      <c r="I100" s="80"/>
    </row>
    <row r="101" spans="1:9" ht="16.899999999999999" customHeight="1" x14ac:dyDescent="0.15">
      <c r="A101" s="87" t="s">
        <v>493</v>
      </c>
      <c r="F101" s="80"/>
      <c r="G101" s="80"/>
      <c r="H101" s="80"/>
      <c r="I101" s="80"/>
    </row>
    <row r="102" spans="1:9" ht="16.899999999999999" customHeight="1" x14ac:dyDescent="0.15">
      <c r="F102" s="80"/>
      <c r="G102" s="80"/>
      <c r="H102" s="80"/>
      <c r="I102" s="80"/>
    </row>
    <row r="103" spans="1:9" ht="16.899999999999999" customHeight="1" x14ac:dyDescent="0.15">
      <c r="F103" s="80"/>
      <c r="G103" s="80"/>
      <c r="H103" s="80"/>
      <c r="I103" s="80"/>
    </row>
    <row r="104" spans="1:9" ht="16.899999999999999" customHeight="1" x14ac:dyDescent="0.15">
      <c r="F104" s="80"/>
      <c r="G104" s="80"/>
      <c r="H104" s="80"/>
      <c r="I104" s="80"/>
    </row>
    <row r="105" spans="1:9" ht="16.899999999999999" customHeight="1" x14ac:dyDescent="0.15">
      <c r="F105" s="80"/>
      <c r="G105" s="80"/>
      <c r="H105" s="80"/>
      <c r="I105" s="80"/>
    </row>
    <row r="106" spans="1:9" ht="16.899999999999999" customHeight="1" x14ac:dyDescent="0.15">
      <c r="F106" s="80"/>
      <c r="G106" s="80"/>
      <c r="H106" s="80"/>
      <c r="I106" s="80"/>
    </row>
    <row r="107" spans="1:9" ht="16.899999999999999" customHeight="1" x14ac:dyDescent="0.15">
      <c r="F107" s="80"/>
      <c r="G107" s="80"/>
      <c r="H107" s="80"/>
      <c r="I107" s="80"/>
    </row>
    <row r="108" spans="1:9" ht="16.899999999999999" customHeight="1" x14ac:dyDescent="0.15">
      <c r="F108" s="80"/>
      <c r="G108" s="80"/>
      <c r="H108" s="80"/>
      <c r="I108" s="80"/>
    </row>
    <row r="109" spans="1:9" ht="16.899999999999999" customHeight="1" x14ac:dyDescent="0.15">
      <c r="F109" s="80"/>
      <c r="G109" s="80"/>
      <c r="H109" s="80"/>
      <c r="I109" s="80"/>
    </row>
    <row r="110" spans="1:9" ht="16.899999999999999" customHeight="1" x14ac:dyDescent="0.15">
      <c r="F110" s="80"/>
      <c r="G110" s="80"/>
      <c r="H110" s="80"/>
      <c r="I110" s="80"/>
    </row>
    <row r="111" spans="1:9" ht="16.899999999999999" customHeight="1" x14ac:dyDescent="0.15">
      <c r="F111" s="80"/>
      <c r="G111" s="80"/>
      <c r="H111" s="80"/>
      <c r="I111" s="80"/>
    </row>
    <row r="112" spans="1:9" ht="16.899999999999999" customHeight="1" x14ac:dyDescent="0.15">
      <c r="F112" s="80"/>
      <c r="G112" s="80"/>
      <c r="H112" s="80"/>
      <c r="I112" s="80"/>
    </row>
    <row r="113" spans="6:9" ht="16.899999999999999" customHeight="1" x14ac:dyDescent="0.15">
      <c r="F113" s="80"/>
      <c r="G113" s="80"/>
      <c r="H113" s="80"/>
      <c r="I113" s="80"/>
    </row>
    <row r="114" spans="6:9" ht="16.899999999999999" customHeight="1" x14ac:dyDescent="0.15">
      <c r="F114" s="80"/>
      <c r="G114" s="80"/>
      <c r="H114" s="80"/>
      <c r="I114" s="80"/>
    </row>
    <row r="115" spans="6:9" ht="16.899999999999999" customHeight="1" x14ac:dyDescent="0.15">
      <c r="F115" s="80"/>
      <c r="G115" s="80"/>
      <c r="H115" s="80"/>
      <c r="I115" s="80"/>
    </row>
    <row r="116" spans="6:9" ht="16.899999999999999" customHeight="1" x14ac:dyDescent="0.15">
      <c r="F116" s="80"/>
      <c r="G116" s="80"/>
      <c r="H116" s="80"/>
      <c r="I116" s="80"/>
    </row>
    <row r="117" spans="6:9" ht="16.899999999999999" customHeight="1" x14ac:dyDescent="0.15">
      <c r="F117" s="80"/>
      <c r="G117" s="80"/>
      <c r="H117" s="80"/>
      <c r="I117" s="80"/>
    </row>
    <row r="118" spans="6:9" ht="16.899999999999999" customHeight="1" x14ac:dyDescent="0.15">
      <c r="F118" s="80"/>
      <c r="G118" s="80"/>
      <c r="H118" s="80"/>
      <c r="I118" s="80"/>
    </row>
    <row r="119" spans="6:9" ht="16.899999999999999" customHeight="1" x14ac:dyDescent="0.15">
      <c r="F119" s="80"/>
      <c r="G119" s="80"/>
      <c r="H119" s="80"/>
      <c r="I119" s="80"/>
    </row>
    <row r="120" spans="6:9" ht="16.899999999999999" customHeight="1" x14ac:dyDescent="0.15">
      <c r="F120" s="80"/>
      <c r="G120" s="80"/>
      <c r="H120" s="80"/>
      <c r="I120" s="80"/>
    </row>
    <row r="121" spans="6:9" ht="16.899999999999999" customHeight="1" x14ac:dyDescent="0.15">
      <c r="F121" s="80"/>
      <c r="G121" s="80"/>
      <c r="H121" s="80"/>
      <c r="I121" s="80"/>
    </row>
    <row r="122" spans="6:9" ht="16.899999999999999" customHeight="1" x14ac:dyDescent="0.15">
      <c r="F122" s="80"/>
      <c r="G122" s="80"/>
      <c r="H122" s="80"/>
      <c r="I122" s="80"/>
    </row>
    <row r="123" spans="6:9" ht="16.899999999999999" customHeight="1" x14ac:dyDescent="0.15">
      <c r="F123" s="80"/>
      <c r="G123" s="80"/>
      <c r="H123" s="80"/>
      <c r="I123" s="80"/>
    </row>
    <row r="124" spans="6:9" ht="16.899999999999999" customHeight="1" x14ac:dyDescent="0.15">
      <c r="F124" s="80"/>
      <c r="G124" s="80"/>
      <c r="H124" s="80"/>
      <c r="I124" s="80"/>
    </row>
    <row r="125" spans="6:9" ht="16.899999999999999" customHeight="1" x14ac:dyDescent="0.15">
      <c r="F125" s="80"/>
      <c r="G125" s="80"/>
      <c r="H125" s="80"/>
      <c r="I125" s="80"/>
    </row>
    <row r="126" spans="6:9" ht="16.899999999999999" customHeight="1" x14ac:dyDescent="0.15">
      <c r="F126" s="80"/>
      <c r="G126" s="80"/>
      <c r="H126" s="80"/>
      <c r="I126" s="80"/>
    </row>
    <row r="127" spans="6:9" ht="16.899999999999999" customHeight="1" x14ac:dyDescent="0.15">
      <c r="F127" s="80"/>
      <c r="G127" s="80"/>
      <c r="H127" s="80"/>
      <c r="I127" s="80"/>
    </row>
    <row r="128" spans="6:9" ht="16.899999999999999" customHeight="1" x14ac:dyDescent="0.15">
      <c r="F128" s="80"/>
      <c r="G128" s="80"/>
      <c r="H128" s="80"/>
      <c r="I128" s="80"/>
    </row>
    <row r="129" spans="6:9" ht="16.899999999999999" customHeight="1" x14ac:dyDescent="0.15">
      <c r="F129" s="80"/>
      <c r="G129" s="80"/>
      <c r="H129" s="80"/>
      <c r="I129" s="80"/>
    </row>
    <row r="130" spans="6:9" ht="16.899999999999999" customHeight="1" x14ac:dyDescent="0.15">
      <c r="F130" s="80"/>
      <c r="G130" s="80"/>
      <c r="H130" s="80"/>
      <c r="I130" s="80"/>
    </row>
    <row r="131" spans="6:9" ht="16.899999999999999" customHeight="1" x14ac:dyDescent="0.15">
      <c r="F131" s="80"/>
      <c r="G131" s="80"/>
      <c r="H131" s="80"/>
      <c r="I131" s="80"/>
    </row>
    <row r="132" spans="6:9" ht="16.899999999999999" customHeight="1" x14ac:dyDescent="0.15">
      <c r="F132" s="80"/>
      <c r="G132" s="80"/>
      <c r="H132" s="80"/>
      <c r="I132" s="80"/>
    </row>
    <row r="133" spans="6:9" ht="16.899999999999999" customHeight="1" x14ac:dyDescent="0.15">
      <c r="F133" s="80"/>
      <c r="G133" s="80"/>
      <c r="H133" s="80"/>
      <c r="I133" s="80"/>
    </row>
    <row r="134" spans="6:9" ht="16.899999999999999" customHeight="1" x14ac:dyDescent="0.15">
      <c r="F134" s="80"/>
      <c r="G134" s="80"/>
      <c r="H134" s="80"/>
      <c r="I134" s="80"/>
    </row>
    <row r="135" spans="6:9" ht="16.899999999999999" customHeight="1" x14ac:dyDescent="0.15">
      <c r="F135" s="80"/>
      <c r="G135" s="80"/>
      <c r="H135" s="80"/>
      <c r="I135" s="80"/>
    </row>
    <row r="136" spans="6:9" ht="16.899999999999999" customHeight="1" x14ac:dyDescent="0.15">
      <c r="F136" s="80"/>
      <c r="G136" s="80"/>
      <c r="H136" s="80"/>
      <c r="I136" s="80"/>
    </row>
    <row r="137" spans="6:9" ht="16.899999999999999" customHeight="1" x14ac:dyDescent="0.15">
      <c r="F137" s="80"/>
      <c r="G137" s="80"/>
      <c r="H137" s="80"/>
      <c r="I137" s="80"/>
    </row>
    <row r="138" spans="6:9" ht="16.899999999999999" customHeight="1" x14ac:dyDescent="0.15">
      <c r="F138" s="80"/>
      <c r="G138" s="80"/>
      <c r="H138" s="80"/>
      <c r="I138" s="80"/>
    </row>
    <row r="139" spans="6:9" ht="16.899999999999999" customHeight="1" x14ac:dyDescent="0.15">
      <c r="F139" s="80"/>
      <c r="G139" s="80"/>
      <c r="H139" s="80"/>
      <c r="I139" s="80"/>
    </row>
    <row r="140" spans="6:9" ht="16.899999999999999" customHeight="1" x14ac:dyDescent="0.15">
      <c r="F140" s="80"/>
      <c r="G140" s="80"/>
      <c r="H140" s="80"/>
      <c r="I140" s="80"/>
    </row>
    <row r="141" spans="6:9" ht="16.899999999999999" customHeight="1" x14ac:dyDescent="0.15">
      <c r="F141" s="80"/>
      <c r="G141" s="80"/>
      <c r="H141" s="80"/>
      <c r="I141" s="80"/>
    </row>
    <row r="142" spans="6:9" ht="16.899999999999999" customHeight="1" x14ac:dyDescent="0.15">
      <c r="F142" s="80"/>
      <c r="G142" s="80"/>
      <c r="H142" s="80"/>
      <c r="I142" s="80"/>
    </row>
    <row r="143" spans="6:9" ht="16.899999999999999" customHeight="1" x14ac:dyDescent="0.15">
      <c r="F143" s="80"/>
      <c r="G143" s="80"/>
      <c r="H143" s="80"/>
      <c r="I143" s="80"/>
    </row>
    <row r="144" spans="6:9" ht="16.899999999999999" customHeight="1" x14ac:dyDescent="0.15">
      <c r="F144" s="80"/>
      <c r="G144" s="80"/>
      <c r="H144" s="80"/>
      <c r="I144" s="80"/>
    </row>
    <row r="145" spans="6:9" ht="16.899999999999999" customHeight="1" x14ac:dyDescent="0.15">
      <c r="F145" s="80"/>
      <c r="G145" s="80"/>
      <c r="H145" s="80"/>
      <c r="I145" s="80"/>
    </row>
    <row r="146" spans="6:9" ht="16.899999999999999" customHeight="1" x14ac:dyDescent="0.15">
      <c r="F146" s="80"/>
      <c r="G146" s="80"/>
      <c r="H146" s="80"/>
      <c r="I146" s="80"/>
    </row>
    <row r="147" spans="6:9" ht="16.899999999999999" customHeight="1" x14ac:dyDescent="0.15">
      <c r="F147" s="80"/>
      <c r="G147" s="80"/>
      <c r="H147" s="80"/>
      <c r="I147" s="80"/>
    </row>
    <row r="148" spans="6:9" ht="16.899999999999999" customHeight="1" x14ac:dyDescent="0.15">
      <c r="F148" s="80"/>
      <c r="G148" s="80"/>
      <c r="H148" s="80"/>
      <c r="I148" s="80"/>
    </row>
  </sheetData>
  <mergeCells count="5">
    <mergeCell ref="AH67:AO67"/>
    <mergeCell ref="AV1:AW1"/>
    <mergeCell ref="AH3:AO3"/>
    <mergeCell ref="AH25:AO25"/>
    <mergeCell ref="AH36:AO36"/>
  </mergeCells>
  <phoneticPr fontId="68"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31"/>
  <sheetViews>
    <sheetView topLeftCell="Y1" zoomScale="70" zoomScaleNormal="70" workbookViewId="0">
      <pane ySplit="1" topLeftCell="A2" activePane="bottomLeft" state="frozen"/>
      <selection activeCell="AS58" sqref="AS58"/>
      <selection pane="bottomLeft" activeCell="AS58" sqref="AS58"/>
    </sheetView>
  </sheetViews>
  <sheetFormatPr defaultColWidth="8.875" defaultRowHeight="14.45" customHeight="1" x14ac:dyDescent="0.15"/>
  <cols>
    <col min="1" max="1" width="19.375" style="145" bestFit="1" customWidth="1"/>
    <col min="2" max="2" width="5.625" style="145" bestFit="1" customWidth="1"/>
    <col min="3" max="4" width="8" style="145" bestFit="1" customWidth="1"/>
    <col min="5" max="8" width="8.875" style="31"/>
    <col min="9" max="9" width="8.875" style="32"/>
    <col min="10" max="24" width="8.875" style="30"/>
    <col min="25" max="31" width="8.875" style="30" customWidth="1"/>
    <col min="32" max="40" width="8.875" style="30" hidden="1" customWidth="1"/>
    <col min="41" max="47" width="8.875" style="31" hidden="1" customWidth="1"/>
    <col min="48" max="58" width="8.875" style="31"/>
    <col min="59" max="60" width="8.875" style="31" customWidth="1"/>
    <col min="61" max="66" width="8.875" style="31" hidden="1" customWidth="1"/>
    <col min="67" max="16384" width="8.875" style="31"/>
  </cols>
  <sheetData>
    <row r="1" spans="1:83" ht="14.45" customHeight="1" thickBot="1" x14ac:dyDescent="0.2">
      <c r="A1" s="33" t="s">
        <v>55</v>
      </c>
      <c r="B1" s="33" t="s">
        <v>699</v>
      </c>
      <c r="C1" s="33" t="s">
        <v>700</v>
      </c>
      <c r="D1" s="30" t="s">
        <v>701</v>
      </c>
      <c r="E1" s="34" t="s">
        <v>702</v>
      </c>
      <c r="F1" s="35" t="s">
        <v>703</v>
      </c>
      <c r="G1" s="34" t="s">
        <v>94</v>
      </c>
      <c r="H1" s="34" t="s">
        <v>96</v>
      </c>
      <c r="J1" s="40"/>
      <c r="K1" s="41"/>
      <c r="L1" s="41">
        <v>1</v>
      </c>
      <c r="M1" s="41">
        <v>2</v>
      </c>
      <c r="N1" s="41">
        <v>3</v>
      </c>
      <c r="O1" s="41">
        <v>4</v>
      </c>
      <c r="P1" s="41">
        <v>5</v>
      </c>
      <c r="Q1" s="41">
        <v>6</v>
      </c>
      <c r="R1" s="41">
        <v>7</v>
      </c>
      <c r="S1" s="41">
        <v>8</v>
      </c>
      <c r="T1" s="41">
        <v>9</v>
      </c>
      <c r="U1" s="41">
        <v>10</v>
      </c>
      <c r="V1" s="41">
        <v>11</v>
      </c>
      <c r="W1" s="41">
        <v>12</v>
      </c>
      <c r="X1" s="41">
        <v>13</v>
      </c>
      <c r="Y1" s="41">
        <v>14</v>
      </c>
      <c r="Z1" s="41">
        <v>15</v>
      </c>
      <c r="AA1" s="41">
        <v>16</v>
      </c>
      <c r="AB1" s="41">
        <v>17</v>
      </c>
      <c r="AC1" s="41">
        <v>18</v>
      </c>
      <c r="AD1" s="41">
        <v>19</v>
      </c>
      <c r="AE1" s="41">
        <v>20</v>
      </c>
      <c r="AF1" s="41">
        <v>21</v>
      </c>
      <c r="AG1" s="41">
        <v>22</v>
      </c>
      <c r="AH1" s="41">
        <v>23</v>
      </c>
      <c r="AI1" s="41">
        <v>24</v>
      </c>
      <c r="AJ1" s="41">
        <v>25</v>
      </c>
      <c r="AK1" s="41">
        <v>26</v>
      </c>
      <c r="AL1" s="41">
        <v>27</v>
      </c>
      <c r="AM1" s="41">
        <v>28</v>
      </c>
      <c r="AN1" s="41">
        <v>29</v>
      </c>
      <c r="AO1" s="41">
        <v>30</v>
      </c>
      <c r="AP1" s="41">
        <v>31</v>
      </c>
      <c r="AQ1" s="41">
        <v>32</v>
      </c>
      <c r="AR1" s="41">
        <v>33</v>
      </c>
      <c r="AS1" s="41">
        <v>34</v>
      </c>
      <c r="AT1" s="41">
        <v>35</v>
      </c>
      <c r="AU1" s="41">
        <v>36</v>
      </c>
      <c r="AV1" s="41">
        <v>37</v>
      </c>
      <c r="AW1" s="42"/>
      <c r="AX1" s="42"/>
      <c r="AY1" s="304" t="s">
        <v>8655</v>
      </c>
      <c r="AZ1" s="846" t="s">
        <v>60</v>
      </c>
      <c r="BA1" s="846"/>
      <c r="BB1" s="846"/>
      <c r="BC1" s="846"/>
      <c r="BD1" s="846"/>
      <c r="BE1" s="846"/>
      <c r="BF1" s="846"/>
      <c r="BG1" s="846"/>
      <c r="BH1" s="846"/>
      <c r="BI1" s="846"/>
      <c r="BJ1" s="846"/>
      <c r="BK1" s="846"/>
      <c r="BL1" s="846"/>
      <c r="BM1" s="846"/>
      <c r="BN1" s="846"/>
      <c r="BO1" s="847"/>
      <c r="BP1" s="33" t="s">
        <v>94</v>
      </c>
      <c r="BQ1" s="147" t="s">
        <v>3548</v>
      </c>
      <c r="BR1" s="846" t="s">
        <v>704</v>
      </c>
      <c r="BS1" s="847"/>
      <c r="BT1" s="848" t="s">
        <v>25</v>
      </c>
      <c r="BU1" s="846"/>
      <c r="BV1" s="846"/>
      <c r="BW1" s="847"/>
      <c r="BX1" s="846" t="s">
        <v>532</v>
      </c>
      <c r="BY1" s="846"/>
      <c r="BZ1" s="849" t="s">
        <v>705</v>
      </c>
      <c r="CA1" s="850"/>
      <c r="CB1" s="851"/>
      <c r="CC1" s="34"/>
    </row>
    <row r="2" spans="1:83" ht="14.45" customHeight="1" x14ac:dyDescent="0.15">
      <c r="A2" s="36" t="s">
        <v>706</v>
      </c>
      <c r="B2" s="36">
        <v>1</v>
      </c>
      <c r="C2" s="36">
        <v>1</v>
      </c>
      <c r="D2" s="36">
        <v>8</v>
      </c>
      <c r="E2" s="31" t="s">
        <v>706</v>
      </c>
      <c r="F2" s="31" t="s">
        <v>707</v>
      </c>
      <c r="G2" s="31" t="s">
        <v>708</v>
      </c>
      <c r="H2" s="31" t="s">
        <v>709</v>
      </c>
      <c r="J2" s="839">
        <v>1</v>
      </c>
      <c r="K2" s="840" t="s">
        <v>706</v>
      </c>
      <c r="L2" s="31" t="s">
        <v>746</v>
      </c>
      <c r="M2" s="31" t="s">
        <v>747</v>
      </c>
      <c r="N2" s="31" t="s">
        <v>748</v>
      </c>
      <c r="O2" s="31" t="s">
        <v>749</v>
      </c>
      <c r="P2" s="31" t="s">
        <v>750</v>
      </c>
      <c r="Q2" s="31" t="s">
        <v>751</v>
      </c>
      <c r="R2" s="31" t="s">
        <v>752</v>
      </c>
      <c r="S2" s="31" t="s">
        <v>753</v>
      </c>
      <c r="T2" s="31"/>
      <c r="U2" s="31"/>
      <c r="V2" s="31"/>
      <c r="W2" s="31"/>
      <c r="X2" s="31"/>
      <c r="Y2" s="42"/>
      <c r="Z2" s="42"/>
      <c r="AA2" s="42"/>
      <c r="AB2" s="42"/>
      <c r="AC2" s="42"/>
      <c r="AD2" s="42"/>
      <c r="AE2" s="42"/>
      <c r="AF2" s="42"/>
      <c r="AG2" s="42"/>
      <c r="AH2" s="42"/>
      <c r="AI2" s="42"/>
      <c r="AJ2" s="42"/>
      <c r="AK2" s="42"/>
      <c r="AL2" s="42"/>
      <c r="AM2" s="42"/>
      <c r="AN2" s="42"/>
      <c r="AO2" s="42"/>
      <c r="AV2" s="49"/>
      <c r="AY2" s="37" t="s">
        <v>706</v>
      </c>
      <c r="BD2" s="30"/>
      <c r="BE2" s="30"/>
      <c r="BF2" s="30"/>
      <c r="BG2" s="30"/>
      <c r="BH2" s="30"/>
      <c r="BI2" s="30" t="str">
        <f t="shared" ref="BI2:BO2" si="0">""</f>
        <v/>
      </c>
      <c r="BJ2" s="30" t="str">
        <f t="shared" si="0"/>
        <v/>
      </c>
      <c r="BK2" s="30" t="str">
        <f t="shared" si="0"/>
        <v/>
      </c>
      <c r="BL2" s="30" t="str">
        <f t="shared" si="0"/>
        <v/>
      </c>
      <c r="BM2" s="30" t="str">
        <f t="shared" si="0"/>
        <v/>
      </c>
      <c r="BN2" s="30" t="str">
        <f t="shared" si="0"/>
        <v/>
      </c>
      <c r="BO2" s="43" t="str">
        <f t="shared" si="0"/>
        <v/>
      </c>
      <c r="BP2" s="30" t="s">
        <v>302</v>
      </c>
      <c r="BQ2" s="44" t="str" cm="1">
        <f t="array" ref="BQ2">IFERROR(INDEX($AY$1:$AY$112,SMALL(IF($AY$1:$AY$112&lt;&gt;"",ROW($AY$1:$AY$112),4^8),ROW(2:2)))&amp;"","")</f>
        <v>阿斯莫</v>
      </c>
      <c r="BR2" s="30" t="e">
        <f>VLOOKUP(BT3,$A:$B,2,0)</f>
        <v>#N/A</v>
      </c>
      <c r="BS2" s="30" t="e" cm="1">
        <f t="array" ref="BS2">INDEX(BR:BR,SMALL(IF($BR$3:$BR$15&lt;&gt;"",ROW(3:15),16),ROW(BR1)))&amp;""</f>
        <v>#N/A</v>
      </c>
      <c r="BT2" s="45">
        <f>主要!O6</f>
        <v>1</v>
      </c>
      <c r="BU2" s="30" t="s">
        <v>699</v>
      </c>
      <c r="BV2" s="30" t="s">
        <v>700</v>
      </c>
      <c r="BW2" s="43" t="s">
        <v>701</v>
      </c>
      <c r="BX2" s="30" t="str">
        <f>IFERROR(IF(COUNTIF(BZ2:BZ15,BU6),"",BU6),"")</f>
        <v/>
      </c>
      <c r="BY2" s="30" t="str" cm="1">
        <f t="array" ref="BY2">INDEX(BX:BX,SMALL(IF(BX2:BX17&lt;&gt;"",ROW(2:17),17),ROW(BX1)))&amp;""</f>
        <v/>
      </c>
      <c r="BZ2" s="37" t="str">
        <f>IF(主要!BT3="",0,主要!BT3)</f>
        <v>生物种类</v>
      </c>
      <c r="CA2" s="31" t="str">
        <f>IFERROR(VLOOKUP(BZ2,$BU$6:$BV$21,2,0),"")</f>
        <v/>
      </c>
      <c r="CB2" s="49">
        <f>IF(BZ2=0,"",COUNTIF(BZ2:BZ15,BZ2))</f>
        <v>1</v>
      </c>
      <c r="CE2" s="30"/>
    </row>
    <row r="3" spans="1:83" ht="14.45" customHeight="1" x14ac:dyDescent="0.15">
      <c r="A3" s="36" t="s">
        <v>710</v>
      </c>
      <c r="B3" s="36">
        <v>2</v>
      </c>
      <c r="C3" s="36">
        <v>1</v>
      </c>
      <c r="D3" s="36">
        <v>5</v>
      </c>
      <c r="E3" s="31" t="s">
        <v>710</v>
      </c>
      <c r="F3" s="31" t="s">
        <v>707</v>
      </c>
      <c r="G3" s="31" t="s">
        <v>711</v>
      </c>
      <c r="H3" s="31" t="s">
        <v>709</v>
      </c>
      <c r="J3" s="839"/>
      <c r="K3" s="840"/>
      <c r="L3" s="31" t="s">
        <v>7053</v>
      </c>
      <c r="M3" s="31" t="s">
        <v>755</v>
      </c>
      <c r="N3" s="31" t="s">
        <v>756</v>
      </c>
      <c r="O3" s="31" t="s">
        <v>757</v>
      </c>
      <c r="P3" s="31" t="s">
        <v>758</v>
      </c>
      <c r="Q3" s="31" t="s">
        <v>759</v>
      </c>
      <c r="R3" s="31" t="s">
        <v>760</v>
      </c>
      <c r="S3" s="31" t="s">
        <v>761</v>
      </c>
      <c r="T3" s="31"/>
      <c r="U3" s="31"/>
      <c r="V3" s="31"/>
      <c r="W3" s="31"/>
      <c r="X3" s="31"/>
      <c r="Y3" s="42"/>
      <c r="Z3" s="42"/>
      <c r="AA3" s="42"/>
      <c r="AB3" s="42"/>
      <c r="AC3" s="42"/>
      <c r="AD3" s="42"/>
      <c r="AE3" s="42"/>
      <c r="AF3" s="42"/>
      <c r="AG3" s="42"/>
      <c r="AH3" s="42"/>
      <c r="AI3" s="42"/>
      <c r="AJ3" s="42"/>
      <c r="AK3" s="42"/>
      <c r="AL3" s="42"/>
      <c r="AM3" s="42"/>
      <c r="AN3" s="42"/>
      <c r="AO3" s="42"/>
      <c r="AV3" s="49"/>
      <c r="AY3" s="37" t="s">
        <v>710</v>
      </c>
      <c r="BH3" s="26"/>
      <c r="BI3" s="30" t="str">
        <f t="shared" ref="BI3:BO3" si="1">""</f>
        <v/>
      </c>
      <c r="BJ3" s="30" t="str">
        <f t="shared" si="1"/>
        <v/>
      </c>
      <c r="BK3" s="30" t="str">
        <f t="shared" si="1"/>
        <v/>
      </c>
      <c r="BL3" s="30" t="str">
        <f t="shared" si="1"/>
        <v/>
      </c>
      <c r="BM3" s="30" t="str">
        <f t="shared" si="1"/>
        <v/>
      </c>
      <c r="BN3" s="30" t="str">
        <f t="shared" si="1"/>
        <v/>
      </c>
      <c r="BO3" s="43" t="str">
        <f t="shared" si="1"/>
        <v/>
      </c>
      <c r="BP3" s="30" t="s">
        <v>309</v>
      </c>
      <c r="BQ3" s="44" t="str" cm="1">
        <f t="array" ref="BQ3">IFERROR(INDEX($AY$1:$AY$112,SMALL(IF($AY$1:$AY$112&lt;&gt;"",ROW($AY$1:$AY$112),4^8),ROW(3:3)))&amp;"","")</f>
        <v>龙裔</v>
      </c>
      <c r="BR3" s="30" t="e">
        <f>INDEX($AZ$2:$BO$112,$BR$2,1)&amp;""</f>
        <v>#N/A</v>
      </c>
      <c r="BS3" s="30" t="e" cm="1">
        <f t="array" ref="BS3">INDEX(BR:BR,SMALL(IF($BR$3:$BR$15&lt;&gt;"",ROW(3:15),16),ROW(BR2)))&amp;""</f>
        <v>#N/A</v>
      </c>
      <c r="BT3" s="45">
        <f>IF(主要!T6="",0,主要!T6)</f>
        <v>0</v>
      </c>
      <c r="BU3" s="30" t="e">
        <f>IF(COUNTIF(BR13:BR15,BT4)=0,VLOOKUP(BT3,A:B,2,0)*2,VLOOKUP(BT4,A:B,2,0)*2)</f>
        <v>#N/A</v>
      </c>
      <c r="BV3" s="30"/>
      <c r="BW3" s="43" t="e">
        <f>IF(COUNTIF(BR13:BR15,BT4)=0,VLOOKUP(BT3,A:D,4,0),VLOOKUP(BT4,A:D,4,0))</f>
        <v>#N/A</v>
      </c>
      <c r="BX3" s="30" t="str">
        <f>IFERROR(IF(COUNTIF(BZ2:BZ15,BU7),"",BU7),"")</f>
        <v/>
      </c>
      <c r="BY3" s="30" t="str" cm="1">
        <f t="array" ref="BY3">INDEX(BX:BX,SMALL(IF(BX2:BX17&lt;&gt;"",ROW(2:17),17),ROW(BX2)))&amp;""</f>
        <v/>
      </c>
      <c r="BZ3" s="37" t="str">
        <f>IF(主要!BT4="",0,主要!BT4)</f>
        <v>体型</v>
      </c>
      <c r="CA3" s="31" t="str">
        <f t="shared" ref="CA3:CA13" si="2">IFERROR(VLOOKUP(BZ3,$BU$6:$BV$21,2,0),"")</f>
        <v/>
      </c>
      <c r="CB3" s="49">
        <f>IF(BZ3=0,"",COUNTIF(BZ2:BZ15,BZ3))</f>
        <v>1</v>
      </c>
      <c r="CE3" s="30"/>
    </row>
    <row r="4" spans="1:83" ht="14.45" customHeight="1" x14ac:dyDescent="0.15">
      <c r="A4" s="36" t="s">
        <v>712</v>
      </c>
      <c r="B4" s="36">
        <v>3</v>
      </c>
      <c r="C4" s="36">
        <v>1</v>
      </c>
      <c r="D4" s="36">
        <v>4</v>
      </c>
      <c r="E4" s="31" t="s">
        <v>712</v>
      </c>
      <c r="F4" s="31" t="s">
        <v>707</v>
      </c>
      <c r="G4" s="31" t="s">
        <v>713</v>
      </c>
      <c r="H4" s="31" t="s">
        <v>709</v>
      </c>
      <c r="J4" s="839">
        <v>2</v>
      </c>
      <c r="K4" s="840" t="s">
        <v>710</v>
      </c>
      <c r="L4" s="31" t="s">
        <v>746</v>
      </c>
      <c r="M4" s="42" t="s">
        <v>762</v>
      </c>
      <c r="N4" s="42" t="s">
        <v>763</v>
      </c>
      <c r="O4" s="42" t="s">
        <v>764</v>
      </c>
      <c r="P4" s="31" t="s">
        <v>765</v>
      </c>
      <c r="Q4" s="42"/>
      <c r="R4" s="42"/>
      <c r="S4" s="31"/>
      <c r="T4" s="31"/>
      <c r="U4" s="31"/>
      <c r="V4" s="31"/>
      <c r="W4" s="31"/>
      <c r="X4" s="31"/>
      <c r="Y4" s="31"/>
      <c r="Z4" s="31"/>
      <c r="AA4" s="31"/>
      <c r="AB4" s="31"/>
      <c r="AC4" s="31"/>
      <c r="AD4" s="31"/>
      <c r="AE4" s="31"/>
      <c r="AF4" s="31"/>
      <c r="AG4" s="31"/>
      <c r="AH4" s="31"/>
      <c r="AI4" s="31"/>
      <c r="AJ4" s="31"/>
      <c r="AK4" s="31"/>
      <c r="AL4" s="31"/>
      <c r="AM4" s="31"/>
      <c r="AN4" s="31"/>
      <c r="AQ4" s="42"/>
      <c r="AR4" s="42"/>
      <c r="AS4" s="42"/>
      <c r="AV4" s="49"/>
      <c r="AY4" s="37" t="s">
        <v>712</v>
      </c>
      <c r="BF4" s="30"/>
      <c r="BG4" s="30"/>
      <c r="BH4" s="30"/>
      <c r="BI4" s="30" t="str">
        <f t="shared" ref="BI4:BO4" si="3">""</f>
        <v/>
      </c>
      <c r="BJ4" s="30" t="str">
        <f t="shared" si="3"/>
        <v/>
      </c>
      <c r="BK4" s="30" t="str">
        <f t="shared" si="3"/>
        <v/>
      </c>
      <c r="BL4" s="30" t="str">
        <f t="shared" si="3"/>
        <v/>
      </c>
      <c r="BM4" s="30" t="str">
        <f t="shared" si="3"/>
        <v/>
      </c>
      <c r="BN4" s="30" t="str">
        <f t="shared" si="3"/>
        <v/>
      </c>
      <c r="BO4" s="43" t="str">
        <f t="shared" si="3"/>
        <v/>
      </c>
      <c r="BP4" s="30" t="s">
        <v>95</v>
      </c>
      <c r="BQ4" s="44" t="str" cm="1">
        <f t="array" ref="BQ4">IFERROR(INDEX($AY$1:$AY$112,SMALL(IF($AY$1:$AY$112&lt;&gt;"",ROW($AY$1:$AY$112),4^8),ROW(4:4)))&amp;"","")</f>
        <v>矮人</v>
      </c>
      <c r="BR4" s="30" t="e">
        <f>INDEX($AZ$2:$BO$112,$BR$2,2)&amp;""</f>
        <v>#N/A</v>
      </c>
      <c r="BS4" s="30" t="e" cm="1">
        <f t="array" ref="BS4">INDEX(BR:BR,SMALL(IF($BR$3:$BR$15&lt;&gt;"",ROW(3:15),16),ROW(BR3)))&amp;""</f>
        <v>#N/A</v>
      </c>
      <c r="BT4" s="45">
        <f>IF(主要!T7="",0,主要!T7)</f>
        <v>0</v>
      </c>
      <c r="BU4" s="30" t="e">
        <f>BU3-1</f>
        <v>#N/A</v>
      </c>
      <c r="BV4" s="30" t="e">
        <f>IF(COUNTIF(BR13:BR15,BT4)=0,VLOOKUP(BT4,A:C,3,0),0/0)</f>
        <v>#N/A</v>
      </c>
      <c r="BW4" s="43" t="e">
        <f>VLOOKUP(BT4,A:D,4,0)</f>
        <v>#N/A</v>
      </c>
      <c r="BX4" s="30" t="str">
        <f>IFERROR(IF(COUNTIF(BZ2:BZ15,BU8),"",BU8),"")</f>
        <v/>
      </c>
      <c r="BY4" s="30" t="str" cm="1">
        <f t="array" ref="BY4">INDEX(BX:BX,SMALL(IF(BX2:BX17&lt;&gt;"",ROW(2:17),17),ROW(BX3)))&amp;""</f>
        <v/>
      </c>
      <c r="BZ4" s="37" t="str">
        <f>IF(主要!BT5="",0,主要!BT5)</f>
        <v>速度</v>
      </c>
      <c r="CA4" s="31" t="str">
        <f t="shared" si="2"/>
        <v/>
      </c>
      <c r="CB4" s="49">
        <f>IF(BZ4=0,"",COUNTIF(BZ2:BZ15,BZ4))</f>
        <v>1</v>
      </c>
      <c r="CE4" s="30"/>
    </row>
    <row r="5" spans="1:83" ht="14.45" customHeight="1" x14ac:dyDescent="0.15">
      <c r="A5" s="36" t="s">
        <v>714</v>
      </c>
      <c r="B5" s="36">
        <v>4</v>
      </c>
      <c r="C5" s="36">
        <v>1</v>
      </c>
      <c r="D5" s="36">
        <v>5</v>
      </c>
      <c r="E5" s="31" t="s">
        <v>714</v>
      </c>
      <c r="F5" s="31" t="s">
        <v>707</v>
      </c>
      <c r="G5" s="31" t="s">
        <v>715</v>
      </c>
      <c r="H5" s="31" t="s">
        <v>709</v>
      </c>
      <c r="J5" s="839"/>
      <c r="K5" s="840"/>
      <c r="L5" s="31" t="s">
        <v>754</v>
      </c>
      <c r="M5" s="42" t="s">
        <v>766</v>
      </c>
      <c r="N5" s="42" t="s">
        <v>767</v>
      </c>
      <c r="O5" s="42" t="s">
        <v>768</v>
      </c>
      <c r="P5" s="31" t="s">
        <v>769</v>
      </c>
      <c r="Q5" s="42"/>
      <c r="R5" s="42"/>
      <c r="S5" s="31"/>
      <c r="T5" s="31"/>
      <c r="U5" s="31"/>
      <c r="V5" s="31"/>
      <c r="W5" s="31"/>
      <c r="X5" s="31"/>
      <c r="Y5" s="31"/>
      <c r="Z5" s="31"/>
      <c r="AA5" s="31"/>
      <c r="AB5" s="31"/>
      <c r="AC5" s="31"/>
      <c r="AD5" s="31"/>
      <c r="AE5" s="31"/>
      <c r="AF5" s="31"/>
      <c r="AG5" s="31"/>
      <c r="AH5" s="31"/>
      <c r="AI5" s="31"/>
      <c r="AJ5" s="31"/>
      <c r="AK5" s="31"/>
      <c r="AL5" s="31"/>
      <c r="AM5" s="31"/>
      <c r="AN5" s="31"/>
      <c r="AQ5" s="42"/>
      <c r="AR5" s="42"/>
      <c r="AS5" s="42"/>
      <c r="AV5" s="49"/>
      <c r="AY5" s="37" t="s">
        <v>714</v>
      </c>
      <c r="AZ5" s="31" t="s">
        <v>716</v>
      </c>
      <c r="BA5" s="31" t="s">
        <v>717</v>
      </c>
      <c r="BB5" s="31" t="s">
        <v>718</v>
      </c>
      <c r="BC5" s="31" t="str">
        <f>IF(自定义调整栏!$E$30="O","影妖精","")</f>
        <v/>
      </c>
      <c r="BD5" s="31" t="str">
        <f>IF(自定义调整栏!$E$30="O","月精灵","")</f>
        <v/>
      </c>
      <c r="BE5" s="31" t="str">
        <f>IF(自定义调整栏!$E$30="O","暗精灵","")</f>
        <v/>
      </c>
      <c r="BF5" s="31" t="str">
        <f>IF(自定义调整栏!$E$11="O","洛温精灵","")</f>
        <v>洛温精灵</v>
      </c>
      <c r="BG5" s="31" t="str">
        <f>IF(自定义调整栏!$E$11="O","暗影荒原精灵","")</f>
        <v>暗影荒原精灵</v>
      </c>
      <c r="BI5" s="31" t="str">
        <f t="shared" ref="BI5:BO5" si="4">""</f>
        <v/>
      </c>
      <c r="BJ5" s="31" t="str">
        <f t="shared" si="4"/>
        <v/>
      </c>
      <c r="BK5" s="31" t="str">
        <f t="shared" si="4"/>
        <v/>
      </c>
      <c r="BL5" s="31" t="str">
        <f t="shared" si="4"/>
        <v/>
      </c>
      <c r="BM5" s="31" t="str">
        <f t="shared" si="4"/>
        <v/>
      </c>
      <c r="BN5" s="31" t="str">
        <f t="shared" si="4"/>
        <v/>
      </c>
      <c r="BO5" s="43" t="str">
        <f t="shared" si="4"/>
        <v/>
      </c>
      <c r="BP5" s="30" t="s">
        <v>323</v>
      </c>
      <c r="BQ5" s="44" t="str" cm="1">
        <f t="array" ref="BQ5">IFERROR(INDEX($AY$1:$AY$112,SMALL(IF($AY$1:$AY$112&lt;&gt;"",ROW($AY$1:$AY$112),4^8),ROW(5:5)))&amp;"","")</f>
        <v>精灵</v>
      </c>
      <c r="BR5" s="30" t="e">
        <f>INDEX($AZ$2:$BO$112,$BR$2,3)&amp;""</f>
        <v>#N/A</v>
      </c>
      <c r="BS5" s="30" t="e" cm="1">
        <f t="array" ref="BS5">INDEX(BR:BR,SMALL(IF($BR$3:$BR$15&lt;&gt;"",ROW(3:15),16),ROW(BR4)))&amp;""</f>
        <v>#N/A</v>
      </c>
      <c r="BT5" s="46" t="s">
        <v>719</v>
      </c>
      <c r="BU5" s="30" t="s">
        <v>36</v>
      </c>
      <c r="BV5" s="30" t="s">
        <v>37</v>
      </c>
      <c r="BW5" s="43" t="s">
        <v>537</v>
      </c>
      <c r="BX5" s="30" t="str">
        <f>IFERROR(IF(COUNTIF(BZ2:BZ15,BU9),"",BU9),"")</f>
        <v/>
      </c>
      <c r="BY5" s="30" t="str" cm="1">
        <f t="array" ref="BY5">INDEX(BX:BX,SMALL(IF(BX2:BX17&lt;&gt;"",ROW(2:17),17),ROW(BX4)))&amp;""</f>
        <v/>
      </c>
      <c r="BZ5" s="37">
        <f>IF(主要!BT6="",0,主要!BT6)</f>
        <v>0</v>
      </c>
      <c r="CA5" s="31" t="str">
        <f t="shared" si="2"/>
        <v/>
      </c>
      <c r="CB5" s="49" t="str">
        <f>IF(BZ5=0,"",COUNTIF(BZ2:BZ15,BZ5))</f>
        <v/>
      </c>
      <c r="CE5" s="30"/>
    </row>
    <row r="6" spans="1:83" ht="14.45" customHeight="1" x14ac:dyDescent="0.15">
      <c r="A6" s="31" t="s">
        <v>716</v>
      </c>
      <c r="B6" s="31"/>
      <c r="C6" s="31">
        <v>6</v>
      </c>
      <c r="D6" s="31">
        <v>6</v>
      </c>
      <c r="E6" s="31" t="s">
        <v>720</v>
      </c>
      <c r="F6" s="31" t="s">
        <v>707</v>
      </c>
      <c r="G6" s="31" t="s">
        <v>721</v>
      </c>
      <c r="H6" s="31" t="s">
        <v>709</v>
      </c>
      <c r="J6" s="839">
        <v>3</v>
      </c>
      <c r="K6" s="840" t="s">
        <v>712</v>
      </c>
      <c r="L6" s="42" t="s">
        <v>746</v>
      </c>
      <c r="M6" s="42" t="s">
        <v>770</v>
      </c>
      <c r="N6" s="42" t="s">
        <v>771</v>
      </c>
      <c r="O6" s="31" t="s">
        <v>772</v>
      </c>
      <c r="P6" s="31"/>
      <c r="Q6" s="42"/>
      <c r="R6" s="31"/>
      <c r="S6" s="31"/>
      <c r="T6" s="31"/>
      <c r="U6" s="31"/>
      <c r="V6" s="31"/>
      <c r="W6" s="31"/>
      <c r="X6" s="31"/>
      <c r="Y6" s="31"/>
      <c r="Z6" s="42"/>
      <c r="AA6" s="42"/>
      <c r="AB6" s="42"/>
      <c r="AC6" s="42"/>
      <c r="AD6" s="42"/>
      <c r="AE6" s="42"/>
      <c r="AF6" s="42"/>
      <c r="AG6" s="42"/>
      <c r="AH6" s="42"/>
      <c r="AI6" s="42"/>
      <c r="AJ6" s="42"/>
      <c r="AK6" s="42"/>
      <c r="AL6" s="42"/>
      <c r="AM6" s="42"/>
      <c r="AN6" s="42"/>
      <c r="AO6" s="42"/>
      <c r="AV6" s="49"/>
      <c r="AY6" s="37" t="s">
        <v>720</v>
      </c>
      <c r="AZ6" s="31" t="s">
        <v>722</v>
      </c>
      <c r="BA6" s="31" t="s">
        <v>723</v>
      </c>
      <c r="BB6" s="31" t="str">
        <f>IF(自定义调整栏!$E$30="O","玄命侏儒","")</f>
        <v/>
      </c>
      <c r="BE6" s="30"/>
      <c r="BF6" s="30"/>
      <c r="BG6" s="30"/>
      <c r="BH6" s="30"/>
      <c r="BI6" s="30" t="str">
        <f t="shared" ref="BI6:BO6" si="5">""</f>
        <v/>
      </c>
      <c r="BJ6" s="30" t="str">
        <f t="shared" si="5"/>
        <v/>
      </c>
      <c r="BK6" s="30" t="str">
        <f t="shared" si="5"/>
        <v/>
      </c>
      <c r="BL6" s="30" t="str">
        <f t="shared" si="5"/>
        <v/>
      </c>
      <c r="BM6" s="30" t="str">
        <f t="shared" si="5"/>
        <v/>
      </c>
      <c r="BN6" s="30" t="str">
        <f t="shared" si="5"/>
        <v/>
      </c>
      <c r="BO6" s="43" t="str">
        <f t="shared" si="5"/>
        <v/>
      </c>
      <c r="BP6" s="30" t="s">
        <v>331</v>
      </c>
      <c r="BQ6" s="44" t="str" cm="1">
        <f t="array" ref="BQ6">IFERROR(INDEX($AY$1:$AY$112,SMALL(IF($AY$1:$AY$112&lt;&gt;"",ROW($AY$1:$AY$112),4^8),ROW(6:6)))&amp;"","")</f>
        <v>侏儒</v>
      </c>
      <c r="BR6" s="30" t="e">
        <f>INDEX($AZ$2:$BO$112,$BR$2,4)&amp;""</f>
        <v>#N/A</v>
      </c>
      <c r="BS6" s="30" t="e" cm="1">
        <f t="array" ref="BS6">INDEX(BR:BR,SMALL(IF($BR$3:$BR$15&lt;&gt;"",ROW(3:15),16),ROW(BR5)))&amp;""</f>
        <v>#N/A</v>
      </c>
      <c r="BT6" s="46"/>
      <c r="BU6" s="26" t="s">
        <v>703</v>
      </c>
      <c r="BV6" s="30" t="e">
        <f>IF(BR18=0,"",VLOOKUP(BT3,E:F,2,0))</f>
        <v>#N/A</v>
      </c>
      <c r="BW6" s="43"/>
      <c r="BX6" s="30" t="str">
        <f>IFERROR(IF(COUNTIF(BZ2:BZ15,BU10),"",BU10),"")</f>
        <v/>
      </c>
      <c r="BY6" s="30" t="str" cm="1">
        <f t="array" ref="BY6">INDEX(BX:BX,SMALL(IF(BX2:BX17&lt;&gt;"",ROW(2:17),17),ROW(BX5)))&amp;""</f>
        <v/>
      </c>
      <c r="BZ6" s="37">
        <f>IF(主要!BT7="",0,主要!BT7)</f>
        <v>0</v>
      </c>
      <c r="CA6" s="31" t="str">
        <f t="shared" si="2"/>
        <v/>
      </c>
      <c r="CB6" s="49" t="str">
        <f>IF(BZ6=0,"",COUNTIF(BZ2:BZ15,BZ6))</f>
        <v/>
      </c>
      <c r="CE6" s="30"/>
    </row>
    <row r="7" spans="1:83" ht="14.45" customHeight="1" thickBot="1" x14ac:dyDescent="0.2">
      <c r="A7" s="31" t="s">
        <v>717</v>
      </c>
      <c r="B7" s="31"/>
      <c r="C7" s="31">
        <v>7</v>
      </c>
      <c r="D7" s="31">
        <v>7</v>
      </c>
      <c r="E7" s="31" t="s">
        <v>724</v>
      </c>
      <c r="F7" s="31" t="s">
        <v>707</v>
      </c>
      <c r="G7" s="31" t="s">
        <v>725</v>
      </c>
      <c r="H7" s="31" t="s">
        <v>726</v>
      </c>
      <c r="J7" s="839"/>
      <c r="K7" s="840"/>
      <c r="L7" s="42" t="s">
        <v>773</v>
      </c>
      <c r="M7" s="42" t="s">
        <v>774</v>
      </c>
      <c r="N7" s="31" t="s">
        <v>775</v>
      </c>
      <c r="O7" s="42" t="s">
        <v>776</v>
      </c>
      <c r="P7" s="31"/>
      <c r="Q7" s="42"/>
      <c r="R7" s="31"/>
      <c r="S7" s="31"/>
      <c r="T7" s="31"/>
      <c r="U7" s="31"/>
      <c r="V7" s="31"/>
      <c r="W7" s="31"/>
      <c r="X7" s="31"/>
      <c r="Y7" s="31"/>
      <c r="Z7" s="42"/>
      <c r="AA7" s="42"/>
      <c r="AB7" s="42"/>
      <c r="AC7" s="42"/>
      <c r="AD7" s="42"/>
      <c r="AE7" s="42"/>
      <c r="AF7" s="42"/>
      <c r="AG7" s="42"/>
      <c r="AH7" s="42"/>
      <c r="AI7" s="42"/>
      <c r="AJ7" s="42"/>
      <c r="AK7" s="42"/>
      <c r="AL7" s="42"/>
      <c r="AM7" s="42"/>
      <c r="AN7" s="42"/>
      <c r="AO7" s="42"/>
      <c r="AV7" s="49"/>
      <c r="AY7" s="37" t="s">
        <v>724</v>
      </c>
      <c r="AZ7" s="31" t="s">
        <v>727</v>
      </c>
      <c r="BA7" s="31" t="s">
        <v>728</v>
      </c>
      <c r="BB7" s="31" t="s">
        <v>729</v>
      </c>
      <c r="BC7" s="31" t="s">
        <v>730</v>
      </c>
      <c r="BD7" s="26" t="s">
        <v>731</v>
      </c>
      <c r="BE7" s="26" t="s">
        <v>732</v>
      </c>
      <c r="BF7" s="30"/>
      <c r="BG7" s="30"/>
      <c r="BH7" s="30"/>
      <c r="BI7" s="30" t="str">
        <f t="shared" ref="BI7:BO7" si="6">""</f>
        <v/>
      </c>
      <c r="BJ7" s="30" t="str">
        <f t="shared" si="6"/>
        <v/>
      </c>
      <c r="BK7" s="30" t="str">
        <f t="shared" si="6"/>
        <v/>
      </c>
      <c r="BL7" s="30" t="str">
        <f t="shared" si="6"/>
        <v/>
      </c>
      <c r="BM7" s="30" t="str">
        <f t="shared" si="6"/>
        <v/>
      </c>
      <c r="BN7" s="30" t="str">
        <f t="shared" si="6"/>
        <v/>
      </c>
      <c r="BO7" s="43" t="str">
        <f t="shared" si="6"/>
        <v/>
      </c>
      <c r="BP7" s="39" t="s">
        <v>338</v>
      </c>
      <c r="BQ7" s="44" t="str" cm="1">
        <f t="array" ref="BQ7">IFERROR(INDEX($AY$1:$AY$112,SMALL(IF($AY$1:$AY$112&lt;&gt;"",ROW($AY$1:$AY$112),4^8),ROW(7:7)))&amp;"","")</f>
        <v>歌利亚</v>
      </c>
      <c r="BR7" s="30" t="e">
        <f>INDEX($AZ$2:$BO$112,$BR$2,5)&amp;""</f>
        <v>#N/A</v>
      </c>
      <c r="BS7" s="30" t="e" cm="1">
        <f t="array" ref="BS7">INDEX(BR:BR,SMALL(IF($BR$3:$BR$15&lt;&gt;"",ROW(3:15),16),ROW(BR6)))&amp;""</f>
        <v>#N/A</v>
      </c>
      <c r="BT7" s="46"/>
      <c r="BU7" s="30" t="s">
        <v>94</v>
      </c>
      <c r="BV7" s="30" t="e">
        <f>IF(BR18=0,"",VLOOKUP(BT3,E:H,3,0))</f>
        <v>#N/A</v>
      </c>
      <c r="BW7" s="43"/>
      <c r="BX7" s="30" t="str">
        <f>IFERROR(IF(OR(BU11="",COUNTIF(BZ2:BZ15,BU11)),"",BU11),"")</f>
        <v/>
      </c>
      <c r="BY7" s="30" t="str" cm="1">
        <f t="array" ref="BY7">INDEX(BX:BX,SMALL(IF(BX2:BX17&lt;&gt;"",ROW(2:17),17),ROW(BX6)))&amp;""</f>
        <v/>
      </c>
      <c r="BZ7" s="37">
        <f>IF(主要!BT8="",0,主要!BT8)</f>
        <v>0</v>
      </c>
      <c r="CA7" s="31" t="str">
        <f t="shared" si="2"/>
        <v/>
      </c>
      <c r="CB7" s="49" t="str">
        <f>IF(BZ7=0,"",COUNTIF(BZ2:BZ15,BZ7))</f>
        <v/>
      </c>
      <c r="CE7" s="30"/>
    </row>
    <row r="8" spans="1:83" ht="14.45" customHeight="1" x14ac:dyDescent="0.15">
      <c r="A8" s="31" t="s">
        <v>718</v>
      </c>
      <c r="B8" s="31"/>
      <c r="C8" s="31">
        <v>8</v>
      </c>
      <c r="D8" s="31">
        <v>8</v>
      </c>
      <c r="E8" s="31" t="s">
        <v>733</v>
      </c>
      <c r="F8" s="31" t="s">
        <v>707</v>
      </c>
      <c r="G8" s="31" t="s">
        <v>734</v>
      </c>
      <c r="H8" s="31" t="s">
        <v>709</v>
      </c>
      <c r="J8" s="839">
        <v>4</v>
      </c>
      <c r="K8" s="840" t="s">
        <v>714</v>
      </c>
      <c r="L8" s="42" t="s">
        <v>746</v>
      </c>
      <c r="M8" s="42" t="s">
        <v>777</v>
      </c>
      <c r="N8" s="31" t="s">
        <v>778</v>
      </c>
      <c r="O8" s="31" t="s">
        <v>779</v>
      </c>
      <c r="P8" s="42" t="s">
        <v>780</v>
      </c>
      <c r="Q8" s="42" t="s">
        <v>716</v>
      </c>
      <c r="R8" s="31" t="s">
        <v>717</v>
      </c>
      <c r="S8" s="31" t="s">
        <v>718</v>
      </c>
      <c r="T8" s="31" t="s">
        <v>9398</v>
      </c>
      <c r="U8" s="31" t="s">
        <v>9400</v>
      </c>
      <c r="V8" s="31" t="s">
        <v>9402</v>
      </c>
      <c r="W8" s="31" t="s">
        <v>9404</v>
      </c>
      <c r="X8" s="31" t="s">
        <v>9406</v>
      </c>
      <c r="Y8" s="31" t="s">
        <v>9408</v>
      </c>
      <c r="Z8" s="31" t="s">
        <v>9398</v>
      </c>
      <c r="AA8" s="31" t="s">
        <v>9402</v>
      </c>
      <c r="AB8" s="31" t="s">
        <v>9410</v>
      </c>
      <c r="AC8" s="31" t="s">
        <v>10147</v>
      </c>
      <c r="AD8" s="31" t="s">
        <v>10149</v>
      </c>
      <c r="AE8" s="31"/>
      <c r="AF8" s="31"/>
      <c r="AG8" s="31"/>
      <c r="AH8" s="31"/>
      <c r="AI8" s="31"/>
      <c r="AJ8" s="31"/>
      <c r="AK8" s="31"/>
      <c r="AL8" s="31"/>
      <c r="AM8" s="31"/>
      <c r="AN8" s="31"/>
      <c r="AV8" s="49"/>
      <c r="AY8" s="37" t="s">
        <v>733</v>
      </c>
      <c r="BG8" s="30"/>
      <c r="BH8" s="30"/>
      <c r="BI8" s="30" t="str">
        <f t="shared" ref="BI8:BO8" si="7">""</f>
        <v/>
      </c>
      <c r="BJ8" s="30" t="str">
        <f t="shared" si="7"/>
        <v/>
      </c>
      <c r="BK8" s="30" t="str">
        <f t="shared" si="7"/>
        <v/>
      </c>
      <c r="BL8" s="30" t="str">
        <f t="shared" si="7"/>
        <v/>
      </c>
      <c r="BM8" s="30" t="str">
        <f t="shared" si="7"/>
        <v/>
      </c>
      <c r="BN8" s="30" t="str">
        <f t="shared" si="7"/>
        <v/>
      </c>
      <c r="BO8" s="43" t="str">
        <f t="shared" si="7"/>
        <v/>
      </c>
      <c r="BP8" s="30"/>
      <c r="BQ8" s="44" t="str" cm="1">
        <f t="array" ref="BQ8">IFERROR(INDEX($AY$1:$AY$112,SMALL(IF($AY$1:$AY$112&lt;&gt;"",ROW($AY$1:$AY$112),4^8),ROW(8:8)))&amp;"","")</f>
        <v>半身人</v>
      </c>
      <c r="BR8" s="30" t="e">
        <f>INDEX($AZ$2:$BO$112,$BR$2,6)&amp;""</f>
        <v>#N/A</v>
      </c>
      <c r="BS8" s="30" t="e" cm="1">
        <f t="array" ref="BS8">INDEX(BR:BR,SMALL(IF($BR$3:$BR$15&lt;&gt;"",ROW(3:15),16),ROW(BR7)))&amp;""</f>
        <v>#N/A</v>
      </c>
      <c r="BT8" s="46"/>
      <c r="BU8" s="30" t="s">
        <v>96</v>
      </c>
      <c r="BV8" s="30" t="e">
        <f>IF(BR18=0,"",VLOOKUP(BT3,E:H,4,0))</f>
        <v>#N/A</v>
      </c>
      <c r="BW8" s="43"/>
      <c r="BX8" s="30" t="str">
        <f>IFERROR(IF(OR(BU12="",COUNTIF(BZ2:BZ15,BU12)),"",BU12),"")</f>
        <v/>
      </c>
      <c r="BY8" s="30" t="str" cm="1">
        <f t="array" ref="BY8">INDEX(BX:BX,SMALL(IF(BX2:BX17&lt;&gt;"",ROW(2:17),17),ROW(BX7)))&amp;""</f>
        <v/>
      </c>
      <c r="BZ8" s="37">
        <f>IF(主要!BT9="",0,主要!BT9)</f>
        <v>0</v>
      </c>
      <c r="CA8" s="31" t="str">
        <f t="shared" si="2"/>
        <v/>
      </c>
      <c r="CB8" s="49" t="str">
        <f>IF(BZ8=0,"",COUNTIF(BZ2:BZ15,BZ8))</f>
        <v/>
      </c>
    </row>
    <row r="9" spans="1:83" ht="14.45" customHeight="1" x14ac:dyDescent="0.15">
      <c r="A9" s="31" t="s">
        <v>9384</v>
      </c>
      <c r="B9" s="31"/>
      <c r="C9" s="31">
        <v>9</v>
      </c>
      <c r="D9" s="31">
        <v>12</v>
      </c>
      <c r="E9" s="31" t="s">
        <v>735</v>
      </c>
      <c r="F9" s="31" t="s">
        <v>707</v>
      </c>
      <c r="G9" s="31" t="s">
        <v>736</v>
      </c>
      <c r="H9" s="31" t="s">
        <v>709</v>
      </c>
      <c r="J9" s="839"/>
      <c r="K9" s="840"/>
      <c r="L9" s="42" t="s">
        <v>754</v>
      </c>
      <c r="M9" s="42" t="s">
        <v>781</v>
      </c>
      <c r="N9" s="31" t="s">
        <v>782</v>
      </c>
      <c r="O9" s="31" t="s">
        <v>783</v>
      </c>
      <c r="P9" s="42" t="s">
        <v>784</v>
      </c>
      <c r="Q9" s="42" t="s">
        <v>785</v>
      </c>
      <c r="R9" s="31" t="s">
        <v>786</v>
      </c>
      <c r="S9" s="31" t="s">
        <v>787</v>
      </c>
      <c r="T9" s="31" t="s">
        <v>9399</v>
      </c>
      <c r="U9" s="31" t="s">
        <v>9401</v>
      </c>
      <c r="V9" s="31" t="s">
        <v>9403</v>
      </c>
      <c r="W9" s="31" t="s">
        <v>9405</v>
      </c>
      <c r="X9" s="31" t="s">
        <v>9407</v>
      </c>
      <c r="Y9" s="31" t="s">
        <v>9409</v>
      </c>
      <c r="Z9" s="31" t="s">
        <v>9399</v>
      </c>
      <c r="AA9" s="31" t="s">
        <v>9403</v>
      </c>
      <c r="AB9" s="31" t="s">
        <v>9411</v>
      </c>
      <c r="AC9" s="26" t="s">
        <v>10151</v>
      </c>
      <c r="AD9" s="31" t="s">
        <v>10152</v>
      </c>
      <c r="AE9" s="31"/>
      <c r="AF9" s="31"/>
      <c r="AG9" s="31"/>
      <c r="AH9" s="31"/>
      <c r="AI9" s="31"/>
      <c r="AJ9" s="31"/>
      <c r="AK9" s="31"/>
      <c r="AL9" s="31"/>
      <c r="AM9" s="31"/>
      <c r="AN9" s="31"/>
      <c r="AV9" s="49"/>
      <c r="AY9" s="37" t="s">
        <v>735</v>
      </c>
      <c r="BI9" s="31" t="str">
        <f t="shared" ref="BI9:BO9" si="8">""</f>
        <v/>
      </c>
      <c r="BJ9" s="31" t="str">
        <f t="shared" si="8"/>
        <v/>
      </c>
      <c r="BK9" s="31" t="str">
        <f t="shared" si="8"/>
        <v/>
      </c>
      <c r="BL9" s="31" t="str">
        <f t="shared" si="8"/>
        <v/>
      </c>
      <c r="BM9" s="31" t="str">
        <f t="shared" si="8"/>
        <v/>
      </c>
      <c r="BN9" s="31" t="str">
        <f t="shared" si="8"/>
        <v/>
      </c>
      <c r="BO9" s="43" t="str">
        <f t="shared" si="8"/>
        <v/>
      </c>
      <c r="BP9" s="30"/>
      <c r="BQ9" s="44" t="str" cm="1">
        <f t="array" ref="BQ9">IFERROR(INDEX($AY$1:$AY$112,SMALL(IF($AY$1:$AY$112&lt;&gt;"",ROW($AY$1:$AY$112),4^8),ROW(9:9)))&amp;"","")</f>
        <v>人类</v>
      </c>
      <c r="BR9" s="30" t="e">
        <f>INDEX($AZ$2:$BO$112,$BR$2,7)&amp;""</f>
        <v>#N/A</v>
      </c>
      <c r="BS9" s="30" t="e" cm="1">
        <f t="array" ref="BS9">INDEX(BR:BR,SMALL(IF($BR$3:$BR$15&lt;&gt;"",ROW(3:15),16),ROW(BR8)))&amp;""</f>
        <v>#N/A</v>
      </c>
      <c r="BT9" s="46" t="e">
        <f t="shared" ref="BT9:BT21" si="9">IF(BT8+1&gt;$BW$3,IF($BV$4+BW8&gt;$BW$4,"",$BV$4+BW8),BT8+1)</f>
        <v>#N/A</v>
      </c>
      <c r="BU9" s="30" t="e">
        <f t="shared" ref="BU9:BU21" si="10">INDEX($L$2:$AV$231,$BU$4,BT9)</f>
        <v>#N/A</v>
      </c>
      <c r="BV9" s="30" t="e">
        <f t="shared" ref="BV9:BV21" si="11">INDEX($L$2:$AV$231,$BU$3,BT9)</f>
        <v>#N/A</v>
      </c>
      <c r="BW9" s="43" t="e">
        <f t="shared" ref="BW9:BW21" si="12">IF(BT8+1&gt;$BW$3,BW8+1,0)</f>
        <v>#N/A</v>
      </c>
      <c r="BX9" s="30" t="str">
        <f>IFERROR(IF(OR(BU13="",COUNTIF(BZ2:BZ15,BU13)),"",BU13),"")</f>
        <v/>
      </c>
      <c r="BY9" s="30" t="str" cm="1">
        <f t="array" ref="BY9">INDEX(BX:BX,SMALL(IF(BX2:BX17&lt;&gt;"",ROW(2:17),17),ROW(BX8)))&amp;""</f>
        <v/>
      </c>
      <c r="BZ9" s="37">
        <f>IF(主要!BT10="",0,主要!BT10)</f>
        <v>0</v>
      </c>
      <c r="CA9" s="31" t="str">
        <f t="shared" si="2"/>
        <v/>
      </c>
      <c r="CB9" s="49" t="str">
        <f>IF(BZ9=0,"",COUNTIF(BZ2:BZ15,BZ9))</f>
        <v/>
      </c>
    </row>
    <row r="10" spans="1:83" ht="14.45" customHeight="1" x14ac:dyDescent="0.15">
      <c r="A10" s="31" t="s">
        <v>9385</v>
      </c>
      <c r="B10" s="31"/>
      <c r="C10" s="31">
        <v>13</v>
      </c>
      <c r="D10" s="31">
        <v>16</v>
      </c>
      <c r="E10" s="31" t="s">
        <v>737</v>
      </c>
      <c r="F10" s="31" t="s">
        <v>707</v>
      </c>
      <c r="G10" s="31" t="s">
        <v>738</v>
      </c>
      <c r="H10" s="31" t="s">
        <v>709</v>
      </c>
      <c r="J10" s="839">
        <v>5</v>
      </c>
      <c r="K10" s="840" t="s">
        <v>720</v>
      </c>
      <c r="L10" s="42" t="s">
        <v>746</v>
      </c>
      <c r="M10" s="42" t="s">
        <v>788</v>
      </c>
      <c r="N10" s="42" t="s">
        <v>789</v>
      </c>
      <c r="O10" s="42" t="s">
        <v>722</v>
      </c>
      <c r="P10" s="31" t="s">
        <v>723</v>
      </c>
      <c r="Q10" s="31" t="s">
        <v>9418</v>
      </c>
      <c r="R10" s="31" t="s">
        <v>9420</v>
      </c>
      <c r="S10" s="31"/>
      <c r="T10" s="31"/>
      <c r="U10" s="31"/>
      <c r="V10" s="31"/>
      <c r="W10" s="31"/>
      <c r="X10" s="31"/>
      <c r="Y10" s="31"/>
      <c r="Z10" s="42"/>
      <c r="AA10" s="42"/>
      <c r="AB10" s="42"/>
      <c r="AC10" s="42"/>
      <c r="AD10" s="42"/>
      <c r="AE10" s="42"/>
      <c r="AF10" s="42"/>
      <c r="AG10" s="42"/>
      <c r="AH10" s="42"/>
      <c r="AI10" s="42"/>
      <c r="AJ10" s="42"/>
      <c r="AK10" s="42"/>
      <c r="AL10" s="42"/>
      <c r="AM10" s="42"/>
      <c r="AN10" s="42"/>
      <c r="AO10" s="42"/>
      <c r="AV10" s="49"/>
      <c r="AY10" s="37" t="s">
        <v>737</v>
      </c>
      <c r="BI10" s="30" t="str">
        <f t="shared" ref="BI10:BO10" si="13">""</f>
        <v/>
      </c>
      <c r="BJ10" s="30" t="str">
        <f t="shared" si="13"/>
        <v/>
      </c>
      <c r="BK10" s="30" t="str">
        <f t="shared" si="13"/>
        <v/>
      </c>
      <c r="BL10" s="30" t="str">
        <f t="shared" si="13"/>
        <v/>
      </c>
      <c r="BM10" s="30" t="str">
        <f t="shared" si="13"/>
        <v/>
      </c>
      <c r="BN10" s="30" t="str">
        <f t="shared" si="13"/>
        <v/>
      </c>
      <c r="BO10" s="43" t="str">
        <f t="shared" si="13"/>
        <v/>
      </c>
      <c r="BP10" s="30"/>
      <c r="BQ10" s="44" t="str" cm="1">
        <f t="array" ref="BQ10">IFERROR(INDEX($AY$1:$AY$112,SMALL(IF($AY$1:$AY$112&lt;&gt;"",ROW($AY$1:$AY$112),4^8),ROW(10:10)))&amp;"","")</f>
        <v>兽人</v>
      </c>
      <c r="BR10" s="30" t="e">
        <f>INDEX($AZ$2:$BO$112,$BR$2,8)&amp;""</f>
        <v>#N/A</v>
      </c>
      <c r="BS10" s="30" t="e" cm="1">
        <f t="array" ref="BS10">INDEX(BR:BR,SMALL(IF($BR$3:$BR$15&lt;&gt;"",ROW(3:15),16),ROW(BR9)))&amp;""</f>
        <v>#N/A</v>
      </c>
      <c r="BT10" s="46" t="e">
        <f t="shared" si="9"/>
        <v>#N/A</v>
      </c>
      <c r="BU10" s="30" t="e">
        <f t="shared" si="10"/>
        <v>#N/A</v>
      </c>
      <c r="BV10" s="30" t="e">
        <f t="shared" si="11"/>
        <v>#N/A</v>
      </c>
      <c r="BW10" s="43" t="e">
        <f t="shared" si="12"/>
        <v>#N/A</v>
      </c>
      <c r="BX10" s="30" t="str">
        <f>IFERROR(IF(OR(BU14="",COUNTIF(BZ2:BZ15,BU14)),"",BU14),"")</f>
        <v/>
      </c>
      <c r="BY10" s="30" t="str" cm="1">
        <f t="array" ref="BY10">INDEX(BX:BX,SMALL(IF(BX2:BX17&lt;&gt;"",ROW(2:17),17),ROW(BX9)))&amp;""</f>
        <v/>
      </c>
      <c r="BZ10" s="37">
        <f>IF(主要!BT11="",0,主要!BT11)</f>
        <v>0</v>
      </c>
      <c r="CA10" s="31" t="str">
        <f t="shared" si="2"/>
        <v/>
      </c>
      <c r="CB10" s="49" t="str">
        <f>IF(BZ10=0,"",COUNTIF(BZ2:BZ15,BZ10))</f>
        <v/>
      </c>
    </row>
    <row r="11" spans="1:83" ht="14.45" customHeight="1" x14ac:dyDescent="0.15">
      <c r="A11" s="31" t="s">
        <v>9386</v>
      </c>
      <c r="B11" s="31"/>
      <c r="C11" s="31">
        <v>17</v>
      </c>
      <c r="D11" s="31">
        <v>17</v>
      </c>
      <c r="E11" s="31" t="s">
        <v>739</v>
      </c>
      <c r="F11" s="31" t="s">
        <v>707</v>
      </c>
      <c r="G11" s="31" t="s">
        <v>740</v>
      </c>
      <c r="H11" s="31" t="s">
        <v>709</v>
      </c>
      <c r="J11" s="839"/>
      <c r="K11" s="840"/>
      <c r="L11" s="42" t="s">
        <v>754</v>
      </c>
      <c r="M11" s="31" t="s">
        <v>790</v>
      </c>
      <c r="N11" s="42" t="s">
        <v>791</v>
      </c>
      <c r="O11" s="42" t="s">
        <v>792</v>
      </c>
      <c r="P11" s="31" t="s">
        <v>793</v>
      </c>
      <c r="Q11" s="31" t="s">
        <v>9419</v>
      </c>
      <c r="R11" s="31" t="s">
        <v>9421</v>
      </c>
      <c r="S11" s="31"/>
      <c r="T11" s="31"/>
      <c r="U11" s="31"/>
      <c r="V11" s="31"/>
      <c r="W11" s="31"/>
      <c r="X11" s="31"/>
      <c r="Y11" s="31"/>
      <c r="Z11" s="42"/>
      <c r="AA11" s="42"/>
      <c r="AB11" s="42"/>
      <c r="AC11" s="42"/>
      <c r="AD11" s="42"/>
      <c r="AE11" s="42"/>
      <c r="AF11" s="42"/>
      <c r="AG11" s="42"/>
      <c r="AH11" s="42"/>
      <c r="AI11" s="42"/>
      <c r="AJ11" s="42"/>
      <c r="AK11" s="42"/>
      <c r="AL11" s="42"/>
      <c r="AM11" s="42"/>
      <c r="AN11" s="42"/>
      <c r="AO11" s="42"/>
      <c r="AV11" s="49"/>
      <c r="AY11" s="37" t="s">
        <v>739</v>
      </c>
      <c r="AZ11" s="26" t="s">
        <v>741</v>
      </c>
      <c r="BA11" s="26" t="s">
        <v>742</v>
      </c>
      <c r="BB11" s="26" t="s">
        <v>743</v>
      </c>
      <c r="BC11" s="30"/>
      <c r="BD11" s="30"/>
      <c r="BE11" s="30"/>
      <c r="BF11" s="30"/>
      <c r="BG11" s="30"/>
      <c r="BH11" s="30"/>
      <c r="BI11" s="30" t="str">
        <f t="shared" ref="BI11:BO11" si="14">""</f>
        <v/>
      </c>
      <c r="BJ11" s="30" t="str">
        <f t="shared" si="14"/>
        <v/>
      </c>
      <c r="BK11" s="30" t="str">
        <f t="shared" si="14"/>
        <v/>
      </c>
      <c r="BL11" s="30" t="str">
        <f t="shared" si="14"/>
        <v/>
      </c>
      <c r="BM11" s="30" t="str">
        <f t="shared" si="14"/>
        <v/>
      </c>
      <c r="BN11" s="30" t="str">
        <f t="shared" si="14"/>
        <v/>
      </c>
      <c r="BO11" s="43" t="str">
        <f t="shared" si="14"/>
        <v/>
      </c>
      <c r="BP11" s="30"/>
      <c r="BQ11" s="44" t="str" cm="1">
        <f t="array" ref="BQ11">IFERROR(INDEX($AY$1:$AY$112,SMALL(IF($AY$1:$AY$112&lt;&gt;"",ROW($AY$1:$AY$112),4^8),ROW(11:11)))&amp;"","")</f>
        <v>提夫林</v>
      </c>
      <c r="BR11" s="30" t="e">
        <f>INDEX($AZ$2:$BO$112,$BR$2,9)&amp;""</f>
        <v>#N/A</v>
      </c>
      <c r="BS11" s="30" t="e" cm="1">
        <f t="array" ref="BS11">INDEX(BR:BR,SMALL(IF($BR$3:$BR$15&lt;&gt;"",ROW(3:15),16),ROW(BR10)))&amp;""</f>
        <v>#N/A</v>
      </c>
      <c r="BT11" s="46" t="e">
        <f>IF(BT10+1&gt;$BW$3,IF($BV$4+BW10&gt;$BW$4,"",$BV$4+BW10),BT10+1)</f>
        <v>#N/A</v>
      </c>
      <c r="BU11" s="30" t="e">
        <f t="shared" si="10"/>
        <v>#N/A</v>
      </c>
      <c r="BV11" s="30" t="e">
        <f t="shared" si="11"/>
        <v>#N/A</v>
      </c>
      <c r="BW11" s="43" t="e">
        <f t="shared" si="12"/>
        <v>#N/A</v>
      </c>
      <c r="BX11" s="30" t="str">
        <f>IFERROR(IF(OR(BU15="",COUNTIF(BZ2:BZ15,BU15)),"",BU15),"")</f>
        <v/>
      </c>
      <c r="BY11" s="30" t="str" cm="1">
        <f t="array" ref="BY11">INDEX(BX:BX,SMALL(IF(BX2:BX17&lt;&gt;"",ROW(2:17),17),ROW(BX10)))&amp;""</f>
        <v/>
      </c>
      <c r="BZ11" s="37">
        <f>IF(主要!BT12="",0,主要!BT12)</f>
        <v>0</v>
      </c>
      <c r="CA11" s="31" t="str">
        <f t="shared" si="2"/>
        <v/>
      </c>
      <c r="CB11" s="49" t="str">
        <f>IF(BZ11=0,"",COUNTIF(BZ2:BZ15,BZ11))</f>
        <v/>
      </c>
    </row>
    <row r="12" spans="1:83" ht="14.45" customHeight="1" x14ac:dyDescent="0.15">
      <c r="A12" s="31" t="s">
        <v>10148</v>
      </c>
      <c r="B12" s="31"/>
      <c r="C12" s="31">
        <v>18</v>
      </c>
      <c r="D12" s="31">
        <v>18</v>
      </c>
      <c r="E12" s="31" t="s">
        <v>3198</v>
      </c>
      <c r="F12" s="31" t="s">
        <v>707</v>
      </c>
      <c r="G12" s="31" t="s">
        <v>9423</v>
      </c>
      <c r="H12" s="31" t="s">
        <v>709</v>
      </c>
      <c r="J12" s="839">
        <v>6</v>
      </c>
      <c r="K12" s="840" t="s">
        <v>724</v>
      </c>
      <c r="L12" s="31" t="s">
        <v>794</v>
      </c>
      <c r="M12" s="31" t="s">
        <v>795</v>
      </c>
      <c r="N12" s="42" t="s">
        <v>796</v>
      </c>
      <c r="O12" s="42" t="s">
        <v>797</v>
      </c>
      <c r="P12" s="31" t="s">
        <v>798</v>
      </c>
      <c r="Q12" s="31" t="s">
        <v>799</v>
      </c>
      <c r="R12" s="31" t="s">
        <v>800</v>
      </c>
      <c r="S12" s="31" t="s">
        <v>801</v>
      </c>
      <c r="T12" s="31" t="s">
        <v>802</v>
      </c>
      <c r="U12" s="31"/>
      <c r="V12" s="31"/>
      <c r="W12" s="31"/>
      <c r="X12" s="42"/>
      <c r="Y12" s="42"/>
      <c r="Z12" s="42"/>
      <c r="AA12" s="42"/>
      <c r="AB12" s="42"/>
      <c r="AC12" s="42"/>
      <c r="AD12" s="42"/>
      <c r="AE12" s="42"/>
      <c r="AF12" s="42"/>
      <c r="AG12" s="42"/>
      <c r="AH12" s="42"/>
      <c r="AI12" s="42"/>
      <c r="AJ12" s="42"/>
      <c r="AK12" s="42"/>
      <c r="AL12" s="42"/>
      <c r="AM12" s="42"/>
      <c r="AN12" s="42"/>
      <c r="AO12" s="42"/>
      <c r="AV12" s="49"/>
      <c r="AY12" s="143" t="str">
        <f>IF(自定义调整栏!$E$15="O","象族","")</f>
        <v>象族</v>
      </c>
      <c r="AZ12" s="30"/>
      <c r="BA12" s="30"/>
      <c r="BB12" s="30"/>
      <c r="BC12" s="30"/>
      <c r="BD12" s="30"/>
      <c r="BE12" s="30"/>
      <c r="BF12" s="30"/>
      <c r="BG12" s="30"/>
      <c r="BH12" s="30"/>
      <c r="BI12" s="30" t="str">
        <f t="shared" ref="BI12:BO12" si="15">""</f>
        <v/>
      </c>
      <c r="BJ12" s="30" t="str">
        <f t="shared" si="15"/>
        <v/>
      </c>
      <c r="BK12" s="30" t="str">
        <f t="shared" si="15"/>
        <v/>
      </c>
      <c r="BL12" s="30" t="str">
        <f t="shared" si="15"/>
        <v/>
      </c>
      <c r="BM12" s="30" t="str">
        <f t="shared" si="15"/>
        <v/>
      </c>
      <c r="BN12" s="30" t="str">
        <f t="shared" si="15"/>
        <v/>
      </c>
      <c r="BO12" s="43" t="str">
        <f t="shared" si="15"/>
        <v/>
      </c>
      <c r="BP12" s="30"/>
      <c r="BQ12" s="44" t="str" cm="1">
        <f t="array" ref="BQ12">IFERROR(INDEX($AY$1:$AY$112,SMALL(IF($AY$1:$AY$112&lt;&gt;"",ROW($AY$1:$AY$112),4^8),ROW(12:12)))&amp;"","")</f>
        <v>象族</v>
      </c>
      <c r="BR12" s="30" t="e">
        <f>INDEX($AZ$2:$BO$112,$BR$2,10)&amp;""</f>
        <v>#N/A</v>
      </c>
      <c r="BS12" s="30" t="e" cm="1">
        <f t="array" ref="BS12">INDEX(BR:BR,SMALL(IF($BR$3:$BR$15&lt;&gt;"",ROW(3:15),16),ROW(BR11)))&amp;""</f>
        <v>#N/A</v>
      </c>
      <c r="BT12" s="46" t="e">
        <f t="shared" si="9"/>
        <v>#N/A</v>
      </c>
      <c r="BU12" s="30" t="e">
        <f t="shared" si="10"/>
        <v>#N/A</v>
      </c>
      <c r="BV12" s="30" t="e">
        <f t="shared" si="11"/>
        <v>#N/A</v>
      </c>
      <c r="BW12" s="43" t="e">
        <f t="shared" si="12"/>
        <v>#N/A</v>
      </c>
      <c r="BX12" s="30" t="str">
        <f>IFERROR(IF(OR(BU16="",COUNTIF(BZ2:BZ15,BU16)),"",BU16),"")</f>
        <v/>
      </c>
      <c r="BY12" s="30" t="str" cm="1">
        <f t="array" ref="BY12">INDEX(BX:BX,SMALL(IF(BX2:BX17&lt;&gt;"",ROW(2:17),17),ROW(BX11)))&amp;""</f>
        <v/>
      </c>
      <c r="BZ12" s="37">
        <f>IF(主要!BT13="",0,主要!BT13)</f>
        <v>0</v>
      </c>
      <c r="CA12" s="31" t="str">
        <f t="shared" si="2"/>
        <v/>
      </c>
      <c r="CB12" s="49" t="str">
        <f>IF(BZ12=0,"",COUNTIF(BZ2:BZ15,BZ12))</f>
        <v/>
      </c>
    </row>
    <row r="13" spans="1:83" ht="14.45" customHeight="1" x14ac:dyDescent="0.15">
      <c r="A13" s="31" t="s">
        <v>10150</v>
      </c>
      <c r="B13" s="31"/>
      <c r="C13" s="31">
        <v>19</v>
      </c>
      <c r="D13" s="31">
        <v>19</v>
      </c>
      <c r="E13" s="31" t="s">
        <v>3199</v>
      </c>
      <c r="F13" s="31" t="s">
        <v>707</v>
      </c>
      <c r="G13" s="31" t="s">
        <v>9457</v>
      </c>
      <c r="H13" s="31" t="s">
        <v>709</v>
      </c>
      <c r="J13" s="839"/>
      <c r="K13" s="840"/>
      <c r="L13" s="31" t="s">
        <v>803</v>
      </c>
      <c r="M13" s="31" t="s">
        <v>804</v>
      </c>
      <c r="N13" s="42" t="s">
        <v>805</v>
      </c>
      <c r="O13" s="42" t="s">
        <v>806</v>
      </c>
      <c r="P13" s="31" t="s">
        <v>807</v>
      </c>
      <c r="Q13" s="31" t="s">
        <v>808</v>
      </c>
      <c r="R13" s="31" t="s">
        <v>809</v>
      </c>
      <c r="S13" s="31" t="s">
        <v>810</v>
      </c>
      <c r="T13" s="31" t="s">
        <v>811</v>
      </c>
      <c r="U13" s="31"/>
      <c r="V13" s="31"/>
      <c r="W13" s="31"/>
      <c r="X13" s="42"/>
      <c r="Y13" s="42"/>
      <c r="Z13" s="42"/>
      <c r="AA13" s="42"/>
      <c r="AB13" s="42"/>
      <c r="AC13" s="42"/>
      <c r="AD13" s="42"/>
      <c r="AE13" s="42"/>
      <c r="AF13" s="42"/>
      <c r="AG13" s="42"/>
      <c r="AH13" s="42"/>
      <c r="AI13" s="42"/>
      <c r="AJ13" s="42"/>
      <c r="AK13" s="42"/>
      <c r="AL13" s="42"/>
      <c r="AM13" s="42"/>
      <c r="AN13" s="42"/>
      <c r="AO13" s="42"/>
      <c r="AV13" s="49"/>
      <c r="AY13" s="37" t="str">
        <f>IF(自定义调整栏!$E$15="O","析米克混生体","")</f>
        <v>析米克混生体</v>
      </c>
      <c r="AZ13" s="30"/>
      <c r="BA13" s="30"/>
      <c r="BB13" s="30"/>
      <c r="BC13" s="30"/>
      <c r="BD13" s="30"/>
      <c r="BE13" s="30"/>
      <c r="BF13" s="30"/>
      <c r="BG13" s="30"/>
      <c r="BH13" s="30"/>
      <c r="BI13" s="30" t="str">
        <f t="shared" ref="BI13:BO13" si="16">""</f>
        <v/>
      </c>
      <c r="BJ13" s="30" t="str">
        <f t="shared" si="16"/>
        <v/>
      </c>
      <c r="BK13" s="30" t="str">
        <f t="shared" si="16"/>
        <v/>
      </c>
      <c r="BL13" s="30" t="str">
        <f t="shared" si="16"/>
        <v/>
      </c>
      <c r="BM13" s="30" t="str">
        <f t="shared" si="16"/>
        <v/>
      </c>
      <c r="BN13" s="30" t="str">
        <f t="shared" si="16"/>
        <v/>
      </c>
      <c r="BO13" s="43" t="str">
        <f t="shared" si="16"/>
        <v/>
      </c>
      <c r="BP13" s="30"/>
      <c r="BQ13" s="44" t="str" cm="1">
        <f t="array" ref="BQ13">IFERROR(INDEX($AY$1:$AY$112,SMALL(IF($AY$1:$AY$112&lt;&gt;"",ROW($AY$1:$AY$112),4^8),ROW(13:13)))&amp;"","")</f>
        <v>析米克混生体</v>
      </c>
      <c r="BR13" s="26" t="str">
        <f>IF(自定义调整栏!$E$19="O","半血裔","")</f>
        <v>半血裔</v>
      </c>
      <c r="BS13" s="30" t="e" cm="1">
        <f t="array" ref="BS13">INDEX(BR:BR,SMALL(IF($BR$3:$BR$15&lt;&gt;"",ROW(3:15),16),ROW(BR12)))&amp;""</f>
        <v>#N/A</v>
      </c>
      <c r="BT13" s="46" t="e">
        <f t="shared" si="9"/>
        <v>#N/A</v>
      </c>
      <c r="BU13" s="30" t="e">
        <f t="shared" si="10"/>
        <v>#N/A</v>
      </c>
      <c r="BV13" s="30" t="e">
        <f t="shared" si="11"/>
        <v>#N/A</v>
      </c>
      <c r="BW13" s="43" t="e">
        <f t="shared" si="12"/>
        <v>#N/A</v>
      </c>
      <c r="BX13" s="30" t="str">
        <f>IFERROR(IF(OR(BU17="",COUNTIF(BZ2:BZ15,BU17)),"",BU17),"")</f>
        <v/>
      </c>
      <c r="BY13" s="30" t="str" cm="1">
        <f t="array" ref="BY13">INDEX(BX:BX,SMALL(IF(BX2:BX17&lt;&gt;"",ROW(2:17),17),ROW(BX12)))&amp;""</f>
        <v/>
      </c>
      <c r="BZ13" s="37">
        <f>IF(主要!BT14="",0,主要!BT14)</f>
        <v>0</v>
      </c>
      <c r="CA13" s="31" t="str">
        <f t="shared" si="2"/>
        <v/>
      </c>
      <c r="CB13" s="49" t="str">
        <f>IF(BZ13=0,"",COUNTIF(BZ2:BZ15,BZ13))</f>
        <v/>
      </c>
    </row>
    <row r="14" spans="1:83" ht="14.45" customHeight="1" x14ac:dyDescent="0.15">
      <c r="A14" s="36" t="s">
        <v>720</v>
      </c>
      <c r="B14" s="36">
        <v>5</v>
      </c>
      <c r="C14" s="36">
        <v>1</v>
      </c>
      <c r="D14" s="36">
        <v>3</v>
      </c>
      <c r="E14" s="31" t="s">
        <v>3200</v>
      </c>
      <c r="F14" s="31" t="s">
        <v>707</v>
      </c>
      <c r="G14" s="31" t="s">
        <v>9424</v>
      </c>
      <c r="H14" s="31" t="s">
        <v>709</v>
      </c>
      <c r="J14" s="839">
        <v>7</v>
      </c>
      <c r="K14" s="840" t="s">
        <v>733</v>
      </c>
      <c r="L14" s="31" t="s">
        <v>812</v>
      </c>
      <c r="M14" s="31" t="s">
        <v>813</v>
      </c>
      <c r="N14" s="31" t="s">
        <v>522</v>
      </c>
      <c r="O14" s="31" t="s">
        <v>814</v>
      </c>
      <c r="P14" s="42"/>
      <c r="Q14" s="42"/>
      <c r="R14" s="42"/>
      <c r="S14" s="42"/>
      <c r="T14" s="42"/>
      <c r="U14" s="42"/>
      <c r="V14" s="31"/>
      <c r="W14" s="31"/>
      <c r="X14" s="31"/>
      <c r="Y14" s="31"/>
      <c r="Z14" s="31"/>
      <c r="AA14" s="31"/>
      <c r="AB14" s="31"/>
      <c r="AC14" s="42"/>
      <c r="AD14" s="42"/>
      <c r="AE14" s="42"/>
      <c r="AF14" s="42"/>
      <c r="AG14" s="42"/>
      <c r="AH14" s="42"/>
      <c r="AI14" s="42"/>
      <c r="AJ14" s="42"/>
      <c r="AK14" s="42"/>
      <c r="AL14" s="42"/>
      <c r="AM14" s="42"/>
      <c r="AN14" s="42"/>
      <c r="AO14" s="42"/>
      <c r="AV14" s="49"/>
      <c r="AY14" s="143" t="str">
        <f>IF(自定义调整栏!$E$15="O","维多肯","")</f>
        <v>维多肯</v>
      </c>
      <c r="AZ14" s="30"/>
      <c r="BB14" s="30"/>
      <c r="BC14" s="30"/>
      <c r="BD14" s="30"/>
      <c r="BE14" s="30"/>
      <c r="BF14" s="30"/>
      <c r="BG14" s="30"/>
      <c r="BH14" s="30"/>
      <c r="BI14" s="30" t="str">
        <f t="shared" ref="BI14:BO14" si="17">""</f>
        <v/>
      </c>
      <c r="BJ14" s="30" t="str">
        <f t="shared" si="17"/>
        <v/>
      </c>
      <c r="BK14" s="30" t="str">
        <f t="shared" si="17"/>
        <v/>
      </c>
      <c r="BL14" s="30" t="str">
        <f t="shared" si="17"/>
        <v/>
      </c>
      <c r="BM14" s="30" t="str">
        <f t="shared" si="17"/>
        <v/>
      </c>
      <c r="BN14" s="30" t="str">
        <f t="shared" si="17"/>
        <v/>
      </c>
      <c r="BO14" s="43" t="str">
        <f t="shared" si="17"/>
        <v/>
      </c>
      <c r="BP14" s="30"/>
      <c r="BQ14" s="44" t="str" cm="1">
        <f t="array" ref="BQ14">IFERROR(INDEX($AY$1:$AY$112,SMALL(IF($AY$1:$AY$112&lt;&gt;"",ROW($AY$1:$AY$112),4^8),ROW(14:14)))&amp;"","")</f>
        <v>维多肯</v>
      </c>
      <c r="BR14" s="26" t="str">
        <f>IF(自定义调整栏!$E$19="O","巫咒之子","")</f>
        <v>巫咒之子</v>
      </c>
      <c r="BS14" s="30" t="e" cm="1">
        <f t="array" ref="BS14">INDEX(BR:BR,SMALL(IF($BR$3:$BR$15&lt;&gt;"",ROW(3:15),16),ROW(BR13)))&amp;""</f>
        <v>#N/A</v>
      </c>
      <c r="BT14" s="46" t="e">
        <f t="shared" si="9"/>
        <v>#N/A</v>
      </c>
      <c r="BU14" s="30" t="e">
        <f t="shared" si="10"/>
        <v>#N/A</v>
      </c>
      <c r="BV14" s="30" t="e">
        <f t="shared" si="11"/>
        <v>#N/A</v>
      </c>
      <c r="BW14" s="43" t="e">
        <f t="shared" si="12"/>
        <v>#N/A</v>
      </c>
      <c r="BX14" s="30" t="str">
        <f>IFERROR(IF(OR(BU18="",COUNTIF(BZ2:BZ15,BU18)),"",BU18),"")</f>
        <v/>
      </c>
      <c r="BY14" s="30" t="str" cm="1">
        <f t="array" ref="BY14">INDEX(BX:BX,SMALL(IF(BX2:BX17&lt;&gt;"",ROW(2:17),17),ROW(BX13)))&amp;""</f>
        <v/>
      </c>
      <c r="BZ14" s="37">
        <f>IF(主要!BT15="",0,主要!BT15)</f>
        <v>0</v>
      </c>
      <c r="CA14" s="31" t="str">
        <f>IFERROR(VLOOKUP(BZ14,$BU$6:$BV$21,2,0),"")</f>
        <v/>
      </c>
      <c r="CB14" s="49" t="str">
        <f>IF(BZ14=0,"",COUNTIF(BZ2:BZ15,BZ14))</f>
        <v/>
      </c>
    </row>
    <row r="15" spans="1:83" ht="14.45" customHeight="1" thickBot="1" x14ac:dyDescent="0.2">
      <c r="A15" s="31" t="s">
        <v>722</v>
      </c>
      <c r="B15" s="31"/>
      <c r="C15" s="31">
        <v>4</v>
      </c>
      <c r="D15" s="31">
        <v>4</v>
      </c>
      <c r="E15" s="31" t="s">
        <v>3203</v>
      </c>
      <c r="F15" s="31" t="s">
        <v>707</v>
      </c>
      <c r="G15" s="31" t="s">
        <v>9425</v>
      </c>
      <c r="H15" s="31" t="s">
        <v>709</v>
      </c>
      <c r="J15" s="839"/>
      <c r="K15" s="840"/>
      <c r="L15" s="31" t="s">
        <v>815</v>
      </c>
      <c r="M15" s="31" t="s">
        <v>816</v>
      </c>
      <c r="N15" s="31" t="s">
        <v>817</v>
      </c>
      <c r="O15" s="31" t="s">
        <v>818</v>
      </c>
      <c r="P15" s="42"/>
      <c r="Q15" s="42"/>
      <c r="R15" s="42"/>
      <c r="S15" s="42"/>
      <c r="T15" s="42"/>
      <c r="U15" s="42"/>
      <c r="V15" s="31"/>
      <c r="W15" s="31"/>
      <c r="X15" s="31"/>
      <c r="Y15" s="31"/>
      <c r="Z15" s="31"/>
      <c r="AA15" s="31"/>
      <c r="AB15" s="31"/>
      <c r="AC15" s="42"/>
      <c r="AD15" s="42"/>
      <c r="AE15" s="42"/>
      <c r="AF15" s="42"/>
      <c r="AG15" s="42"/>
      <c r="AH15" s="42"/>
      <c r="AI15" s="42"/>
      <c r="AJ15" s="42"/>
      <c r="AK15" s="42"/>
      <c r="AL15" s="42"/>
      <c r="AM15" s="42"/>
      <c r="AN15" s="42"/>
      <c r="AO15" s="42"/>
      <c r="AV15" s="49"/>
      <c r="AY15" s="46" t="str">
        <f>IF(自定义调整栏!$E$17="O","佛丹人","")</f>
        <v>佛丹人</v>
      </c>
      <c r="AZ15" s="30"/>
      <c r="BB15" s="30"/>
      <c r="BC15" s="30"/>
      <c r="BD15" s="30"/>
      <c r="BE15" s="30"/>
      <c r="BF15" s="30"/>
      <c r="BG15" s="30"/>
      <c r="BH15" s="30"/>
      <c r="BI15" s="30" t="str">
        <f t="shared" ref="BI15:BO15" si="18">""</f>
        <v/>
      </c>
      <c r="BJ15" s="30" t="str">
        <f t="shared" si="18"/>
        <v/>
      </c>
      <c r="BK15" s="30" t="str">
        <f t="shared" si="18"/>
        <v/>
      </c>
      <c r="BL15" s="30" t="str">
        <f t="shared" si="18"/>
        <v/>
      </c>
      <c r="BM15" s="30" t="str">
        <f t="shared" si="18"/>
        <v/>
      </c>
      <c r="BN15" s="30" t="str">
        <f t="shared" si="18"/>
        <v/>
      </c>
      <c r="BO15" s="43" t="str">
        <f t="shared" si="18"/>
        <v/>
      </c>
      <c r="BP15" s="30"/>
      <c r="BQ15" s="44" t="str" cm="1">
        <f t="array" ref="BQ15">IFERROR(INDEX($AY$1:$AY$112,SMALL(IF($AY$1:$AY$112&lt;&gt;"",ROW($AY$1:$AY$112),4^8),ROW(15:15)))&amp;"","")</f>
        <v>佛丹人</v>
      </c>
      <c r="BR15" s="26" t="str">
        <f>IF(自定义调整栏!$E$19="O","复生者","")</f>
        <v>复生者</v>
      </c>
      <c r="BS15" s="30"/>
      <c r="BT15" s="46" t="e">
        <f t="shared" si="9"/>
        <v>#N/A</v>
      </c>
      <c r="BU15" s="30" t="e">
        <f t="shared" si="10"/>
        <v>#N/A</v>
      </c>
      <c r="BV15" s="30" t="e">
        <f t="shared" si="11"/>
        <v>#N/A</v>
      </c>
      <c r="BW15" s="43" t="e">
        <f t="shared" si="12"/>
        <v>#N/A</v>
      </c>
      <c r="BX15" s="30" t="str">
        <f>IFERROR(IF(OR(BU19="",COUNTIF(BZ2:BZ15,BU19)),"",BU19),"")</f>
        <v/>
      </c>
      <c r="BY15" s="30" t="str" cm="1">
        <f t="array" ref="BY15">INDEX(BX:BX,SMALL(IF(BX2:BX17&lt;&gt;"",ROW(2:17),17),ROW(BX14)))&amp;""</f>
        <v/>
      </c>
      <c r="BZ15" s="38"/>
      <c r="CA15" s="50"/>
      <c r="CB15" s="51"/>
    </row>
    <row r="16" spans="1:83" ht="14.45" customHeight="1" x14ac:dyDescent="0.15">
      <c r="A16" s="31" t="s">
        <v>723</v>
      </c>
      <c r="B16" s="31"/>
      <c r="C16" s="31">
        <v>5</v>
      </c>
      <c r="D16" s="31">
        <v>5</v>
      </c>
      <c r="E16" s="31" t="s">
        <v>3204</v>
      </c>
      <c r="F16" s="31" t="s">
        <v>707</v>
      </c>
      <c r="G16" s="31" t="s">
        <v>9448</v>
      </c>
      <c r="H16" s="31" t="s">
        <v>726</v>
      </c>
      <c r="J16" s="839">
        <v>8</v>
      </c>
      <c r="K16" s="840" t="s">
        <v>735</v>
      </c>
      <c r="L16" s="30" t="s">
        <v>819</v>
      </c>
      <c r="M16" s="30" t="s">
        <v>100</v>
      </c>
      <c r="N16" s="30" t="s">
        <v>820</v>
      </c>
      <c r="O16" s="42"/>
      <c r="P16" s="42"/>
      <c r="Q16" s="42"/>
      <c r="R16" s="42"/>
      <c r="S16" s="31"/>
      <c r="T16" s="42"/>
      <c r="U16" s="42"/>
      <c r="V16" s="42"/>
      <c r="W16" s="42"/>
      <c r="X16" s="42"/>
      <c r="Y16" s="42"/>
      <c r="Z16" s="42"/>
      <c r="AA16" s="42"/>
      <c r="AB16" s="42"/>
      <c r="AC16" s="42"/>
      <c r="AD16" s="42"/>
      <c r="AE16" s="42"/>
      <c r="AF16" s="42"/>
      <c r="AG16" s="42"/>
      <c r="AH16" s="42"/>
      <c r="AI16" s="42"/>
      <c r="AJ16" s="42"/>
      <c r="AK16" s="42"/>
      <c r="AL16" s="42"/>
      <c r="AM16" s="42"/>
      <c r="AN16" s="42"/>
      <c r="AO16" s="42"/>
      <c r="AV16" s="49"/>
      <c r="AY16" s="46" t="str">
        <f>IF(自定义调整栏!$E$18="O","狮族","")</f>
        <v>狮族</v>
      </c>
      <c r="AZ16" s="30"/>
      <c r="BA16" s="30"/>
      <c r="BB16" s="30"/>
      <c r="BC16" s="30"/>
      <c r="BD16" s="30"/>
      <c r="BI16" s="31" t="str">
        <f t="shared" ref="BI16:BO16" si="19">""</f>
        <v/>
      </c>
      <c r="BJ16" s="31" t="str">
        <f t="shared" si="19"/>
        <v/>
      </c>
      <c r="BK16" s="31" t="str">
        <f t="shared" si="19"/>
        <v/>
      </c>
      <c r="BL16" s="31" t="str">
        <f t="shared" si="19"/>
        <v/>
      </c>
      <c r="BM16" s="31" t="str">
        <f t="shared" si="19"/>
        <v/>
      </c>
      <c r="BN16" s="31" t="str">
        <f t="shared" si="19"/>
        <v/>
      </c>
      <c r="BO16" s="43" t="str">
        <f t="shared" si="19"/>
        <v/>
      </c>
      <c r="BP16" s="30"/>
      <c r="BQ16" s="44" t="str" cm="1">
        <f t="array" ref="BQ16">IFERROR(INDEX($AY$1:$AY$112,SMALL(IF($AY$1:$AY$112&lt;&gt;"",ROW($AY$1:$AY$112),4^8),ROW(16:16)))&amp;"","")</f>
        <v>狮族</v>
      </c>
      <c r="BR16" s="30"/>
      <c r="BS16" s="30"/>
      <c r="BT16" s="46" t="e">
        <f t="shared" si="9"/>
        <v>#N/A</v>
      </c>
      <c r="BU16" s="30" t="e">
        <f t="shared" si="10"/>
        <v>#N/A</v>
      </c>
      <c r="BV16" s="30" t="e">
        <f t="shared" si="11"/>
        <v>#N/A</v>
      </c>
      <c r="BW16" s="43" t="e">
        <f t="shared" si="12"/>
        <v>#N/A</v>
      </c>
      <c r="BX16" s="30" t="str">
        <f>IFERROR(IF(OR(BU20="",COUNTIF(BZ2:BZ15,BU20)),"",BU20),"")</f>
        <v/>
      </c>
      <c r="BY16" s="43" t="str" cm="1">
        <f t="array" ref="BY16">INDEX(BX:BX,SMALL(IF(BX2:BX17&lt;&gt;"",ROW(2:17),17),ROW(BX15)))&amp;""</f>
        <v/>
      </c>
    </row>
    <row r="17" spans="1:81" ht="14.45" customHeight="1" thickBot="1" x14ac:dyDescent="0.2">
      <c r="A17" s="31" t="s">
        <v>9387</v>
      </c>
      <c r="B17" s="31"/>
      <c r="C17" s="31">
        <v>6</v>
      </c>
      <c r="D17" s="31">
        <v>7</v>
      </c>
      <c r="E17" s="31" t="s">
        <v>3205</v>
      </c>
      <c r="F17" s="31" t="s">
        <v>707</v>
      </c>
      <c r="G17" s="31" t="s">
        <v>9449</v>
      </c>
      <c r="H17" s="31" t="s">
        <v>709</v>
      </c>
      <c r="J17" s="839"/>
      <c r="K17" s="840"/>
      <c r="L17" s="30" t="s">
        <v>821</v>
      </c>
      <c r="M17" s="30" t="s">
        <v>822</v>
      </c>
      <c r="N17" s="30" t="s">
        <v>823</v>
      </c>
      <c r="O17" s="42"/>
      <c r="P17" s="42"/>
      <c r="Q17" s="42"/>
      <c r="R17" s="42"/>
      <c r="S17" s="31"/>
      <c r="T17" s="42"/>
      <c r="U17" s="42"/>
      <c r="V17" s="42"/>
      <c r="W17" s="42"/>
      <c r="X17" s="42"/>
      <c r="Y17" s="42"/>
      <c r="Z17" s="42"/>
      <c r="AA17" s="42"/>
      <c r="AB17" s="42"/>
      <c r="AC17" s="31"/>
      <c r="AD17" s="31"/>
      <c r="AE17" s="42"/>
      <c r="AF17" s="42"/>
      <c r="AG17" s="42"/>
      <c r="AH17" s="42"/>
      <c r="AI17" s="42"/>
      <c r="AJ17" s="42"/>
      <c r="AK17" s="42"/>
      <c r="AL17" s="42"/>
      <c r="AM17" s="42"/>
      <c r="AN17" s="42"/>
      <c r="AO17" s="42"/>
      <c r="AV17" s="49"/>
      <c r="AY17" s="46" t="str">
        <f>IF(自定义调整栏!$E$20="O","枭人","")</f>
        <v>枭人</v>
      </c>
      <c r="AZ17" s="30"/>
      <c r="BA17" s="30"/>
      <c r="BB17" s="30"/>
      <c r="BC17" s="30"/>
      <c r="BD17" s="30"/>
      <c r="BE17" s="30"/>
      <c r="BF17" s="30"/>
      <c r="BG17" s="30"/>
      <c r="BH17" s="30"/>
      <c r="BI17" s="30" t="str">
        <f t="shared" ref="BI17:BO17" si="20">""</f>
        <v/>
      </c>
      <c r="BJ17" s="30" t="str">
        <f t="shared" si="20"/>
        <v/>
      </c>
      <c r="BK17" s="30" t="str">
        <f t="shared" si="20"/>
        <v/>
      </c>
      <c r="BL17" s="30" t="str">
        <f t="shared" si="20"/>
        <v/>
      </c>
      <c r="BM17" s="30" t="str">
        <f t="shared" si="20"/>
        <v/>
      </c>
      <c r="BN17" s="30" t="str">
        <f t="shared" si="20"/>
        <v/>
      </c>
      <c r="BO17" s="43" t="str">
        <f t="shared" si="20"/>
        <v/>
      </c>
      <c r="BP17" s="30"/>
      <c r="BQ17" s="44" t="str" cm="1">
        <f t="array" ref="BQ17">IFERROR(INDEX($AY$1:$AY$112,SMALL(IF($AY$1:$AY$112&lt;&gt;"",ROW($AY$1:$AY$112),4^8),ROW(17:17)))&amp;"","")</f>
        <v>枭人</v>
      </c>
      <c r="BR17" s="26" t="s">
        <v>744</v>
      </c>
      <c r="BS17" s="30" t="s">
        <v>745</v>
      </c>
      <c r="BT17" s="46" t="e">
        <f t="shared" si="9"/>
        <v>#N/A</v>
      </c>
      <c r="BU17" s="30" t="e">
        <f t="shared" si="10"/>
        <v>#N/A</v>
      </c>
      <c r="BV17" s="30" t="e">
        <f t="shared" si="11"/>
        <v>#N/A</v>
      </c>
      <c r="BW17" s="43" t="e">
        <f t="shared" si="12"/>
        <v>#N/A</v>
      </c>
      <c r="BX17" s="39" t="str">
        <f>IFERROR(IF(OR(BU21="",COUNTIF(BZ2:BZ15,BU21)),"",BU21),"")</f>
        <v/>
      </c>
      <c r="BY17" s="48" t="str" cm="1">
        <f t="array" ref="BY17">INDEX(BX:BX,SMALL(IF(BX2:BX17&lt;&gt;"",ROW(2:17),17),ROW(BX16)))&amp;""</f>
        <v/>
      </c>
    </row>
    <row r="18" spans="1:81" ht="14.45" customHeight="1" thickBot="1" x14ac:dyDescent="0.2">
      <c r="A18" s="36" t="s">
        <v>724</v>
      </c>
      <c r="B18" s="36">
        <v>6</v>
      </c>
      <c r="C18" s="36">
        <v>1</v>
      </c>
      <c r="D18" s="36">
        <v>3</v>
      </c>
      <c r="E18" s="31" t="s">
        <v>3206</v>
      </c>
      <c r="F18" s="31" t="s">
        <v>707</v>
      </c>
      <c r="G18" s="31" t="s">
        <v>9456</v>
      </c>
      <c r="H18" s="31" t="s">
        <v>709</v>
      </c>
      <c r="J18" s="839">
        <v>9</v>
      </c>
      <c r="K18" s="840" t="s">
        <v>737</v>
      </c>
      <c r="L18" s="30" t="s">
        <v>746</v>
      </c>
      <c r="M18" s="30" t="s">
        <v>824</v>
      </c>
      <c r="N18" s="31" t="s">
        <v>825</v>
      </c>
      <c r="O18" s="42"/>
      <c r="P18" s="42"/>
      <c r="Q18" s="42"/>
      <c r="R18" s="31"/>
      <c r="S18" s="31"/>
      <c r="T18" s="31"/>
      <c r="U18" s="31"/>
      <c r="V18" s="31"/>
      <c r="W18" s="31"/>
      <c r="X18" s="31"/>
      <c r="Y18" s="31"/>
      <c r="Z18" s="42"/>
      <c r="AA18" s="42"/>
      <c r="AB18" s="42"/>
      <c r="AC18" s="42"/>
      <c r="AD18" s="42"/>
      <c r="AE18" s="42"/>
      <c r="AF18" s="42"/>
      <c r="AG18" s="42"/>
      <c r="AH18" s="42"/>
      <c r="AI18" s="42"/>
      <c r="AJ18" s="42"/>
      <c r="AK18" s="42"/>
      <c r="AL18" s="42"/>
      <c r="AM18" s="42"/>
      <c r="AN18" s="42"/>
      <c r="AO18" s="42"/>
      <c r="AV18" s="49"/>
      <c r="AY18" s="37" t="str">
        <f>IF(自定义调整栏!$E$5="O","鸟羽人","")</f>
        <v>鸟羽人</v>
      </c>
      <c r="AZ18" s="30"/>
      <c r="BA18" s="30"/>
      <c r="BB18" s="30"/>
      <c r="BC18" s="30"/>
      <c r="BD18" s="30"/>
      <c r="BE18" s="30"/>
      <c r="BF18" s="30"/>
      <c r="BG18" s="30"/>
      <c r="BH18" s="30"/>
      <c r="BI18" s="30" t="str">
        <f t="shared" ref="BI18:BO18" si="21">""</f>
        <v/>
      </c>
      <c r="BJ18" s="30" t="str">
        <f t="shared" si="21"/>
        <v/>
      </c>
      <c r="BK18" s="30" t="str">
        <f t="shared" si="21"/>
        <v/>
      </c>
      <c r="BL18" s="30" t="str">
        <f t="shared" si="21"/>
        <v/>
      </c>
      <c r="BM18" s="30" t="str">
        <f t="shared" si="21"/>
        <v/>
      </c>
      <c r="BN18" s="30" t="str">
        <f t="shared" si="21"/>
        <v/>
      </c>
      <c r="BO18" s="43" t="str">
        <f t="shared" si="21"/>
        <v/>
      </c>
      <c r="BP18" s="30"/>
      <c r="BQ18" s="44" t="str" cm="1">
        <f t="array" ref="BQ18">IFERROR(INDEX($AY$1:$AY$112,SMALL(IF($AY$1:$AY$112&lt;&gt;"",ROW($AY$1:$AY$112),4^8),ROW(18:18)))&amp;"","")</f>
        <v>鸟羽人</v>
      </c>
      <c r="BR18" s="39" t="str">
        <f>IF(BT4=0,"",COUNTIF(BR3:BR15,BT4))</f>
        <v/>
      </c>
      <c r="BS18" s="39" t="str">
        <f>IF(AND(BT4=0,OR(BT3=AY2,BT3=AY3,BT3=AY4,BT3=AY7,BT3=AY21,BT3=AY32,BT3=AY46,BT3=AY47)),1,"")</f>
        <v/>
      </c>
      <c r="BT18" s="46" t="e">
        <f t="shared" si="9"/>
        <v>#N/A</v>
      </c>
      <c r="BU18" s="30" t="e">
        <f t="shared" si="10"/>
        <v>#N/A</v>
      </c>
      <c r="BV18" s="30" t="e">
        <f t="shared" si="11"/>
        <v>#N/A</v>
      </c>
      <c r="BW18" s="43" t="e">
        <f t="shared" si="12"/>
        <v>#N/A</v>
      </c>
      <c r="BX18" s="30"/>
      <c r="BY18" s="30"/>
      <c r="BZ18" s="52"/>
    </row>
    <row r="19" spans="1:81" ht="14.45" customHeight="1" x14ac:dyDescent="0.15">
      <c r="A19" s="31" t="s">
        <v>727</v>
      </c>
      <c r="B19" s="31"/>
      <c r="C19" s="31">
        <v>4</v>
      </c>
      <c r="D19" s="31">
        <v>4</v>
      </c>
      <c r="E19" s="31" t="s">
        <v>3207</v>
      </c>
      <c r="F19" s="31" t="s">
        <v>3248</v>
      </c>
      <c r="G19" s="31" t="s">
        <v>9456</v>
      </c>
      <c r="H19" s="31" t="s">
        <v>709</v>
      </c>
      <c r="J19" s="839"/>
      <c r="K19" s="840"/>
      <c r="L19" s="26" t="s">
        <v>773</v>
      </c>
      <c r="M19" s="26" t="s">
        <v>826</v>
      </c>
      <c r="N19" s="31" t="s">
        <v>827</v>
      </c>
      <c r="O19" s="42"/>
      <c r="P19" s="42"/>
      <c r="Q19" s="42"/>
      <c r="R19" s="31"/>
      <c r="S19" s="31"/>
      <c r="T19" s="31"/>
      <c r="U19" s="31"/>
      <c r="V19" s="31"/>
      <c r="W19" s="31"/>
      <c r="X19" s="31"/>
      <c r="Y19" s="31"/>
      <c r="Z19" s="42"/>
      <c r="AA19" s="42"/>
      <c r="AB19" s="42"/>
      <c r="AC19" s="31"/>
      <c r="AD19" s="31"/>
      <c r="AE19" s="42"/>
      <c r="AF19" s="42"/>
      <c r="AG19" s="42"/>
      <c r="AH19" s="42"/>
      <c r="AI19" s="42"/>
      <c r="AJ19" s="42"/>
      <c r="AK19" s="42"/>
      <c r="AL19" s="42"/>
      <c r="AM19" s="42"/>
      <c r="AN19" s="42"/>
      <c r="AO19" s="42"/>
      <c r="AV19" s="49"/>
      <c r="AY19" s="37" t="str">
        <f>IF(自定义调整栏!$E$5="O","熊地精","")</f>
        <v>熊地精</v>
      </c>
      <c r="AZ19" s="30"/>
      <c r="BA19" s="30"/>
      <c r="BB19" s="30"/>
      <c r="BC19" s="30"/>
      <c r="BD19" s="30"/>
      <c r="BE19" s="30"/>
      <c r="BF19" s="30"/>
      <c r="BG19" s="30"/>
      <c r="BH19" s="30"/>
      <c r="BI19" s="30" t="str">
        <f t="shared" ref="BI19:BO19" si="22">""</f>
        <v/>
      </c>
      <c r="BJ19" s="30" t="str">
        <f t="shared" si="22"/>
        <v/>
      </c>
      <c r="BK19" s="30" t="str">
        <f t="shared" si="22"/>
        <v/>
      </c>
      <c r="BL19" s="30" t="str">
        <f t="shared" si="22"/>
        <v/>
      </c>
      <c r="BM19" s="30" t="str">
        <f t="shared" si="22"/>
        <v/>
      </c>
      <c r="BN19" s="30" t="str">
        <f t="shared" si="22"/>
        <v/>
      </c>
      <c r="BO19" s="43" t="str">
        <f t="shared" si="22"/>
        <v/>
      </c>
      <c r="BP19" s="30"/>
      <c r="BQ19" s="44" t="str" cm="1">
        <f t="array" ref="BQ19">IFERROR(INDEX($AY$1:$AY$112,SMALL(IF($AY$1:$AY$112&lt;&gt;"",ROW($AY$1:$AY$112),4^8),ROW(19:19)))&amp;"","")</f>
        <v>熊地精</v>
      </c>
      <c r="BR19" s="30"/>
      <c r="BS19" s="30"/>
      <c r="BT19" s="46" t="e">
        <f t="shared" si="9"/>
        <v>#N/A</v>
      </c>
      <c r="BU19" s="30" t="e">
        <f t="shared" si="10"/>
        <v>#N/A</v>
      </c>
      <c r="BV19" s="30" t="e">
        <f t="shared" si="11"/>
        <v>#N/A</v>
      </c>
      <c r="BW19" s="43" t="e">
        <f t="shared" si="12"/>
        <v>#N/A</v>
      </c>
      <c r="BX19" s="30"/>
      <c r="BY19" s="30"/>
    </row>
    <row r="20" spans="1:81" ht="14.45" customHeight="1" x14ac:dyDescent="0.15">
      <c r="A20" s="31" t="s">
        <v>728</v>
      </c>
      <c r="B20" s="26"/>
      <c r="C20" s="26">
        <v>5</v>
      </c>
      <c r="D20" s="26">
        <v>5</v>
      </c>
      <c r="E20" s="31" t="s">
        <v>3208</v>
      </c>
      <c r="F20" s="31" t="s">
        <v>3248</v>
      </c>
      <c r="G20" s="31" t="s">
        <v>9456</v>
      </c>
      <c r="H20" s="31" t="s">
        <v>3249</v>
      </c>
      <c r="J20" s="839">
        <v>10</v>
      </c>
      <c r="K20" s="840" t="s">
        <v>739</v>
      </c>
      <c r="L20" s="30" t="s">
        <v>746</v>
      </c>
      <c r="M20" s="31" t="s">
        <v>828</v>
      </c>
      <c r="N20" s="31" t="s">
        <v>829</v>
      </c>
      <c r="O20" s="42" t="s">
        <v>741</v>
      </c>
      <c r="P20" s="26" t="s">
        <v>742</v>
      </c>
      <c r="Q20" s="26" t="s">
        <v>743</v>
      </c>
      <c r="R20" s="31"/>
      <c r="S20" s="31"/>
      <c r="T20" s="42"/>
      <c r="U20" s="42"/>
      <c r="V20" s="42"/>
      <c r="W20" s="42"/>
      <c r="X20" s="42"/>
      <c r="Y20" s="42"/>
      <c r="Z20" s="42"/>
      <c r="AA20" s="42"/>
      <c r="AB20" s="42"/>
      <c r="AC20" s="42"/>
      <c r="AD20" s="42"/>
      <c r="AE20" s="42"/>
      <c r="AF20" s="42"/>
      <c r="AG20" s="42"/>
      <c r="AH20" s="42"/>
      <c r="AI20" s="42"/>
      <c r="AJ20" s="42"/>
      <c r="AK20" s="42"/>
      <c r="AL20" s="42"/>
      <c r="AM20" s="42"/>
      <c r="AN20" s="42"/>
      <c r="AO20" s="42"/>
      <c r="AV20" s="49"/>
      <c r="AY20" s="37" t="str">
        <f>IF(自定义调整栏!$E$5="O","人马","")</f>
        <v>人马</v>
      </c>
      <c r="AZ20" s="30"/>
      <c r="BA20" s="30"/>
      <c r="BB20" s="30"/>
      <c r="BC20" s="30"/>
      <c r="BD20" s="30"/>
      <c r="BE20" s="30"/>
      <c r="BF20" s="30"/>
      <c r="BG20" s="30"/>
      <c r="BH20" s="30"/>
      <c r="BI20" s="30" t="str">
        <f t="shared" ref="BI20:BO20" si="23">""</f>
        <v/>
      </c>
      <c r="BJ20" s="30" t="str">
        <f t="shared" si="23"/>
        <v/>
      </c>
      <c r="BK20" s="30" t="str">
        <f t="shared" si="23"/>
        <v/>
      </c>
      <c r="BL20" s="30" t="str">
        <f t="shared" si="23"/>
        <v/>
      </c>
      <c r="BM20" s="30" t="str">
        <f t="shared" si="23"/>
        <v/>
      </c>
      <c r="BN20" s="30" t="str">
        <f t="shared" si="23"/>
        <v/>
      </c>
      <c r="BO20" s="43" t="str">
        <f t="shared" si="23"/>
        <v/>
      </c>
      <c r="BP20" s="30"/>
      <c r="BQ20" s="44" t="str" cm="1">
        <f t="array" ref="BQ20">IFERROR(INDEX($AY$1:$AY$112,SMALL(IF($AY$1:$AY$112&lt;&gt;"",ROW($AY$1:$AY$112),4^8),ROW(20:20)))&amp;"","")</f>
        <v>人马</v>
      </c>
      <c r="BR20" s="30"/>
      <c r="BS20" s="30"/>
      <c r="BT20" s="46" t="e">
        <f t="shared" si="9"/>
        <v>#N/A</v>
      </c>
      <c r="BU20" s="30" t="e">
        <f t="shared" si="10"/>
        <v>#N/A</v>
      </c>
      <c r="BV20" s="30" t="e">
        <f t="shared" si="11"/>
        <v>#N/A</v>
      </c>
      <c r="BW20" s="43" t="e">
        <f t="shared" si="12"/>
        <v>#N/A</v>
      </c>
      <c r="BX20" s="30"/>
      <c r="BY20" s="30"/>
    </row>
    <row r="21" spans="1:81" ht="14.45" customHeight="1" thickBot="1" x14ac:dyDescent="0.2">
      <c r="A21" s="31" t="s">
        <v>729</v>
      </c>
      <c r="B21" s="26"/>
      <c r="C21" s="26">
        <v>6</v>
      </c>
      <c r="D21" s="26">
        <v>6</v>
      </c>
      <c r="E21" s="31" t="s">
        <v>3210</v>
      </c>
      <c r="F21" s="31" t="s">
        <v>3250</v>
      </c>
      <c r="G21" s="31" t="s">
        <v>309</v>
      </c>
      <c r="H21" s="31" t="s">
        <v>709</v>
      </c>
      <c r="J21" s="839"/>
      <c r="K21" s="840"/>
      <c r="L21" s="30" t="s">
        <v>754</v>
      </c>
      <c r="M21" s="31" t="s">
        <v>830</v>
      </c>
      <c r="N21" s="31" t="s">
        <v>831</v>
      </c>
      <c r="O21" s="42" t="s">
        <v>832</v>
      </c>
      <c r="P21" s="42" t="s">
        <v>833</v>
      </c>
      <c r="Q21" s="31" t="s">
        <v>834</v>
      </c>
      <c r="R21" s="31"/>
      <c r="S21" s="31"/>
      <c r="T21" s="42"/>
      <c r="U21" s="42"/>
      <c r="V21" s="42"/>
      <c r="W21" s="42"/>
      <c r="X21" s="42"/>
      <c r="Y21" s="42"/>
      <c r="Z21" s="42"/>
      <c r="AA21" s="42"/>
      <c r="AB21" s="42"/>
      <c r="AC21" s="31"/>
      <c r="AD21" s="31"/>
      <c r="AE21" s="42"/>
      <c r="AF21" s="42"/>
      <c r="AG21" s="42"/>
      <c r="AH21" s="42"/>
      <c r="AI21" s="42"/>
      <c r="AJ21" s="42"/>
      <c r="AK21" s="42"/>
      <c r="AL21" s="42"/>
      <c r="AM21" s="42"/>
      <c r="AN21" s="42"/>
      <c r="AO21" s="42"/>
      <c r="AV21" s="49"/>
      <c r="AY21" s="37" t="str">
        <f>IF(自定义调整栏!$E$5="O","地底侏儒","")</f>
        <v>地底侏儒</v>
      </c>
      <c r="BB21" s="30"/>
      <c r="BC21" s="30"/>
      <c r="BD21" s="30"/>
      <c r="BE21" s="30"/>
      <c r="BF21" s="30"/>
      <c r="BG21" s="30"/>
      <c r="BH21" s="30"/>
      <c r="BI21" s="30" t="str">
        <f t="shared" ref="BI21:BO21" si="24">""</f>
        <v/>
      </c>
      <c r="BJ21" s="30" t="str">
        <f t="shared" si="24"/>
        <v/>
      </c>
      <c r="BK21" s="30" t="str">
        <f t="shared" si="24"/>
        <v/>
      </c>
      <c r="BL21" s="30" t="str">
        <f t="shared" si="24"/>
        <v/>
      </c>
      <c r="BM21" s="30" t="str">
        <f t="shared" si="24"/>
        <v/>
      </c>
      <c r="BN21" s="30" t="str">
        <f t="shared" si="24"/>
        <v/>
      </c>
      <c r="BO21" s="43" t="str">
        <f t="shared" si="24"/>
        <v/>
      </c>
      <c r="BP21" s="30"/>
      <c r="BQ21" s="44" t="str" cm="1">
        <f t="array" ref="BQ21">IFERROR(INDEX($AY$1:$AY$112,SMALL(IF($AY$1:$AY$112&lt;&gt;"",ROW($AY$1:$AY$112),4^8),ROW(21:21)))&amp;"","")</f>
        <v>地底侏儒</v>
      </c>
      <c r="BR21" s="30"/>
      <c r="BS21" s="30"/>
      <c r="BT21" s="47" t="e">
        <f t="shared" si="9"/>
        <v>#N/A</v>
      </c>
      <c r="BU21" s="39" t="e">
        <f t="shared" si="10"/>
        <v>#N/A</v>
      </c>
      <c r="BV21" s="39" t="e">
        <f t="shared" si="11"/>
        <v>#N/A</v>
      </c>
      <c r="BW21" s="48" t="e">
        <f t="shared" si="12"/>
        <v>#N/A</v>
      </c>
      <c r="BX21" s="30"/>
      <c r="BY21" s="30"/>
    </row>
    <row r="22" spans="1:81" ht="14.45" customHeight="1" x14ac:dyDescent="0.15">
      <c r="A22" s="31" t="s">
        <v>730</v>
      </c>
      <c r="B22" s="26"/>
      <c r="C22" s="26">
        <v>7</v>
      </c>
      <c r="D22" s="26">
        <v>7</v>
      </c>
      <c r="E22" s="31" t="s">
        <v>3211</v>
      </c>
      <c r="F22" s="31" t="s">
        <v>3251</v>
      </c>
      <c r="G22" s="31" t="s">
        <v>95</v>
      </c>
      <c r="H22" s="31" t="s">
        <v>709</v>
      </c>
      <c r="J22" s="839">
        <v>11</v>
      </c>
      <c r="K22" s="840" t="s">
        <v>3198</v>
      </c>
      <c r="L22" s="31" t="s">
        <v>795</v>
      </c>
      <c r="M22" s="31" t="s">
        <v>3270</v>
      </c>
      <c r="N22" s="31" t="s">
        <v>3271</v>
      </c>
      <c r="O22" s="42" t="s">
        <v>3272</v>
      </c>
      <c r="P22" s="42" t="s">
        <v>3273</v>
      </c>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V22" s="49"/>
      <c r="AY22" s="37" t="str">
        <f>IF(自定义调整栏!$E$5="O","灰矮人","")</f>
        <v>灰矮人</v>
      </c>
      <c r="AZ22" s="30"/>
      <c r="BA22" s="30"/>
      <c r="BB22" s="30"/>
      <c r="BC22" s="30"/>
      <c r="BD22" s="30"/>
      <c r="BE22" s="30"/>
      <c r="BF22" s="30"/>
      <c r="BG22" s="30"/>
      <c r="BH22" s="30"/>
      <c r="BI22" s="30" t="str">
        <f t="shared" ref="BI22:BO22" si="25">""</f>
        <v/>
      </c>
      <c r="BJ22" s="30" t="str">
        <f t="shared" si="25"/>
        <v/>
      </c>
      <c r="BK22" s="30" t="str">
        <f t="shared" si="25"/>
        <v/>
      </c>
      <c r="BL22" s="30" t="str">
        <f t="shared" si="25"/>
        <v/>
      </c>
      <c r="BM22" s="30" t="str">
        <f t="shared" si="25"/>
        <v/>
      </c>
      <c r="BN22" s="30" t="str">
        <f t="shared" si="25"/>
        <v/>
      </c>
      <c r="BO22" s="43" t="str">
        <f t="shared" si="25"/>
        <v/>
      </c>
      <c r="BP22" s="30"/>
      <c r="BQ22" s="44" t="str" cm="1">
        <f t="array" ref="BQ22">IFERROR(INDEX($AY$1:$AY$112,SMALL(IF($AY$1:$AY$112&lt;&gt;"",ROW($AY$1:$AY$112),4^8),ROW(22:22)))&amp;"","")</f>
        <v>灰矮人</v>
      </c>
      <c r="BR22" s="30"/>
      <c r="BS22" s="30"/>
      <c r="BT22" s="30"/>
      <c r="BU22" s="30"/>
      <c r="BV22" s="30"/>
      <c r="BW22" s="30"/>
      <c r="BX22" s="30"/>
      <c r="BY22" s="30"/>
    </row>
    <row r="23" spans="1:81" ht="14.45" customHeight="1" x14ac:dyDescent="0.15">
      <c r="A23" s="26" t="s">
        <v>731</v>
      </c>
      <c r="B23" s="26"/>
      <c r="C23" s="26">
        <v>8</v>
      </c>
      <c r="D23" s="26">
        <v>8</v>
      </c>
      <c r="E23" s="31" t="s">
        <v>3212</v>
      </c>
      <c r="F23" s="31" t="s">
        <v>3252</v>
      </c>
      <c r="G23" s="31" t="s">
        <v>95</v>
      </c>
      <c r="H23" s="31" t="s">
        <v>709</v>
      </c>
      <c r="J23" s="839"/>
      <c r="K23" s="840"/>
      <c r="L23" s="31" t="s">
        <v>3274</v>
      </c>
      <c r="M23" s="31" t="s">
        <v>3275</v>
      </c>
      <c r="N23" s="31" t="s">
        <v>3276</v>
      </c>
      <c r="O23" s="42" t="s">
        <v>3277</v>
      </c>
      <c r="P23" s="42" t="s">
        <v>3278</v>
      </c>
      <c r="Q23" s="42"/>
      <c r="R23" s="42"/>
      <c r="S23" s="42"/>
      <c r="T23" s="42"/>
      <c r="U23" s="42"/>
      <c r="V23" s="42"/>
      <c r="W23" s="42"/>
      <c r="X23" s="42"/>
      <c r="Y23" s="42"/>
      <c r="Z23" s="42"/>
      <c r="AA23" s="42"/>
      <c r="AB23" s="42"/>
      <c r="AC23" s="31"/>
      <c r="AD23" s="31"/>
      <c r="AE23" s="42"/>
      <c r="AF23" s="42"/>
      <c r="AG23" s="42"/>
      <c r="AH23" s="42"/>
      <c r="AI23" s="42"/>
      <c r="AJ23" s="42"/>
      <c r="AK23" s="42"/>
      <c r="AL23" s="42"/>
      <c r="AM23" s="42"/>
      <c r="AN23" s="42"/>
      <c r="AO23" s="42"/>
      <c r="AV23" s="49"/>
      <c r="AY23" s="37" t="str">
        <f>IF(自定义调整栏!$E$5="O","雅灵","")</f>
        <v>雅灵</v>
      </c>
      <c r="AZ23" s="30"/>
      <c r="BA23" s="30"/>
      <c r="BB23" s="30"/>
      <c r="BC23" s="30"/>
      <c r="BD23" s="30"/>
      <c r="BE23" s="30"/>
      <c r="BF23" s="30"/>
      <c r="BG23" s="30"/>
      <c r="BH23" s="30"/>
      <c r="BI23" s="30" t="str">
        <f t="shared" ref="BI23:BO23" si="26">""</f>
        <v/>
      </c>
      <c r="BJ23" s="30" t="str">
        <f t="shared" si="26"/>
        <v/>
      </c>
      <c r="BK23" s="30" t="str">
        <f t="shared" si="26"/>
        <v/>
      </c>
      <c r="BL23" s="30" t="str">
        <f t="shared" si="26"/>
        <v/>
      </c>
      <c r="BM23" s="30" t="str">
        <f t="shared" si="26"/>
        <v/>
      </c>
      <c r="BN23" s="30" t="str">
        <f t="shared" si="26"/>
        <v/>
      </c>
      <c r="BO23" s="43" t="str">
        <f t="shared" si="26"/>
        <v/>
      </c>
      <c r="BP23" s="30"/>
      <c r="BQ23" s="44" t="str" cm="1">
        <f t="array" ref="BQ23">IFERROR(INDEX($AY$1:$AY$112,SMALL(IF($AY$1:$AY$112&lt;&gt;"",ROW($AY$1:$AY$112),4^8),ROW(23:23)))&amp;"","")</f>
        <v>雅灵</v>
      </c>
      <c r="BR23" s="30"/>
      <c r="BS23" s="30"/>
      <c r="BT23" s="30"/>
      <c r="BU23" s="30"/>
      <c r="BV23" s="30"/>
      <c r="BW23" s="30"/>
      <c r="BX23" s="30"/>
      <c r="BY23" s="30"/>
      <c r="BZ23" s="30"/>
    </row>
    <row r="24" spans="1:81" ht="14.45" customHeight="1" x14ac:dyDescent="0.15">
      <c r="A24" s="26" t="s">
        <v>732</v>
      </c>
      <c r="B24" s="26"/>
      <c r="C24" s="26">
        <v>9</v>
      </c>
      <c r="D24" s="26">
        <v>9</v>
      </c>
      <c r="E24" s="31" t="s">
        <v>3213</v>
      </c>
      <c r="F24" s="31" t="s">
        <v>3248</v>
      </c>
      <c r="G24" s="31" t="s">
        <v>309</v>
      </c>
      <c r="H24" s="31" t="s">
        <v>709</v>
      </c>
      <c r="J24" s="839">
        <v>12</v>
      </c>
      <c r="K24" s="840" t="s">
        <v>3199</v>
      </c>
      <c r="L24" s="31" t="s">
        <v>746</v>
      </c>
      <c r="M24" s="31" t="s">
        <v>3279</v>
      </c>
      <c r="N24" s="31" t="s">
        <v>3280</v>
      </c>
      <c r="O24" s="42" t="s">
        <v>3281</v>
      </c>
      <c r="P24" s="42" t="s">
        <v>3282</v>
      </c>
      <c r="Q24" s="42" t="s">
        <v>3283</v>
      </c>
      <c r="R24" s="42" t="s">
        <v>3284</v>
      </c>
      <c r="S24" s="42" t="s">
        <v>3285</v>
      </c>
      <c r="T24" s="42"/>
      <c r="U24" s="42"/>
      <c r="V24" s="42"/>
      <c r="W24" s="42"/>
      <c r="X24" s="42"/>
      <c r="Y24" s="42"/>
      <c r="Z24" s="42"/>
      <c r="AA24" s="42"/>
      <c r="AB24" s="42"/>
      <c r="AC24" s="42"/>
      <c r="AD24" s="42"/>
      <c r="AE24" s="42"/>
      <c r="AF24" s="42"/>
      <c r="AG24" s="42"/>
      <c r="AH24" s="42"/>
      <c r="AI24" s="42"/>
      <c r="AJ24" s="42"/>
      <c r="AK24" s="42"/>
      <c r="AL24" s="42"/>
      <c r="AM24" s="42"/>
      <c r="AN24" s="42"/>
      <c r="AO24" s="42"/>
      <c r="AV24" s="49"/>
      <c r="AY24" s="37" t="str">
        <f>IF(自定义调整栏!$E$5="O","仙灵","")</f>
        <v>仙灵</v>
      </c>
      <c r="AZ24" s="30"/>
      <c r="BA24" s="30"/>
      <c r="BB24" s="30"/>
      <c r="BC24" s="30"/>
      <c r="BD24" s="30"/>
      <c r="BE24" s="30"/>
      <c r="BF24" s="30"/>
      <c r="BG24" s="30"/>
      <c r="BH24" s="30"/>
      <c r="BI24" s="30" t="str">
        <f t="shared" ref="BI24:BO24" si="27">""</f>
        <v/>
      </c>
      <c r="BJ24" s="30" t="str">
        <f t="shared" si="27"/>
        <v/>
      </c>
      <c r="BK24" s="30" t="str">
        <f t="shared" si="27"/>
        <v/>
      </c>
      <c r="BL24" s="30" t="str">
        <f t="shared" si="27"/>
        <v/>
      </c>
      <c r="BM24" s="30" t="str">
        <f t="shared" si="27"/>
        <v/>
      </c>
      <c r="BN24" s="30" t="str">
        <f t="shared" si="27"/>
        <v/>
      </c>
      <c r="BO24" s="43" t="str">
        <f t="shared" si="27"/>
        <v/>
      </c>
      <c r="BP24" s="30"/>
      <c r="BQ24" s="44" t="str" cm="1">
        <f t="array" ref="BQ24">IFERROR(INDEX($AY$1:$AY$112,SMALL(IF($AY$1:$AY$112&lt;&gt;"",ROW($AY$1:$AY$112),4^8),ROW(24:24)))&amp;"","")</f>
        <v>仙灵</v>
      </c>
      <c r="BR24" s="30"/>
      <c r="BS24" s="30"/>
      <c r="BT24" s="30"/>
      <c r="BU24" s="30"/>
      <c r="BV24" s="30"/>
      <c r="BW24" s="30"/>
      <c r="BX24" s="30"/>
      <c r="BY24" s="30"/>
      <c r="BZ24" s="30"/>
    </row>
    <row r="25" spans="1:81" ht="14.45" customHeight="1" x14ac:dyDescent="0.15">
      <c r="A25" s="36" t="s">
        <v>733</v>
      </c>
      <c r="B25" s="36">
        <v>7</v>
      </c>
      <c r="C25" s="36">
        <v>1</v>
      </c>
      <c r="D25" s="36">
        <v>4</v>
      </c>
      <c r="E25" s="31" t="s">
        <v>3214</v>
      </c>
      <c r="F25" s="31" t="s">
        <v>707</v>
      </c>
      <c r="G25" s="31" t="s">
        <v>95</v>
      </c>
      <c r="H25" s="31" t="s">
        <v>709</v>
      </c>
      <c r="J25" s="839"/>
      <c r="K25" s="840"/>
      <c r="L25" s="31" t="s">
        <v>754</v>
      </c>
      <c r="M25" s="31" t="s">
        <v>3286</v>
      </c>
      <c r="N25" s="31" t="s">
        <v>3287</v>
      </c>
      <c r="O25" s="42" t="s">
        <v>784</v>
      </c>
      <c r="P25" s="42" t="s">
        <v>3288</v>
      </c>
      <c r="Q25" s="42" t="s">
        <v>3289</v>
      </c>
      <c r="R25" s="42" t="s">
        <v>3290</v>
      </c>
      <c r="S25" s="42" t="s">
        <v>3291</v>
      </c>
      <c r="T25" s="42"/>
      <c r="U25" s="42"/>
      <c r="V25" s="42"/>
      <c r="W25" s="42"/>
      <c r="X25" s="42"/>
      <c r="Y25" s="42"/>
      <c r="Z25" s="42"/>
      <c r="AA25" s="42"/>
      <c r="AB25" s="42"/>
      <c r="AC25" s="31"/>
      <c r="AD25" s="31"/>
      <c r="AE25" s="42"/>
      <c r="AF25" s="42"/>
      <c r="AG25" s="42"/>
      <c r="AH25" s="42"/>
      <c r="AI25" s="42"/>
      <c r="AJ25" s="42"/>
      <c r="AK25" s="42"/>
      <c r="AL25" s="42"/>
      <c r="AM25" s="42"/>
      <c r="AN25" s="42"/>
      <c r="AO25" s="42"/>
      <c r="AV25" s="49"/>
      <c r="AY25" s="37" t="str">
        <f>IF(自定义调整栏!$E$5="O","费尔伯格人","")</f>
        <v>费尔伯格人</v>
      </c>
      <c r="AZ25" s="30"/>
      <c r="BA25" s="30"/>
      <c r="BB25" s="30"/>
      <c r="BC25" s="30"/>
      <c r="BD25" s="30"/>
      <c r="BE25" s="30"/>
      <c r="BF25" s="30"/>
      <c r="BG25" s="30"/>
      <c r="BH25" s="30"/>
      <c r="BI25" s="30" t="str">
        <f t="shared" ref="BI25:BO25" si="28">""</f>
        <v/>
      </c>
      <c r="BJ25" s="30" t="str">
        <f t="shared" si="28"/>
        <v/>
      </c>
      <c r="BK25" s="30" t="str">
        <f t="shared" si="28"/>
        <v/>
      </c>
      <c r="BL25" s="30" t="str">
        <f t="shared" si="28"/>
        <v/>
      </c>
      <c r="BM25" s="30" t="str">
        <f t="shared" si="28"/>
        <v/>
      </c>
      <c r="BN25" s="30" t="str">
        <f t="shared" si="28"/>
        <v/>
      </c>
      <c r="BO25" s="43" t="str">
        <f t="shared" si="28"/>
        <v/>
      </c>
      <c r="BP25" s="30"/>
      <c r="BQ25" s="44" t="str" cm="1">
        <f t="array" ref="BQ25">IFERROR(INDEX($AY$1:$AY$112,SMALL(IF($AY$1:$AY$112&lt;&gt;"",ROW($AY$1:$AY$112),4^8),ROW(25:25)))&amp;"","")</f>
        <v>费尔伯格人</v>
      </c>
      <c r="BR25" s="30"/>
      <c r="BS25" s="30"/>
      <c r="BT25" s="30"/>
      <c r="BU25" s="30"/>
      <c r="BV25" s="30"/>
      <c r="BW25" s="30"/>
      <c r="BX25" s="30"/>
      <c r="BY25" s="30"/>
      <c r="BZ25" s="30"/>
    </row>
    <row r="26" spans="1:81" ht="14.45" customHeight="1" x14ac:dyDescent="0.15">
      <c r="A26" s="36" t="s">
        <v>735</v>
      </c>
      <c r="B26" s="36">
        <v>8</v>
      </c>
      <c r="C26" s="36">
        <v>1</v>
      </c>
      <c r="D26" s="36">
        <v>3</v>
      </c>
      <c r="E26" s="31" t="s">
        <v>3215</v>
      </c>
      <c r="F26" s="31" t="s">
        <v>707</v>
      </c>
      <c r="G26" s="31" t="s">
        <v>9450</v>
      </c>
      <c r="H26" s="31" t="s">
        <v>726</v>
      </c>
      <c r="J26" s="839">
        <v>13</v>
      </c>
      <c r="K26" s="840" t="s">
        <v>3200</v>
      </c>
      <c r="L26" s="31" t="s">
        <v>3292</v>
      </c>
      <c r="M26" s="31" t="s">
        <v>3293</v>
      </c>
      <c r="N26" s="31" t="s">
        <v>3294</v>
      </c>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V26" s="49"/>
      <c r="AY26" s="37" t="str">
        <f>IF(自定义调整栏!$E$5="O","元素裔","")</f>
        <v>元素裔</v>
      </c>
      <c r="AZ26" s="30" t="s">
        <v>3216</v>
      </c>
      <c r="BA26" s="30" t="s">
        <v>3217</v>
      </c>
      <c r="BB26" s="30" t="s">
        <v>3218</v>
      </c>
      <c r="BC26" s="30" t="s">
        <v>3219</v>
      </c>
      <c r="BD26" s="30"/>
      <c r="BE26" s="30"/>
      <c r="BF26" s="30"/>
      <c r="BG26" s="30"/>
      <c r="BH26" s="30"/>
      <c r="BI26" s="30" t="str">
        <f t="shared" ref="BI26:BO26" si="29">""</f>
        <v/>
      </c>
      <c r="BJ26" s="30" t="str">
        <f t="shared" si="29"/>
        <v/>
      </c>
      <c r="BK26" s="30" t="str">
        <f t="shared" si="29"/>
        <v/>
      </c>
      <c r="BL26" s="30" t="str">
        <f t="shared" si="29"/>
        <v/>
      </c>
      <c r="BM26" s="30" t="str">
        <f t="shared" si="29"/>
        <v/>
      </c>
      <c r="BN26" s="30" t="str">
        <f t="shared" si="29"/>
        <v/>
      </c>
      <c r="BO26" s="43" t="str">
        <f t="shared" si="29"/>
        <v/>
      </c>
      <c r="BP26" s="30"/>
      <c r="BQ26" s="44" t="str" cm="1">
        <f t="array" ref="BQ26">IFERROR(INDEX($AY$1:$AY$112,SMALL(IF($AY$1:$AY$112&lt;&gt;"",ROW($AY$1:$AY$112),4^8),ROW(26:26)))&amp;"","")</f>
        <v>元素裔</v>
      </c>
      <c r="BR26" s="30"/>
      <c r="BS26" s="30"/>
      <c r="BT26" s="30"/>
      <c r="BU26" s="30"/>
      <c r="BV26" s="30"/>
      <c r="BW26" s="30"/>
      <c r="BX26" s="30"/>
      <c r="BY26" s="30"/>
      <c r="BZ26" s="30"/>
      <c r="CA26" s="30"/>
      <c r="CB26" s="30"/>
      <c r="CC26" s="30"/>
    </row>
    <row r="27" spans="1:81" ht="14.45" customHeight="1" x14ac:dyDescent="0.15">
      <c r="A27" s="36" t="s">
        <v>737</v>
      </c>
      <c r="B27" s="36">
        <v>9</v>
      </c>
      <c r="C27" s="36">
        <v>1</v>
      </c>
      <c r="D27" s="36">
        <v>3</v>
      </c>
      <c r="E27" s="31" t="s">
        <v>3220</v>
      </c>
      <c r="F27" s="31" t="s">
        <v>3253</v>
      </c>
      <c r="G27" s="31" t="s">
        <v>95</v>
      </c>
      <c r="H27" s="31" t="s">
        <v>709</v>
      </c>
      <c r="J27" s="839"/>
      <c r="K27" s="840"/>
      <c r="L27" s="31" t="s">
        <v>3295</v>
      </c>
      <c r="M27" s="31" t="s">
        <v>3296</v>
      </c>
      <c r="N27" s="31" t="s">
        <v>3297</v>
      </c>
      <c r="O27" s="42"/>
      <c r="P27" s="42"/>
      <c r="Q27" s="42"/>
      <c r="R27" s="42"/>
      <c r="S27" s="42"/>
      <c r="T27" s="42"/>
      <c r="U27" s="42"/>
      <c r="V27" s="42"/>
      <c r="W27" s="42"/>
      <c r="X27" s="42"/>
      <c r="Y27" s="42"/>
      <c r="Z27" s="42"/>
      <c r="AA27" s="42"/>
      <c r="AB27" s="42"/>
      <c r="AC27" s="31"/>
      <c r="AD27" s="31"/>
      <c r="AE27" s="42"/>
      <c r="AF27" s="42"/>
      <c r="AG27" s="42"/>
      <c r="AH27" s="42"/>
      <c r="AI27" s="42"/>
      <c r="AJ27" s="42"/>
      <c r="AK27" s="42"/>
      <c r="AL27" s="42"/>
      <c r="AM27" s="42"/>
      <c r="AN27" s="42"/>
      <c r="AO27" s="42"/>
      <c r="AV27" s="49"/>
      <c r="AY27" s="37" t="str">
        <f>IF(自定义调整栏!$E$5="O","吉斯洋基人","")</f>
        <v>吉斯洋基人</v>
      </c>
      <c r="AZ27" s="30"/>
      <c r="BA27" s="30"/>
      <c r="BB27" s="30"/>
      <c r="BC27" s="30"/>
      <c r="BD27" s="30"/>
      <c r="BE27" s="30"/>
      <c r="BF27" s="30"/>
      <c r="BG27" s="30"/>
      <c r="BH27" s="30"/>
      <c r="BI27" s="30" t="str">
        <f t="shared" ref="BI27:BO27" si="30">""</f>
        <v/>
      </c>
      <c r="BJ27" s="30" t="str">
        <f t="shared" si="30"/>
        <v/>
      </c>
      <c r="BK27" s="30" t="str">
        <f t="shared" si="30"/>
        <v/>
      </c>
      <c r="BL27" s="30" t="str">
        <f t="shared" si="30"/>
        <v/>
      </c>
      <c r="BM27" s="30" t="str">
        <f t="shared" si="30"/>
        <v/>
      </c>
      <c r="BN27" s="30" t="str">
        <f t="shared" si="30"/>
        <v/>
      </c>
      <c r="BO27" s="43" t="str">
        <f t="shared" si="30"/>
        <v/>
      </c>
      <c r="BP27" s="30"/>
      <c r="BQ27" s="44" t="str" cm="1">
        <f t="array" ref="BQ27">IFERROR(INDEX($AY$1:$AY$112,SMALL(IF($AY$1:$AY$112&lt;&gt;"",ROW($AY$1:$AY$112),4^8),ROW(27:27)))&amp;"","")</f>
        <v>吉斯洋基人</v>
      </c>
      <c r="BR27" s="30"/>
      <c r="BS27" s="30"/>
      <c r="BT27" s="30"/>
      <c r="BU27" s="30"/>
      <c r="BV27" s="30"/>
      <c r="BW27" s="30"/>
      <c r="BX27" s="30"/>
      <c r="BY27" s="30"/>
      <c r="BZ27" s="30"/>
      <c r="CA27" s="30"/>
      <c r="CB27" s="30"/>
      <c r="CC27" s="30"/>
    </row>
    <row r="28" spans="1:81" ht="14.45" customHeight="1" x14ac:dyDescent="0.15">
      <c r="A28" s="36" t="s">
        <v>739</v>
      </c>
      <c r="B28" s="36">
        <v>10</v>
      </c>
      <c r="C28" s="36">
        <v>1</v>
      </c>
      <c r="D28" s="36">
        <v>3</v>
      </c>
      <c r="E28" s="31" t="s">
        <v>3221</v>
      </c>
      <c r="F28" s="31" t="s">
        <v>3253</v>
      </c>
      <c r="G28" s="31" t="s">
        <v>95</v>
      </c>
      <c r="H28" s="31" t="s">
        <v>709</v>
      </c>
      <c r="J28" s="839">
        <v>14</v>
      </c>
      <c r="K28" s="840" t="s">
        <v>3203</v>
      </c>
      <c r="L28" s="31" t="s">
        <v>3301</v>
      </c>
      <c r="M28" s="31" t="s">
        <v>3302</v>
      </c>
      <c r="N28" s="31" t="s">
        <v>3303</v>
      </c>
      <c r="O28" s="31" t="s">
        <v>3304</v>
      </c>
      <c r="P28" s="31"/>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V28" s="49"/>
      <c r="AY28" s="37" t="str">
        <f>IF(自定义调整栏!$E$5="O","吉斯泽莱人","")</f>
        <v>吉斯泽莱人</v>
      </c>
      <c r="AZ28" s="30"/>
      <c r="BA28" s="30"/>
      <c r="BB28" s="30"/>
      <c r="BC28" s="30"/>
      <c r="BD28" s="30"/>
      <c r="BE28" s="30"/>
      <c r="BF28" s="30"/>
      <c r="BG28" s="30"/>
      <c r="BH28" s="30"/>
      <c r="BI28" s="30" t="str">
        <f t="shared" ref="BI28:BO28" si="31">""</f>
        <v/>
      </c>
      <c r="BJ28" s="30" t="str">
        <f t="shared" si="31"/>
        <v/>
      </c>
      <c r="BK28" s="30" t="str">
        <f t="shared" si="31"/>
        <v/>
      </c>
      <c r="BL28" s="30" t="str">
        <f t="shared" si="31"/>
        <v/>
      </c>
      <c r="BM28" s="30" t="str">
        <f t="shared" si="31"/>
        <v/>
      </c>
      <c r="BN28" s="30" t="str">
        <f t="shared" si="31"/>
        <v/>
      </c>
      <c r="BO28" s="43" t="str">
        <f t="shared" si="31"/>
        <v/>
      </c>
      <c r="BP28" s="30"/>
      <c r="BQ28" s="44" t="str" cm="1">
        <f t="array" ref="BQ28">IFERROR(INDEX($AY$1:$AY$112,SMALL(IF($AY$1:$AY$112&lt;&gt;"",ROW($AY$1:$AY$112),4^8),ROW(28:28)))&amp;"","")</f>
        <v>吉斯泽莱人</v>
      </c>
      <c r="BR28" s="30"/>
      <c r="BS28" s="30"/>
      <c r="BT28" s="30"/>
      <c r="BU28" s="30"/>
      <c r="BV28" s="30"/>
      <c r="BW28" s="30"/>
      <c r="BX28" s="30"/>
      <c r="BY28" s="30"/>
      <c r="BZ28" s="30"/>
      <c r="CA28" s="30"/>
      <c r="CB28" s="30"/>
      <c r="CC28" s="30"/>
    </row>
    <row r="29" spans="1:81" ht="14.45" customHeight="1" x14ac:dyDescent="0.15">
      <c r="A29" s="26" t="s">
        <v>741</v>
      </c>
      <c r="B29" s="31"/>
      <c r="C29" s="31">
        <v>4</v>
      </c>
      <c r="D29" s="31">
        <v>4</v>
      </c>
      <c r="E29" s="31" t="s">
        <v>3222</v>
      </c>
      <c r="F29" s="31" t="s">
        <v>3248</v>
      </c>
      <c r="G29" s="31" t="s">
        <v>309</v>
      </c>
      <c r="H29" s="31" t="s">
        <v>709</v>
      </c>
      <c r="J29" s="839"/>
      <c r="K29" s="840"/>
      <c r="L29" s="31" t="s">
        <v>3305</v>
      </c>
      <c r="M29" s="31" t="s">
        <v>3306</v>
      </c>
      <c r="N29" s="31" t="s">
        <v>3307</v>
      </c>
      <c r="O29" s="31" t="s">
        <v>3308</v>
      </c>
      <c r="P29" s="31"/>
      <c r="Q29" s="42"/>
      <c r="R29" s="42"/>
      <c r="S29" s="42"/>
      <c r="T29" s="42"/>
      <c r="U29" s="42"/>
      <c r="V29" s="42"/>
      <c r="W29" s="42"/>
      <c r="X29" s="42"/>
      <c r="Y29" s="42"/>
      <c r="Z29" s="42"/>
      <c r="AA29" s="42"/>
      <c r="AB29" s="42"/>
      <c r="AC29" s="31"/>
      <c r="AD29" s="31"/>
      <c r="AE29" s="31"/>
      <c r="AF29" s="31"/>
      <c r="AG29" s="42"/>
      <c r="AH29" s="42"/>
      <c r="AI29" s="42"/>
      <c r="AJ29" s="42"/>
      <c r="AK29" s="42"/>
      <c r="AL29" s="42"/>
      <c r="AM29" s="42"/>
      <c r="AN29" s="42"/>
      <c r="AO29" s="42"/>
      <c r="AV29" s="49"/>
      <c r="AY29" s="37" t="str">
        <f>IF(自定义调整栏!$E$5="O","地精","")</f>
        <v>地精</v>
      </c>
      <c r="AZ29" s="30"/>
      <c r="BA29" s="30"/>
      <c r="BB29" s="30"/>
      <c r="BC29" s="30"/>
      <c r="BD29" s="30"/>
      <c r="BE29" s="30"/>
      <c r="BF29" s="30"/>
      <c r="BG29" s="30"/>
      <c r="BH29" s="30"/>
      <c r="BI29" s="30" t="str">
        <f t="shared" ref="BI29:BO29" si="32">""</f>
        <v/>
      </c>
      <c r="BJ29" s="30" t="str">
        <f t="shared" si="32"/>
        <v/>
      </c>
      <c r="BK29" s="30" t="str">
        <f t="shared" si="32"/>
        <v/>
      </c>
      <c r="BL29" s="30" t="str">
        <f t="shared" si="32"/>
        <v/>
      </c>
      <c r="BM29" s="30" t="str">
        <f t="shared" si="32"/>
        <v/>
      </c>
      <c r="BN29" s="30" t="str">
        <f t="shared" si="32"/>
        <v/>
      </c>
      <c r="BO29" s="43" t="str">
        <f t="shared" si="32"/>
        <v/>
      </c>
      <c r="BP29" s="30"/>
      <c r="BQ29" s="44" t="str" cm="1">
        <f t="array" ref="BQ29">IFERROR(INDEX($AY$1:$AY$112,SMALL(IF($AY$1:$AY$112&lt;&gt;"",ROW($AY$1:$AY$112),4^8),ROW(29:29)))&amp;"","")</f>
        <v>地精</v>
      </c>
      <c r="BR29" s="30"/>
      <c r="BS29" s="30"/>
      <c r="BT29" s="30"/>
      <c r="BU29" s="30"/>
      <c r="BV29" s="30"/>
      <c r="BW29" s="30"/>
      <c r="BX29" s="30"/>
      <c r="BY29" s="30"/>
      <c r="BZ29" s="30"/>
      <c r="CA29" s="30"/>
      <c r="CB29" s="30"/>
      <c r="CC29" s="30"/>
    </row>
    <row r="30" spans="1:81" ht="14.45" customHeight="1" x14ac:dyDescent="0.15">
      <c r="A30" s="26" t="s">
        <v>742</v>
      </c>
      <c r="B30" s="31"/>
      <c r="C30" s="31">
        <v>5</v>
      </c>
      <c r="D30" s="31">
        <v>5</v>
      </c>
      <c r="E30" s="31" t="s">
        <v>3223</v>
      </c>
      <c r="F30" s="31" t="s">
        <v>707</v>
      </c>
      <c r="G30" s="31" t="s">
        <v>9450</v>
      </c>
      <c r="H30" s="31" t="s">
        <v>709</v>
      </c>
      <c r="J30" s="839">
        <v>15</v>
      </c>
      <c r="K30" s="840" t="s">
        <v>3204</v>
      </c>
      <c r="L30" s="31" t="s">
        <v>746</v>
      </c>
      <c r="M30" s="42" t="s">
        <v>3309</v>
      </c>
      <c r="N30" s="31" t="s">
        <v>3310</v>
      </c>
      <c r="O30" s="31" t="s">
        <v>3311</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V30" s="49"/>
      <c r="AY30" s="37" t="str">
        <f>IF(自定义调整栏!$E$5="O","兔人","")</f>
        <v>兔人</v>
      </c>
      <c r="AZ30" s="30"/>
      <c r="BA30" s="30"/>
      <c r="BB30" s="30"/>
      <c r="BC30" s="30"/>
      <c r="BD30" s="30"/>
      <c r="BE30" s="30"/>
      <c r="BF30" s="30"/>
      <c r="BG30" s="30"/>
      <c r="BH30" s="30"/>
      <c r="BI30" s="30" t="str">
        <f t="shared" ref="BI30:BO30" si="33">""</f>
        <v/>
      </c>
      <c r="BJ30" s="30" t="str">
        <f t="shared" si="33"/>
        <v/>
      </c>
      <c r="BK30" s="30" t="str">
        <f t="shared" si="33"/>
        <v/>
      </c>
      <c r="BL30" s="30" t="str">
        <f t="shared" si="33"/>
        <v/>
      </c>
      <c r="BM30" s="30" t="str">
        <f t="shared" si="33"/>
        <v/>
      </c>
      <c r="BN30" s="30" t="str">
        <f t="shared" si="33"/>
        <v/>
      </c>
      <c r="BO30" s="43" t="str">
        <f t="shared" si="33"/>
        <v/>
      </c>
      <c r="BP30" s="30"/>
      <c r="BQ30" s="44" t="str" cm="1">
        <f t="array" ref="BQ30">IFERROR(INDEX($AY$1:$AY$112,SMALL(IF($AY$1:$AY$112&lt;&gt;"",ROW($AY$1:$AY$112),4^8),ROW(30:30)))&amp;"","")</f>
        <v>兔人</v>
      </c>
      <c r="BR30" s="30"/>
      <c r="BS30" s="30"/>
      <c r="BT30" s="30"/>
      <c r="BU30" s="30"/>
      <c r="BV30" s="30"/>
      <c r="BW30" s="30"/>
      <c r="BX30" s="30"/>
      <c r="BY30" s="30"/>
      <c r="BZ30" s="30"/>
      <c r="CA30" s="30"/>
      <c r="CB30" s="30"/>
      <c r="CC30" s="30"/>
    </row>
    <row r="31" spans="1:81" ht="14.45" customHeight="1" x14ac:dyDescent="0.15">
      <c r="A31" s="26" t="s">
        <v>743</v>
      </c>
      <c r="B31" s="31"/>
      <c r="C31" s="31">
        <v>6</v>
      </c>
      <c r="D31" s="31">
        <v>6</v>
      </c>
      <c r="E31" s="31" t="s">
        <v>3224</v>
      </c>
      <c r="F31" s="31" t="s">
        <v>3248</v>
      </c>
      <c r="G31" s="31" t="s">
        <v>95</v>
      </c>
      <c r="H31" s="31" t="s">
        <v>709</v>
      </c>
      <c r="J31" s="839"/>
      <c r="K31" s="840"/>
      <c r="L31" s="31" t="s">
        <v>754</v>
      </c>
      <c r="M31" s="31" t="s">
        <v>3312</v>
      </c>
      <c r="N31" s="31" t="s">
        <v>3313</v>
      </c>
      <c r="O31" s="31" t="s">
        <v>3314</v>
      </c>
      <c r="P31" s="42"/>
      <c r="Q31" s="42"/>
      <c r="R31" s="42"/>
      <c r="S31" s="42"/>
      <c r="T31" s="42"/>
      <c r="U31" s="42"/>
      <c r="V31" s="42"/>
      <c r="W31" s="42"/>
      <c r="X31" s="42"/>
      <c r="Y31" s="42"/>
      <c r="Z31" s="42"/>
      <c r="AA31" s="42"/>
      <c r="AB31" s="42"/>
      <c r="AC31" s="31"/>
      <c r="AD31" s="31"/>
      <c r="AE31" s="31"/>
      <c r="AF31" s="31"/>
      <c r="AG31" s="42"/>
      <c r="AH31" s="42"/>
      <c r="AI31" s="42"/>
      <c r="AJ31" s="42"/>
      <c r="AK31" s="42"/>
      <c r="AL31" s="42"/>
      <c r="AM31" s="42"/>
      <c r="AN31" s="42"/>
      <c r="AO31" s="42"/>
      <c r="AV31" s="49"/>
      <c r="AY31" s="37" t="str">
        <f>IF(自定义调整栏!$E$5="O","大地精","")</f>
        <v>大地精</v>
      </c>
      <c r="AZ31" s="30"/>
      <c r="BA31" s="30"/>
      <c r="BB31" s="30"/>
      <c r="BC31" s="30"/>
      <c r="BD31" s="30"/>
      <c r="BE31" s="30"/>
      <c r="BF31" s="30"/>
      <c r="BG31" s="30"/>
      <c r="BH31" s="30"/>
      <c r="BI31" s="30" t="str">
        <f t="shared" ref="BI31:BO31" si="34">""</f>
        <v/>
      </c>
      <c r="BJ31" s="30" t="str">
        <f t="shared" si="34"/>
        <v/>
      </c>
      <c r="BK31" s="30" t="str">
        <f t="shared" si="34"/>
        <v/>
      </c>
      <c r="BL31" s="30" t="str">
        <f t="shared" si="34"/>
        <v/>
      </c>
      <c r="BM31" s="30" t="str">
        <f t="shared" si="34"/>
        <v/>
      </c>
      <c r="BN31" s="30" t="str">
        <f t="shared" si="34"/>
        <v/>
      </c>
      <c r="BO31" s="43" t="str">
        <f t="shared" si="34"/>
        <v/>
      </c>
      <c r="BP31" s="30"/>
      <c r="BQ31" s="44" t="str" cm="1">
        <f t="array" ref="BQ31">IFERROR(INDEX($AY$1:$AY$112,SMALL(IF($AY$1:$AY$112&lt;&gt;"",ROW($AY$1:$AY$112),4^8),ROW(31:31)))&amp;"","")</f>
        <v>大地精</v>
      </c>
      <c r="BR31" s="30"/>
      <c r="BS31" s="30"/>
      <c r="BT31" s="30"/>
      <c r="BU31" s="30"/>
      <c r="BV31" s="30"/>
      <c r="BW31" s="30"/>
      <c r="BX31" s="30"/>
      <c r="BY31" s="30"/>
      <c r="BZ31" s="30"/>
      <c r="CA31" s="30"/>
      <c r="CB31" s="30"/>
      <c r="CC31" s="30"/>
    </row>
    <row r="32" spans="1:81" ht="14.45" customHeight="1" x14ac:dyDescent="0.15">
      <c r="A32" s="144" t="s">
        <v>3198</v>
      </c>
      <c r="B32" s="145">
        <v>11</v>
      </c>
      <c r="C32" s="145">
        <v>1</v>
      </c>
      <c r="D32" s="145">
        <v>5</v>
      </c>
      <c r="E32" s="31" t="s">
        <v>3225</v>
      </c>
      <c r="F32" s="31" t="s">
        <v>707</v>
      </c>
      <c r="G32" s="31" t="s">
        <v>9450</v>
      </c>
      <c r="H32" s="31" t="s">
        <v>709</v>
      </c>
      <c r="J32" s="839">
        <v>16</v>
      </c>
      <c r="K32" s="840" t="s">
        <v>3205</v>
      </c>
      <c r="L32" s="31" t="s">
        <v>746</v>
      </c>
      <c r="M32" s="42" t="s">
        <v>3315</v>
      </c>
      <c r="N32" s="31" t="s">
        <v>3316</v>
      </c>
      <c r="O32" s="31"/>
      <c r="P32" s="31"/>
      <c r="Q32" s="31"/>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V32" s="49"/>
      <c r="AY32" s="37" t="str">
        <f>IF(自定义调整栏!$E$5="O","天狗","")</f>
        <v>天狗</v>
      </c>
      <c r="BD32" s="30"/>
      <c r="BE32" s="30"/>
      <c r="BF32" s="30"/>
      <c r="BG32" s="30"/>
      <c r="BH32" s="30"/>
      <c r="BI32" s="30" t="str">
        <f t="shared" ref="BI32:BO32" si="35">""</f>
        <v/>
      </c>
      <c r="BJ32" s="30" t="str">
        <f t="shared" si="35"/>
        <v/>
      </c>
      <c r="BK32" s="30" t="str">
        <f t="shared" si="35"/>
        <v/>
      </c>
      <c r="BL32" s="30" t="str">
        <f t="shared" si="35"/>
        <v/>
      </c>
      <c r="BM32" s="30" t="str">
        <f t="shared" si="35"/>
        <v/>
      </c>
      <c r="BN32" s="30" t="str">
        <f t="shared" si="35"/>
        <v/>
      </c>
      <c r="BO32" s="43" t="str">
        <f t="shared" si="35"/>
        <v/>
      </c>
      <c r="BP32" s="30"/>
      <c r="BQ32" s="44" t="str" cm="1">
        <f t="array" ref="BQ32">IFERROR(INDEX($AY$1:$AY$112,SMALL(IF($AY$1:$AY$112&lt;&gt;"",ROW($AY$1:$AY$112),4^8),ROW(32:32)))&amp;"","")</f>
        <v>天狗</v>
      </c>
      <c r="BR32" s="30"/>
      <c r="BS32" s="30"/>
      <c r="BT32" s="30"/>
      <c r="BU32" s="30"/>
      <c r="BV32" s="30"/>
      <c r="BW32" s="30"/>
      <c r="BX32" s="30"/>
      <c r="BY32" s="30"/>
      <c r="BZ32" s="30"/>
      <c r="CA32" s="30"/>
      <c r="CB32" s="30"/>
      <c r="CC32" s="30"/>
    </row>
    <row r="33" spans="1:81" ht="14.45" customHeight="1" x14ac:dyDescent="0.15">
      <c r="A33" s="144" t="s">
        <v>3199</v>
      </c>
      <c r="B33" s="145">
        <v>12</v>
      </c>
      <c r="C33" s="145">
        <v>1</v>
      </c>
      <c r="D33" s="145">
        <v>8</v>
      </c>
      <c r="E33" s="31" t="s">
        <v>3226</v>
      </c>
      <c r="F33" s="31" t="s">
        <v>707</v>
      </c>
      <c r="G33" s="31" t="s">
        <v>309</v>
      </c>
      <c r="H33" s="31" t="s">
        <v>709</v>
      </c>
      <c r="J33" s="839"/>
      <c r="K33" s="840"/>
      <c r="L33" s="31" t="s">
        <v>754</v>
      </c>
      <c r="M33" s="31" t="s">
        <v>3317</v>
      </c>
      <c r="N33" s="31" t="s">
        <v>3318</v>
      </c>
      <c r="O33" s="31"/>
      <c r="P33" s="31"/>
      <c r="Q33" s="31"/>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V33" s="49"/>
      <c r="AY33" s="37" t="str">
        <f>IF(自定义调整栏!$E$5="O","狗头人","")</f>
        <v>狗头人</v>
      </c>
      <c r="AZ33" s="30"/>
      <c r="BA33" s="30"/>
      <c r="BB33" s="30"/>
      <c r="BC33" s="30"/>
      <c r="BD33" s="30"/>
      <c r="BE33" s="30"/>
      <c r="BF33" s="30"/>
      <c r="BG33" s="30"/>
      <c r="BH33" s="30"/>
      <c r="BI33" s="30" t="str">
        <f t="shared" ref="BI33:BO33" si="36">""</f>
        <v/>
      </c>
      <c r="BJ33" s="30" t="str">
        <f t="shared" si="36"/>
        <v/>
      </c>
      <c r="BK33" s="30" t="str">
        <f t="shared" si="36"/>
        <v/>
      </c>
      <c r="BL33" s="30" t="str">
        <f t="shared" si="36"/>
        <v/>
      </c>
      <c r="BM33" s="30" t="str">
        <f t="shared" si="36"/>
        <v/>
      </c>
      <c r="BN33" s="30" t="str">
        <f t="shared" si="36"/>
        <v/>
      </c>
      <c r="BO33" s="43" t="str">
        <f t="shared" si="36"/>
        <v/>
      </c>
      <c r="BP33" s="30"/>
      <c r="BQ33" s="44" t="str" cm="1">
        <f t="array" ref="BQ33">IFERROR(INDEX($AY$1:$AY$112,SMALL(IF($AY$1:$AY$112&lt;&gt;"",ROW($AY$1:$AY$112),4^8),ROW(33:33)))&amp;"","")</f>
        <v>狗头人</v>
      </c>
      <c r="BR33" s="30"/>
      <c r="BS33" s="30"/>
      <c r="BT33" s="30"/>
      <c r="BU33" s="30"/>
      <c r="BV33" s="30"/>
      <c r="BW33" s="30"/>
      <c r="BX33" s="30"/>
      <c r="BY33" s="30"/>
      <c r="BZ33" s="30"/>
      <c r="CA33" s="30"/>
      <c r="CB33" s="30"/>
      <c r="CC33" s="30"/>
    </row>
    <row r="34" spans="1:81" ht="14.45" customHeight="1" x14ac:dyDescent="0.15">
      <c r="A34" s="144" t="s">
        <v>3200</v>
      </c>
      <c r="B34" s="145">
        <v>13</v>
      </c>
      <c r="C34" s="145">
        <v>1</v>
      </c>
      <c r="D34" s="145">
        <v>3</v>
      </c>
      <c r="E34" s="31" t="s">
        <v>3227</v>
      </c>
      <c r="F34" s="31" t="s">
        <v>707</v>
      </c>
      <c r="G34" s="31" t="s">
        <v>95</v>
      </c>
      <c r="H34" s="31" t="s">
        <v>9459</v>
      </c>
      <c r="J34" s="839">
        <v>17</v>
      </c>
      <c r="K34" s="840" t="s">
        <v>3206</v>
      </c>
      <c r="L34" s="31" t="s">
        <v>3315</v>
      </c>
      <c r="M34" s="42" t="s">
        <v>3319</v>
      </c>
      <c r="N34" s="31" t="s">
        <v>3320</v>
      </c>
      <c r="O34" s="31"/>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V34" s="49"/>
      <c r="AY34" s="37" t="str">
        <f>IF(自定义调整栏!$E$5="O","蜥蜴人","")</f>
        <v>蜥蜴人</v>
      </c>
      <c r="AZ34" s="30"/>
      <c r="BA34" s="30"/>
      <c r="BB34" s="30"/>
      <c r="BC34" s="30"/>
      <c r="BD34" s="30"/>
      <c r="BE34" s="30"/>
      <c r="BF34" s="30"/>
      <c r="BG34" s="30"/>
      <c r="BH34" s="30"/>
      <c r="BI34" s="30" t="str">
        <f t="shared" ref="BI34:BO34" si="37">""</f>
        <v/>
      </c>
      <c r="BJ34" s="30" t="str">
        <f t="shared" si="37"/>
        <v/>
      </c>
      <c r="BK34" s="30" t="str">
        <f t="shared" si="37"/>
        <v/>
      </c>
      <c r="BL34" s="30" t="str">
        <f t="shared" si="37"/>
        <v/>
      </c>
      <c r="BM34" s="30" t="str">
        <f t="shared" si="37"/>
        <v/>
      </c>
      <c r="BN34" s="30" t="str">
        <f t="shared" si="37"/>
        <v/>
      </c>
      <c r="BO34" s="43" t="str">
        <f t="shared" si="37"/>
        <v/>
      </c>
      <c r="BP34" s="30"/>
      <c r="BQ34" s="44" t="str" cm="1">
        <f t="array" ref="BQ34">IFERROR(INDEX($AY$1:$AY$112,SMALL(IF($AY$1:$AY$112&lt;&gt;"",ROW($AY$1:$AY$112),4^8),ROW(34:34)))&amp;"","")</f>
        <v>蜥蜴人</v>
      </c>
      <c r="BR34" s="30"/>
      <c r="BS34" s="30"/>
      <c r="BT34" s="30"/>
      <c r="BU34" s="30"/>
      <c r="BV34" s="30"/>
      <c r="BW34" s="30"/>
      <c r="BX34" s="30"/>
      <c r="BY34" s="30"/>
      <c r="BZ34" s="30"/>
      <c r="CA34" s="30"/>
      <c r="CB34" s="30"/>
      <c r="CC34" s="30"/>
    </row>
    <row r="35" spans="1:81" ht="14.45" customHeight="1" x14ac:dyDescent="0.15">
      <c r="A35" s="144" t="s">
        <v>3203</v>
      </c>
      <c r="B35" s="145">
        <v>14</v>
      </c>
      <c r="C35" s="145">
        <v>1</v>
      </c>
      <c r="D35" s="145">
        <v>4</v>
      </c>
      <c r="E35" s="31" t="s">
        <v>3228</v>
      </c>
      <c r="F35" s="31" t="s">
        <v>707</v>
      </c>
      <c r="G35" s="31" t="s">
        <v>95</v>
      </c>
      <c r="H35" s="31" t="s">
        <v>709</v>
      </c>
      <c r="J35" s="839"/>
      <c r="K35" s="840"/>
      <c r="L35" s="31" t="s">
        <v>3321</v>
      </c>
      <c r="M35" s="31" t="s">
        <v>3322</v>
      </c>
      <c r="N35" s="31" t="s">
        <v>3323</v>
      </c>
      <c r="O35" s="31"/>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V35" s="49"/>
      <c r="AY35" s="37" t="str">
        <f>IF(自定义调整栏!$E$5="O","牛头人","")</f>
        <v>牛头人</v>
      </c>
      <c r="AZ35" s="30"/>
      <c r="BA35" s="30"/>
      <c r="BB35" s="30"/>
      <c r="BC35" s="30"/>
      <c r="BD35" s="30"/>
      <c r="BE35" s="30"/>
      <c r="BF35" s="30"/>
      <c r="BG35" s="30"/>
      <c r="BH35" s="30"/>
      <c r="BI35" s="30" t="str">
        <f t="shared" ref="BI35:BO35" si="38">""</f>
        <v/>
      </c>
      <c r="BJ35" s="30" t="str">
        <f t="shared" si="38"/>
        <v/>
      </c>
      <c r="BK35" s="30" t="str">
        <f t="shared" si="38"/>
        <v/>
      </c>
      <c r="BL35" s="30" t="str">
        <f t="shared" si="38"/>
        <v/>
      </c>
      <c r="BM35" s="30" t="str">
        <f t="shared" si="38"/>
        <v/>
      </c>
      <c r="BN35" s="30" t="str">
        <f t="shared" si="38"/>
        <v/>
      </c>
      <c r="BO35" s="43" t="str">
        <f t="shared" si="38"/>
        <v/>
      </c>
      <c r="BP35" s="30"/>
      <c r="BQ35" s="44" t="str" cm="1">
        <f t="array" ref="BQ35">IFERROR(INDEX($AY$1:$AY$112,SMALL(IF($AY$1:$AY$112&lt;&gt;"",ROW($AY$1:$AY$112),4^8),ROW(35:35)))&amp;"","")</f>
        <v>牛头人</v>
      </c>
      <c r="BS35" s="30"/>
      <c r="BT35" s="30"/>
      <c r="BU35" s="30"/>
      <c r="BV35" s="30"/>
      <c r="BW35" s="30"/>
      <c r="BX35" s="30"/>
      <c r="BY35" s="30"/>
      <c r="BZ35" s="30"/>
      <c r="CA35" s="30"/>
      <c r="CB35" s="30"/>
      <c r="CC35" s="30"/>
    </row>
    <row r="36" spans="1:81" ht="14.45" customHeight="1" x14ac:dyDescent="0.15">
      <c r="A36" s="144" t="s">
        <v>3204</v>
      </c>
      <c r="B36" s="145">
        <v>15</v>
      </c>
      <c r="C36" s="145">
        <v>1</v>
      </c>
      <c r="D36" s="145">
        <v>4</v>
      </c>
      <c r="E36" s="31" t="s">
        <v>3229</v>
      </c>
      <c r="F36" s="31" t="s">
        <v>3248</v>
      </c>
      <c r="G36" s="31" t="s">
        <v>95</v>
      </c>
      <c r="H36" s="31" t="s">
        <v>726</v>
      </c>
      <c r="J36" s="839">
        <v>18</v>
      </c>
      <c r="K36" s="840" t="s">
        <v>3207</v>
      </c>
      <c r="L36" s="31" t="s">
        <v>746</v>
      </c>
      <c r="M36" s="31" t="s">
        <v>3324</v>
      </c>
      <c r="N36" s="31" t="s">
        <v>3325</v>
      </c>
      <c r="O36" s="31" t="s">
        <v>795</v>
      </c>
      <c r="P36" s="31" t="s">
        <v>3326</v>
      </c>
      <c r="Q36" s="42" t="s">
        <v>3327</v>
      </c>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V36" s="49"/>
      <c r="AY36" s="37" t="str">
        <f>IF(自定义调整栏!$E$5="O","半羊人","")</f>
        <v>半羊人</v>
      </c>
      <c r="AZ36" s="30"/>
      <c r="BA36" s="30"/>
      <c r="BB36" s="30"/>
      <c r="BC36" s="30"/>
      <c r="BD36" s="30"/>
      <c r="BE36" s="30"/>
      <c r="BF36" s="30"/>
      <c r="BG36" s="30"/>
      <c r="BH36" s="30"/>
      <c r="BI36" s="30" t="str">
        <f t="shared" ref="BI36:BO36" si="39">""</f>
        <v/>
      </c>
      <c r="BJ36" s="30" t="str">
        <f t="shared" si="39"/>
        <v/>
      </c>
      <c r="BK36" s="30" t="str">
        <f t="shared" si="39"/>
        <v/>
      </c>
      <c r="BL36" s="30" t="str">
        <f t="shared" si="39"/>
        <v/>
      </c>
      <c r="BM36" s="30" t="str">
        <f t="shared" si="39"/>
        <v/>
      </c>
      <c r="BN36" s="30" t="str">
        <f t="shared" si="39"/>
        <v/>
      </c>
      <c r="BO36" s="43" t="str">
        <f t="shared" si="39"/>
        <v/>
      </c>
      <c r="BP36" s="30"/>
      <c r="BQ36" s="44" t="str" cm="1">
        <f t="array" ref="BQ36">IFERROR(INDEX($AY$1:$AY$112,SMALL(IF($AY$1:$AY$112&lt;&gt;"",ROW($AY$1:$AY$112),4^8),ROW(36:36)))&amp;"","")</f>
        <v>半羊人</v>
      </c>
      <c r="BS36" s="30"/>
      <c r="BT36" s="30"/>
      <c r="BU36" s="30"/>
      <c r="BV36" s="30"/>
      <c r="BW36" s="30"/>
      <c r="BX36" s="30"/>
      <c r="BY36" s="30"/>
      <c r="BZ36" s="30"/>
      <c r="CA36" s="30"/>
      <c r="CB36" s="30"/>
      <c r="CC36" s="30"/>
    </row>
    <row r="37" spans="1:81" ht="14.45" customHeight="1" x14ac:dyDescent="0.15">
      <c r="A37" s="144" t="s">
        <v>3205</v>
      </c>
      <c r="B37" s="145">
        <v>16</v>
      </c>
      <c r="C37" s="145">
        <v>1</v>
      </c>
      <c r="D37" s="145">
        <v>3</v>
      </c>
      <c r="E37" s="31" t="s">
        <v>3230</v>
      </c>
      <c r="F37" s="31" t="s">
        <v>3252</v>
      </c>
      <c r="G37" s="31" t="s">
        <v>95</v>
      </c>
      <c r="H37" s="31" t="s">
        <v>9459</v>
      </c>
      <c r="J37" s="839"/>
      <c r="K37" s="840"/>
      <c r="L37" s="31" t="s">
        <v>754</v>
      </c>
      <c r="M37" s="31" t="s">
        <v>3328</v>
      </c>
      <c r="N37" s="31" t="s">
        <v>3329</v>
      </c>
      <c r="O37" s="31" t="s">
        <v>3330</v>
      </c>
      <c r="P37" s="31" t="s">
        <v>3331</v>
      </c>
      <c r="Q37" s="42" t="s">
        <v>3332</v>
      </c>
      <c r="R37" s="42"/>
      <c r="S37" s="42"/>
      <c r="T37" s="42"/>
      <c r="U37" s="42"/>
      <c r="V37" s="42"/>
      <c r="W37" s="42"/>
      <c r="X37" s="42"/>
      <c r="Y37" s="42"/>
      <c r="Z37" s="42"/>
      <c r="AA37" s="42"/>
      <c r="AB37" s="42"/>
      <c r="AC37" s="31"/>
      <c r="AD37" s="31"/>
      <c r="AE37" s="31"/>
      <c r="AF37" s="31"/>
      <c r="AG37" s="42"/>
      <c r="AH37" s="42"/>
      <c r="AI37" s="42"/>
      <c r="AJ37" s="42"/>
      <c r="AK37" s="42"/>
      <c r="AL37" s="42"/>
      <c r="AM37" s="42"/>
      <c r="AN37" s="42"/>
      <c r="AO37" s="42"/>
      <c r="AV37" s="49"/>
      <c r="AY37" s="37" t="str">
        <f>IF(自定义调整栏!$E$5="O","海精灵","")</f>
        <v>海精灵</v>
      </c>
      <c r="AZ37" s="30"/>
      <c r="BA37" s="30"/>
      <c r="BB37" s="30"/>
      <c r="BC37" s="30"/>
      <c r="BD37" s="30"/>
      <c r="BE37" s="30"/>
      <c r="BF37" s="30"/>
      <c r="BG37" s="30"/>
      <c r="BH37" s="30"/>
      <c r="BI37" s="30" t="str">
        <f t="shared" ref="BI37:BO37" si="40">""</f>
        <v/>
      </c>
      <c r="BJ37" s="30" t="str">
        <f t="shared" si="40"/>
        <v/>
      </c>
      <c r="BK37" s="30" t="str">
        <f t="shared" si="40"/>
        <v/>
      </c>
      <c r="BL37" s="30" t="str">
        <f t="shared" si="40"/>
        <v/>
      </c>
      <c r="BM37" s="30" t="str">
        <f t="shared" si="40"/>
        <v/>
      </c>
      <c r="BN37" s="30" t="str">
        <f t="shared" si="40"/>
        <v/>
      </c>
      <c r="BO37" s="43" t="str">
        <f t="shared" si="40"/>
        <v/>
      </c>
      <c r="BP37" s="30"/>
      <c r="BQ37" s="44" t="str" cm="1">
        <f t="array" ref="BQ37">IFERROR(INDEX($AY$1:$AY$112,SMALL(IF($AY$1:$AY$112&lt;&gt;"",ROW($AY$1:$AY$112),4^8),ROW(37:37)))&amp;"","")</f>
        <v>海精灵</v>
      </c>
      <c r="BS37" s="30"/>
      <c r="BT37" s="30"/>
      <c r="BU37" s="30"/>
      <c r="BV37" s="30"/>
      <c r="BW37" s="30"/>
      <c r="BX37" s="30"/>
      <c r="BY37" s="30"/>
      <c r="BZ37" s="30"/>
      <c r="CA37" s="30"/>
      <c r="CB37" s="30"/>
      <c r="CC37" s="30"/>
    </row>
    <row r="38" spans="1:81" ht="14.45" customHeight="1" x14ac:dyDescent="0.15">
      <c r="A38" s="144" t="s">
        <v>3206</v>
      </c>
      <c r="B38" s="145">
        <v>17</v>
      </c>
      <c r="C38" s="145">
        <v>1</v>
      </c>
      <c r="D38" s="145">
        <v>3</v>
      </c>
      <c r="E38" s="31" t="s">
        <v>3231</v>
      </c>
      <c r="F38" s="31" t="s">
        <v>3254</v>
      </c>
      <c r="G38" s="31" t="s">
        <v>95</v>
      </c>
      <c r="H38" s="31" t="s">
        <v>709</v>
      </c>
      <c r="J38" s="839">
        <v>19</v>
      </c>
      <c r="K38" s="840" t="s">
        <v>3208</v>
      </c>
      <c r="L38" s="31" t="s">
        <v>3333</v>
      </c>
      <c r="M38" s="31" t="s">
        <v>3334</v>
      </c>
      <c r="N38" s="31" t="s">
        <v>3335</v>
      </c>
      <c r="O38" s="31" t="s">
        <v>3336</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V38" s="49"/>
      <c r="AY38" s="37" t="str">
        <f>IF(自定义调整栏!$E$5="O","影灵","")</f>
        <v>影灵</v>
      </c>
      <c r="AZ38" s="30"/>
      <c r="BA38" s="30"/>
      <c r="BB38" s="30"/>
      <c r="BC38" s="30"/>
      <c r="BD38" s="30"/>
      <c r="BE38" s="30"/>
      <c r="BF38" s="30"/>
      <c r="BG38" s="30"/>
      <c r="BH38" s="30"/>
      <c r="BI38" s="30" t="str">
        <f t="shared" ref="BI38:BO38" si="41">""</f>
        <v/>
      </c>
      <c r="BJ38" s="30" t="str">
        <f t="shared" si="41"/>
        <v/>
      </c>
      <c r="BK38" s="30" t="str">
        <f t="shared" si="41"/>
        <v/>
      </c>
      <c r="BL38" s="30" t="str">
        <f t="shared" si="41"/>
        <v/>
      </c>
      <c r="BM38" s="30" t="str">
        <f t="shared" si="41"/>
        <v/>
      </c>
      <c r="BN38" s="30" t="str">
        <f t="shared" si="41"/>
        <v/>
      </c>
      <c r="BO38" s="43" t="str">
        <f t="shared" si="41"/>
        <v/>
      </c>
      <c r="BP38" s="30"/>
      <c r="BQ38" s="44" t="str" cm="1">
        <f t="array" ref="BQ38">IFERROR(INDEX($AY$1:$AY$112,SMALL(IF($AY$1:$AY$112&lt;&gt;"",ROW($AY$1:$AY$112),4^8),ROW(38:38)))&amp;"","")</f>
        <v>影灵</v>
      </c>
      <c r="BS38" s="30"/>
      <c r="BT38" s="30"/>
      <c r="BU38" s="30"/>
      <c r="BV38" s="30"/>
      <c r="BW38" s="30"/>
      <c r="BX38" s="30"/>
      <c r="BY38" s="30"/>
      <c r="BZ38" s="30"/>
      <c r="CA38" s="30"/>
      <c r="CB38" s="30"/>
      <c r="CC38" s="30"/>
    </row>
    <row r="39" spans="1:81" ht="14.45" customHeight="1" x14ac:dyDescent="0.15">
      <c r="A39" s="144" t="s">
        <v>3207</v>
      </c>
      <c r="B39" s="145">
        <v>18</v>
      </c>
      <c r="C39" s="145">
        <v>1</v>
      </c>
      <c r="D39" s="145">
        <v>6</v>
      </c>
      <c r="E39" s="31" t="s">
        <v>3237</v>
      </c>
      <c r="F39" s="31" t="s">
        <v>707</v>
      </c>
      <c r="G39" s="31" t="s">
        <v>9451</v>
      </c>
      <c r="H39" s="31" t="s">
        <v>9460</v>
      </c>
      <c r="J39" s="839"/>
      <c r="K39" s="840"/>
      <c r="L39" s="31" t="s">
        <v>3337</v>
      </c>
      <c r="M39" s="31" t="s">
        <v>3338</v>
      </c>
      <c r="N39" s="31" t="s">
        <v>3339</v>
      </c>
      <c r="O39" s="31" t="s">
        <v>3340</v>
      </c>
      <c r="P39" s="42"/>
      <c r="Q39" s="42"/>
      <c r="R39" s="42"/>
      <c r="S39" s="42"/>
      <c r="T39" s="42"/>
      <c r="U39" s="42"/>
      <c r="V39" s="42"/>
      <c r="W39" s="42"/>
      <c r="X39" s="42"/>
      <c r="Y39" s="42"/>
      <c r="Z39" s="42"/>
      <c r="AA39" s="42"/>
      <c r="AB39" s="42"/>
      <c r="AC39" s="31"/>
      <c r="AD39" s="31"/>
      <c r="AE39" s="31"/>
      <c r="AF39" s="31"/>
      <c r="AG39" s="42"/>
      <c r="AH39" s="42"/>
      <c r="AI39" s="42"/>
      <c r="AJ39" s="42"/>
      <c r="AK39" s="42"/>
      <c r="AL39" s="42"/>
      <c r="AM39" s="42"/>
      <c r="AN39" s="42"/>
      <c r="AO39" s="42"/>
      <c r="AV39" s="49"/>
      <c r="AY39" s="37" t="str">
        <f>IF(自定义调整栏!$E$5="O","斑猫人","")</f>
        <v>斑猫人</v>
      </c>
      <c r="AZ39" s="30"/>
      <c r="BA39" s="30"/>
      <c r="BB39" s="30"/>
      <c r="BC39" s="30"/>
      <c r="BD39" s="30"/>
      <c r="BE39" s="30"/>
      <c r="BF39" s="30"/>
      <c r="BG39" s="30"/>
      <c r="BH39" s="30"/>
      <c r="BI39" s="30" t="str">
        <f t="shared" ref="BI39:BO39" si="42">""</f>
        <v/>
      </c>
      <c r="BJ39" s="30" t="str">
        <f t="shared" si="42"/>
        <v/>
      </c>
      <c r="BK39" s="30" t="str">
        <f t="shared" si="42"/>
        <v/>
      </c>
      <c r="BL39" s="30" t="str">
        <f t="shared" si="42"/>
        <v/>
      </c>
      <c r="BM39" s="30" t="str">
        <f t="shared" si="42"/>
        <v/>
      </c>
      <c r="BN39" s="30" t="str">
        <f t="shared" si="42"/>
        <v/>
      </c>
      <c r="BO39" s="43" t="str">
        <f t="shared" si="42"/>
        <v/>
      </c>
      <c r="BP39" s="30"/>
      <c r="BQ39" s="44" t="str" cm="1">
        <f t="array" ref="BQ39">IFERROR(INDEX($AY$1:$AY$112,SMALL(IF($AY$1:$AY$112&lt;&gt;"",ROW($AY$1:$AY$112),4^8),ROW(39:39)))&amp;"","")</f>
        <v>斑猫人</v>
      </c>
      <c r="BS39" s="30"/>
      <c r="BT39" s="30"/>
      <c r="BU39" s="30"/>
      <c r="BV39" s="30"/>
      <c r="BW39" s="30"/>
      <c r="BX39" s="30"/>
      <c r="BY39" s="30"/>
      <c r="BZ39" s="30"/>
      <c r="CA39" s="30"/>
      <c r="CB39" s="30"/>
      <c r="CC39" s="30"/>
    </row>
    <row r="40" spans="1:81" ht="14.45" customHeight="1" x14ac:dyDescent="0.15">
      <c r="A40" s="144" t="s">
        <v>3208</v>
      </c>
      <c r="B40" s="145">
        <v>19</v>
      </c>
      <c r="C40" s="145">
        <v>1</v>
      </c>
      <c r="D40" s="145">
        <v>4</v>
      </c>
      <c r="E40" s="31" t="s">
        <v>3238</v>
      </c>
      <c r="F40" s="31" t="s">
        <v>707</v>
      </c>
      <c r="G40" s="31" t="s">
        <v>95</v>
      </c>
      <c r="H40" s="31" t="s">
        <v>709</v>
      </c>
      <c r="J40" s="839">
        <v>20</v>
      </c>
      <c r="K40" s="840" t="s">
        <v>3210</v>
      </c>
      <c r="L40" s="42" t="s">
        <v>746</v>
      </c>
      <c r="M40" s="31" t="s">
        <v>3341</v>
      </c>
      <c r="N40" s="31" t="s">
        <v>3342</v>
      </c>
      <c r="O40" s="31" t="s">
        <v>3343</v>
      </c>
      <c r="P40" s="31"/>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V40" s="49"/>
      <c r="AY40" s="37" t="str">
        <f>IF(自定义调整栏!$E$5="O","龟人","")</f>
        <v>龟人</v>
      </c>
      <c r="AZ40" s="30"/>
      <c r="BA40" s="30"/>
      <c r="BB40" s="30"/>
      <c r="BC40" s="30"/>
      <c r="BD40" s="30"/>
      <c r="BE40" s="30"/>
      <c r="BF40" s="30"/>
      <c r="BG40" s="30"/>
      <c r="BH40" s="30"/>
      <c r="BI40" s="30" t="str">
        <f t="shared" ref="BI40:BO40" si="43">""</f>
        <v/>
      </c>
      <c r="BJ40" s="30" t="str">
        <f t="shared" si="43"/>
        <v/>
      </c>
      <c r="BK40" s="30" t="str">
        <f t="shared" si="43"/>
        <v/>
      </c>
      <c r="BL40" s="30" t="str">
        <f t="shared" si="43"/>
        <v/>
      </c>
      <c r="BM40" s="30" t="str">
        <f t="shared" si="43"/>
        <v/>
      </c>
      <c r="BN40" s="30" t="str">
        <f t="shared" si="43"/>
        <v/>
      </c>
      <c r="BO40" s="43" t="str">
        <f t="shared" si="43"/>
        <v/>
      </c>
      <c r="BP40" s="30"/>
      <c r="BQ40" s="44" t="str" cm="1">
        <f t="array" ref="BQ40">IFERROR(INDEX($AY$1:$AY$112,SMALL(IF($AY$1:$AY$112&lt;&gt;"",ROW($AY$1:$AY$112),4^8),ROW(40:40)))&amp;"","")</f>
        <v>龟人</v>
      </c>
      <c r="BS40" s="30"/>
      <c r="BT40" s="30"/>
      <c r="BU40" s="30"/>
      <c r="BV40" s="30"/>
      <c r="BW40" s="30"/>
      <c r="BX40" s="30"/>
      <c r="BY40" s="30"/>
      <c r="BZ40" s="30"/>
      <c r="CA40" s="30"/>
      <c r="CB40" s="30"/>
      <c r="CC40" s="30"/>
    </row>
    <row r="41" spans="1:81" ht="14.45" customHeight="1" x14ac:dyDescent="0.15">
      <c r="A41" s="144" t="s">
        <v>3210</v>
      </c>
      <c r="B41" s="145">
        <v>20</v>
      </c>
      <c r="C41" s="145">
        <v>1</v>
      </c>
      <c r="D41" s="145">
        <v>4</v>
      </c>
      <c r="E41" s="31" t="s">
        <v>3239</v>
      </c>
      <c r="F41" s="31" t="s">
        <v>707</v>
      </c>
      <c r="G41" s="31" t="s">
        <v>95</v>
      </c>
      <c r="H41" s="31" t="s">
        <v>9461</v>
      </c>
      <c r="J41" s="839"/>
      <c r="K41" s="840"/>
      <c r="L41" s="31" t="s">
        <v>754</v>
      </c>
      <c r="M41" s="31" t="s">
        <v>3344</v>
      </c>
      <c r="N41" s="31" t="s">
        <v>3345</v>
      </c>
      <c r="O41" s="31" t="s">
        <v>3346</v>
      </c>
      <c r="P41" s="31"/>
      <c r="Q41" s="42"/>
      <c r="R41" s="42"/>
      <c r="S41" s="42"/>
      <c r="T41" s="42"/>
      <c r="U41" s="42"/>
      <c r="V41" s="42"/>
      <c r="W41" s="42"/>
      <c r="X41" s="42"/>
      <c r="Y41" s="31"/>
      <c r="Z41" s="31"/>
      <c r="AA41" s="31"/>
      <c r="AB41" s="42"/>
      <c r="AC41" s="31"/>
      <c r="AD41" s="31"/>
      <c r="AE41" s="31"/>
      <c r="AF41" s="31"/>
      <c r="AG41" s="42"/>
      <c r="AH41" s="42"/>
      <c r="AI41" s="42"/>
      <c r="AJ41" s="42"/>
      <c r="AK41" s="42"/>
      <c r="AL41" s="42"/>
      <c r="AM41" s="42"/>
      <c r="AN41" s="42"/>
      <c r="AO41" s="42"/>
      <c r="AV41" s="49"/>
      <c r="AY41" s="37" t="str">
        <f>IF(自定义调整栏!$E$5="O","梭螺鱼人","")</f>
        <v>梭螺鱼人</v>
      </c>
      <c r="AZ41" s="30"/>
      <c r="BA41" s="30"/>
      <c r="BB41" s="30"/>
      <c r="BC41" s="30"/>
      <c r="BD41" s="30"/>
      <c r="BE41" s="30"/>
      <c r="BF41" s="30"/>
      <c r="BG41" s="30"/>
      <c r="BH41" s="30"/>
      <c r="BI41" s="30" t="str">
        <f t="shared" ref="BI41:BO41" si="44">""</f>
        <v/>
      </c>
      <c r="BJ41" s="30" t="str">
        <f t="shared" si="44"/>
        <v/>
      </c>
      <c r="BK41" s="30" t="str">
        <f t="shared" si="44"/>
        <v/>
      </c>
      <c r="BL41" s="30" t="str">
        <f t="shared" si="44"/>
        <v/>
      </c>
      <c r="BM41" s="30" t="str">
        <f t="shared" si="44"/>
        <v/>
      </c>
      <c r="BN41" s="30" t="str">
        <f t="shared" si="44"/>
        <v/>
      </c>
      <c r="BO41" s="43" t="str">
        <f t="shared" si="44"/>
        <v/>
      </c>
      <c r="BP41" s="30"/>
      <c r="BQ41" s="44" t="str" cm="1">
        <f t="array" ref="BQ41">IFERROR(INDEX($AY$1:$AY$112,SMALL(IF($AY$1:$AY$112&lt;&gt;"",ROW($AY$1:$AY$112),4^8),ROW(41:41)))&amp;"","")</f>
        <v>梭螺鱼人</v>
      </c>
      <c r="BS41" s="30"/>
      <c r="BT41" s="30"/>
      <c r="BU41" s="30"/>
      <c r="BV41" s="30"/>
      <c r="BW41" s="30"/>
      <c r="BX41" s="30"/>
      <c r="BY41" s="30"/>
      <c r="BZ41" s="30"/>
      <c r="CA41" s="30"/>
      <c r="CB41" s="30"/>
      <c r="CC41" s="30"/>
    </row>
    <row r="42" spans="1:81" ht="14.45" customHeight="1" x14ac:dyDescent="0.15">
      <c r="A42" s="144" t="s">
        <v>3211</v>
      </c>
      <c r="B42" s="145">
        <v>21</v>
      </c>
      <c r="C42" s="145">
        <v>1</v>
      </c>
      <c r="D42" s="145">
        <v>4</v>
      </c>
      <c r="E42" s="31" t="s">
        <v>3240</v>
      </c>
      <c r="F42" s="31" t="s">
        <v>707</v>
      </c>
      <c r="G42" s="31" t="s">
        <v>9450</v>
      </c>
      <c r="H42" s="31" t="s">
        <v>709</v>
      </c>
      <c r="J42" s="839">
        <v>21</v>
      </c>
      <c r="K42" s="840" t="s">
        <v>3211</v>
      </c>
      <c r="L42" s="31" t="s">
        <v>746</v>
      </c>
      <c r="M42" s="31" t="s">
        <v>3347</v>
      </c>
      <c r="N42" s="31" t="s">
        <v>3348</v>
      </c>
      <c r="O42" s="31" t="s">
        <v>3349</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V42" s="49"/>
      <c r="AY42" s="46" t="str">
        <f>IF(自定义调整栏!$E$5="O","原体蛇人","")</f>
        <v>原体蛇人</v>
      </c>
      <c r="AZ42" s="30"/>
      <c r="BA42" s="30"/>
      <c r="BB42" s="30"/>
      <c r="BC42" s="30"/>
      <c r="BD42" s="30"/>
      <c r="BE42" s="30"/>
      <c r="BF42" s="30"/>
      <c r="BG42" s="30"/>
      <c r="BH42" s="30"/>
      <c r="BI42" s="30" t="str">
        <f t="shared" ref="BI42:BO42" si="45">""</f>
        <v/>
      </c>
      <c r="BJ42" s="30" t="str">
        <f t="shared" si="45"/>
        <v/>
      </c>
      <c r="BK42" s="30" t="str">
        <f t="shared" si="45"/>
        <v/>
      </c>
      <c r="BL42" s="30" t="str">
        <f t="shared" si="45"/>
        <v/>
      </c>
      <c r="BM42" s="30" t="str">
        <f t="shared" si="45"/>
        <v/>
      </c>
      <c r="BN42" s="30" t="str">
        <f t="shared" si="45"/>
        <v/>
      </c>
      <c r="BO42" s="43" t="str">
        <f t="shared" si="45"/>
        <v/>
      </c>
      <c r="BP42" s="30"/>
      <c r="BQ42" s="44" t="str" cm="1">
        <f t="array" ref="BQ42">IFERROR(INDEX($AY$1:$AY$112,SMALL(IF($AY$1:$AY$112&lt;&gt;"",ROW($AY$1:$AY$112),4^8),ROW(42:42)))&amp;"","")</f>
        <v>原体蛇人</v>
      </c>
      <c r="BS42" s="30"/>
      <c r="BT42" s="30"/>
      <c r="BU42" s="30"/>
      <c r="BV42" s="30"/>
      <c r="BW42" s="30"/>
      <c r="BX42" s="30"/>
      <c r="BY42" s="30"/>
      <c r="BZ42" s="30"/>
      <c r="CA42" s="30"/>
      <c r="CB42" s="30"/>
      <c r="CC42" s="30"/>
    </row>
    <row r="43" spans="1:81" ht="14.45" customHeight="1" x14ac:dyDescent="0.15">
      <c r="A43" s="144" t="s">
        <v>3212</v>
      </c>
      <c r="B43" s="145">
        <v>22</v>
      </c>
      <c r="C43" s="145">
        <v>1</v>
      </c>
      <c r="D43" s="145">
        <v>5</v>
      </c>
      <c r="E43" s="31" t="s">
        <v>3241</v>
      </c>
      <c r="F43" s="31" t="s">
        <v>3255</v>
      </c>
      <c r="G43" s="31" t="s">
        <v>9452</v>
      </c>
      <c r="H43" s="31" t="s">
        <v>709</v>
      </c>
      <c r="J43" s="839"/>
      <c r="K43" s="840"/>
      <c r="L43" s="31" t="s">
        <v>754</v>
      </c>
      <c r="M43" s="31" t="s">
        <v>3350</v>
      </c>
      <c r="N43" s="31" t="s">
        <v>3351</v>
      </c>
      <c r="O43" s="31" t="s">
        <v>3352</v>
      </c>
      <c r="P43" s="42"/>
      <c r="Q43" s="42"/>
      <c r="R43" s="42"/>
      <c r="S43" s="42"/>
      <c r="T43" s="42"/>
      <c r="U43" s="42"/>
      <c r="V43" s="42"/>
      <c r="W43" s="42"/>
      <c r="X43" s="42"/>
      <c r="Y43" s="31"/>
      <c r="Z43" s="31"/>
      <c r="AA43" s="31"/>
      <c r="AB43" s="42"/>
      <c r="AC43" s="31"/>
      <c r="AD43" s="31"/>
      <c r="AE43" s="31"/>
      <c r="AF43" s="31"/>
      <c r="AG43" s="42"/>
      <c r="AH43" s="42"/>
      <c r="AI43" s="42"/>
      <c r="AJ43" s="42"/>
      <c r="AK43" s="42"/>
      <c r="AL43" s="42"/>
      <c r="AM43" s="42"/>
      <c r="AN43" s="42"/>
      <c r="AO43" s="42"/>
      <c r="AV43" s="49"/>
      <c r="AY43" s="46" t="str">
        <f>IF(自定义调整栏!$E$21="O","星界精灵","")</f>
        <v>星界精灵</v>
      </c>
      <c r="AZ43" s="30"/>
      <c r="BA43" s="30"/>
      <c r="BB43" s="30"/>
      <c r="BC43" s="30"/>
      <c r="BD43" s="30"/>
      <c r="BE43" s="30"/>
      <c r="BF43" s="30"/>
      <c r="BG43" s="30"/>
      <c r="BH43" s="30"/>
      <c r="BI43" s="30" t="str">
        <f t="shared" ref="BI43:BO43" si="46">""</f>
        <v/>
      </c>
      <c r="BJ43" s="30" t="str">
        <f t="shared" si="46"/>
        <v/>
      </c>
      <c r="BK43" s="30" t="str">
        <f t="shared" si="46"/>
        <v/>
      </c>
      <c r="BL43" s="30" t="str">
        <f t="shared" si="46"/>
        <v/>
      </c>
      <c r="BM43" s="30" t="str">
        <f t="shared" si="46"/>
        <v/>
      </c>
      <c r="BN43" s="30" t="str">
        <f t="shared" si="46"/>
        <v/>
      </c>
      <c r="BO43" s="43" t="str">
        <f t="shared" si="46"/>
        <v/>
      </c>
      <c r="BP43" s="30"/>
      <c r="BQ43" s="44" t="str" cm="1">
        <f t="array" ref="BQ43">IFERROR(INDEX($AY$1:$AY$112,SMALL(IF($AY$1:$AY$112&lt;&gt;"",ROW($AY$1:$AY$112),4^8),ROW(43:43)))&amp;"","")</f>
        <v>星界精灵</v>
      </c>
      <c r="BR43" s="30"/>
      <c r="BS43" s="30"/>
      <c r="BU43" s="30"/>
      <c r="BV43" s="30"/>
      <c r="BW43" s="30"/>
      <c r="BX43" s="30"/>
      <c r="BY43" s="30"/>
      <c r="BZ43" s="30"/>
      <c r="CA43" s="30"/>
      <c r="CB43" s="30"/>
      <c r="CC43" s="30"/>
    </row>
    <row r="44" spans="1:81" ht="14.45" customHeight="1" x14ac:dyDescent="0.15">
      <c r="A44" s="144" t="s">
        <v>3213</v>
      </c>
      <c r="B44" s="145">
        <v>23</v>
      </c>
      <c r="C44" s="145">
        <v>1</v>
      </c>
      <c r="D44" s="145">
        <v>2</v>
      </c>
      <c r="E44" s="31" t="s">
        <v>3242</v>
      </c>
      <c r="F44" s="31" t="s">
        <v>3256</v>
      </c>
      <c r="G44" s="31" t="s">
        <v>309</v>
      </c>
      <c r="H44" s="31" t="s">
        <v>709</v>
      </c>
      <c r="J44" s="839">
        <v>22</v>
      </c>
      <c r="K44" s="840" t="s">
        <v>3212</v>
      </c>
      <c r="L44" s="31" t="s">
        <v>746</v>
      </c>
      <c r="M44" s="31" t="s">
        <v>3324</v>
      </c>
      <c r="N44" s="31" t="s">
        <v>3353</v>
      </c>
      <c r="O44" s="31" t="s">
        <v>778</v>
      </c>
      <c r="P44" s="42" t="s">
        <v>779</v>
      </c>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V44" s="49"/>
      <c r="AY44" s="46" t="str">
        <f>IF(自定义调整栏!$E$21="O","自动侏儒","")</f>
        <v>自动侏儒</v>
      </c>
      <c r="AZ44" s="30" t="s">
        <v>155</v>
      </c>
      <c r="BA44" s="30" t="s">
        <v>155</v>
      </c>
      <c r="BB44" s="30" t="s">
        <v>155</v>
      </c>
      <c r="BC44" s="30" t="s">
        <v>155</v>
      </c>
      <c r="BD44" s="30" t="str">
        <f t="shared" ref="BD44:BO44" si="47">""</f>
        <v/>
      </c>
      <c r="BE44" s="30" t="str">
        <f t="shared" si="47"/>
        <v/>
      </c>
      <c r="BF44" s="30" t="str">
        <f t="shared" si="47"/>
        <v/>
      </c>
      <c r="BG44" s="30" t="str">
        <f t="shared" si="47"/>
        <v/>
      </c>
      <c r="BH44" s="30" t="str">
        <f t="shared" si="47"/>
        <v/>
      </c>
      <c r="BI44" s="30" t="str">
        <f t="shared" si="47"/>
        <v/>
      </c>
      <c r="BJ44" s="30" t="str">
        <f t="shared" si="47"/>
        <v/>
      </c>
      <c r="BK44" s="30" t="str">
        <f t="shared" si="47"/>
        <v/>
      </c>
      <c r="BL44" s="30" t="str">
        <f t="shared" si="47"/>
        <v/>
      </c>
      <c r="BM44" s="30" t="str">
        <f t="shared" si="47"/>
        <v/>
      </c>
      <c r="BN44" s="30" t="str">
        <f t="shared" si="47"/>
        <v/>
      </c>
      <c r="BO44" s="43" t="str">
        <f t="shared" si="47"/>
        <v/>
      </c>
      <c r="BP44" s="30"/>
      <c r="BQ44" s="44" t="str" cm="1">
        <f t="array" ref="BQ44">IFERROR(INDEX($AY$1:$AY$112,SMALL(IF($AY$1:$AY$112&lt;&gt;"",ROW($AY$1:$AY$112),4^8),ROW(44:44)))&amp;"","")</f>
        <v>自动侏儒</v>
      </c>
      <c r="BR44" s="30"/>
      <c r="BS44" s="30"/>
      <c r="BT44" s="30"/>
      <c r="BU44" s="30"/>
      <c r="BV44" s="30"/>
      <c r="BW44" s="30"/>
      <c r="BX44" s="30"/>
      <c r="BY44" s="30"/>
      <c r="BZ44" s="30"/>
      <c r="CA44" s="30"/>
      <c r="CB44" s="30"/>
      <c r="CC44" s="30"/>
    </row>
    <row r="45" spans="1:81" ht="14.45" customHeight="1" x14ac:dyDescent="0.15">
      <c r="A45" s="144" t="s">
        <v>3214</v>
      </c>
      <c r="B45" s="145">
        <v>24</v>
      </c>
      <c r="C45" s="145">
        <v>1</v>
      </c>
      <c r="D45" s="145">
        <v>4</v>
      </c>
      <c r="E45" s="31" t="s">
        <v>3243</v>
      </c>
      <c r="F45" s="31" t="s">
        <v>707</v>
      </c>
      <c r="G45" s="31" t="s">
        <v>95</v>
      </c>
      <c r="H45" s="31" t="s">
        <v>9462</v>
      </c>
      <c r="J45" s="839"/>
      <c r="K45" s="840"/>
      <c r="L45" s="31" t="s">
        <v>754</v>
      </c>
      <c r="M45" s="31" t="s">
        <v>3328</v>
      </c>
      <c r="N45" s="31" t="s">
        <v>3354</v>
      </c>
      <c r="O45" s="42" t="s">
        <v>3355</v>
      </c>
      <c r="P45" s="42" t="s">
        <v>3356</v>
      </c>
      <c r="Q45" s="42"/>
      <c r="R45" s="42"/>
      <c r="S45" s="42"/>
      <c r="T45" s="42"/>
      <c r="U45" s="42"/>
      <c r="V45" s="42"/>
      <c r="W45" s="42"/>
      <c r="X45" s="42"/>
      <c r="Y45" s="31"/>
      <c r="Z45" s="31"/>
      <c r="AA45" s="31"/>
      <c r="AB45" s="42"/>
      <c r="AC45" s="31"/>
      <c r="AD45" s="31"/>
      <c r="AE45" s="31"/>
      <c r="AF45" s="31"/>
      <c r="AG45" s="42"/>
      <c r="AH45" s="42"/>
      <c r="AI45" s="42"/>
      <c r="AJ45" s="42"/>
      <c r="AK45" s="42"/>
      <c r="AL45" s="42"/>
      <c r="AM45" s="42"/>
      <c r="AN45" s="42"/>
      <c r="AO45" s="42"/>
      <c r="AV45" s="49"/>
      <c r="AY45" s="46" t="str">
        <f>IF(自定义调整栏!$E$21="O","诘弗人","")</f>
        <v>诘弗人</v>
      </c>
      <c r="AZ45" s="31" t="s">
        <v>155</v>
      </c>
      <c r="BA45" s="31" t="s">
        <v>155</v>
      </c>
      <c r="BB45" s="31" t="s">
        <v>155</v>
      </c>
      <c r="BC45" s="31" t="s">
        <v>155</v>
      </c>
      <c r="BD45" s="31" t="str">
        <f t="shared" ref="BD45:BO45" si="48">""</f>
        <v/>
      </c>
      <c r="BE45" s="31" t="str">
        <f t="shared" si="48"/>
        <v/>
      </c>
      <c r="BF45" s="31" t="str">
        <f t="shared" si="48"/>
        <v/>
      </c>
      <c r="BG45" s="31" t="str">
        <f t="shared" si="48"/>
        <v/>
      </c>
      <c r="BH45" s="31" t="str">
        <f t="shared" si="48"/>
        <v/>
      </c>
      <c r="BI45" s="31" t="str">
        <f t="shared" si="48"/>
        <v/>
      </c>
      <c r="BJ45" s="31" t="str">
        <f t="shared" si="48"/>
        <v/>
      </c>
      <c r="BK45" s="31" t="str">
        <f t="shared" si="48"/>
        <v/>
      </c>
      <c r="BL45" s="31" t="str">
        <f t="shared" si="48"/>
        <v/>
      </c>
      <c r="BM45" s="31" t="str">
        <f t="shared" si="48"/>
        <v/>
      </c>
      <c r="BN45" s="31" t="str">
        <f t="shared" si="48"/>
        <v/>
      </c>
      <c r="BO45" s="43" t="str">
        <f t="shared" si="48"/>
        <v/>
      </c>
      <c r="BP45" s="30"/>
      <c r="BQ45" s="44" t="str" cm="1">
        <f t="array" ref="BQ45">IFERROR(INDEX($AY$1:$AY$112,SMALL(IF($AY$1:$AY$112&lt;&gt;"",ROW($AY$1:$AY$112),4^8),ROW(45:45)))&amp;"","")</f>
        <v>诘弗人</v>
      </c>
      <c r="BR45" s="30"/>
      <c r="BS45" s="30"/>
      <c r="BT45" s="30"/>
      <c r="BU45" s="30"/>
      <c r="BV45" s="30"/>
      <c r="BW45" s="30"/>
      <c r="BX45" s="30"/>
      <c r="BY45" s="30"/>
      <c r="BZ45" s="30"/>
      <c r="CA45" s="30"/>
      <c r="CB45" s="30"/>
      <c r="CC45" s="30"/>
    </row>
    <row r="46" spans="1:81" ht="14.45" customHeight="1" x14ac:dyDescent="0.15">
      <c r="A46" s="144" t="s">
        <v>3259</v>
      </c>
      <c r="B46" s="145">
        <v>25</v>
      </c>
      <c r="C46" s="145">
        <v>1</v>
      </c>
      <c r="D46" s="145">
        <v>1</v>
      </c>
      <c r="E46" s="31" t="s">
        <v>3244</v>
      </c>
      <c r="F46" s="31" t="s">
        <v>707</v>
      </c>
      <c r="G46" s="31" t="s">
        <v>9453</v>
      </c>
      <c r="H46" s="31" t="s">
        <v>9468</v>
      </c>
      <c r="J46" s="839">
        <v>23</v>
      </c>
      <c r="K46" s="840" t="s">
        <v>3213</v>
      </c>
      <c r="L46" s="31" t="s">
        <v>3357</v>
      </c>
      <c r="M46" s="31" t="s">
        <v>3315</v>
      </c>
      <c r="N46" s="31"/>
      <c r="O46" s="31"/>
      <c r="P46" s="31"/>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V46" s="49"/>
      <c r="AY46" s="46" t="str">
        <f>IF(自定义调整栏!$E$21="O","鼯猴人","")</f>
        <v>鼯猴人</v>
      </c>
      <c r="AZ46" s="31" t="s">
        <v>155</v>
      </c>
      <c r="BA46" s="31" t="s">
        <v>155</v>
      </c>
      <c r="BB46" s="31" t="s">
        <v>155</v>
      </c>
      <c r="BC46" s="31" t="s">
        <v>155</v>
      </c>
      <c r="BD46" s="31" t="str">
        <f t="shared" ref="BD46:BO46" si="49">""</f>
        <v/>
      </c>
      <c r="BE46" s="31" t="str">
        <f t="shared" si="49"/>
        <v/>
      </c>
      <c r="BF46" s="31" t="str">
        <f t="shared" si="49"/>
        <v/>
      </c>
      <c r="BG46" s="31" t="str">
        <f t="shared" si="49"/>
        <v/>
      </c>
      <c r="BH46" s="31" t="str">
        <f t="shared" si="49"/>
        <v/>
      </c>
      <c r="BI46" s="31" t="str">
        <f t="shared" si="49"/>
        <v/>
      </c>
      <c r="BJ46" s="31" t="str">
        <f t="shared" si="49"/>
        <v/>
      </c>
      <c r="BK46" s="31" t="str">
        <f t="shared" si="49"/>
        <v/>
      </c>
      <c r="BL46" s="31" t="str">
        <f t="shared" si="49"/>
        <v/>
      </c>
      <c r="BM46" s="31" t="str">
        <f t="shared" si="49"/>
        <v/>
      </c>
      <c r="BN46" s="31" t="str">
        <f t="shared" si="49"/>
        <v/>
      </c>
      <c r="BO46" s="43" t="str">
        <f t="shared" si="49"/>
        <v/>
      </c>
      <c r="BP46" s="30"/>
      <c r="BQ46" s="44" t="str" cm="1">
        <f t="array" ref="BQ46">IFERROR(INDEX($AY$1:$AY$112,SMALL(IF($AY$1:$AY$112&lt;&gt;"",ROW($AY$1:$AY$112),4^8),ROW(46:46)))&amp;"","")</f>
        <v>鼯猴人</v>
      </c>
      <c r="BR46" s="30"/>
      <c r="BS46" s="30"/>
      <c r="BT46" s="30"/>
      <c r="BU46" s="30"/>
      <c r="BV46" s="30"/>
      <c r="BW46" s="30"/>
      <c r="BX46" s="30"/>
      <c r="BY46" s="30"/>
      <c r="BZ46" s="30"/>
      <c r="CA46" s="30"/>
      <c r="CB46" s="30"/>
      <c r="CC46" s="30"/>
    </row>
    <row r="47" spans="1:81" ht="14.45" customHeight="1" x14ac:dyDescent="0.15">
      <c r="A47" s="121" t="s">
        <v>3260</v>
      </c>
      <c r="B47" s="30"/>
      <c r="C47" s="30">
        <v>2</v>
      </c>
      <c r="D47" s="30">
        <v>4</v>
      </c>
      <c r="E47" s="31" t="s">
        <v>3245</v>
      </c>
      <c r="F47" s="31" t="s">
        <v>3257</v>
      </c>
      <c r="G47" s="31" t="s">
        <v>9454</v>
      </c>
      <c r="H47" s="31" t="s">
        <v>709</v>
      </c>
      <c r="J47" s="839"/>
      <c r="K47" s="840"/>
      <c r="L47" s="31" t="s">
        <v>3358</v>
      </c>
      <c r="M47" s="31" t="s">
        <v>3359</v>
      </c>
      <c r="N47" s="31"/>
      <c r="O47" s="31"/>
      <c r="P47" s="31"/>
      <c r="Q47" s="42"/>
      <c r="R47" s="42"/>
      <c r="S47" s="42"/>
      <c r="T47" s="42"/>
      <c r="U47" s="42"/>
      <c r="V47" s="42"/>
      <c r="W47" s="42"/>
      <c r="X47" s="42"/>
      <c r="Y47" s="31"/>
      <c r="Z47" s="31"/>
      <c r="AA47" s="31"/>
      <c r="AB47" s="42"/>
      <c r="AC47" s="42"/>
      <c r="AD47" s="31"/>
      <c r="AE47" s="31"/>
      <c r="AF47" s="31"/>
      <c r="AG47" s="42"/>
      <c r="AH47" s="42"/>
      <c r="AI47" s="42"/>
      <c r="AJ47" s="42"/>
      <c r="AK47" s="42"/>
      <c r="AL47" s="42"/>
      <c r="AM47" s="42"/>
      <c r="AN47" s="42"/>
      <c r="AO47" s="42"/>
      <c r="AV47" s="49"/>
      <c r="AY47" s="46" t="str">
        <f>IF(自定义调整栏!$E$21="O","流浆体","")</f>
        <v>流浆体</v>
      </c>
      <c r="AZ47" s="30" t="s">
        <v>155</v>
      </c>
      <c r="BA47" s="30" t="s">
        <v>155</v>
      </c>
      <c r="BB47" s="30" t="s">
        <v>155</v>
      </c>
      <c r="BC47" s="30" t="s">
        <v>155</v>
      </c>
      <c r="BD47" s="30" t="str">
        <f t="shared" ref="BD47:BO47" si="50">""</f>
        <v/>
      </c>
      <c r="BE47" s="30" t="str">
        <f t="shared" si="50"/>
        <v/>
      </c>
      <c r="BF47" s="30" t="str">
        <f t="shared" si="50"/>
        <v/>
      </c>
      <c r="BG47" s="30" t="str">
        <f t="shared" si="50"/>
        <v/>
      </c>
      <c r="BH47" s="30" t="str">
        <f t="shared" si="50"/>
        <v/>
      </c>
      <c r="BI47" s="30" t="str">
        <f t="shared" si="50"/>
        <v/>
      </c>
      <c r="BJ47" s="30" t="str">
        <f t="shared" si="50"/>
        <v/>
      </c>
      <c r="BK47" s="30" t="str">
        <f t="shared" si="50"/>
        <v/>
      </c>
      <c r="BL47" s="30" t="str">
        <f t="shared" si="50"/>
        <v/>
      </c>
      <c r="BM47" s="30" t="str">
        <f t="shared" si="50"/>
        <v/>
      </c>
      <c r="BN47" s="30" t="str">
        <f t="shared" si="50"/>
        <v/>
      </c>
      <c r="BO47" s="43" t="str">
        <f t="shared" si="50"/>
        <v/>
      </c>
      <c r="BP47" s="30"/>
      <c r="BQ47" s="44" t="str" cm="1">
        <f t="array" ref="BQ47">IFERROR(INDEX($AY$1:$AY$112,SMALL(IF($AY$1:$AY$112&lt;&gt;"",ROW($AY$1:$AY$112),4^8),ROW(47:47)))&amp;"","")</f>
        <v>流浆体</v>
      </c>
      <c r="BR47" s="30"/>
      <c r="BS47" s="30"/>
      <c r="BT47" s="30"/>
      <c r="BU47" s="30"/>
      <c r="BV47" s="30"/>
      <c r="BW47" s="30"/>
      <c r="BX47" s="30"/>
      <c r="BY47" s="30"/>
      <c r="BZ47" s="30"/>
      <c r="CA47" s="30"/>
      <c r="CB47" s="30"/>
      <c r="CC47" s="30"/>
    </row>
    <row r="48" spans="1:81" ht="14.45" customHeight="1" x14ac:dyDescent="0.15">
      <c r="A48" s="121" t="s">
        <v>3261</v>
      </c>
      <c r="B48" s="30"/>
      <c r="C48" s="30">
        <v>5</v>
      </c>
      <c r="D48" s="30">
        <v>6</v>
      </c>
      <c r="E48" s="31" t="s">
        <v>3246</v>
      </c>
      <c r="F48" s="31" t="s">
        <v>3258</v>
      </c>
      <c r="G48" s="31" t="s">
        <v>9455</v>
      </c>
      <c r="H48" s="31" t="s">
        <v>709</v>
      </c>
      <c r="J48" s="839">
        <v>24</v>
      </c>
      <c r="K48" s="840" t="s">
        <v>3214</v>
      </c>
      <c r="L48" s="31" t="s">
        <v>3360</v>
      </c>
      <c r="M48" s="31" t="s">
        <v>3361</v>
      </c>
      <c r="N48" s="31" t="s">
        <v>795</v>
      </c>
      <c r="O48" s="31" t="s">
        <v>3362</v>
      </c>
      <c r="P48" s="31"/>
      <c r="Q48" s="31"/>
      <c r="R48" s="31"/>
      <c r="S48" s="31"/>
      <c r="T48" s="42"/>
      <c r="U48" s="42"/>
      <c r="V48" s="42"/>
      <c r="W48" s="42"/>
      <c r="X48" s="42"/>
      <c r="Y48" s="42"/>
      <c r="Z48" s="42"/>
      <c r="AA48" s="42"/>
      <c r="AB48" s="42"/>
      <c r="AC48" s="42"/>
      <c r="AD48" s="42"/>
      <c r="AE48" s="42"/>
      <c r="AF48" s="42"/>
      <c r="AG48" s="42"/>
      <c r="AH48" s="42"/>
      <c r="AI48" s="42"/>
      <c r="AJ48" s="42"/>
      <c r="AK48" s="42"/>
      <c r="AL48" s="42"/>
      <c r="AM48" s="42"/>
      <c r="AN48" s="42"/>
      <c r="AO48" s="42"/>
      <c r="AV48" s="49"/>
      <c r="AY48" s="46" t="str">
        <f>IF(自定义调整栏!$E$21="O","螳螂人","")</f>
        <v>螳螂人</v>
      </c>
      <c r="AZ48" s="30"/>
      <c r="BA48" s="30"/>
      <c r="BB48" s="30"/>
      <c r="BC48" s="30"/>
      <c r="BD48" s="30"/>
      <c r="BE48" s="30"/>
      <c r="BF48" s="30"/>
      <c r="BG48" s="30"/>
      <c r="BH48" s="30"/>
      <c r="BI48" s="30"/>
      <c r="BJ48" s="30"/>
      <c r="BK48" s="30"/>
      <c r="BL48" s="30"/>
      <c r="BM48" s="30"/>
      <c r="BN48" s="30"/>
      <c r="BO48" s="43"/>
      <c r="BP48" s="30"/>
      <c r="BQ48" s="44" t="str" cm="1">
        <f t="array" ref="BQ48">IFERROR(INDEX($AY$1:$AY$112,SMALL(IF($AY$1:$AY$112&lt;&gt;"",ROW($AY$1:$AY$112),4^8),ROW(48:48)))&amp;"","")</f>
        <v>螳螂人</v>
      </c>
      <c r="BR48" s="30"/>
      <c r="BS48" s="30"/>
      <c r="BT48" s="30"/>
      <c r="BU48" s="30"/>
      <c r="BV48" s="30"/>
      <c r="BW48" s="30"/>
      <c r="BX48" s="30"/>
      <c r="BY48" s="30"/>
      <c r="BZ48" s="30"/>
      <c r="CA48" s="30"/>
      <c r="CB48" s="30"/>
      <c r="CC48" s="30"/>
    </row>
    <row r="49" spans="1:81" ht="14.45" customHeight="1" x14ac:dyDescent="0.15">
      <c r="A49" s="121" t="s">
        <v>3262</v>
      </c>
      <c r="B49" s="30"/>
      <c r="C49" s="30">
        <v>7</v>
      </c>
      <c r="D49" s="30">
        <v>8</v>
      </c>
      <c r="E49" s="31" t="s">
        <v>10174</v>
      </c>
      <c r="F49" s="31" t="s">
        <v>707</v>
      </c>
      <c r="G49" s="31" t="s">
        <v>10177</v>
      </c>
      <c r="H49" s="31" t="s">
        <v>6980</v>
      </c>
      <c r="J49" s="839"/>
      <c r="K49" s="840"/>
      <c r="L49" s="31" t="s">
        <v>3363</v>
      </c>
      <c r="M49" s="31" t="s">
        <v>3364</v>
      </c>
      <c r="N49" s="31" t="s">
        <v>3330</v>
      </c>
      <c r="O49" s="31" t="s">
        <v>3365</v>
      </c>
      <c r="P49" s="31"/>
      <c r="Q49" s="31"/>
      <c r="R49" s="31"/>
      <c r="S49" s="31"/>
      <c r="T49" s="42"/>
      <c r="U49" s="42"/>
      <c r="V49" s="42"/>
      <c r="W49" s="42"/>
      <c r="X49" s="42"/>
      <c r="Y49" s="31"/>
      <c r="Z49" s="31"/>
      <c r="AA49" s="31"/>
      <c r="AB49" s="42"/>
      <c r="AC49" s="42"/>
      <c r="AD49" s="31"/>
      <c r="AE49" s="31"/>
      <c r="AF49" s="31"/>
      <c r="AG49" s="42"/>
      <c r="AH49" s="42"/>
      <c r="AI49" s="42"/>
      <c r="AJ49" s="42"/>
      <c r="AK49" s="42"/>
      <c r="AL49" s="42"/>
      <c r="AM49" s="42"/>
      <c r="AN49" s="42"/>
      <c r="AO49" s="42"/>
      <c r="AV49" s="49"/>
      <c r="AY49" s="250" t="str">
        <f>IF(自定义调整栏!$E$19="O","半血裔","")</f>
        <v>半血裔</v>
      </c>
      <c r="BO49" s="49"/>
      <c r="BP49" s="30"/>
      <c r="BQ49" s="44" t="str" cm="1">
        <f t="array" ref="BQ49">IFERROR(INDEX($AY$1:$AY$112,SMALL(IF($AY$1:$AY$112&lt;&gt;"",ROW($AY$1:$AY$112),4^8),ROW(49:49)))&amp;"","")</f>
        <v>半血裔</v>
      </c>
      <c r="BR49" s="30"/>
      <c r="BS49" s="30"/>
      <c r="BT49" s="30"/>
      <c r="BU49" s="30"/>
      <c r="BV49" s="30"/>
      <c r="BW49" s="30"/>
      <c r="BX49" s="30"/>
      <c r="BY49" s="30"/>
      <c r="BZ49" s="30"/>
      <c r="CA49" s="30"/>
      <c r="CB49" s="30"/>
      <c r="CC49" s="30"/>
    </row>
    <row r="50" spans="1:81" ht="14.45" customHeight="1" x14ac:dyDescent="0.15">
      <c r="A50" s="121" t="s">
        <v>3263</v>
      </c>
      <c r="B50" s="30"/>
      <c r="C50" s="30">
        <v>9</v>
      </c>
      <c r="D50" s="30">
        <v>11</v>
      </c>
      <c r="E50" s="31" t="s">
        <v>10175</v>
      </c>
      <c r="F50" s="31" t="s">
        <v>3248</v>
      </c>
      <c r="G50" s="31" t="s">
        <v>10177</v>
      </c>
      <c r="H50" s="31" t="s">
        <v>709</v>
      </c>
      <c r="J50" s="839">
        <v>25</v>
      </c>
      <c r="K50" s="840" t="s">
        <v>3215</v>
      </c>
      <c r="L50" s="31" t="s">
        <v>746</v>
      </c>
      <c r="M50" s="31" t="s">
        <v>3366</v>
      </c>
      <c r="N50" s="31" t="s">
        <v>3367</v>
      </c>
      <c r="O50" s="42" t="s">
        <v>3368</v>
      </c>
      <c r="P50" s="42" t="s">
        <v>3369</v>
      </c>
      <c r="Q50" s="42" t="s">
        <v>3370</v>
      </c>
      <c r="R50" s="42" t="s">
        <v>3371</v>
      </c>
      <c r="S50" s="42" t="s">
        <v>3372</v>
      </c>
      <c r="T50" s="42" t="s">
        <v>3373</v>
      </c>
      <c r="U50" s="42" t="s">
        <v>3374</v>
      </c>
      <c r="V50" s="42" t="s">
        <v>3375</v>
      </c>
      <c r="W50" s="42"/>
      <c r="X50" s="42"/>
      <c r="Y50" s="42"/>
      <c r="Z50" s="42"/>
      <c r="AA50" s="42"/>
      <c r="AB50" s="42"/>
      <c r="AC50" s="42"/>
      <c r="AD50" s="42"/>
      <c r="AE50" s="42"/>
      <c r="AF50" s="42"/>
      <c r="AG50" s="42"/>
      <c r="AH50" s="42"/>
      <c r="AI50" s="42"/>
      <c r="AJ50" s="42"/>
      <c r="AK50" s="42"/>
      <c r="AL50" s="42"/>
      <c r="AM50" s="42"/>
      <c r="AN50" s="42"/>
      <c r="AO50" s="42"/>
      <c r="AV50" s="49"/>
      <c r="AY50" s="250" t="str">
        <f>IF(自定义调整栏!$E$19="O","巫咒之子","")</f>
        <v>巫咒之子</v>
      </c>
      <c r="BO50" s="49"/>
      <c r="BP50" s="30"/>
      <c r="BQ50" s="44" t="str" cm="1">
        <f t="array" ref="BQ50">IFERROR(INDEX($AY$1:$AY$112,SMALL(IF($AY$1:$AY$112&lt;&gt;"",ROW($AY$1:$AY$112),4^8),ROW(50:50)))&amp;"","")</f>
        <v>巫咒之子</v>
      </c>
      <c r="BR50" s="30"/>
      <c r="BS50" s="30"/>
      <c r="BT50" s="30"/>
      <c r="BU50" s="30"/>
      <c r="BV50" s="30"/>
      <c r="BW50" s="30"/>
      <c r="BX50" s="30"/>
      <c r="BY50" s="30"/>
      <c r="BZ50" s="30"/>
      <c r="CA50" s="30"/>
      <c r="CB50" s="30"/>
      <c r="CC50" s="30"/>
    </row>
    <row r="51" spans="1:81" ht="14.45" customHeight="1" x14ac:dyDescent="0.15">
      <c r="A51" s="144" t="s">
        <v>3220</v>
      </c>
      <c r="B51" s="145">
        <v>26</v>
      </c>
      <c r="C51" s="30">
        <v>1</v>
      </c>
      <c r="D51" s="30">
        <v>3</v>
      </c>
      <c r="E51" s="31" t="s">
        <v>10176</v>
      </c>
      <c r="F51" s="31" t="s">
        <v>707</v>
      </c>
      <c r="G51" s="31" t="s">
        <v>10177</v>
      </c>
      <c r="H51" s="31" t="s">
        <v>709</v>
      </c>
      <c r="J51" s="839"/>
      <c r="K51" s="840"/>
      <c r="L51" s="31" t="s">
        <v>754</v>
      </c>
      <c r="M51" s="31" t="s">
        <v>3376</v>
      </c>
      <c r="N51" s="31" t="s">
        <v>3377</v>
      </c>
      <c r="O51" s="42" t="s">
        <v>3378</v>
      </c>
      <c r="P51" s="42" t="s">
        <v>3379</v>
      </c>
      <c r="Q51" s="42" t="s">
        <v>3380</v>
      </c>
      <c r="R51" s="42" t="s">
        <v>3381</v>
      </c>
      <c r="S51" s="42" t="s">
        <v>3382</v>
      </c>
      <c r="T51" s="42" t="s">
        <v>3383</v>
      </c>
      <c r="U51" s="42" t="s">
        <v>3384</v>
      </c>
      <c r="V51" s="42" t="s">
        <v>3385</v>
      </c>
      <c r="W51" s="42"/>
      <c r="X51" s="42"/>
      <c r="Y51" s="31"/>
      <c r="Z51" s="31"/>
      <c r="AA51" s="31"/>
      <c r="AB51" s="42"/>
      <c r="AC51" s="42"/>
      <c r="AD51" s="31"/>
      <c r="AE51" s="31"/>
      <c r="AF51" s="31"/>
      <c r="AG51" s="42"/>
      <c r="AH51" s="42"/>
      <c r="AI51" s="42"/>
      <c r="AJ51" s="42"/>
      <c r="AK51" s="42"/>
      <c r="AL51" s="42"/>
      <c r="AM51" s="42"/>
      <c r="AN51" s="42"/>
      <c r="AO51" s="42"/>
      <c r="AV51" s="49"/>
      <c r="AY51" s="250" t="str">
        <f>IF(自定义调整栏!$E$19="O","复生者","")</f>
        <v>复生者</v>
      </c>
      <c r="BO51" s="49"/>
      <c r="BP51" s="30"/>
      <c r="BQ51" s="44" t="str" cm="1">
        <f t="array" ref="BQ51">IFERROR(INDEX($AY$1:$AY$112,SMALL(IF($AY$1:$AY$112&lt;&gt;"",ROW($AY$1:$AY$112),4^8),ROW(51:51)))&amp;"","")</f>
        <v>复生者</v>
      </c>
      <c r="BR51" s="30"/>
      <c r="BS51" s="30"/>
      <c r="BT51" s="30"/>
      <c r="BU51" s="30"/>
      <c r="BV51" s="30"/>
      <c r="BW51" s="30"/>
      <c r="BX51" s="30"/>
      <c r="BY51" s="30"/>
      <c r="BZ51" s="30"/>
      <c r="CA51" s="30"/>
      <c r="CB51" s="30"/>
      <c r="CC51" s="30"/>
    </row>
    <row r="52" spans="1:81" ht="14.45" customHeight="1" x14ac:dyDescent="0.15">
      <c r="A52" s="144" t="s">
        <v>3221</v>
      </c>
      <c r="B52" s="145">
        <v>27</v>
      </c>
      <c r="C52" s="30">
        <v>1</v>
      </c>
      <c r="D52" s="30">
        <v>3</v>
      </c>
      <c r="E52" s="31" t="s">
        <v>6949</v>
      </c>
      <c r="F52" s="31" t="s">
        <v>6968</v>
      </c>
      <c r="G52" s="31" t="s">
        <v>6969</v>
      </c>
      <c r="H52" s="31" t="s">
        <v>2970</v>
      </c>
      <c r="J52" s="839">
        <v>26</v>
      </c>
      <c r="K52" s="840" t="s">
        <v>3220</v>
      </c>
      <c r="L52" s="31" t="s">
        <v>3386</v>
      </c>
      <c r="M52" s="31" t="s">
        <v>3387</v>
      </c>
      <c r="N52" s="42" t="s">
        <v>3388</v>
      </c>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V52" s="49"/>
      <c r="AY52" s="250" t="str">
        <f>IF(自定义调整栏!$E$34="O","匠偶","")</f>
        <v/>
      </c>
      <c r="AZ52" s="26" t="s">
        <v>6950</v>
      </c>
      <c r="BA52" s="26" t="s">
        <v>6951</v>
      </c>
      <c r="BB52" s="26" t="s">
        <v>6952</v>
      </c>
      <c r="BC52" s="30"/>
      <c r="BD52" s="30"/>
      <c r="BE52" s="30"/>
      <c r="BF52" s="30"/>
      <c r="BG52" s="30"/>
      <c r="BH52" s="30"/>
      <c r="BI52" s="30"/>
      <c r="BJ52" s="30"/>
      <c r="BK52" s="30"/>
      <c r="BL52" s="30"/>
      <c r="BM52" s="30"/>
      <c r="BN52" s="30"/>
      <c r="BO52" s="43"/>
      <c r="BP52" s="30"/>
      <c r="BQ52" s="44" t="str" cm="1">
        <f t="array" ref="BQ52">IFERROR(INDEX($AY$1:$AY$112,SMALL(IF($AY$1:$AY$112&lt;&gt;"",ROW($AY$1:$AY$112),4^8),ROW(52:52)))&amp;"","")</f>
        <v>洛温幻身灵</v>
      </c>
      <c r="BR52" s="30"/>
      <c r="BS52" s="30"/>
      <c r="BT52" s="30"/>
      <c r="BU52" s="30"/>
      <c r="BV52" s="30"/>
      <c r="BW52" s="30"/>
      <c r="BX52" s="30"/>
      <c r="BY52" s="30"/>
      <c r="BZ52" s="30"/>
      <c r="CA52" s="30"/>
      <c r="CB52" s="30"/>
      <c r="CC52" s="30"/>
    </row>
    <row r="53" spans="1:81" ht="14.45" customHeight="1" x14ac:dyDescent="0.15">
      <c r="A53" s="144" t="s">
        <v>3264</v>
      </c>
      <c r="B53" s="145">
        <v>28</v>
      </c>
      <c r="C53" s="30">
        <v>1</v>
      </c>
      <c r="D53" s="30">
        <v>4</v>
      </c>
      <c r="E53" s="31" t="s">
        <v>6954</v>
      </c>
      <c r="F53" s="31" t="s">
        <v>3247</v>
      </c>
      <c r="G53" s="31" t="s">
        <v>9426</v>
      </c>
      <c r="H53" s="31" t="s">
        <v>9463</v>
      </c>
      <c r="J53" s="839"/>
      <c r="K53" s="840"/>
      <c r="L53" s="31" t="s">
        <v>3389</v>
      </c>
      <c r="M53" s="31" t="s">
        <v>3390</v>
      </c>
      <c r="N53" s="42" t="s">
        <v>3391</v>
      </c>
      <c r="O53" s="42"/>
      <c r="P53" s="42"/>
      <c r="Q53" s="42"/>
      <c r="R53" s="42"/>
      <c r="S53" s="42"/>
      <c r="T53" s="42"/>
      <c r="U53" s="42"/>
      <c r="V53" s="42"/>
      <c r="W53" s="42"/>
      <c r="X53" s="42"/>
      <c r="Y53" s="42"/>
      <c r="Z53" s="42"/>
      <c r="AA53" s="42"/>
      <c r="AB53" s="42"/>
      <c r="AC53" s="42"/>
      <c r="AD53" s="42"/>
      <c r="AE53" s="31"/>
      <c r="AF53" s="31"/>
      <c r="AG53" s="42"/>
      <c r="AH53" s="42"/>
      <c r="AI53" s="42"/>
      <c r="AJ53" s="42"/>
      <c r="AK53" s="42"/>
      <c r="AL53" s="42"/>
      <c r="AM53" s="42"/>
      <c r="AN53" s="42"/>
      <c r="AO53" s="42"/>
      <c r="AV53" s="49"/>
      <c r="AY53" s="37" t="str">
        <f>IF(自定义调整栏!$E$34="O","曼德拉","")</f>
        <v/>
      </c>
      <c r="BO53" s="49"/>
      <c r="BP53" s="30"/>
      <c r="BQ53" s="44" t="str" cm="1">
        <f t="array" ref="BQ53">IFERROR(INDEX($AY$1:$AY$112,SMALL(IF($AY$1:$AY$112&lt;&gt;"",ROW($AY$1:$AY$112),4^8),ROW(53:53)))&amp;"","")</f>
        <v>波尬</v>
      </c>
      <c r="BR53" s="30"/>
      <c r="BS53" s="30"/>
      <c r="BT53" s="30"/>
      <c r="BU53" s="30"/>
      <c r="BV53" s="30"/>
      <c r="BW53" s="30"/>
      <c r="BX53" s="30"/>
      <c r="BY53" s="30"/>
      <c r="BZ53" s="30"/>
      <c r="CA53" s="30"/>
      <c r="CB53" s="30"/>
      <c r="CC53" s="30"/>
    </row>
    <row r="54" spans="1:81" ht="14.45" customHeight="1" x14ac:dyDescent="0.15">
      <c r="A54" s="144" t="s">
        <v>3223</v>
      </c>
      <c r="B54" s="145">
        <v>29</v>
      </c>
      <c r="C54" s="30">
        <v>1</v>
      </c>
      <c r="D54" s="30">
        <v>4</v>
      </c>
      <c r="E54" s="31" t="s">
        <v>6957</v>
      </c>
      <c r="F54" s="31" t="s">
        <v>3247</v>
      </c>
      <c r="G54" s="31" t="s">
        <v>9427</v>
      </c>
      <c r="H54" s="31" t="s">
        <v>9464</v>
      </c>
      <c r="I54" s="31"/>
      <c r="J54" s="839">
        <v>27</v>
      </c>
      <c r="K54" s="840" t="s">
        <v>3221</v>
      </c>
      <c r="L54" s="31" t="s">
        <v>3392</v>
      </c>
      <c r="M54" s="31" t="s">
        <v>3393</v>
      </c>
      <c r="N54" s="31" t="s">
        <v>3388</v>
      </c>
      <c r="O54" s="31"/>
      <c r="P54" s="42"/>
      <c r="Q54" s="42"/>
      <c r="R54" s="42"/>
      <c r="S54" s="42"/>
      <c r="T54" s="42"/>
      <c r="U54" s="42"/>
      <c r="V54" s="42"/>
      <c r="W54" s="42"/>
      <c r="X54" s="42"/>
      <c r="Y54" s="42"/>
      <c r="Z54" s="42"/>
      <c r="AA54" s="42"/>
      <c r="AB54" s="42"/>
      <c r="AC54" s="42"/>
      <c r="AD54" s="42"/>
      <c r="AE54" s="42"/>
      <c r="AF54" s="42"/>
      <c r="AG54" s="42"/>
      <c r="AH54" s="42"/>
      <c r="AI54" s="42"/>
      <c r="AJ54" s="42"/>
      <c r="AK54" s="31"/>
      <c r="AL54" s="42"/>
      <c r="AM54" s="42"/>
      <c r="AN54" s="42"/>
      <c r="AO54" s="42"/>
      <c r="AV54" s="49"/>
      <c r="AY54" s="37" t="str">
        <f>IF(自定义调整栏!$E$33="O","达良人","")</f>
        <v/>
      </c>
      <c r="AZ54" s="31" t="s">
        <v>6955</v>
      </c>
      <c r="BA54" s="31" t="s">
        <v>6956</v>
      </c>
      <c r="BO54" s="49"/>
      <c r="BQ54" s="44" t="str" cm="1">
        <f t="array" ref="BQ54">IFERROR(INDEX($AY$1:$AY$112,SMALL(IF($AY$1:$AY$112&lt;&gt;"",ROW($AY$1:$AY$112),4^8),ROW(54:54)))&amp;"","")</f>
        <v>霜身</v>
      </c>
    </row>
    <row r="55" spans="1:81" ht="14.45" customHeight="1" x14ac:dyDescent="0.15">
      <c r="A55" s="144" t="s">
        <v>3224</v>
      </c>
      <c r="B55" s="145">
        <v>30</v>
      </c>
      <c r="C55" s="30">
        <v>1</v>
      </c>
      <c r="D55" s="30">
        <v>4</v>
      </c>
      <c r="E55" s="31" t="s">
        <v>6964</v>
      </c>
      <c r="F55" s="31" t="s">
        <v>3247</v>
      </c>
      <c r="G55" s="31" t="s">
        <v>9428</v>
      </c>
      <c r="H55" s="31" t="s">
        <v>9465</v>
      </c>
      <c r="I55" s="31"/>
      <c r="J55" s="839"/>
      <c r="K55" s="840"/>
      <c r="L55" s="31" t="s">
        <v>3394</v>
      </c>
      <c r="M55" s="31" t="s">
        <v>3395</v>
      </c>
      <c r="N55" s="31" t="s">
        <v>3391</v>
      </c>
      <c r="O55" s="31"/>
      <c r="P55" s="42"/>
      <c r="Q55" s="42"/>
      <c r="R55" s="42"/>
      <c r="S55" s="42"/>
      <c r="T55" s="42"/>
      <c r="U55" s="42"/>
      <c r="V55" s="42"/>
      <c r="W55" s="42"/>
      <c r="X55" s="42"/>
      <c r="Y55" s="31"/>
      <c r="Z55" s="31"/>
      <c r="AA55" s="31"/>
      <c r="AB55" s="42"/>
      <c r="AC55" s="42"/>
      <c r="AD55" s="31"/>
      <c r="AE55" s="31"/>
      <c r="AF55" s="31"/>
      <c r="AG55" s="42"/>
      <c r="AH55" s="42"/>
      <c r="AI55" s="42"/>
      <c r="AJ55" s="42"/>
      <c r="AK55" s="42"/>
      <c r="AL55" s="42"/>
      <c r="AM55" s="31"/>
      <c r="AN55" s="31"/>
      <c r="AV55" s="49"/>
      <c r="AY55" s="37" t="str">
        <f>IF(自定义调整栏!$E$33="O","胧忆岛精灵","")</f>
        <v/>
      </c>
      <c r="AZ55" s="26" t="s">
        <v>6958</v>
      </c>
      <c r="BA55" s="26" t="s">
        <v>6959</v>
      </c>
      <c r="BB55" s="26" t="s">
        <v>6960</v>
      </c>
      <c r="BC55" s="26" t="s">
        <v>6961</v>
      </c>
      <c r="BD55" s="26" t="s">
        <v>6962</v>
      </c>
      <c r="BE55" s="26" t="s">
        <v>6963</v>
      </c>
      <c r="BO55" s="49"/>
      <c r="BQ55" s="44" t="str" cm="1">
        <f t="array" ref="BQ55">IFERROR(INDEX($AY$1:$AY$112,SMALL(IF($AY$1:$AY$112&lt;&gt;"",ROW($AY$1:$AY$112),4^8),ROW(55:55)))&amp;"","")</f>
        <v>炎身</v>
      </c>
    </row>
    <row r="56" spans="1:81" ht="14.45" customHeight="1" x14ac:dyDescent="0.15">
      <c r="A56" s="144" t="s">
        <v>3225</v>
      </c>
      <c r="B56" s="145">
        <v>31</v>
      </c>
      <c r="C56" s="30">
        <v>1</v>
      </c>
      <c r="D56" s="30">
        <v>3</v>
      </c>
      <c r="E56" s="26" t="s">
        <v>6965</v>
      </c>
      <c r="F56" s="31" t="s">
        <v>6971</v>
      </c>
      <c r="G56" s="31" t="s">
        <v>6972</v>
      </c>
      <c r="H56" s="31" t="s">
        <v>2970</v>
      </c>
      <c r="I56" s="31"/>
      <c r="J56" s="839">
        <v>28</v>
      </c>
      <c r="K56" s="840" t="s">
        <v>3222</v>
      </c>
      <c r="L56" s="31" t="s">
        <v>746</v>
      </c>
      <c r="M56" s="42" t="s">
        <v>3324</v>
      </c>
      <c r="N56" s="31" t="s">
        <v>3396</v>
      </c>
      <c r="O56" s="31" t="s">
        <v>3397</v>
      </c>
      <c r="P56" s="31"/>
      <c r="Q56" s="31"/>
      <c r="R56" s="31"/>
      <c r="S56" s="42"/>
      <c r="T56" s="42"/>
      <c r="U56" s="42"/>
      <c r="V56" s="42"/>
      <c r="W56" s="42"/>
      <c r="X56" s="42"/>
      <c r="Y56" s="42"/>
      <c r="Z56" s="42"/>
      <c r="AA56" s="42"/>
      <c r="AB56" s="42"/>
      <c r="AC56" s="42"/>
      <c r="AD56" s="42"/>
      <c r="AE56" s="42"/>
      <c r="AF56" s="42"/>
      <c r="AG56" s="42"/>
      <c r="AH56" s="42"/>
      <c r="AI56" s="42"/>
      <c r="AJ56" s="42"/>
      <c r="AK56" s="42"/>
      <c r="AL56" s="42"/>
      <c r="AM56" s="42"/>
      <c r="AN56" s="42"/>
      <c r="AO56" s="42"/>
      <c r="AV56" s="49"/>
      <c r="AY56" s="37" t="str">
        <f>IF(自定义调整栏!$E$33="O","鸣玉族","")</f>
        <v/>
      </c>
      <c r="BO56" s="49"/>
      <c r="BQ56" s="44" t="str" cm="1">
        <f t="array" ref="BQ56">IFERROR(INDEX($AY$1:$AY$112,SMALL(IF($AY$1:$AY$112&lt;&gt;"",ROW($AY$1:$AY$112),4^8),ROW(56:56)))&amp;"","")</f>
        <v>洁英</v>
      </c>
    </row>
    <row r="57" spans="1:81" ht="14.45" customHeight="1" x14ac:dyDescent="0.15">
      <c r="A57" s="144" t="s">
        <v>3226</v>
      </c>
      <c r="B57" s="145">
        <v>32</v>
      </c>
      <c r="C57" s="30">
        <v>1</v>
      </c>
      <c r="D57" s="30">
        <v>5</v>
      </c>
      <c r="E57" s="30" t="s">
        <v>6937</v>
      </c>
      <c r="F57" s="31" t="s">
        <v>3247</v>
      </c>
      <c r="G57" s="31" t="s">
        <v>6973</v>
      </c>
      <c r="H57" s="31" t="s">
        <v>6974</v>
      </c>
      <c r="I57" s="31"/>
      <c r="J57" s="839"/>
      <c r="K57" s="840"/>
      <c r="L57" s="31" t="s">
        <v>754</v>
      </c>
      <c r="M57" s="31" t="s">
        <v>3328</v>
      </c>
      <c r="N57" s="31" t="s">
        <v>3398</v>
      </c>
      <c r="O57" s="31" t="s">
        <v>3399</v>
      </c>
      <c r="P57" s="31"/>
      <c r="Q57" s="31"/>
      <c r="R57" s="31"/>
      <c r="S57" s="42"/>
      <c r="T57" s="42"/>
      <c r="U57" s="42"/>
      <c r="V57" s="42"/>
      <c r="W57" s="42"/>
      <c r="X57" s="42"/>
      <c r="Y57" s="31"/>
      <c r="Z57" s="31"/>
      <c r="AA57" s="31"/>
      <c r="AB57" s="42"/>
      <c r="AC57" s="42"/>
      <c r="AD57" s="31"/>
      <c r="AE57" s="31"/>
      <c r="AF57" s="31"/>
      <c r="AG57" s="42"/>
      <c r="AH57" s="42"/>
      <c r="AI57" s="42"/>
      <c r="AJ57" s="42"/>
      <c r="AK57" s="42"/>
      <c r="AL57" s="42"/>
      <c r="AM57" s="31"/>
      <c r="AN57" s="31"/>
      <c r="AV57" s="49"/>
      <c r="AY57" s="37" t="str">
        <f>IF(自定义调整栏!$E$35="O","诡木种","")</f>
        <v/>
      </c>
      <c r="BO57" s="49"/>
      <c r="BQ57" s="44" t="str" cm="1">
        <f t="array" ref="BQ57">IFERROR(INDEX($AY$1:$AY$112,SMALL(IF($AY$1:$AY$112&lt;&gt;"",ROW($AY$1:$AY$112),4^8),ROW(57:57)))&amp;"","")</f>
        <v>幻身灵</v>
      </c>
    </row>
    <row r="58" spans="1:81" ht="14.45" customHeight="1" x14ac:dyDescent="0.15">
      <c r="A58" s="144" t="s">
        <v>3227</v>
      </c>
      <c r="B58" s="145">
        <v>33</v>
      </c>
      <c r="C58" s="30">
        <v>1</v>
      </c>
      <c r="D58" s="30">
        <v>5</v>
      </c>
      <c r="E58" s="30" t="s">
        <v>6938</v>
      </c>
      <c r="F58" s="31" t="s">
        <v>3247</v>
      </c>
      <c r="G58" s="31" t="s">
        <v>6975</v>
      </c>
      <c r="H58" s="31" t="s">
        <v>6976</v>
      </c>
      <c r="I58" s="31"/>
      <c r="J58" s="839">
        <v>29</v>
      </c>
      <c r="K58" s="840" t="s">
        <v>3223</v>
      </c>
      <c r="L58" s="31" t="s">
        <v>3400</v>
      </c>
      <c r="M58" s="31" t="s">
        <v>3401</v>
      </c>
      <c r="N58" s="31" t="s">
        <v>3402</v>
      </c>
      <c r="O58" s="31" t="s">
        <v>3403</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V58" s="49"/>
      <c r="AY58" s="37" t="str">
        <f>IF(自定义调整栏!$E$35="O","苍羽种","")</f>
        <v/>
      </c>
      <c r="BO58" s="49"/>
      <c r="BQ58" s="44" t="str" cm="1">
        <f t="array" ref="BQ58">IFERROR(INDEX($AY$1:$AY$112,SMALL(IF($AY$1:$AY$112&lt;&gt;"",ROW($AY$1:$AY$112),4^8),ROW(58:58)))&amp;"","")</f>
        <v>离梦人</v>
      </c>
    </row>
    <row r="59" spans="1:81" ht="14.45" customHeight="1" x14ac:dyDescent="0.15">
      <c r="A59" s="144" t="s">
        <v>3228</v>
      </c>
      <c r="B59" s="145">
        <v>34</v>
      </c>
      <c r="C59" s="30">
        <v>1</v>
      </c>
      <c r="D59" s="30">
        <v>4</v>
      </c>
      <c r="E59" s="30" t="s">
        <v>6939</v>
      </c>
      <c r="F59" s="31" t="s">
        <v>6977</v>
      </c>
      <c r="G59" s="31" t="s">
        <v>6978</v>
      </c>
      <c r="H59" s="31" t="s">
        <v>2970</v>
      </c>
      <c r="I59" s="31"/>
      <c r="J59" s="839"/>
      <c r="K59" s="840"/>
      <c r="L59" s="31" t="s">
        <v>3404</v>
      </c>
      <c r="M59" s="31" t="s">
        <v>3355</v>
      </c>
      <c r="N59" s="31" t="s">
        <v>3405</v>
      </c>
      <c r="O59" s="31" t="s">
        <v>3406</v>
      </c>
      <c r="P59" s="42"/>
      <c r="Q59" s="42"/>
      <c r="R59" s="42"/>
      <c r="S59" s="42"/>
      <c r="T59" s="42"/>
      <c r="U59" s="42"/>
      <c r="V59" s="42"/>
      <c r="W59" s="42"/>
      <c r="X59" s="42"/>
      <c r="Y59" s="42"/>
      <c r="Z59" s="31"/>
      <c r="AA59" s="31"/>
      <c r="AB59" s="42"/>
      <c r="AC59" s="42"/>
      <c r="AD59" s="31"/>
      <c r="AE59" s="31"/>
      <c r="AF59" s="31"/>
      <c r="AG59" s="42"/>
      <c r="AH59" s="42"/>
      <c r="AI59" s="42"/>
      <c r="AJ59" s="42"/>
      <c r="AK59" s="42"/>
      <c r="AL59" s="42"/>
      <c r="AM59" s="31"/>
      <c r="AN59" s="31"/>
      <c r="AV59" s="49"/>
      <c r="AY59" s="37" t="str">
        <f>IF(自定义调整栏!$E$35="O","疫鼠种","")</f>
        <v/>
      </c>
      <c r="BO59" s="49"/>
      <c r="BQ59" s="44" t="str" cm="1">
        <f t="array" ref="BQ59">IFERROR(INDEX($AY$1:$AY$112,SMALL(IF($AY$1:$AY$112&lt;&gt;"",ROW($AY$1:$AY$112),4^8),ROW(59:59)))&amp;"","")</f>
        <v>科拉瓦</v>
      </c>
    </row>
    <row r="60" spans="1:81" ht="14.45" customHeight="1" x14ac:dyDescent="0.15">
      <c r="A60" s="144" t="s">
        <v>3229</v>
      </c>
      <c r="B60" s="145">
        <v>35</v>
      </c>
      <c r="C60" s="30">
        <v>1</v>
      </c>
      <c r="D60" s="30">
        <v>4</v>
      </c>
      <c r="E60" s="30" t="s">
        <v>6940</v>
      </c>
      <c r="F60" s="31" t="s">
        <v>3247</v>
      </c>
      <c r="G60" s="31" t="s">
        <v>6979</v>
      </c>
      <c r="H60" s="31" t="s">
        <v>6980</v>
      </c>
      <c r="I60" s="31"/>
      <c r="J60" s="839">
        <v>30</v>
      </c>
      <c r="K60" s="840" t="s">
        <v>3224</v>
      </c>
      <c r="L60" s="31" t="s">
        <v>746</v>
      </c>
      <c r="M60" s="31" t="s">
        <v>3324</v>
      </c>
      <c r="N60" s="42" t="s">
        <v>3407</v>
      </c>
      <c r="O60" s="42" t="s">
        <v>3408</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V60" s="49"/>
      <c r="AY60" s="37" t="str">
        <f>IF(自定义调整栏!$E$35="O","灰烬种","")</f>
        <v/>
      </c>
      <c r="BO60" s="49"/>
      <c r="BQ60" s="44" t="str" cm="1">
        <f t="array" ref="BQ60">IFERROR(INDEX($AY$1:$AY$112,SMALL(IF($AY$1:$AY$112&lt;&gt;"",ROW($AY$1:$AY$112),4^8),ROW(60:60)))&amp;"","")</f>
        <v>化兽者</v>
      </c>
    </row>
    <row r="61" spans="1:81" ht="14.45" customHeight="1" x14ac:dyDescent="0.15">
      <c r="A61" s="144" t="s">
        <v>3230</v>
      </c>
      <c r="B61" s="145">
        <v>36</v>
      </c>
      <c r="C61" s="30">
        <v>1</v>
      </c>
      <c r="D61" s="30">
        <v>6</v>
      </c>
      <c r="E61" s="30" t="s">
        <v>6941</v>
      </c>
      <c r="F61" s="31" t="s">
        <v>6968</v>
      </c>
      <c r="G61" s="31" t="s">
        <v>6973</v>
      </c>
      <c r="H61" s="31" t="s">
        <v>2970</v>
      </c>
      <c r="I61" s="31"/>
      <c r="J61" s="839"/>
      <c r="K61" s="840"/>
      <c r="L61" s="31" t="s">
        <v>754</v>
      </c>
      <c r="M61" s="31" t="s">
        <v>3328</v>
      </c>
      <c r="N61" s="42" t="s">
        <v>3409</v>
      </c>
      <c r="O61" s="42" t="s">
        <v>3410</v>
      </c>
      <c r="P61" s="42"/>
      <c r="Q61" s="42"/>
      <c r="R61" s="42"/>
      <c r="S61" s="42"/>
      <c r="T61" s="42"/>
      <c r="U61" s="42"/>
      <c r="V61" s="42"/>
      <c r="W61" s="42"/>
      <c r="X61" s="42"/>
      <c r="Y61" s="31"/>
      <c r="Z61" s="31"/>
      <c r="AA61" s="31"/>
      <c r="AB61" s="42"/>
      <c r="AC61" s="42"/>
      <c r="AD61" s="31"/>
      <c r="AE61" s="31"/>
      <c r="AF61" s="31"/>
      <c r="AG61" s="42"/>
      <c r="AH61" s="42"/>
      <c r="AI61" s="42"/>
      <c r="AJ61" s="42"/>
      <c r="AK61" s="42"/>
      <c r="AL61" s="42"/>
      <c r="AM61" s="31"/>
      <c r="AN61" s="31"/>
      <c r="AV61" s="49"/>
      <c r="AY61" s="37" t="str">
        <f>IF(自定义调整栏!$E$35="O","咒狼种","")</f>
        <v/>
      </c>
      <c r="BO61" s="49"/>
      <c r="BQ61" s="44" t="str" cm="1">
        <f t="array" ref="BQ61">IFERROR(INDEX($AY$1:$AY$112,SMALL(IF($AY$1:$AY$112&lt;&gt;"",ROW($AY$1:$AY$112),4^8),ROW(61:61)))&amp;"","")</f>
        <v>战俑</v>
      </c>
    </row>
    <row r="62" spans="1:81" ht="14.45" customHeight="1" x14ac:dyDescent="0.15">
      <c r="A62" s="144" t="s">
        <v>3231</v>
      </c>
      <c r="B62" s="145">
        <v>37</v>
      </c>
      <c r="C62" s="30">
        <v>1</v>
      </c>
      <c r="D62" s="30">
        <v>6</v>
      </c>
      <c r="E62" s="30" t="s">
        <v>6942</v>
      </c>
      <c r="F62" s="31" t="s">
        <v>6981</v>
      </c>
      <c r="G62" s="31" t="s">
        <v>6982</v>
      </c>
      <c r="H62" s="31" t="s">
        <v>2970</v>
      </c>
      <c r="I62" s="31"/>
      <c r="J62" s="839">
        <v>31</v>
      </c>
      <c r="K62" s="840" t="s">
        <v>3225</v>
      </c>
      <c r="L62" s="31" t="s">
        <v>3411</v>
      </c>
      <c r="M62" s="31" t="s">
        <v>3412</v>
      </c>
      <c r="N62" s="31" t="s">
        <v>3413</v>
      </c>
      <c r="O62" s="31"/>
      <c r="P62" s="31"/>
      <c r="Q62" s="31"/>
      <c r="R62" s="31"/>
      <c r="S62" s="31"/>
      <c r="T62" s="31"/>
      <c r="U62" s="31"/>
      <c r="V62" s="31"/>
      <c r="W62" s="31"/>
      <c r="X62" s="42"/>
      <c r="Y62" s="42"/>
      <c r="Z62" s="42"/>
      <c r="AA62" s="42"/>
      <c r="AB62" s="42"/>
      <c r="AC62" s="42"/>
      <c r="AD62" s="42"/>
      <c r="AE62" s="42"/>
      <c r="AF62" s="42"/>
      <c r="AG62" s="42"/>
      <c r="AH62" s="42"/>
      <c r="AI62" s="42"/>
      <c r="AJ62" s="42"/>
      <c r="AK62" s="42"/>
      <c r="AL62" s="42"/>
      <c r="AM62" s="42"/>
      <c r="AN62" s="42"/>
      <c r="AO62" s="42"/>
      <c r="AV62" s="49"/>
      <c r="AY62" s="37" t="str">
        <f>IF(自定义调整栏!$E$35="O","丰收种","")</f>
        <v/>
      </c>
      <c r="BO62" s="49"/>
      <c r="BQ62" s="44" t="str" cm="1">
        <f t="array" ref="BQ62">IFERROR(INDEX($AY$1:$AY$112,SMALL(IF($AY$1:$AY$112&lt;&gt;"",ROW($AY$1:$AY$112),4^8),ROW(62:62)))&amp;"","")</f>
        <v/>
      </c>
    </row>
    <row r="63" spans="1:81" ht="14.45" customHeight="1" x14ac:dyDescent="0.15">
      <c r="A63" s="144" t="s">
        <v>3237</v>
      </c>
      <c r="B63" s="145">
        <v>38</v>
      </c>
      <c r="C63" s="144">
        <v>1</v>
      </c>
      <c r="D63" s="144">
        <v>4</v>
      </c>
      <c r="E63" s="30" t="s">
        <v>6943</v>
      </c>
      <c r="F63" s="31" t="s">
        <v>3247</v>
      </c>
      <c r="G63" s="31" t="s">
        <v>6983</v>
      </c>
      <c r="H63" s="31" t="s">
        <v>6976</v>
      </c>
      <c r="I63" s="31"/>
      <c r="J63" s="839"/>
      <c r="K63" s="840"/>
      <c r="L63" s="31" t="s">
        <v>3414</v>
      </c>
      <c r="M63" s="31" t="s">
        <v>3415</v>
      </c>
      <c r="N63" s="31" t="s">
        <v>3416</v>
      </c>
      <c r="O63" s="31"/>
      <c r="P63" s="31"/>
      <c r="Q63" s="31"/>
      <c r="R63" s="31"/>
      <c r="S63" s="31"/>
      <c r="T63" s="31"/>
      <c r="U63" s="31"/>
      <c r="V63" s="31"/>
      <c r="W63" s="31"/>
      <c r="X63" s="42"/>
      <c r="Y63" s="31"/>
      <c r="Z63" s="31"/>
      <c r="AA63" s="31"/>
      <c r="AB63" s="42"/>
      <c r="AC63" s="42"/>
      <c r="AD63" s="31"/>
      <c r="AE63" s="31"/>
      <c r="AF63" s="31"/>
      <c r="AG63" s="42"/>
      <c r="AH63" s="42"/>
      <c r="AI63" s="42"/>
      <c r="AJ63" s="42"/>
      <c r="AK63" s="42"/>
      <c r="AL63" s="42"/>
      <c r="AM63" s="31"/>
      <c r="AN63" s="31"/>
      <c r="AV63" s="49"/>
      <c r="AY63" s="37" t="str">
        <f>IF(自定义调整栏!$E$35="O","绘骨种","")</f>
        <v/>
      </c>
      <c r="BO63" s="49"/>
      <c r="BQ63" s="44" t="str" cm="1">
        <f t="array" ref="BQ63">IFERROR(INDEX($AY$1:$AY$112,SMALL(IF($AY$1:$AY$112&lt;&gt;"",ROW($AY$1:$AY$112),4^8),ROW(63:63)))&amp;"","")</f>
        <v/>
      </c>
    </row>
    <row r="64" spans="1:81" ht="14.45" customHeight="1" x14ac:dyDescent="0.15">
      <c r="A64" s="144" t="s">
        <v>3238</v>
      </c>
      <c r="B64" s="145">
        <v>39</v>
      </c>
      <c r="C64" s="144">
        <v>1</v>
      </c>
      <c r="D64" s="144">
        <v>5</v>
      </c>
      <c r="E64" s="30" t="s">
        <v>6944</v>
      </c>
      <c r="F64" s="31" t="s">
        <v>3253</v>
      </c>
      <c r="G64" s="31" t="s">
        <v>6984</v>
      </c>
      <c r="H64" s="31" t="s">
        <v>6985</v>
      </c>
      <c r="I64" s="31"/>
      <c r="J64" s="839">
        <v>32</v>
      </c>
      <c r="K64" s="840" t="s">
        <v>3226</v>
      </c>
      <c r="L64" s="31" t="s">
        <v>746</v>
      </c>
      <c r="M64" s="31" t="s">
        <v>3417</v>
      </c>
      <c r="N64" s="31" t="s">
        <v>3418</v>
      </c>
      <c r="O64" s="31" t="s">
        <v>3419</v>
      </c>
      <c r="P64" s="31" t="s">
        <v>541</v>
      </c>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V64" s="49"/>
      <c r="AY64" s="37" t="str">
        <f>IF(自定义调整栏!$E$35="O","丝虫种","")</f>
        <v/>
      </c>
      <c r="BO64" s="49"/>
      <c r="BQ64" s="44" t="str" cm="1">
        <f t="array" ref="BQ64">IFERROR(INDEX($AY$1:$AY$112,SMALL(IF($AY$1:$AY$112&lt;&gt;"",ROW($AY$1:$AY$112),4^8),ROW(64:64)))&amp;"","")</f>
        <v/>
      </c>
    </row>
    <row r="65" spans="1:69" ht="14.45" customHeight="1" x14ac:dyDescent="0.15">
      <c r="A65" s="146" t="s">
        <v>3239</v>
      </c>
      <c r="B65" s="145">
        <v>40</v>
      </c>
      <c r="C65" s="144">
        <v>1</v>
      </c>
      <c r="D65" s="144">
        <v>5</v>
      </c>
      <c r="E65" s="30" t="s">
        <v>6945</v>
      </c>
      <c r="F65" s="31" t="s">
        <v>6968</v>
      </c>
      <c r="G65" s="31" t="s">
        <v>6986</v>
      </c>
      <c r="H65" s="31" t="s">
        <v>6987</v>
      </c>
      <c r="I65" s="31"/>
      <c r="J65" s="839"/>
      <c r="K65" s="840"/>
      <c r="L65" s="31" t="s">
        <v>754</v>
      </c>
      <c r="M65" s="31" t="s">
        <v>3420</v>
      </c>
      <c r="N65" s="31" t="s">
        <v>3421</v>
      </c>
      <c r="O65" s="31" t="s">
        <v>3422</v>
      </c>
      <c r="P65" s="31" t="s">
        <v>3423</v>
      </c>
      <c r="Q65" s="42"/>
      <c r="R65" s="31"/>
      <c r="S65" s="42"/>
      <c r="T65" s="42"/>
      <c r="U65" s="42"/>
      <c r="V65" s="42"/>
      <c r="W65" s="42"/>
      <c r="X65" s="42"/>
      <c r="Y65" s="42"/>
      <c r="Z65" s="42"/>
      <c r="AA65" s="42"/>
      <c r="AB65" s="42"/>
      <c r="AC65" s="42"/>
      <c r="AD65" s="31"/>
      <c r="AE65" s="31"/>
      <c r="AF65" s="31"/>
      <c r="AG65" s="42"/>
      <c r="AH65" s="42"/>
      <c r="AI65" s="42"/>
      <c r="AJ65" s="42"/>
      <c r="AK65" s="42"/>
      <c r="AL65" s="42"/>
      <c r="AM65" s="31"/>
      <c r="AN65" s="31"/>
      <c r="AV65" s="49"/>
      <c r="AY65" s="37" t="str">
        <f>IF(自定义调整栏!$E$35="O","深潜种","")</f>
        <v/>
      </c>
      <c r="BO65" s="49"/>
      <c r="BQ65" s="44" t="str" cm="1">
        <f t="array" ref="BQ65">IFERROR(INDEX($AY$1:$AY$112,SMALL(IF($AY$1:$AY$112&lt;&gt;"",ROW($AY$1:$AY$112),4^8),ROW(65:65)))&amp;"","")</f>
        <v/>
      </c>
    </row>
    <row r="66" spans="1:69" ht="14.45" customHeight="1" x14ac:dyDescent="0.15">
      <c r="A66" s="146" t="s">
        <v>3240</v>
      </c>
      <c r="B66" s="145">
        <v>41</v>
      </c>
      <c r="C66" s="144">
        <v>1</v>
      </c>
      <c r="D66" s="144">
        <v>4</v>
      </c>
      <c r="E66" s="30" t="s">
        <v>6946</v>
      </c>
      <c r="F66" s="31" t="s">
        <v>6968</v>
      </c>
      <c r="G66" s="31" t="s">
        <v>6988</v>
      </c>
      <c r="H66" s="31" t="s">
        <v>2970</v>
      </c>
      <c r="I66" s="31"/>
      <c r="J66" s="839">
        <v>33</v>
      </c>
      <c r="K66" s="840" t="s">
        <v>3227</v>
      </c>
      <c r="L66" s="31" t="s">
        <v>3424</v>
      </c>
      <c r="M66" s="31" t="s">
        <v>3425</v>
      </c>
      <c r="N66" s="31" t="s">
        <v>3426</v>
      </c>
      <c r="O66" s="31" t="s">
        <v>3271</v>
      </c>
      <c r="P66" s="42" t="s">
        <v>3427</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V66" s="49"/>
      <c r="AY66" s="37" t="str">
        <f>IF(自定义调整栏!$E$35="O","石像种","")</f>
        <v/>
      </c>
      <c r="BO66" s="49"/>
      <c r="BQ66" s="44" t="str" cm="1">
        <f t="array" ref="BQ66">IFERROR(INDEX($AY$1:$AY$112,SMALL(IF($AY$1:$AY$112&lt;&gt;"",ROW($AY$1:$AY$112),4^8),ROW(66:66)))&amp;"","")</f>
        <v/>
      </c>
    </row>
    <row r="67" spans="1:69" ht="14.45" customHeight="1" x14ac:dyDescent="0.15">
      <c r="A67" s="144" t="s">
        <v>3241</v>
      </c>
      <c r="B67" s="145">
        <v>42</v>
      </c>
      <c r="C67" s="146">
        <v>1</v>
      </c>
      <c r="D67" s="146">
        <v>6</v>
      </c>
      <c r="E67" s="30" t="s">
        <v>6947</v>
      </c>
      <c r="F67" s="31" t="s">
        <v>6981</v>
      </c>
      <c r="G67" s="31" t="s">
        <v>6982</v>
      </c>
      <c r="H67" s="31" t="s">
        <v>2970</v>
      </c>
      <c r="I67" s="31"/>
      <c r="J67" s="839"/>
      <c r="K67" s="840"/>
      <c r="L67" s="31" t="s">
        <v>3428</v>
      </c>
      <c r="M67" s="31" t="s">
        <v>3429</v>
      </c>
      <c r="N67" s="31" t="s">
        <v>3430</v>
      </c>
      <c r="O67" s="31" t="s">
        <v>3431</v>
      </c>
      <c r="P67" s="42" t="s">
        <v>3432</v>
      </c>
      <c r="Q67" s="42"/>
      <c r="R67" s="42"/>
      <c r="S67" s="42"/>
      <c r="T67" s="42"/>
      <c r="U67" s="42"/>
      <c r="V67" s="42"/>
      <c r="W67" s="42"/>
      <c r="X67" s="42"/>
      <c r="Y67" s="42"/>
      <c r="Z67" s="42"/>
      <c r="AA67" s="42"/>
      <c r="AB67" s="42"/>
      <c r="AC67" s="42"/>
      <c r="AD67" s="31"/>
      <c r="AE67" s="31"/>
      <c r="AF67" s="31"/>
      <c r="AG67" s="42"/>
      <c r="AH67" s="42"/>
      <c r="AI67" s="42"/>
      <c r="AJ67" s="42"/>
      <c r="AK67" s="42"/>
      <c r="AL67" s="42"/>
      <c r="AM67" s="31"/>
      <c r="AN67" s="31"/>
      <c r="AV67" s="49"/>
      <c r="AY67" s="37" t="str">
        <f>IF(自定义调整栏!$E$35="O","线偶种","")</f>
        <v/>
      </c>
      <c r="BO67" s="49"/>
      <c r="BQ67" s="44" t="str" cm="1">
        <f t="array" ref="BQ67">IFERROR(INDEX($AY$1:$AY$112,SMALL(IF($AY$1:$AY$112&lt;&gt;"",ROW($AY$1:$AY$112),4^8),ROW(67:67)))&amp;"","")</f>
        <v/>
      </c>
    </row>
    <row r="68" spans="1:69" ht="14.45" customHeight="1" x14ac:dyDescent="0.15">
      <c r="A68" s="144" t="s">
        <v>3242</v>
      </c>
      <c r="B68" s="145">
        <v>43</v>
      </c>
      <c r="C68" s="146">
        <v>1</v>
      </c>
      <c r="D68" s="146">
        <v>6</v>
      </c>
      <c r="E68" s="31" t="s">
        <v>6948</v>
      </c>
      <c r="F68" s="31" t="s">
        <v>6989</v>
      </c>
      <c r="G68" s="31" t="s">
        <v>6990</v>
      </c>
      <c r="H68" s="31" t="s">
        <v>2970</v>
      </c>
      <c r="I68" s="31"/>
      <c r="J68" s="839">
        <v>34</v>
      </c>
      <c r="K68" s="840" t="s">
        <v>3228</v>
      </c>
      <c r="L68" s="31" t="s">
        <v>3433</v>
      </c>
      <c r="M68" s="31" t="s">
        <v>3434</v>
      </c>
      <c r="N68" s="31" t="s">
        <v>3435</v>
      </c>
      <c r="O68" s="31" t="s">
        <v>3436</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V68" s="49"/>
      <c r="AY68" s="37" t="str">
        <f>IF(自定义调整栏!$E$35="O","霜墓种","")</f>
        <v/>
      </c>
      <c r="BO68" s="49"/>
      <c r="BQ68" s="44" t="str" cm="1">
        <f t="array" ref="BQ68">IFERROR(INDEX($AY$1:$AY$112,SMALL(IF($AY$1:$AY$112&lt;&gt;"",ROW($AY$1:$AY$112),4^8),ROW(68:68)))&amp;"","")</f>
        <v/>
      </c>
    </row>
    <row r="69" spans="1:69" ht="14.45" customHeight="1" x14ac:dyDescent="0.15">
      <c r="A69" s="144" t="s">
        <v>3243</v>
      </c>
      <c r="B69" s="145">
        <v>44</v>
      </c>
      <c r="C69" s="146">
        <v>1</v>
      </c>
      <c r="D69" s="146">
        <v>3</v>
      </c>
      <c r="E69" s="31" t="s">
        <v>8638</v>
      </c>
      <c r="F69" s="31" t="s">
        <v>6968</v>
      </c>
      <c r="G69" s="31" t="s">
        <v>9429</v>
      </c>
      <c r="H69" s="31" t="s">
        <v>8640</v>
      </c>
      <c r="I69" s="31"/>
      <c r="J69" s="839"/>
      <c r="K69" s="840"/>
      <c r="L69" s="31" t="s">
        <v>3437</v>
      </c>
      <c r="M69" s="31" t="s">
        <v>3438</v>
      </c>
      <c r="N69" s="31" t="s">
        <v>3439</v>
      </c>
      <c r="O69" s="31" t="s">
        <v>3440</v>
      </c>
      <c r="P69" s="42"/>
      <c r="Q69" s="42"/>
      <c r="R69" s="42"/>
      <c r="S69" s="42"/>
      <c r="T69" s="42"/>
      <c r="U69" s="42"/>
      <c r="V69" s="42"/>
      <c r="W69" s="42"/>
      <c r="X69" s="42"/>
      <c r="Y69" s="42"/>
      <c r="Z69" s="42"/>
      <c r="AA69" s="42"/>
      <c r="AB69" s="42"/>
      <c r="AC69" s="42"/>
      <c r="AD69" s="31"/>
      <c r="AE69" s="31"/>
      <c r="AF69" s="31"/>
      <c r="AG69" s="42"/>
      <c r="AH69" s="42"/>
      <c r="AI69" s="42"/>
      <c r="AJ69" s="42"/>
      <c r="AK69" s="42"/>
      <c r="AL69" s="42"/>
      <c r="AM69" s="31"/>
      <c r="AN69" s="31"/>
      <c r="AV69" s="49"/>
      <c r="AY69" s="37" t="str">
        <f>IF(自定义调整栏!$E$35="O","沼泽种","")</f>
        <v/>
      </c>
      <c r="BO69" s="49"/>
      <c r="BQ69" s="44" t="str" cm="1">
        <f t="array" ref="BQ69">IFERROR(INDEX($AY$1:$AY$112,SMALL(IF($AY$1:$AY$112&lt;&gt;"",ROW($AY$1:$AY$112),4^8),ROW(69:69)))&amp;"","")</f>
        <v/>
      </c>
    </row>
    <row r="70" spans="1:69" ht="14.45" customHeight="1" x14ac:dyDescent="0.15">
      <c r="A70" s="144" t="s">
        <v>3244</v>
      </c>
      <c r="B70" s="145">
        <v>45</v>
      </c>
      <c r="C70" s="146">
        <v>1</v>
      </c>
      <c r="D70" s="146">
        <v>3</v>
      </c>
      <c r="E70" s="31" t="s">
        <v>8639</v>
      </c>
      <c r="F70" s="31" t="s">
        <v>3247</v>
      </c>
      <c r="G70" s="31" t="s">
        <v>9430</v>
      </c>
      <c r="H70" s="31" t="s">
        <v>2970</v>
      </c>
      <c r="I70" s="31"/>
      <c r="J70" s="839">
        <v>35</v>
      </c>
      <c r="K70" s="840" t="s">
        <v>3229</v>
      </c>
      <c r="L70" s="31" t="s">
        <v>3441</v>
      </c>
      <c r="M70" s="31" t="s">
        <v>3442</v>
      </c>
      <c r="N70" s="31" t="s">
        <v>3443</v>
      </c>
      <c r="O70" s="31" t="s">
        <v>3444</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V70" s="49"/>
      <c r="AY70" s="37" t="str">
        <f>IF(自定义调整栏!$E$27="O","枉替之子","")</f>
        <v/>
      </c>
      <c r="BO70" s="49"/>
      <c r="BQ70" s="44" t="str" cm="1">
        <f t="array" ref="BQ70">IFERROR(INDEX($AY$1:$AY$112,SMALL(IF($AY$1:$AY$112&lt;&gt;"",ROW($AY$1:$AY$112),4^8),ROW(70:70)))&amp;"","")</f>
        <v/>
      </c>
    </row>
    <row r="71" spans="1:69" ht="14.45" customHeight="1" x14ac:dyDescent="0.15">
      <c r="A71" s="144" t="s">
        <v>3245</v>
      </c>
      <c r="B71" s="145">
        <v>46</v>
      </c>
      <c r="C71" s="146">
        <v>1</v>
      </c>
      <c r="D71" s="146">
        <v>5</v>
      </c>
      <c r="E71" s="31" t="s">
        <v>8881</v>
      </c>
      <c r="F71" s="31" t="s">
        <v>3247</v>
      </c>
      <c r="G71" s="31" t="s">
        <v>9431</v>
      </c>
      <c r="H71" s="31" t="s">
        <v>2970</v>
      </c>
      <c r="I71" s="31"/>
      <c r="J71" s="839"/>
      <c r="K71" s="840"/>
      <c r="L71" s="31" t="s">
        <v>3445</v>
      </c>
      <c r="M71" s="31" t="s">
        <v>3446</v>
      </c>
      <c r="N71" s="31" t="s">
        <v>3447</v>
      </c>
      <c r="O71" s="31" t="s">
        <v>3448</v>
      </c>
      <c r="P71" s="42"/>
      <c r="Q71" s="42"/>
      <c r="R71" s="42"/>
      <c r="S71" s="42"/>
      <c r="T71" s="42"/>
      <c r="U71" s="42"/>
      <c r="V71" s="42"/>
      <c r="W71" s="42"/>
      <c r="X71" s="42"/>
      <c r="Y71" s="42"/>
      <c r="Z71" s="42"/>
      <c r="AA71" s="42"/>
      <c r="AB71" s="42"/>
      <c r="AC71" s="42"/>
      <c r="AD71" s="42"/>
      <c r="AE71" s="42"/>
      <c r="AF71" s="42"/>
      <c r="AG71" s="42"/>
      <c r="AH71" s="42"/>
      <c r="AI71" s="42"/>
      <c r="AJ71" s="42"/>
      <c r="AK71" s="42"/>
      <c r="AL71" s="42"/>
      <c r="AM71" s="31"/>
      <c r="AN71" s="31"/>
      <c r="AV71" s="49"/>
      <c r="AY71" s="37" t="str">
        <f>IF(自定义调整栏!$E$27="O","无形之灵","")</f>
        <v/>
      </c>
      <c r="BO71" s="49"/>
      <c r="BQ71" s="44" t="str" cm="1">
        <f t="array" ref="BQ71">IFERROR(INDEX($AY$1:$AY$112,SMALL(IF($AY$1:$AY$112&lt;&gt;"",ROW($AY$1:$AY$112),4^8),ROW(71:71)))&amp;"","")</f>
        <v/>
      </c>
    </row>
    <row r="72" spans="1:69" ht="14.45" customHeight="1" x14ac:dyDescent="0.15">
      <c r="A72" s="144" t="s">
        <v>3246</v>
      </c>
      <c r="B72" s="145">
        <v>47</v>
      </c>
      <c r="C72" s="146">
        <v>1</v>
      </c>
      <c r="D72" s="146">
        <v>5</v>
      </c>
      <c r="E72" s="31" t="s">
        <v>8882</v>
      </c>
      <c r="F72" s="31" t="s">
        <v>3247</v>
      </c>
      <c r="G72" s="31" t="s">
        <v>9432</v>
      </c>
      <c r="H72" s="31" t="s">
        <v>2970</v>
      </c>
      <c r="I72" s="31"/>
      <c r="J72" s="839">
        <v>36</v>
      </c>
      <c r="K72" s="840" t="s">
        <v>3230</v>
      </c>
      <c r="L72" s="42" t="s">
        <v>3449</v>
      </c>
      <c r="M72" s="42" t="s">
        <v>746</v>
      </c>
      <c r="N72" s="42" t="s">
        <v>3324</v>
      </c>
      <c r="O72" s="42" t="s">
        <v>3450</v>
      </c>
      <c r="P72" s="42" t="s">
        <v>778</v>
      </c>
      <c r="Q72" s="42" t="s">
        <v>779</v>
      </c>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V72" s="49"/>
      <c r="AY72" s="37" t="str">
        <f>IF(自定义调整栏!$E$29="O","鸦族","")</f>
        <v/>
      </c>
      <c r="AZ72" s="26" t="s">
        <v>8899</v>
      </c>
      <c r="BA72" s="26" t="s">
        <v>8900</v>
      </c>
      <c r="BO72" s="49"/>
      <c r="BQ72" s="44" t="str" cm="1">
        <f t="array" ref="BQ72">IFERROR(INDEX($AY$1:$AY$112,SMALL(IF($AY$1:$AY$112&lt;&gt;"",ROW($AY$1:$AY$112),4^8),ROW(72:72)))&amp;"","")</f>
        <v/>
      </c>
    </row>
    <row r="73" spans="1:69" ht="14.45" customHeight="1" x14ac:dyDescent="0.15">
      <c r="A73" s="145" t="s">
        <v>6949</v>
      </c>
      <c r="B73" s="145">
        <v>48</v>
      </c>
      <c r="C73" s="145">
        <v>1</v>
      </c>
      <c r="D73" s="145">
        <v>4</v>
      </c>
      <c r="E73" s="31" t="s">
        <v>8883</v>
      </c>
      <c r="F73" s="31" t="s">
        <v>3247</v>
      </c>
      <c r="G73" s="31" t="s">
        <v>9433</v>
      </c>
      <c r="H73" s="31" t="s">
        <v>8640</v>
      </c>
      <c r="I73" s="31"/>
      <c r="J73" s="839"/>
      <c r="K73" s="840"/>
      <c r="L73" s="42" t="s">
        <v>3451</v>
      </c>
      <c r="M73" s="42" t="s">
        <v>754</v>
      </c>
      <c r="N73" s="42" t="s">
        <v>3328</v>
      </c>
      <c r="O73" s="42" t="s">
        <v>3452</v>
      </c>
      <c r="P73" s="42" t="s">
        <v>3355</v>
      </c>
      <c r="Q73" s="42" t="s">
        <v>3453</v>
      </c>
      <c r="R73" s="42"/>
      <c r="S73" s="42"/>
      <c r="T73" s="42"/>
      <c r="U73" s="42"/>
      <c r="V73" s="42"/>
      <c r="W73" s="42"/>
      <c r="X73" s="42"/>
      <c r="Y73" s="42"/>
      <c r="Z73" s="42"/>
      <c r="AA73" s="42"/>
      <c r="AB73" s="42"/>
      <c r="AC73" s="42"/>
      <c r="AD73" s="42"/>
      <c r="AE73" s="42"/>
      <c r="AF73" s="42"/>
      <c r="AG73" s="42"/>
      <c r="AH73" s="42"/>
      <c r="AI73" s="42"/>
      <c r="AJ73" s="42"/>
      <c r="AK73" s="42"/>
      <c r="AL73" s="42"/>
      <c r="AM73" s="31"/>
      <c r="AN73" s="31"/>
      <c r="AV73" s="49"/>
      <c r="AY73" s="37" t="str">
        <f>IF(自定义调整栏!$E$29="O","雉族","")</f>
        <v/>
      </c>
      <c r="AZ73" s="31" t="s">
        <v>8901</v>
      </c>
      <c r="BA73" s="31" t="s">
        <v>8902</v>
      </c>
      <c r="BO73" s="49"/>
      <c r="BQ73" s="44" t="str" cm="1">
        <f t="array" ref="BQ73">IFERROR(INDEX($AY$1:$AY$112,SMALL(IF($AY$1:$AY$112&lt;&gt;"",ROW($AY$1:$AY$112),4^8),ROW(73:73)))&amp;"","")</f>
        <v/>
      </c>
    </row>
    <row r="74" spans="1:69" ht="14.45" customHeight="1" x14ac:dyDescent="0.15">
      <c r="A74" s="26" t="s">
        <v>6950</v>
      </c>
      <c r="B74" s="30"/>
      <c r="C74" s="30">
        <v>5</v>
      </c>
      <c r="D74" s="30">
        <v>5</v>
      </c>
      <c r="E74" s="31" t="s">
        <v>8884</v>
      </c>
      <c r="F74" s="31" t="s">
        <v>3247</v>
      </c>
      <c r="G74" s="31" t="s">
        <v>9434</v>
      </c>
      <c r="H74" s="31" t="s">
        <v>8640</v>
      </c>
      <c r="I74" s="31"/>
      <c r="J74" s="839">
        <v>37</v>
      </c>
      <c r="K74" s="840" t="s">
        <v>3231</v>
      </c>
      <c r="L74" s="42" t="s">
        <v>3454</v>
      </c>
      <c r="M74" s="42" t="s">
        <v>746</v>
      </c>
      <c r="N74" s="42" t="s">
        <v>3324</v>
      </c>
      <c r="O74" s="42" t="s">
        <v>778</v>
      </c>
      <c r="P74" s="42" t="s">
        <v>3455</v>
      </c>
      <c r="Q74" s="42" t="s">
        <v>779</v>
      </c>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V74" s="49"/>
      <c r="AY74" s="37" t="str">
        <f>IF(自定义调整栏!$E$29="O","鸽族","")</f>
        <v/>
      </c>
      <c r="AZ74" s="31" t="s">
        <v>8903</v>
      </c>
      <c r="BA74" s="31" t="s">
        <v>8904</v>
      </c>
      <c r="BO74" s="49"/>
      <c r="BQ74" s="44" t="str" cm="1">
        <f t="array" ref="BQ74">IFERROR(INDEX($AY$1:$AY$112,SMALL(IF($AY$1:$AY$112&lt;&gt;"",ROW($AY$1:$AY$112),4^8),ROW(74:74)))&amp;"","")</f>
        <v/>
      </c>
    </row>
    <row r="75" spans="1:69" ht="14.45" customHeight="1" x14ac:dyDescent="0.15">
      <c r="A75" s="26" t="s">
        <v>6951</v>
      </c>
      <c r="B75" s="30"/>
      <c r="C75" s="30">
        <v>6</v>
      </c>
      <c r="D75" s="30">
        <v>6</v>
      </c>
      <c r="E75" s="31" t="s">
        <v>8885</v>
      </c>
      <c r="F75" s="31" t="s">
        <v>3247</v>
      </c>
      <c r="G75" s="31" t="s">
        <v>9435</v>
      </c>
      <c r="H75" s="31" t="s">
        <v>2970</v>
      </c>
      <c r="I75" s="31"/>
      <c r="J75" s="839"/>
      <c r="K75" s="840"/>
      <c r="L75" s="31" t="s">
        <v>3456</v>
      </c>
      <c r="M75" s="31" t="s">
        <v>754</v>
      </c>
      <c r="N75" s="42" t="s">
        <v>3328</v>
      </c>
      <c r="O75" s="42" t="s">
        <v>3355</v>
      </c>
      <c r="P75" s="42" t="s">
        <v>3457</v>
      </c>
      <c r="Q75" s="42" t="s">
        <v>3453</v>
      </c>
      <c r="R75" s="42"/>
      <c r="S75" s="42"/>
      <c r="T75" s="42"/>
      <c r="U75" s="42"/>
      <c r="V75" s="42"/>
      <c r="W75" s="42"/>
      <c r="X75" s="42"/>
      <c r="Y75" s="42"/>
      <c r="Z75" s="42"/>
      <c r="AA75" s="42"/>
      <c r="AB75" s="42"/>
      <c r="AC75" s="42"/>
      <c r="AD75" s="42"/>
      <c r="AE75" s="42"/>
      <c r="AF75" s="42"/>
      <c r="AG75" s="42"/>
      <c r="AH75" s="42"/>
      <c r="AI75" s="42"/>
      <c r="AJ75" s="42"/>
      <c r="AK75" s="42"/>
      <c r="AL75" s="42"/>
      <c r="AM75" s="31"/>
      <c r="AN75" s="31"/>
      <c r="AV75" s="49"/>
      <c r="AY75" s="37" t="str">
        <f>IF(自定义调整栏!$E$29="O","隼族","")</f>
        <v/>
      </c>
      <c r="AZ75" s="31" t="s">
        <v>8905</v>
      </c>
      <c r="BA75" s="31" t="s">
        <v>8906</v>
      </c>
      <c r="BO75" s="49"/>
      <c r="BQ75" s="44" t="str" cm="1">
        <f t="array" ref="BQ75">IFERROR(INDEX($AY$1:$AY$112,SMALL(IF($AY$1:$AY$112&lt;&gt;"",ROW($AY$1:$AY$112),4^8),ROW(75:75)))&amp;"","")</f>
        <v/>
      </c>
    </row>
    <row r="76" spans="1:69" ht="14.45" customHeight="1" x14ac:dyDescent="0.15">
      <c r="A76" s="26" t="s">
        <v>6952</v>
      </c>
      <c r="B76" s="30"/>
      <c r="C76" s="30">
        <v>7</v>
      </c>
      <c r="D76" s="30">
        <v>7</v>
      </c>
      <c r="E76" s="31" t="s">
        <v>8886</v>
      </c>
      <c r="F76" s="31" t="s">
        <v>3247</v>
      </c>
      <c r="G76" s="31" t="s">
        <v>9436</v>
      </c>
      <c r="H76" s="31" t="s">
        <v>2970</v>
      </c>
      <c r="I76" s="31"/>
      <c r="J76" s="839">
        <v>38</v>
      </c>
      <c r="K76" s="840" t="s">
        <v>3237</v>
      </c>
      <c r="L76" s="42" t="s">
        <v>3459</v>
      </c>
      <c r="M76" s="42" t="s">
        <v>3460</v>
      </c>
      <c r="N76" s="42" t="s">
        <v>746</v>
      </c>
      <c r="O76" s="42" t="s">
        <v>3461</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V76" s="49"/>
      <c r="AY76" s="37" t="str">
        <f>IF(自定义调整栏!$E$29="O","鸮族","")</f>
        <v/>
      </c>
      <c r="AZ76" s="31" t="s">
        <v>8907</v>
      </c>
      <c r="BA76" s="31" t="s">
        <v>8908</v>
      </c>
      <c r="BO76" s="49"/>
      <c r="BQ76" s="44" t="str" cm="1">
        <f t="array" ref="BQ76">IFERROR(INDEX($AY$1:$AY$112,SMALL(IF($AY$1:$AY$112&lt;&gt;"",ROW($AY$1:$AY$112),4^8),ROW(76:76)))&amp;"","")</f>
        <v/>
      </c>
    </row>
    <row r="77" spans="1:69" ht="14.45" customHeight="1" x14ac:dyDescent="0.15">
      <c r="A77" s="145" t="s">
        <v>6953</v>
      </c>
      <c r="B77" s="145">
        <v>49</v>
      </c>
      <c r="C77" s="145">
        <v>1</v>
      </c>
      <c r="D77" s="145">
        <v>4</v>
      </c>
      <c r="E77" s="31" t="s">
        <v>8887</v>
      </c>
      <c r="F77" s="31" t="s">
        <v>3247</v>
      </c>
      <c r="G77" s="31" t="s">
        <v>9437</v>
      </c>
      <c r="H77" s="31" t="s">
        <v>8640</v>
      </c>
      <c r="I77" s="31"/>
      <c r="J77" s="839"/>
      <c r="K77" s="840"/>
      <c r="L77" s="42" t="s">
        <v>3462</v>
      </c>
      <c r="M77" s="42" t="s">
        <v>3463</v>
      </c>
      <c r="N77" s="42" t="s">
        <v>754</v>
      </c>
      <c r="O77" s="42" t="s">
        <v>3464</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V77" s="49"/>
      <c r="AY77" s="37" t="str">
        <f>IF(自定义调整栏!$E$29="O","鹿族","")</f>
        <v/>
      </c>
      <c r="AZ77" s="31" t="s">
        <v>8909</v>
      </c>
      <c r="BA77" s="31" t="s">
        <v>8910</v>
      </c>
      <c r="BO77" s="49"/>
      <c r="BQ77" s="44" t="str" cm="1">
        <f t="array" ref="BQ77">IFERROR(INDEX($AY$1:$AY$112,SMALL(IF($AY$1:$AY$112&lt;&gt;"",ROW($AY$1:$AY$112),4^8),ROW(77:77)))&amp;"","")</f>
        <v/>
      </c>
    </row>
    <row r="78" spans="1:69" ht="14.45" customHeight="1" x14ac:dyDescent="0.15">
      <c r="A78" s="145" t="s">
        <v>6954</v>
      </c>
      <c r="B78" s="145">
        <v>50</v>
      </c>
      <c r="C78" s="145">
        <v>1</v>
      </c>
      <c r="D78" s="145">
        <v>4</v>
      </c>
      <c r="E78" s="31" t="s">
        <v>8888</v>
      </c>
      <c r="F78" s="31" t="s">
        <v>3247</v>
      </c>
      <c r="G78" s="31" t="s">
        <v>9438</v>
      </c>
      <c r="H78" s="31" t="s">
        <v>2970</v>
      </c>
      <c r="I78" s="31"/>
      <c r="J78" s="839">
        <v>39</v>
      </c>
      <c r="K78" s="840" t="s">
        <v>3238</v>
      </c>
      <c r="L78" s="42" t="s">
        <v>3465</v>
      </c>
      <c r="M78" s="42" t="s">
        <v>3425</v>
      </c>
      <c r="N78" s="42" t="s">
        <v>3271</v>
      </c>
      <c r="O78" s="42" t="s">
        <v>3427</v>
      </c>
      <c r="P78" s="42" t="s">
        <v>3466</v>
      </c>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V78" s="49"/>
      <c r="AY78" s="37" t="str">
        <f>IF(自定义调整栏!$E$29="O","猬族","")</f>
        <v/>
      </c>
      <c r="BO78" s="49"/>
      <c r="BQ78" s="44" t="str" cm="1">
        <f t="array" ref="BQ78">IFERROR(INDEX($AY$1:$AY$112,SMALL(IF($AY$1:$AY$112&lt;&gt;"",ROW($AY$1:$AY$112),4^8),ROW(78:78)))&amp;"","")</f>
        <v/>
      </c>
    </row>
    <row r="79" spans="1:69" ht="14.45" customHeight="1" x14ac:dyDescent="0.15">
      <c r="A79" s="26" t="s">
        <v>6955</v>
      </c>
      <c r="B79" s="30"/>
      <c r="C79" s="30">
        <v>5</v>
      </c>
      <c r="D79" s="30">
        <v>5</v>
      </c>
      <c r="E79" s="31" t="s">
        <v>8889</v>
      </c>
      <c r="F79" s="31" t="s">
        <v>3247</v>
      </c>
      <c r="G79" s="31" t="s">
        <v>9439</v>
      </c>
      <c r="H79" s="31" t="s">
        <v>2970</v>
      </c>
      <c r="I79" s="31"/>
      <c r="J79" s="839"/>
      <c r="K79" s="840"/>
      <c r="L79" s="42" t="s">
        <v>3467</v>
      </c>
      <c r="M79" s="42" t="s">
        <v>3468</v>
      </c>
      <c r="N79" s="42" t="s">
        <v>3469</v>
      </c>
      <c r="O79" s="42" t="s">
        <v>3470</v>
      </c>
      <c r="P79" s="42" t="s">
        <v>3471</v>
      </c>
      <c r="Q79" s="42"/>
      <c r="R79" s="42"/>
      <c r="S79" s="42"/>
      <c r="T79" s="42"/>
      <c r="U79" s="42"/>
      <c r="V79" s="42"/>
      <c r="W79" s="42"/>
      <c r="X79" s="42"/>
      <c r="Y79" s="42"/>
      <c r="Z79" s="42"/>
      <c r="AA79" s="42"/>
      <c r="AB79" s="42"/>
      <c r="AC79" s="42"/>
      <c r="AD79" s="42"/>
      <c r="AE79" s="42"/>
      <c r="AF79" s="42"/>
      <c r="AG79" s="42"/>
      <c r="AH79" s="42"/>
      <c r="AI79" s="42"/>
      <c r="AJ79" s="42"/>
      <c r="AK79" s="42"/>
      <c r="AL79" s="42"/>
      <c r="AM79" s="31"/>
      <c r="AN79" s="31"/>
      <c r="AV79" s="49"/>
      <c r="AY79" s="37" t="str">
        <f>IF(自定义调整栏!$E$29="O","跳鼠族","")</f>
        <v/>
      </c>
      <c r="BO79" s="49"/>
      <c r="BQ79" s="44" t="str" cm="1">
        <f t="array" ref="BQ79">IFERROR(INDEX($AY$1:$AY$112,SMALL(IF($AY$1:$AY$112&lt;&gt;"",ROW($AY$1:$AY$112),4^8),ROW(79:79)))&amp;"","")</f>
        <v/>
      </c>
    </row>
    <row r="80" spans="1:69" ht="14.45" customHeight="1" x14ac:dyDescent="0.15">
      <c r="A80" s="26" t="s">
        <v>6956</v>
      </c>
      <c r="B80" s="30"/>
      <c r="C80" s="30">
        <v>6</v>
      </c>
      <c r="D80" s="30">
        <v>6</v>
      </c>
      <c r="E80" s="31" t="s">
        <v>8890</v>
      </c>
      <c r="F80" s="31" t="s">
        <v>3247</v>
      </c>
      <c r="G80" s="31" t="s">
        <v>9440</v>
      </c>
      <c r="H80" s="31" t="s">
        <v>2970</v>
      </c>
      <c r="I80" s="31"/>
      <c r="J80" s="839">
        <v>40</v>
      </c>
      <c r="K80" s="840" t="s">
        <v>3239</v>
      </c>
      <c r="L80" s="42" t="s">
        <v>3472</v>
      </c>
      <c r="M80" s="42" t="s">
        <v>3473</v>
      </c>
      <c r="N80" s="42" t="s">
        <v>746</v>
      </c>
      <c r="O80" s="42" t="s">
        <v>3474</v>
      </c>
      <c r="P80" s="42" t="s">
        <v>3475</v>
      </c>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V80" s="49"/>
      <c r="AY80" s="37" t="str">
        <f>IF(自定义调整栏!$E$29="O","浣熊族","")</f>
        <v/>
      </c>
      <c r="BO80" s="49"/>
      <c r="BQ80" s="44" t="str" cm="1">
        <f t="array" ref="BQ80">IFERROR(INDEX($AY$1:$AY$112,SMALL(IF($AY$1:$AY$112&lt;&gt;"",ROW($AY$1:$AY$112),4^8),ROW(80:80)))&amp;"","")</f>
        <v/>
      </c>
    </row>
    <row r="81" spans="1:69" ht="14.45" customHeight="1" x14ac:dyDescent="0.15">
      <c r="A81" s="145" t="s">
        <v>6957</v>
      </c>
      <c r="B81" s="145">
        <v>51</v>
      </c>
      <c r="C81" s="145">
        <v>1</v>
      </c>
      <c r="D81" s="145">
        <v>2</v>
      </c>
      <c r="E81" s="31" t="s">
        <v>9088</v>
      </c>
      <c r="F81" s="31" t="s">
        <v>3247</v>
      </c>
      <c r="G81" s="31" t="s">
        <v>9441</v>
      </c>
      <c r="H81" s="31" t="s">
        <v>9469</v>
      </c>
      <c r="I81" s="31"/>
      <c r="J81" s="839"/>
      <c r="K81" s="840"/>
      <c r="L81" s="42" t="s">
        <v>3476</v>
      </c>
      <c r="M81" s="42" t="s">
        <v>3477</v>
      </c>
      <c r="N81" s="42" t="s">
        <v>754</v>
      </c>
      <c r="O81" s="42" t="s">
        <v>3478</v>
      </c>
      <c r="P81" s="42" t="s">
        <v>3479</v>
      </c>
      <c r="Q81" s="42"/>
      <c r="R81" s="42"/>
      <c r="S81" s="42"/>
      <c r="T81" s="42"/>
      <c r="U81" s="42"/>
      <c r="V81" s="42"/>
      <c r="W81" s="42"/>
      <c r="X81" s="42"/>
      <c r="Y81" s="31"/>
      <c r="Z81" s="42"/>
      <c r="AA81" s="42"/>
      <c r="AB81" s="42"/>
      <c r="AC81" s="42"/>
      <c r="AD81" s="42"/>
      <c r="AE81" s="42"/>
      <c r="AF81" s="42"/>
      <c r="AG81" s="42"/>
      <c r="AH81" s="42"/>
      <c r="AI81" s="42"/>
      <c r="AJ81" s="42"/>
      <c r="AK81" s="42"/>
      <c r="AL81" s="42"/>
      <c r="AM81" s="31"/>
      <c r="AN81" s="31"/>
      <c r="AV81" s="49"/>
      <c r="AY81" s="37" t="str">
        <f>IF(自定义调整栏!$E$29="O","狡狐族","")</f>
        <v/>
      </c>
      <c r="BO81" s="49"/>
      <c r="BQ81" s="44" t="str" cm="1">
        <f t="array" ref="BQ81">IFERROR(INDEX($AY$1:$AY$112,SMALL(IF($AY$1:$AY$112&lt;&gt;"",ROW($AY$1:$AY$112),4^8),ROW(81:81)))&amp;"","")</f>
        <v/>
      </c>
    </row>
    <row r="82" spans="1:69" ht="14.45" customHeight="1" x14ac:dyDescent="0.15">
      <c r="A82" s="26" t="s">
        <v>6958</v>
      </c>
      <c r="B82" s="30"/>
      <c r="C82" s="30">
        <v>3</v>
      </c>
      <c r="D82" s="30">
        <v>3</v>
      </c>
      <c r="E82" s="31" t="s">
        <v>9089</v>
      </c>
      <c r="F82" s="31" t="s">
        <v>3247</v>
      </c>
      <c r="G82" s="31" t="s">
        <v>9442</v>
      </c>
      <c r="H82" s="31" t="s">
        <v>2970</v>
      </c>
      <c r="I82" s="31"/>
      <c r="J82" s="839">
        <v>41</v>
      </c>
      <c r="K82" s="840" t="s">
        <v>3240</v>
      </c>
      <c r="L82" s="42" t="s">
        <v>746</v>
      </c>
      <c r="M82" s="42" t="s">
        <v>3442</v>
      </c>
      <c r="N82" s="42" t="s">
        <v>3480</v>
      </c>
      <c r="O82" s="42" t="s">
        <v>3481</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V82" s="49"/>
      <c r="AY82" s="37" t="str">
        <f>IF(自定义调整栏!$E$32="O","以太裔","")</f>
        <v/>
      </c>
      <c r="BO82" s="49"/>
      <c r="BQ82" s="44" t="str" cm="1">
        <f t="array" ref="BQ82">IFERROR(INDEX($AY$1:$AY$112,SMALL(IF($AY$1:$AY$112&lt;&gt;"",ROW($AY$1:$AY$112),4^8),ROW(82:82)))&amp;"","")</f>
        <v/>
      </c>
    </row>
    <row r="83" spans="1:69" ht="14.45" customHeight="1" x14ac:dyDescent="0.15">
      <c r="A83" s="26" t="s">
        <v>6959</v>
      </c>
      <c r="B83" s="30"/>
      <c r="C83" s="30">
        <v>4</v>
      </c>
      <c r="D83" s="30">
        <v>4</v>
      </c>
      <c r="E83" s="31" t="s">
        <v>9388</v>
      </c>
      <c r="F83" s="31" t="s">
        <v>3247</v>
      </c>
      <c r="G83" s="31" t="s">
        <v>9443</v>
      </c>
      <c r="H83" s="31" t="s">
        <v>2970</v>
      </c>
      <c r="I83" s="31"/>
      <c r="J83" s="839"/>
      <c r="K83" s="840"/>
      <c r="L83" s="42" t="s">
        <v>754</v>
      </c>
      <c r="M83" s="42" t="s">
        <v>3446</v>
      </c>
      <c r="N83" s="42" t="s">
        <v>3482</v>
      </c>
      <c r="O83" s="42" t="s">
        <v>3483</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V83" s="49"/>
      <c r="AY83" s="37" t="str">
        <f>IF(自定义调整栏!$E$32="O","凝骸","")</f>
        <v/>
      </c>
      <c r="BO83" s="49"/>
      <c r="BQ83" s="44" t="str" cm="1">
        <f t="array" ref="BQ83">IFERROR(INDEX($AY$1:$AY$112,SMALL(IF($AY$1:$AY$112&lt;&gt;"",ROW($AY$1:$AY$112),4^8),ROW(83:83)))&amp;"","")</f>
        <v/>
      </c>
    </row>
    <row r="84" spans="1:69" ht="14.45" customHeight="1" x14ac:dyDescent="0.15">
      <c r="A84" s="26" t="s">
        <v>6960</v>
      </c>
      <c r="B84" s="30"/>
      <c r="C84" s="30">
        <v>5</v>
      </c>
      <c r="D84" s="30">
        <v>5</v>
      </c>
      <c r="E84" s="31" t="s">
        <v>9389</v>
      </c>
      <c r="F84" s="31" t="s">
        <v>3247</v>
      </c>
      <c r="G84" s="31" t="s">
        <v>9444</v>
      </c>
      <c r="H84" s="31" t="s">
        <v>9466</v>
      </c>
      <c r="I84" s="31"/>
      <c r="J84" s="839">
        <v>42</v>
      </c>
      <c r="K84" s="840" t="s">
        <v>3241</v>
      </c>
      <c r="L84" s="42" t="s">
        <v>3484</v>
      </c>
      <c r="M84" s="42" t="s">
        <v>746</v>
      </c>
      <c r="N84" s="42" t="s">
        <v>3324</v>
      </c>
      <c r="O84" s="42" t="s">
        <v>778</v>
      </c>
      <c r="P84" s="42" t="s">
        <v>3485</v>
      </c>
      <c r="Q84" s="42" t="s">
        <v>3486</v>
      </c>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V84" s="49"/>
      <c r="AY84" s="37" t="str">
        <f>IF(自定义调整栏!$E$30="O","熊民","")</f>
        <v/>
      </c>
      <c r="BO84" s="49"/>
      <c r="BQ84" s="44" t="str" cm="1">
        <f t="array" ref="BQ84">IFERROR(INDEX($AY$1:$AY$112,SMALL(IF($AY$1:$AY$112&lt;&gt;"",ROW($AY$1:$AY$112),4^8),ROW(84:84)))&amp;"","")</f>
        <v/>
      </c>
    </row>
    <row r="85" spans="1:69" ht="14.45" customHeight="1" x14ac:dyDescent="0.15">
      <c r="A85" s="26" t="s">
        <v>6961</v>
      </c>
      <c r="B85" s="30"/>
      <c r="C85" s="30">
        <v>6</v>
      </c>
      <c r="D85" s="30">
        <v>6</v>
      </c>
      <c r="E85" s="31" t="s">
        <v>9390</v>
      </c>
      <c r="F85" s="31" t="s">
        <v>3247</v>
      </c>
      <c r="G85" s="31" t="s">
        <v>9445</v>
      </c>
      <c r="H85" s="31" t="s">
        <v>2970</v>
      </c>
      <c r="I85" s="31"/>
      <c r="J85" s="839"/>
      <c r="K85" s="840"/>
      <c r="L85" s="42" t="s">
        <v>3487</v>
      </c>
      <c r="M85" s="42" t="s">
        <v>754</v>
      </c>
      <c r="N85" s="42" t="s">
        <v>3488</v>
      </c>
      <c r="O85" s="42" t="s">
        <v>3355</v>
      </c>
      <c r="P85" s="42" t="s">
        <v>3489</v>
      </c>
      <c r="Q85" s="42" t="s">
        <v>3490</v>
      </c>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V85" s="49"/>
      <c r="AY85" s="37" t="str">
        <f>IF(自定义调整栏!$E$30="O","达拉库食尸鬼","")</f>
        <v/>
      </c>
      <c r="AZ85" s="31" t="s">
        <v>9412</v>
      </c>
      <c r="BA85" s="31" t="s">
        <v>9413</v>
      </c>
      <c r="BO85" s="49"/>
      <c r="BQ85" s="44" t="str" cm="1">
        <f t="array" ref="BQ85">IFERROR(INDEX($AY$1:$AY$112,SMALL(IF($AY$1:$AY$112&lt;&gt;"",ROW($AY$1:$AY$112),4^8),ROW(85:85)))&amp;"","")</f>
        <v/>
      </c>
    </row>
    <row r="86" spans="1:69" ht="14.45" customHeight="1" x14ac:dyDescent="0.15">
      <c r="A86" s="26" t="s">
        <v>6962</v>
      </c>
      <c r="B86" s="30"/>
      <c r="C86" s="30">
        <v>7</v>
      </c>
      <c r="D86" s="30">
        <v>7</v>
      </c>
      <c r="E86" s="31" t="s">
        <v>9391</v>
      </c>
      <c r="F86" s="31" t="s">
        <v>3247</v>
      </c>
      <c r="G86" s="31" t="s">
        <v>9446</v>
      </c>
      <c r="H86" s="31" t="s">
        <v>2970</v>
      </c>
      <c r="I86" s="31"/>
      <c r="J86" s="839">
        <v>43</v>
      </c>
      <c r="K86" s="840" t="s">
        <v>3242</v>
      </c>
      <c r="L86" s="42" t="s">
        <v>3491</v>
      </c>
      <c r="M86" s="42" t="s">
        <v>3492</v>
      </c>
      <c r="N86" s="42" t="s">
        <v>3493</v>
      </c>
      <c r="O86" s="42" t="s">
        <v>3494</v>
      </c>
      <c r="P86" s="42" t="s">
        <v>3298</v>
      </c>
      <c r="Q86" s="42" t="s">
        <v>3299</v>
      </c>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V86" s="49"/>
      <c r="AY86" s="37" t="str">
        <f>IF(自定义调整栏!$E$30="O","幽影地精","")</f>
        <v/>
      </c>
      <c r="BO86" s="49"/>
      <c r="BQ86" s="44" t="str" cm="1">
        <f t="array" ref="BQ86">IFERROR(INDEX($AY$1:$AY$112,SMALL(IF($AY$1:$AY$112&lt;&gt;"",ROW($AY$1:$AY$112),4^8),ROW(86:86)))&amp;"","")</f>
        <v/>
      </c>
    </row>
    <row r="87" spans="1:69" ht="14.45" customHeight="1" x14ac:dyDescent="0.15">
      <c r="A87" s="26" t="s">
        <v>6963</v>
      </c>
      <c r="B87" s="30"/>
      <c r="C87" s="30">
        <v>8</v>
      </c>
      <c r="D87" s="30">
        <v>8</v>
      </c>
      <c r="E87" s="31" t="s">
        <v>9392</v>
      </c>
      <c r="F87" s="31" t="s">
        <v>3247</v>
      </c>
      <c r="G87" s="31" t="s">
        <v>9447</v>
      </c>
      <c r="H87" s="31" t="s">
        <v>9422</v>
      </c>
      <c r="I87" s="31"/>
      <c r="J87" s="839"/>
      <c r="K87" s="840"/>
      <c r="L87" s="42" t="s">
        <v>3495</v>
      </c>
      <c r="M87" s="42" t="s">
        <v>3496</v>
      </c>
      <c r="N87" s="42" t="s">
        <v>3497</v>
      </c>
      <c r="O87" s="42" t="s">
        <v>3498</v>
      </c>
      <c r="P87" s="42" t="s">
        <v>3499</v>
      </c>
      <c r="Q87" s="42" t="s">
        <v>3500</v>
      </c>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V87" s="49"/>
      <c r="AY87" s="37" t="str">
        <f>IF(自定义调整栏!$E$30="O","影蚀人类","")</f>
        <v/>
      </c>
      <c r="AZ87" s="31" t="s">
        <v>9414</v>
      </c>
      <c r="BA87" s="31" t="s">
        <v>9415</v>
      </c>
      <c r="BO87" s="49"/>
      <c r="BQ87" s="44" t="str" cm="1">
        <f t="array" ref="BQ87">IFERROR(INDEX($AY$1:$AY$112,SMALL(IF($AY$1:$AY$112&lt;&gt;"",ROW($AY$1:$AY$112),4^8),ROW(87:87)))&amp;"","")</f>
        <v/>
      </c>
    </row>
    <row r="88" spans="1:69" ht="14.45" customHeight="1" x14ac:dyDescent="0.15">
      <c r="A88" s="145" t="s">
        <v>6964</v>
      </c>
      <c r="B88" s="145">
        <v>52</v>
      </c>
      <c r="C88" s="145">
        <v>1</v>
      </c>
      <c r="D88" s="145">
        <v>4</v>
      </c>
      <c r="E88" s="31" t="s">
        <v>9393</v>
      </c>
      <c r="F88" s="31" t="s">
        <v>3247</v>
      </c>
      <c r="G88" s="31" t="s">
        <v>9458</v>
      </c>
      <c r="H88" s="31" t="s">
        <v>9467</v>
      </c>
      <c r="I88" s="31"/>
      <c r="J88" s="839">
        <v>44</v>
      </c>
      <c r="K88" s="840" t="s">
        <v>3243</v>
      </c>
      <c r="L88" s="42" t="s">
        <v>3501</v>
      </c>
      <c r="M88" s="42" t="s">
        <v>3502</v>
      </c>
      <c r="N88" s="42" t="s">
        <v>3503</v>
      </c>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V88" s="49"/>
      <c r="AY88" s="37" t="str">
        <f>IF(自定义调整栏!$E$30="O","疾步族","")</f>
        <v/>
      </c>
      <c r="BO88" s="49"/>
      <c r="BQ88" s="44" t="str" cm="1">
        <f t="array" ref="BQ88">IFERROR(INDEX($AY$1:$AY$112,SMALL(IF($AY$1:$AY$112&lt;&gt;"",ROW($AY$1:$AY$112),4^8),ROW(88:88)))&amp;"","")</f>
        <v/>
      </c>
    </row>
    <row r="89" spans="1:69" ht="14.45" customHeight="1" x14ac:dyDescent="0.15">
      <c r="A89" s="145" t="s">
        <v>6965</v>
      </c>
      <c r="B89" s="145">
        <v>53</v>
      </c>
      <c r="C89" s="145">
        <v>1</v>
      </c>
      <c r="D89" s="145">
        <v>5</v>
      </c>
      <c r="E89" s="31" t="s">
        <v>9394</v>
      </c>
      <c r="F89" s="31" t="s">
        <v>3247</v>
      </c>
      <c r="G89" s="31" t="s">
        <v>9470</v>
      </c>
      <c r="H89" s="31" t="s">
        <v>8640</v>
      </c>
      <c r="I89" s="31"/>
      <c r="J89" s="839"/>
      <c r="K89" s="840"/>
      <c r="L89" s="42" t="s">
        <v>3504</v>
      </c>
      <c r="M89" s="42" t="s">
        <v>3505</v>
      </c>
      <c r="N89" s="42" t="s">
        <v>3506</v>
      </c>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V89" s="49"/>
      <c r="AY89" s="37" t="str">
        <f>IF(自定义调整栏!$E$30="O","树鼠族","")</f>
        <v/>
      </c>
      <c r="AZ89" s="31" t="s">
        <v>9416</v>
      </c>
      <c r="BA89" s="31" t="s">
        <v>9417</v>
      </c>
      <c r="BO89" s="49"/>
      <c r="BQ89" s="44" t="str" cm="1">
        <f t="array" ref="BQ89">IFERROR(INDEX($AY$1:$AY$112,SMALL(IF($AY$1:$AY$112&lt;&gt;"",ROW($AY$1:$AY$112),4^8),ROW(89:89)))&amp;"","")</f>
        <v/>
      </c>
    </row>
    <row r="90" spans="1:69" ht="14.45" customHeight="1" x14ac:dyDescent="0.15">
      <c r="A90" s="145" t="s">
        <v>6937</v>
      </c>
      <c r="B90" s="145">
        <v>54</v>
      </c>
      <c r="C90" s="145">
        <v>1</v>
      </c>
      <c r="D90" s="145">
        <v>4</v>
      </c>
      <c r="E90" s="31" t="s">
        <v>9395</v>
      </c>
      <c r="F90" s="31" t="s">
        <v>3247</v>
      </c>
      <c r="G90" s="31" t="s">
        <v>9471</v>
      </c>
      <c r="H90" s="31" t="s">
        <v>2970</v>
      </c>
      <c r="I90" s="31"/>
      <c r="J90" s="839">
        <v>45</v>
      </c>
      <c r="K90" s="840" t="s">
        <v>3244</v>
      </c>
      <c r="L90" s="42" t="s">
        <v>3507</v>
      </c>
      <c r="M90" s="42" t="s">
        <v>3508</v>
      </c>
      <c r="N90" s="42" t="s">
        <v>3509</v>
      </c>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V90" s="49"/>
      <c r="AY90" s="37" t="str">
        <f>IF(自定义调整栏!$E$30="O","灵魂渡者猬族","")</f>
        <v/>
      </c>
      <c r="BO90" s="49"/>
      <c r="BQ90" s="44" t="str" cm="1">
        <f t="array" ref="BQ90">IFERROR(INDEX($AY$1:$AY$112,SMALL(IF($AY$1:$AY$112&lt;&gt;"",ROW($AY$1:$AY$112),4^8),ROW(90:90)))&amp;"","")</f>
        <v/>
      </c>
    </row>
    <row r="91" spans="1:69" ht="14.45" customHeight="1" x14ac:dyDescent="0.15">
      <c r="A91" s="145" t="s">
        <v>6938</v>
      </c>
      <c r="B91" s="145">
        <v>55</v>
      </c>
      <c r="C91" s="145">
        <v>1</v>
      </c>
      <c r="D91" s="145">
        <v>4</v>
      </c>
      <c r="E91" s="31" t="s">
        <v>9396</v>
      </c>
      <c r="F91" s="31" t="s">
        <v>3247</v>
      </c>
      <c r="G91" s="31" t="s">
        <v>9472</v>
      </c>
      <c r="H91" s="31" t="s">
        <v>2970</v>
      </c>
      <c r="I91" s="31"/>
      <c r="J91" s="839"/>
      <c r="K91" s="840"/>
      <c r="L91" s="42" t="s">
        <v>3510</v>
      </c>
      <c r="M91" s="42" t="s">
        <v>3511</v>
      </c>
      <c r="N91" s="42" t="s">
        <v>3512</v>
      </c>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V91" s="49"/>
      <c r="AY91" s="37" t="str">
        <f>IF(自定义调整栏!$E$30="O","冥河幽影","")</f>
        <v/>
      </c>
      <c r="BO91" s="49"/>
      <c r="BQ91" s="44" t="str" cm="1">
        <f t="array" ref="BQ91">IFERROR(INDEX($AY$1:$AY$112,SMALL(IF($AY$1:$AY$112&lt;&gt;"",ROW($AY$1:$AY$112),4^8),ROW(91:91)))&amp;"","")</f>
        <v/>
      </c>
    </row>
    <row r="92" spans="1:69" ht="14.45" customHeight="1" x14ac:dyDescent="0.15">
      <c r="A92" s="145" t="s">
        <v>6939</v>
      </c>
      <c r="B92" s="145">
        <v>56</v>
      </c>
      <c r="C92" s="145">
        <v>1</v>
      </c>
      <c r="D92" s="145">
        <v>4</v>
      </c>
      <c r="E92" s="31" t="s">
        <v>9397</v>
      </c>
      <c r="F92" s="31" t="s">
        <v>3247</v>
      </c>
      <c r="G92" s="31" t="s">
        <v>9473</v>
      </c>
      <c r="H92" s="31" t="s">
        <v>2970</v>
      </c>
      <c r="I92" s="31"/>
      <c r="J92" s="839">
        <v>46</v>
      </c>
      <c r="K92" s="840" t="s">
        <v>3245</v>
      </c>
      <c r="L92" s="31" t="s">
        <v>3513</v>
      </c>
      <c r="M92" s="31" t="s">
        <v>746</v>
      </c>
      <c r="N92" s="31" t="s">
        <v>3425</v>
      </c>
      <c r="O92" s="42" t="s">
        <v>3514</v>
      </c>
      <c r="P92" s="42" t="s">
        <v>3515</v>
      </c>
      <c r="Q92" s="42"/>
      <c r="R92" s="42"/>
      <c r="S92" s="42"/>
      <c r="W92" s="42"/>
      <c r="X92" s="42"/>
      <c r="Y92" s="42"/>
      <c r="Z92" s="42"/>
      <c r="AA92" s="42"/>
      <c r="AB92" s="42"/>
      <c r="AC92" s="42"/>
      <c r="AD92" s="42"/>
      <c r="AE92" s="42"/>
      <c r="AF92" s="42"/>
      <c r="AG92" s="42"/>
      <c r="AH92" s="42"/>
      <c r="AI92" s="42"/>
      <c r="AJ92" s="42"/>
      <c r="AK92" s="42"/>
      <c r="AL92" s="42"/>
      <c r="AM92" s="42"/>
      <c r="AN92" s="42"/>
      <c r="AO92" s="42"/>
      <c r="AV92" s="49"/>
      <c r="AY92" s="37" t="str">
        <f>IF(自定义调整栏!$E$30="O","崇高鸦族","")</f>
        <v/>
      </c>
      <c r="BO92" s="49"/>
      <c r="BQ92" s="44" t="str" cm="1">
        <f t="array" ref="BQ92">IFERROR(INDEX($AY$1:$AY$112,SMALL(IF($AY$1:$AY$112&lt;&gt;"",ROW($AY$1:$AY$112),4^8),ROW(92:92)))&amp;"","")</f>
        <v/>
      </c>
    </row>
    <row r="93" spans="1:69" ht="14.45" customHeight="1" x14ac:dyDescent="0.15">
      <c r="A93" s="145" t="s">
        <v>6940</v>
      </c>
      <c r="B93" s="145">
        <v>57</v>
      </c>
      <c r="C93" s="145">
        <v>1</v>
      </c>
      <c r="D93" s="145">
        <v>4</v>
      </c>
      <c r="E93" s="31" t="s">
        <v>10137</v>
      </c>
      <c r="F93" s="31" t="s">
        <v>3248</v>
      </c>
      <c r="G93" s="31" t="s">
        <v>10140</v>
      </c>
      <c r="H93" s="31" t="s">
        <v>2970</v>
      </c>
      <c r="I93" s="31"/>
      <c r="J93" s="839"/>
      <c r="K93" s="840"/>
      <c r="L93" s="31" t="s">
        <v>3516</v>
      </c>
      <c r="M93" s="31" t="s">
        <v>754</v>
      </c>
      <c r="N93" s="31" t="s">
        <v>3517</v>
      </c>
      <c r="O93" s="42" t="s">
        <v>3518</v>
      </c>
      <c r="P93" s="42" t="s">
        <v>3519</v>
      </c>
      <c r="Q93" s="42"/>
      <c r="R93" s="42"/>
      <c r="S93" s="42"/>
      <c r="W93" s="42"/>
      <c r="X93" s="42"/>
      <c r="Y93" s="42"/>
      <c r="Z93" s="42"/>
      <c r="AA93" s="42"/>
      <c r="AB93" s="42"/>
      <c r="AC93" s="42"/>
      <c r="AD93" s="42"/>
      <c r="AE93" s="42"/>
      <c r="AF93" s="42"/>
      <c r="AG93" s="42"/>
      <c r="AH93" s="42"/>
      <c r="AI93" s="42"/>
      <c r="AJ93" s="42"/>
      <c r="AK93" s="42"/>
      <c r="AL93" s="42"/>
      <c r="AM93" s="42"/>
      <c r="AN93" s="42"/>
      <c r="AO93" s="42"/>
      <c r="AV93" s="49"/>
      <c r="AY93" s="37" t="str">
        <f>IF(自定义调整栏!$E$30="O","不羁萨塔雷","")</f>
        <v/>
      </c>
      <c r="BO93" s="49"/>
      <c r="BQ93" s="44" t="str" cm="1">
        <f t="array" ref="BQ93">IFERROR(INDEX($AY$1:$AY$112,SMALL(IF($AY$1:$AY$112&lt;&gt;"",ROW($AY$1:$AY$112),4^8),ROW(93:93)))&amp;"","")</f>
        <v/>
      </c>
    </row>
    <row r="94" spans="1:69" ht="14.45" customHeight="1" x14ac:dyDescent="0.15">
      <c r="A94" s="145" t="s">
        <v>6941</v>
      </c>
      <c r="B94" s="145">
        <v>58</v>
      </c>
      <c r="C94" s="145">
        <v>1</v>
      </c>
      <c r="D94" s="145">
        <v>5</v>
      </c>
      <c r="E94" s="31" t="s">
        <v>10146</v>
      </c>
      <c r="F94" s="31" t="s">
        <v>3248</v>
      </c>
      <c r="G94" s="31" t="s">
        <v>309</v>
      </c>
      <c r="H94" s="31" t="s">
        <v>709</v>
      </c>
      <c r="I94" s="31"/>
      <c r="J94" s="839">
        <v>47</v>
      </c>
      <c r="K94" s="840" t="s">
        <v>3246</v>
      </c>
      <c r="L94" s="31" t="s">
        <v>3520</v>
      </c>
      <c r="M94" s="31" t="s">
        <v>746</v>
      </c>
      <c r="N94" s="31" t="s">
        <v>3521</v>
      </c>
      <c r="O94" s="31" t="s">
        <v>3522</v>
      </c>
      <c r="P94" s="31" t="s">
        <v>3523</v>
      </c>
      <c r="Q94" s="42"/>
      <c r="R94" s="42"/>
      <c r="S94" s="42"/>
      <c r="W94" s="42"/>
      <c r="X94" s="42"/>
      <c r="Y94" s="42"/>
      <c r="Z94" s="42"/>
      <c r="AA94" s="42"/>
      <c r="AB94" s="42"/>
      <c r="AC94" s="42"/>
      <c r="AD94" s="42"/>
      <c r="AE94" s="42"/>
      <c r="AF94" s="42"/>
      <c r="AG94" s="42"/>
      <c r="AH94" s="42"/>
      <c r="AI94" s="42"/>
      <c r="AJ94" s="42"/>
      <c r="AK94" s="42"/>
      <c r="AL94" s="42"/>
      <c r="AM94" s="42"/>
      <c r="AN94" s="42"/>
      <c r="AO94" s="42"/>
      <c r="AV94" s="49"/>
      <c r="AY94" s="37" t="str">
        <f>IF(自定义调整栏!$E$11="O","洛温幻身灵","")</f>
        <v>洛温幻身灵</v>
      </c>
      <c r="BO94" s="49"/>
      <c r="BQ94" s="44" t="str" cm="1">
        <f t="array" ref="BQ94">IFERROR(INDEX($AY$1:$AY$112,SMALL(IF($AY$1:$AY$112&lt;&gt;"",ROW($AY$1:$AY$112),4^8),ROW(94:94)))&amp;"","")</f>
        <v/>
      </c>
    </row>
    <row r="95" spans="1:69" ht="14.45" customHeight="1" x14ac:dyDescent="0.15">
      <c r="A95" s="145" t="s">
        <v>6942</v>
      </c>
      <c r="B95" s="145">
        <v>59</v>
      </c>
      <c r="C95" s="145">
        <v>1</v>
      </c>
      <c r="D95" s="145">
        <v>4</v>
      </c>
      <c r="E95" s="31" t="s">
        <v>10168</v>
      </c>
      <c r="F95" s="31" t="s">
        <v>3247</v>
      </c>
      <c r="G95" s="31" t="s">
        <v>10173</v>
      </c>
      <c r="H95" s="31" t="s">
        <v>709</v>
      </c>
      <c r="I95" s="31"/>
      <c r="J95" s="839"/>
      <c r="K95" s="840"/>
      <c r="L95" s="31" t="s">
        <v>3524</v>
      </c>
      <c r="M95" s="31" t="s">
        <v>754</v>
      </c>
      <c r="N95" s="31" t="s">
        <v>3525</v>
      </c>
      <c r="O95" s="31" t="s">
        <v>3526</v>
      </c>
      <c r="P95" s="31" t="s">
        <v>3527</v>
      </c>
      <c r="Q95" s="42"/>
      <c r="R95" s="42"/>
      <c r="S95" s="42"/>
      <c r="W95" s="42"/>
      <c r="X95" s="42"/>
      <c r="Y95" s="42"/>
      <c r="Z95" s="42"/>
      <c r="AA95" s="42"/>
      <c r="AB95" s="42"/>
      <c r="AC95" s="42"/>
      <c r="AD95" s="42"/>
      <c r="AE95" s="42"/>
      <c r="AF95" s="42"/>
      <c r="AG95" s="42"/>
      <c r="AH95" s="42"/>
      <c r="AI95" s="42"/>
      <c r="AJ95" s="42"/>
      <c r="AK95" s="42"/>
      <c r="AL95" s="42"/>
      <c r="AM95" s="42"/>
      <c r="AN95" s="42"/>
      <c r="AO95" s="42"/>
      <c r="AV95" s="49"/>
      <c r="AY95" s="37" t="str">
        <f>IF(自定义调整栏!$E$11="O","波尬","")</f>
        <v>波尬</v>
      </c>
      <c r="BO95" s="49"/>
      <c r="BQ95" s="44" t="str" cm="1">
        <f t="array" ref="BQ95">IFERROR(INDEX($AY$1:$AY$112,SMALL(IF($AY$1:$AY$112&lt;&gt;"",ROW($AY$1:$AY$112),4^8),ROW(95:95)))&amp;"","")</f>
        <v/>
      </c>
    </row>
    <row r="96" spans="1:69" ht="14.45" customHeight="1" x14ac:dyDescent="0.15">
      <c r="A96" s="145" t="s">
        <v>6943</v>
      </c>
      <c r="B96" s="145">
        <v>60</v>
      </c>
      <c r="C96" s="145">
        <v>1</v>
      </c>
      <c r="D96" s="145">
        <v>4</v>
      </c>
      <c r="E96" s="30" t="s">
        <v>10189</v>
      </c>
      <c r="F96" s="31" t="s">
        <v>6968</v>
      </c>
      <c r="G96" s="31" t="s">
        <v>10197</v>
      </c>
      <c r="H96" s="31" t="s">
        <v>709</v>
      </c>
      <c r="I96" s="31"/>
      <c r="J96" s="839">
        <v>48</v>
      </c>
      <c r="K96" s="841" t="s">
        <v>6949</v>
      </c>
      <c r="L96" s="26" t="s">
        <v>6991</v>
      </c>
      <c r="M96" s="26" t="s">
        <v>6992</v>
      </c>
      <c r="N96" s="26" t="s">
        <v>6993</v>
      </c>
      <c r="O96" s="26" t="s">
        <v>6994</v>
      </c>
      <c r="P96" s="26" t="s">
        <v>6950</v>
      </c>
      <c r="Q96" s="26" t="s">
        <v>6951</v>
      </c>
      <c r="R96" s="26" t="s">
        <v>6952</v>
      </c>
      <c r="T96" s="42"/>
      <c r="U96" s="42"/>
      <c r="V96" s="42"/>
      <c r="W96" s="42"/>
      <c r="X96" s="42"/>
      <c r="Y96" s="42"/>
      <c r="Z96" s="42"/>
      <c r="AA96" s="42"/>
      <c r="AB96" s="42"/>
      <c r="AC96" s="42"/>
      <c r="AD96" s="42"/>
      <c r="AE96" s="42"/>
      <c r="AF96" s="42"/>
      <c r="AG96" s="42"/>
      <c r="AH96" s="42"/>
      <c r="AI96" s="42"/>
      <c r="AJ96" s="42"/>
      <c r="AK96" s="42"/>
      <c r="AL96" s="42"/>
      <c r="AM96" s="42"/>
      <c r="AN96" s="42"/>
      <c r="AO96" s="42"/>
      <c r="AV96" s="49"/>
      <c r="AY96" s="37" t="str">
        <f>IF(自定义调整栏!$E$11="O","霜身","")</f>
        <v>霜身</v>
      </c>
      <c r="BO96" s="49"/>
      <c r="BQ96" s="44" t="str" cm="1">
        <f t="array" ref="BQ96">IFERROR(INDEX($AY$1:$AY$112,SMALL(IF($AY$1:$AY$112&lt;&gt;"",ROW($AY$1:$AY$112),4^8),ROW(96:96)))&amp;"","")</f>
        <v/>
      </c>
    </row>
    <row r="97" spans="1:69" ht="14.45" customHeight="1" x14ac:dyDescent="0.15">
      <c r="A97" s="145" t="s">
        <v>6944</v>
      </c>
      <c r="B97" s="145">
        <v>61</v>
      </c>
      <c r="C97" s="145">
        <v>1</v>
      </c>
      <c r="D97" s="145">
        <v>4</v>
      </c>
      <c r="E97" s="30" t="s">
        <v>10190</v>
      </c>
      <c r="F97" s="31" t="s">
        <v>3247</v>
      </c>
      <c r="G97" s="31" t="s">
        <v>10197</v>
      </c>
      <c r="H97" s="31" t="s">
        <v>709</v>
      </c>
      <c r="I97" s="31"/>
      <c r="J97" s="839"/>
      <c r="K97" s="842"/>
      <c r="L97" s="26" t="s">
        <v>6995</v>
      </c>
      <c r="M97" s="26" t="s">
        <v>6996</v>
      </c>
      <c r="N97" s="26" t="s">
        <v>6997</v>
      </c>
      <c r="O97" s="26" t="s">
        <v>6998</v>
      </c>
      <c r="P97" s="26" t="s">
        <v>6999</v>
      </c>
      <c r="Q97" s="26" t="s">
        <v>7000</v>
      </c>
      <c r="R97" s="26" t="s">
        <v>7001</v>
      </c>
      <c r="T97" s="42"/>
      <c r="U97" s="42"/>
      <c r="V97" s="42"/>
      <c r="W97" s="42"/>
      <c r="X97" s="42"/>
      <c r="Y97" s="42"/>
      <c r="Z97" s="42"/>
      <c r="AA97" s="42"/>
      <c r="AB97" s="42"/>
      <c r="AC97" s="42"/>
      <c r="AD97" s="42"/>
      <c r="AE97" s="42"/>
      <c r="AF97" s="42"/>
      <c r="AG97" s="42"/>
      <c r="AH97" s="42"/>
      <c r="AI97" s="42"/>
      <c r="AJ97" s="42"/>
      <c r="AK97" s="42"/>
      <c r="AL97" s="42"/>
      <c r="AM97" s="42"/>
      <c r="AN97" s="42"/>
      <c r="AO97" s="42"/>
      <c r="AV97" s="49"/>
      <c r="AY97" s="37" t="str">
        <f>IF(自定义调整栏!$E$11="O","炎身","")</f>
        <v>炎身</v>
      </c>
      <c r="BO97" s="49"/>
      <c r="BQ97" s="44" t="str" cm="1">
        <f t="array" ref="BQ97">IFERROR(INDEX($AY$1:$AY$112,SMALL(IF($AY$1:$AY$112&lt;&gt;"",ROW($AY$1:$AY$112),4^8),ROW(97:97)))&amp;"","")</f>
        <v/>
      </c>
    </row>
    <row r="98" spans="1:69" ht="14.45" customHeight="1" x14ac:dyDescent="0.15">
      <c r="A98" s="145" t="s">
        <v>6945</v>
      </c>
      <c r="B98" s="145">
        <v>62</v>
      </c>
      <c r="C98" s="145">
        <v>1</v>
      </c>
      <c r="D98" s="145">
        <v>3</v>
      </c>
      <c r="E98" s="30" t="s">
        <v>10191</v>
      </c>
      <c r="F98" s="31" t="s">
        <v>3247</v>
      </c>
      <c r="G98" s="31" t="s">
        <v>10198</v>
      </c>
      <c r="H98" s="31" t="s">
        <v>6980</v>
      </c>
      <c r="I98" s="31"/>
      <c r="J98" s="839">
        <v>49</v>
      </c>
      <c r="K98" s="841" t="s">
        <v>6953</v>
      </c>
      <c r="L98" s="26" t="s">
        <v>7002</v>
      </c>
      <c r="M98" s="26" t="s">
        <v>7003</v>
      </c>
      <c r="N98" s="26" t="s">
        <v>7004</v>
      </c>
      <c r="O98" s="26" t="s">
        <v>7005</v>
      </c>
      <c r="T98" s="42"/>
      <c r="U98" s="42"/>
      <c r="V98" s="42"/>
      <c r="W98" s="42"/>
      <c r="X98" s="42"/>
      <c r="Y98" s="42"/>
      <c r="Z98" s="42"/>
      <c r="AA98" s="42"/>
      <c r="AB98" s="42"/>
      <c r="AC98" s="42"/>
      <c r="AD98" s="42"/>
      <c r="AE98" s="42"/>
      <c r="AF98" s="42"/>
      <c r="AG98" s="42"/>
      <c r="AH98" s="42"/>
      <c r="AI98" s="42"/>
      <c r="AJ98" s="42"/>
      <c r="AK98" s="42"/>
      <c r="AL98" s="42"/>
      <c r="AM98" s="42"/>
      <c r="AN98" s="42"/>
      <c r="AO98" s="42"/>
      <c r="AV98" s="49"/>
      <c r="AY98" s="37" t="str">
        <f>IF(自定义调整栏!$E$11="O","洁英","")</f>
        <v>洁英</v>
      </c>
      <c r="BO98" s="49"/>
      <c r="BQ98" s="44" t="str" cm="1">
        <f t="array" ref="BQ98">IFERROR(INDEX($AY$1:$AY$112,SMALL(IF($AY$1:$AY$112&lt;&gt;"",ROW($AY$1:$AY$112),4^8),ROW(98:98)))&amp;"","")</f>
        <v/>
      </c>
    </row>
    <row r="99" spans="1:69" ht="14.45" customHeight="1" x14ac:dyDescent="0.15">
      <c r="A99" s="145" t="s">
        <v>6946</v>
      </c>
      <c r="B99" s="145">
        <v>63</v>
      </c>
      <c r="C99" s="145">
        <v>1</v>
      </c>
      <c r="D99" s="145">
        <v>5</v>
      </c>
      <c r="E99" s="30" t="s">
        <v>10192</v>
      </c>
      <c r="F99" s="31" t="s">
        <v>3247</v>
      </c>
      <c r="G99" s="31" t="s">
        <v>10199</v>
      </c>
      <c r="H99" s="31" t="s">
        <v>10200</v>
      </c>
      <c r="I99" s="31"/>
      <c r="J99" s="839"/>
      <c r="K99" s="842"/>
      <c r="L99" s="26" t="s">
        <v>7006</v>
      </c>
      <c r="M99" s="26" t="s">
        <v>7007</v>
      </c>
      <c r="N99" s="26" t="s">
        <v>7008</v>
      </c>
      <c r="O99" s="26" t="s">
        <v>7009</v>
      </c>
      <c r="T99" s="42"/>
      <c r="U99" s="42"/>
      <c r="V99" s="42"/>
      <c r="W99" s="42"/>
      <c r="X99" s="42"/>
      <c r="Y99" s="42"/>
      <c r="Z99" s="42"/>
      <c r="AA99" s="42"/>
      <c r="AB99" s="42"/>
      <c r="AC99" s="42"/>
      <c r="AD99" s="42"/>
      <c r="AE99" s="42"/>
      <c r="AF99" s="42"/>
      <c r="AG99" s="42"/>
      <c r="AH99" s="42"/>
      <c r="AI99" s="42"/>
      <c r="AJ99" s="42"/>
      <c r="AK99" s="42"/>
      <c r="AL99" s="42"/>
      <c r="AM99" s="42"/>
      <c r="AN99" s="42"/>
      <c r="AO99" s="42"/>
      <c r="AV99" s="49"/>
      <c r="AY99" s="37" t="str">
        <f>IF(自定义调整栏!$E$37="O","雪人裔","")</f>
        <v/>
      </c>
      <c r="BO99" s="49"/>
      <c r="BQ99" s="44" t="str" cm="1">
        <f t="array" ref="BQ99">IFERROR(INDEX($AY$1:$AY$112,SMALL(IF($AY$1:$AY$112&lt;&gt;"",ROW($AY$1:$AY$112),4^8),ROW(99:99)))&amp;"","")</f>
        <v/>
      </c>
    </row>
    <row r="100" spans="1:69" ht="14.45" customHeight="1" x14ac:dyDescent="0.15">
      <c r="A100" s="145" t="s">
        <v>6947</v>
      </c>
      <c r="B100" s="145">
        <v>64</v>
      </c>
      <c r="C100" s="145">
        <v>1</v>
      </c>
      <c r="D100" s="145">
        <v>4</v>
      </c>
      <c r="E100" s="31" t="s">
        <v>3209</v>
      </c>
      <c r="F100" s="31" t="s">
        <v>3248</v>
      </c>
      <c r="G100" s="31" t="s">
        <v>10231</v>
      </c>
      <c r="H100" s="31" t="s">
        <v>709</v>
      </c>
      <c r="I100" s="31"/>
      <c r="J100" s="839">
        <v>50</v>
      </c>
      <c r="K100" s="841" t="s">
        <v>6954</v>
      </c>
      <c r="L100" s="26" t="s">
        <v>7010</v>
      </c>
      <c r="M100" s="26" t="s">
        <v>7011</v>
      </c>
      <c r="N100" s="26" t="s">
        <v>7012</v>
      </c>
      <c r="O100" s="26" t="s">
        <v>7013</v>
      </c>
      <c r="P100" s="26" t="s">
        <v>7014</v>
      </c>
      <c r="Q100" s="26" t="s">
        <v>7015</v>
      </c>
      <c r="AO100" s="30"/>
      <c r="AV100" s="49"/>
      <c r="AY100" s="37" t="str">
        <f>IF(自定义调整栏!$E$37="O","常春人","")</f>
        <v/>
      </c>
      <c r="BO100" s="49"/>
      <c r="BQ100" s="44" t="str" cm="1">
        <f t="array" ref="BQ100">IFERROR(INDEX($AY$1:$AY$112,SMALL(IF($AY$1:$AY$112&lt;&gt;"",ROW($AY$1:$AY$112),4^8),ROW(100:100)))&amp;"","")</f>
        <v/>
      </c>
    </row>
    <row r="101" spans="1:69" ht="14.45" customHeight="1" x14ac:dyDescent="0.15">
      <c r="A101" s="36" t="s">
        <v>6948</v>
      </c>
      <c r="B101" s="145">
        <v>65</v>
      </c>
      <c r="C101" s="145">
        <v>1</v>
      </c>
      <c r="D101" s="145">
        <v>5</v>
      </c>
      <c r="E101" s="31" t="s">
        <v>3202</v>
      </c>
      <c r="F101" s="31" t="s">
        <v>3253</v>
      </c>
      <c r="G101" s="31" t="s">
        <v>10239</v>
      </c>
      <c r="H101" s="31" t="s">
        <v>709</v>
      </c>
      <c r="I101" s="31"/>
      <c r="J101" s="839"/>
      <c r="K101" s="842"/>
      <c r="L101" s="26" t="s">
        <v>7016</v>
      </c>
      <c r="M101" s="26" t="s">
        <v>7017</v>
      </c>
      <c r="N101" s="26" t="s">
        <v>7018</v>
      </c>
      <c r="O101" s="26" t="s">
        <v>7019</v>
      </c>
      <c r="P101" s="26" t="s">
        <v>7020</v>
      </c>
      <c r="Q101" s="26" t="s">
        <v>7021</v>
      </c>
      <c r="AO101" s="30"/>
      <c r="AV101" s="49"/>
      <c r="AY101" s="37" t="str">
        <f>IF(自定义调整栏!$E$37="O","驯鹿人","")</f>
        <v/>
      </c>
      <c r="BO101" s="49"/>
      <c r="BQ101" s="44" t="str" cm="1">
        <f t="array" ref="BQ101">IFERROR(INDEX($AY$1:$AY$112,SMALL(IF($AY$1:$AY$112&lt;&gt;"",ROW($AY$1:$AY$112),4^8),ROW(101:101)))&amp;"","")</f>
        <v/>
      </c>
    </row>
    <row r="102" spans="1:69" ht="14.45" customHeight="1" x14ac:dyDescent="0.15">
      <c r="A102" s="145" t="s">
        <v>8638</v>
      </c>
      <c r="B102" s="145">
        <v>66</v>
      </c>
      <c r="C102" s="145">
        <v>1</v>
      </c>
      <c r="D102" s="145">
        <v>4</v>
      </c>
      <c r="E102" s="31" t="s">
        <v>10238</v>
      </c>
      <c r="F102" s="31" t="s">
        <v>707</v>
      </c>
      <c r="G102" s="31" t="s">
        <v>10240</v>
      </c>
      <c r="H102" s="31" t="s">
        <v>709</v>
      </c>
      <c r="I102" s="31"/>
      <c r="J102" s="839">
        <v>51</v>
      </c>
      <c r="K102" s="852" t="s">
        <v>6957</v>
      </c>
      <c r="L102" s="26" t="s">
        <v>6991</v>
      </c>
      <c r="M102" s="26" t="s">
        <v>7022</v>
      </c>
      <c r="N102" s="26" t="s">
        <v>6958</v>
      </c>
      <c r="O102" s="26" t="s">
        <v>6959</v>
      </c>
      <c r="P102" s="26" t="s">
        <v>6960</v>
      </c>
      <c r="Q102" s="26" t="s">
        <v>6961</v>
      </c>
      <c r="R102" s="26" t="s">
        <v>6962</v>
      </c>
      <c r="S102" s="26" t="s">
        <v>6963</v>
      </c>
      <c r="AO102" s="30"/>
      <c r="AV102" s="49"/>
      <c r="AY102" s="37" t="str">
        <f>IF(自定义调整栏!$E$37="O","雪狐人","")</f>
        <v/>
      </c>
      <c r="BO102" s="49"/>
      <c r="BQ102" s="44" t="str" cm="1">
        <f t="array" ref="BQ102">IFERROR(INDEX($AY$1:$AY$112,SMALL(IF($AY$1:$AY$112&lt;&gt;"",ROW($AY$1:$AY$112),4^8),ROW(102:102)))&amp;"","")</f>
        <v/>
      </c>
    </row>
    <row r="103" spans="1:69" ht="14.45" customHeight="1" x14ac:dyDescent="0.15">
      <c r="A103" s="145" t="s">
        <v>8639</v>
      </c>
      <c r="B103" s="145">
        <v>67</v>
      </c>
      <c r="C103" s="145">
        <v>1</v>
      </c>
      <c r="D103" s="145">
        <v>3</v>
      </c>
      <c r="E103" s="31" t="s">
        <v>3232</v>
      </c>
      <c r="F103" s="31" t="s">
        <v>707</v>
      </c>
      <c r="G103" s="31" t="s">
        <v>10231</v>
      </c>
      <c r="H103" s="31" t="s">
        <v>709</v>
      </c>
      <c r="I103" s="31"/>
      <c r="J103" s="839"/>
      <c r="K103" s="845"/>
      <c r="L103" s="26" t="s">
        <v>10182</v>
      </c>
      <c r="M103" s="26" t="s">
        <v>7023</v>
      </c>
      <c r="N103" s="26" t="s">
        <v>7024</v>
      </c>
      <c r="O103" s="26" t="s">
        <v>7025</v>
      </c>
      <c r="P103" s="26" t="s">
        <v>7026</v>
      </c>
      <c r="Q103" s="26" t="s">
        <v>7027</v>
      </c>
      <c r="R103" s="26" t="s">
        <v>7028</v>
      </c>
      <c r="S103" s="26" t="s">
        <v>7029</v>
      </c>
      <c r="AO103" s="30"/>
      <c r="AV103" s="49"/>
      <c r="AY103" s="37" t="str">
        <f>IF(自定义调整栏!$E$13="O","幻身灵","")</f>
        <v>幻身灵</v>
      </c>
      <c r="AZ103" s="30"/>
      <c r="BA103" s="30"/>
      <c r="BB103" s="30"/>
      <c r="BC103" s="30"/>
      <c r="BD103" s="30"/>
      <c r="BE103" s="30"/>
      <c r="BF103" s="30"/>
      <c r="BG103" s="30"/>
      <c r="BH103" s="30"/>
      <c r="BI103" s="30" t="str">
        <f t="shared" ref="BI103:BO103" si="51">""</f>
        <v/>
      </c>
      <c r="BJ103" s="30" t="str">
        <f t="shared" si="51"/>
        <v/>
      </c>
      <c r="BK103" s="30" t="str">
        <f t="shared" si="51"/>
        <v/>
      </c>
      <c r="BL103" s="30" t="str">
        <f t="shared" si="51"/>
        <v/>
      </c>
      <c r="BM103" s="30" t="str">
        <f t="shared" si="51"/>
        <v/>
      </c>
      <c r="BN103" s="30" t="str">
        <f t="shared" si="51"/>
        <v/>
      </c>
      <c r="BO103" s="43" t="str">
        <f t="shared" si="51"/>
        <v/>
      </c>
      <c r="BQ103" s="44" t="str" cm="1">
        <f t="array" ref="BQ103">IFERROR(INDEX($AY$1:$AY$112,SMALL(IF($AY$1:$AY$112&lt;&gt;"",ROW($AY$1:$AY$112),4^8),ROW(103:103)))&amp;"","")</f>
        <v/>
      </c>
    </row>
    <row r="104" spans="1:69" ht="14.45" customHeight="1" x14ac:dyDescent="0.15">
      <c r="A104" s="145" t="s">
        <v>8881</v>
      </c>
      <c r="B104" s="145">
        <v>68</v>
      </c>
      <c r="C104" s="145">
        <v>1</v>
      </c>
      <c r="D104" s="145">
        <v>4</v>
      </c>
      <c r="E104" s="31" t="s">
        <v>3201</v>
      </c>
      <c r="F104" s="31" t="s">
        <v>6968</v>
      </c>
      <c r="G104" s="31" t="s">
        <v>10241</v>
      </c>
      <c r="H104" s="31" t="s">
        <v>709</v>
      </c>
      <c r="I104" s="31"/>
      <c r="J104" s="839">
        <v>52</v>
      </c>
      <c r="K104" s="841" t="s">
        <v>6964</v>
      </c>
      <c r="L104" s="26" t="s">
        <v>7030</v>
      </c>
      <c r="M104" s="26" t="s">
        <v>7031</v>
      </c>
      <c r="N104" s="26" t="s">
        <v>7032</v>
      </c>
      <c r="O104" s="26" t="s">
        <v>7033</v>
      </c>
      <c r="AO104" s="30"/>
      <c r="AV104" s="49"/>
      <c r="AY104" s="46" t="str">
        <f>IF(自定义调整栏!$E$13="O","离梦人","")</f>
        <v>离梦人</v>
      </c>
      <c r="AZ104" s="30"/>
      <c r="BA104" s="30"/>
      <c r="BB104" s="30"/>
      <c r="BC104" s="30"/>
      <c r="BD104" s="30"/>
      <c r="BE104" s="30"/>
      <c r="BF104" s="30"/>
      <c r="BG104" s="30"/>
      <c r="BH104" s="30"/>
      <c r="BI104" s="30"/>
      <c r="BJ104" s="30"/>
      <c r="BK104" s="30"/>
      <c r="BL104" s="30"/>
      <c r="BM104" s="30"/>
      <c r="BN104" s="30"/>
      <c r="BO104" s="43"/>
      <c r="BQ104" s="44" t="str" cm="1">
        <f t="array" ref="BQ104">IFERROR(INDEX($AY$1:$AY$112,SMALL(IF($AY$1:$AY$112&lt;&gt;"",ROW($AY$1:$AY$112),4^8),ROW(104:104)))&amp;"","")</f>
        <v/>
      </c>
    </row>
    <row r="105" spans="1:69" ht="14.45" customHeight="1" x14ac:dyDescent="0.15">
      <c r="A105" s="26" t="s">
        <v>8899</v>
      </c>
      <c r="B105" s="26"/>
      <c r="C105" s="26">
        <v>5</v>
      </c>
      <c r="D105" s="26">
        <v>6</v>
      </c>
      <c r="I105" s="31"/>
      <c r="J105" s="839"/>
      <c r="K105" s="842"/>
      <c r="L105" s="26" t="s">
        <v>7034</v>
      </c>
      <c r="M105" s="26" t="s">
        <v>7035</v>
      </c>
      <c r="N105" s="26" t="s">
        <v>7036</v>
      </c>
      <c r="O105" s="26" t="s">
        <v>7037</v>
      </c>
      <c r="AO105" s="30"/>
      <c r="AV105" s="49"/>
      <c r="AY105" s="46" t="str">
        <f>IF(自定义调整栏!$E$13="O","科拉瓦","")</f>
        <v>科拉瓦</v>
      </c>
      <c r="AZ105" s="30"/>
      <c r="BA105" s="30"/>
      <c r="BB105" s="30"/>
      <c r="BC105" s="30"/>
      <c r="BD105" s="30"/>
      <c r="BE105" s="30"/>
      <c r="BF105" s="30"/>
      <c r="BG105" s="30"/>
      <c r="BH105" s="30"/>
      <c r="BI105" s="30"/>
      <c r="BJ105" s="30"/>
      <c r="BK105" s="30"/>
      <c r="BL105" s="30"/>
      <c r="BM105" s="30"/>
      <c r="BN105" s="30"/>
      <c r="BO105" s="43"/>
      <c r="BQ105" s="44" t="str" cm="1">
        <f t="array" ref="BQ105">IFERROR(INDEX($AY$1:$AY$112,SMALL(IF($AY$1:$AY$112&lt;&gt;"",ROW($AY$1:$AY$112),4^8),ROW(105:105)))&amp;"","")</f>
        <v/>
      </c>
    </row>
    <row r="106" spans="1:69" ht="14.45" customHeight="1" x14ac:dyDescent="0.15">
      <c r="A106" s="26" t="s">
        <v>8900</v>
      </c>
      <c r="B106" s="26"/>
      <c r="C106" s="26">
        <v>7</v>
      </c>
      <c r="D106" s="26">
        <v>8</v>
      </c>
      <c r="I106" s="31"/>
      <c r="J106" s="839">
        <v>53</v>
      </c>
      <c r="K106" s="841" t="s">
        <v>6965</v>
      </c>
      <c r="L106" s="26" t="s">
        <v>7038</v>
      </c>
      <c r="M106" s="26" t="s">
        <v>7039</v>
      </c>
      <c r="N106" s="26" t="s">
        <v>7040</v>
      </c>
      <c r="O106" s="26" t="s">
        <v>7041</v>
      </c>
      <c r="P106" s="26" t="s">
        <v>7042</v>
      </c>
      <c r="AO106" s="30"/>
      <c r="AV106" s="49"/>
      <c r="AY106" s="37" t="str">
        <f>IF(自定义调整栏!$E$13="O","化兽者","")</f>
        <v>化兽者</v>
      </c>
      <c r="AZ106" s="30" t="s">
        <v>3233</v>
      </c>
      <c r="BA106" s="30" t="s">
        <v>3234</v>
      </c>
      <c r="BB106" s="30" t="s">
        <v>3235</v>
      </c>
      <c r="BC106" s="30" t="s">
        <v>3236</v>
      </c>
      <c r="BD106" s="30"/>
      <c r="BE106" s="30"/>
      <c r="BF106" s="30"/>
      <c r="BG106" s="30"/>
      <c r="BH106" s="30"/>
      <c r="BI106" s="30"/>
      <c r="BJ106" s="30"/>
      <c r="BK106" s="30"/>
      <c r="BL106" s="30"/>
      <c r="BM106" s="30"/>
      <c r="BN106" s="30"/>
      <c r="BO106" s="43"/>
      <c r="BQ106" s="44" t="str" cm="1">
        <f t="array" ref="BQ106">IFERROR(INDEX($AY$1:$AY$112,SMALL(IF($AY$1:$AY$112&lt;&gt;"",ROW($AY$1:$AY$112),4^8),ROW(106:106)))&amp;"","")</f>
        <v/>
      </c>
    </row>
    <row r="107" spans="1:69" ht="14.45" customHeight="1" x14ac:dyDescent="0.15">
      <c r="A107" s="145" t="s">
        <v>8882</v>
      </c>
      <c r="B107" s="145">
        <v>69</v>
      </c>
      <c r="C107" s="145">
        <v>1</v>
      </c>
      <c r="D107" s="145">
        <v>5</v>
      </c>
      <c r="I107" s="31"/>
      <c r="J107" s="839"/>
      <c r="K107" s="841"/>
      <c r="L107" s="26" t="s">
        <v>7043</v>
      </c>
      <c r="M107" s="26" t="s">
        <v>7044</v>
      </c>
      <c r="N107" s="26" t="s">
        <v>7045</v>
      </c>
      <c r="O107" s="26" t="s">
        <v>7046</v>
      </c>
      <c r="P107" s="26" t="s">
        <v>7047</v>
      </c>
      <c r="AO107" s="30"/>
      <c r="AV107" s="49"/>
      <c r="AY107" s="46" t="str">
        <f>IF(自定义调整栏!$E$13="O","战俑","")</f>
        <v>战俑</v>
      </c>
      <c r="BE107" s="30"/>
      <c r="BF107" s="30"/>
      <c r="BG107" s="30"/>
      <c r="BH107" s="30"/>
      <c r="BI107" s="30"/>
      <c r="BJ107" s="30"/>
      <c r="BK107" s="30"/>
      <c r="BL107" s="30"/>
      <c r="BM107" s="30"/>
      <c r="BN107" s="30"/>
      <c r="BO107" s="43"/>
      <c r="BQ107" s="44" t="str" cm="1">
        <f t="array" ref="BQ107">IFERROR(INDEX($AY$1:$AY$112,SMALL(IF($AY$1:$AY$112&lt;&gt;"",ROW($AY$1:$AY$112),4^8),ROW(107:107)))&amp;"","")</f>
        <v/>
      </c>
    </row>
    <row r="108" spans="1:69" ht="14.45" customHeight="1" x14ac:dyDescent="0.15">
      <c r="A108" s="31" t="s">
        <v>8901</v>
      </c>
      <c r="B108" s="26"/>
      <c r="C108" s="26">
        <v>6</v>
      </c>
      <c r="D108" s="26">
        <v>7</v>
      </c>
      <c r="I108" s="31"/>
      <c r="J108" s="839">
        <v>54</v>
      </c>
      <c r="K108" s="841" t="s">
        <v>7048</v>
      </c>
      <c r="L108" s="26" t="s">
        <v>7049</v>
      </c>
      <c r="M108" s="26" t="s">
        <v>6991</v>
      </c>
      <c r="N108" s="26" t="s">
        <v>7050</v>
      </c>
      <c r="O108" s="26" t="s">
        <v>7051</v>
      </c>
      <c r="AO108" s="30"/>
      <c r="AV108" s="49"/>
      <c r="AY108" s="37"/>
      <c r="BE108" s="30"/>
      <c r="BF108" s="30"/>
      <c r="BG108" s="30"/>
      <c r="BH108" s="30"/>
      <c r="BI108" s="30"/>
      <c r="BJ108" s="30"/>
      <c r="BK108" s="30"/>
      <c r="BL108" s="30"/>
      <c r="BM108" s="30"/>
      <c r="BN108" s="30"/>
      <c r="BO108" s="43"/>
      <c r="BQ108" s="44" t="str" cm="1">
        <f t="array" ref="BQ108">IFERROR(INDEX($AY$1:$AY$112,SMALL(IF($AY$1:$AY$112&lt;&gt;"",ROW($AY$1:$AY$112),4^8),ROW(108:108)))&amp;"","")</f>
        <v/>
      </c>
    </row>
    <row r="109" spans="1:69" ht="14.45" customHeight="1" x14ac:dyDescent="0.15">
      <c r="A109" s="31" t="s">
        <v>8902</v>
      </c>
      <c r="B109" s="26"/>
      <c r="C109" s="26">
        <v>8</v>
      </c>
      <c r="D109" s="26">
        <v>9</v>
      </c>
      <c r="I109" s="31"/>
      <c r="J109" s="839"/>
      <c r="K109" s="841"/>
      <c r="L109" s="26" t="s">
        <v>7052</v>
      </c>
      <c r="M109" s="26" t="s">
        <v>7053</v>
      </c>
      <c r="N109" s="26" t="s">
        <v>7054</v>
      </c>
      <c r="O109" s="26" t="s">
        <v>7055</v>
      </c>
      <c r="AO109" s="30"/>
      <c r="AV109" s="49"/>
      <c r="AY109" s="37"/>
      <c r="BE109" s="30"/>
      <c r="BF109" s="30"/>
      <c r="BG109" s="30"/>
      <c r="BH109" s="30"/>
      <c r="BI109" s="30"/>
      <c r="BJ109" s="30"/>
      <c r="BK109" s="30"/>
      <c r="BL109" s="30"/>
      <c r="BM109" s="30"/>
      <c r="BN109" s="30"/>
      <c r="BO109" s="43"/>
      <c r="BQ109" s="44" t="str" cm="1">
        <f t="array" ref="BQ109">IFERROR(INDEX($AY$1:$AY$112,SMALL(IF($AY$1:$AY$112&lt;&gt;"",ROW($AY$1:$AY$112),4^8),ROW(109:109)))&amp;"","")</f>
        <v/>
      </c>
    </row>
    <row r="110" spans="1:69" ht="14.45" customHeight="1" x14ac:dyDescent="0.15">
      <c r="A110" s="145" t="s">
        <v>8883</v>
      </c>
      <c r="B110" s="145">
        <v>70</v>
      </c>
      <c r="C110" s="145">
        <v>1</v>
      </c>
      <c r="D110" s="145">
        <v>4</v>
      </c>
      <c r="I110" s="31"/>
      <c r="J110" s="839">
        <v>55</v>
      </c>
      <c r="K110" s="841" t="s">
        <v>7056</v>
      </c>
      <c r="L110" s="26" t="s">
        <v>7057</v>
      </c>
      <c r="M110" s="26" t="s">
        <v>6991</v>
      </c>
      <c r="N110" s="26" t="s">
        <v>7058</v>
      </c>
      <c r="O110" s="26" t="s">
        <v>7059</v>
      </c>
      <c r="AO110" s="30"/>
      <c r="AV110" s="49"/>
      <c r="AY110" s="37"/>
      <c r="BE110" s="30"/>
      <c r="BF110" s="30"/>
      <c r="BG110" s="30"/>
      <c r="BH110" s="30"/>
      <c r="BI110" s="30"/>
      <c r="BJ110" s="30"/>
      <c r="BK110" s="30"/>
      <c r="BL110" s="30"/>
      <c r="BM110" s="30"/>
      <c r="BN110" s="30"/>
      <c r="BO110" s="43"/>
      <c r="BQ110" s="44" t="str" cm="1">
        <f t="array" ref="BQ110">IFERROR(INDEX($AY$1:$AY$112,SMALL(IF($AY$1:$AY$112&lt;&gt;"",ROW($AY$1:$AY$112),4^8),ROW(110:110)))&amp;"","")</f>
        <v/>
      </c>
    </row>
    <row r="111" spans="1:69" ht="14.45" customHeight="1" x14ac:dyDescent="0.15">
      <c r="A111" s="31" t="s">
        <v>8903</v>
      </c>
      <c r="B111" s="26"/>
      <c r="C111" s="26">
        <v>5</v>
      </c>
      <c r="D111" s="26">
        <v>6</v>
      </c>
      <c r="I111" s="31"/>
      <c r="J111" s="839"/>
      <c r="K111" s="841"/>
      <c r="L111" s="26" t="s">
        <v>7060</v>
      </c>
      <c r="M111" s="26" t="s">
        <v>7053</v>
      </c>
      <c r="N111" s="26" t="s">
        <v>7061</v>
      </c>
      <c r="O111" s="26" t="s">
        <v>7062</v>
      </c>
      <c r="AO111" s="30"/>
      <c r="AV111" s="49"/>
      <c r="AY111" s="37"/>
      <c r="BO111" s="49"/>
      <c r="BQ111" s="44" t="str" cm="1">
        <f t="array" ref="BQ111">IFERROR(INDEX($AY$1:$AY$112,SMALL(IF($AY$1:$AY$112&lt;&gt;"",ROW($AY$1:$AY$112),4^8),ROW(111:111)))&amp;"","")</f>
        <v/>
      </c>
    </row>
    <row r="112" spans="1:69" ht="14.45" customHeight="1" x14ac:dyDescent="0.15">
      <c r="A112" s="31" t="s">
        <v>8904</v>
      </c>
      <c r="B112" s="26"/>
      <c r="C112" s="26">
        <v>7</v>
      </c>
      <c r="D112" s="26">
        <v>8</v>
      </c>
      <c r="I112" s="31"/>
      <c r="J112" s="839">
        <v>56</v>
      </c>
      <c r="K112" s="841" t="s">
        <v>7063</v>
      </c>
      <c r="L112" s="26" t="s">
        <v>7064</v>
      </c>
      <c r="M112" s="26" t="s">
        <v>6991</v>
      </c>
      <c r="N112" s="26" t="s">
        <v>7065</v>
      </c>
      <c r="O112" s="26" t="s">
        <v>7066</v>
      </c>
      <c r="AO112" s="30"/>
      <c r="AV112" s="49"/>
      <c r="AY112" s="37"/>
      <c r="BO112" s="49"/>
      <c r="BQ112" s="44" t="str" cm="1">
        <f t="array" ref="BQ112">IFERROR(INDEX($AY$1:$AY$112,SMALL(IF($AY$1:$AY$112&lt;&gt;"",ROW($AY$1:$AY$112),4^8),ROW(112:112)))&amp;"","")</f>
        <v/>
      </c>
    </row>
    <row r="113" spans="1:48" ht="14.45" customHeight="1" x14ac:dyDescent="0.15">
      <c r="A113" s="145" t="s">
        <v>8884</v>
      </c>
      <c r="B113" s="145">
        <v>71</v>
      </c>
      <c r="C113" s="145">
        <v>1</v>
      </c>
      <c r="D113" s="145">
        <v>5</v>
      </c>
      <c r="I113" s="31"/>
      <c r="J113" s="839"/>
      <c r="K113" s="841"/>
      <c r="L113" s="26" t="s">
        <v>7067</v>
      </c>
      <c r="M113" s="26" t="s">
        <v>7053</v>
      </c>
      <c r="N113" s="26" t="s">
        <v>7068</v>
      </c>
      <c r="O113" s="26" t="s">
        <v>7069</v>
      </c>
      <c r="AO113" s="30"/>
      <c r="AV113" s="49"/>
    </row>
    <row r="114" spans="1:48" ht="14.45" customHeight="1" x14ac:dyDescent="0.15">
      <c r="A114" s="31" t="s">
        <v>8905</v>
      </c>
      <c r="B114" s="26"/>
      <c r="C114" s="26">
        <v>6</v>
      </c>
      <c r="D114" s="26">
        <v>7</v>
      </c>
      <c r="I114" s="31"/>
      <c r="J114" s="839">
        <v>57</v>
      </c>
      <c r="K114" s="841" t="s">
        <v>7070</v>
      </c>
      <c r="L114" s="26" t="s">
        <v>7071</v>
      </c>
      <c r="M114" s="26" t="s">
        <v>6991</v>
      </c>
      <c r="N114" s="26" t="s">
        <v>7072</v>
      </c>
      <c r="O114" s="26" t="s">
        <v>7073</v>
      </c>
      <c r="AO114" s="30"/>
      <c r="AV114" s="49"/>
    </row>
    <row r="115" spans="1:48" ht="14.45" customHeight="1" x14ac:dyDescent="0.15">
      <c r="A115" s="31" t="s">
        <v>8906</v>
      </c>
      <c r="B115" s="26"/>
      <c r="C115" s="26">
        <v>8</v>
      </c>
      <c r="D115" s="26">
        <v>9</v>
      </c>
      <c r="I115" s="31"/>
      <c r="J115" s="839"/>
      <c r="K115" s="841"/>
      <c r="L115" s="26" t="s">
        <v>7074</v>
      </c>
      <c r="M115" s="26" t="s">
        <v>7053</v>
      </c>
      <c r="N115" s="26" t="s">
        <v>7075</v>
      </c>
      <c r="O115" s="26" t="s">
        <v>7076</v>
      </c>
      <c r="AO115" s="30"/>
      <c r="AV115" s="49"/>
    </row>
    <row r="116" spans="1:48" ht="14.45" customHeight="1" x14ac:dyDescent="0.15">
      <c r="A116" s="145" t="s">
        <v>8885</v>
      </c>
      <c r="B116" s="145">
        <v>72</v>
      </c>
      <c r="C116" s="145">
        <v>1</v>
      </c>
      <c r="D116" s="145">
        <v>4</v>
      </c>
      <c r="I116" s="31"/>
      <c r="J116" s="839">
        <v>58</v>
      </c>
      <c r="K116" s="841" t="s">
        <v>7077</v>
      </c>
      <c r="L116" s="26" t="s">
        <v>7078</v>
      </c>
      <c r="M116" s="26" t="s">
        <v>7079</v>
      </c>
      <c r="N116" s="26" t="s">
        <v>7080</v>
      </c>
      <c r="O116" s="26" t="s">
        <v>7081</v>
      </c>
      <c r="P116" s="26" t="s">
        <v>7082</v>
      </c>
      <c r="AO116" s="30"/>
      <c r="AV116" s="49"/>
    </row>
    <row r="117" spans="1:48" ht="14.45" customHeight="1" x14ac:dyDescent="0.15">
      <c r="A117" s="31" t="s">
        <v>8907</v>
      </c>
      <c r="B117" s="26"/>
      <c r="C117" s="26">
        <v>5</v>
      </c>
      <c r="D117" s="26">
        <v>6</v>
      </c>
      <c r="I117" s="31"/>
      <c r="J117" s="839"/>
      <c r="K117" s="841"/>
      <c r="L117" s="26" t="s">
        <v>7083</v>
      </c>
      <c r="M117" s="26" t="s">
        <v>7084</v>
      </c>
      <c r="N117" s="26" t="s">
        <v>7085</v>
      </c>
      <c r="O117" s="26" t="s">
        <v>7086</v>
      </c>
      <c r="P117" s="26" t="s">
        <v>7087</v>
      </c>
      <c r="AO117" s="30"/>
      <c r="AV117" s="49"/>
    </row>
    <row r="118" spans="1:48" ht="14.45" customHeight="1" x14ac:dyDescent="0.15">
      <c r="A118" s="31" t="s">
        <v>8908</v>
      </c>
      <c r="B118" s="26"/>
      <c r="C118" s="26">
        <v>7</v>
      </c>
      <c r="D118" s="26">
        <v>8</v>
      </c>
      <c r="I118" s="31"/>
      <c r="J118" s="839">
        <v>59</v>
      </c>
      <c r="K118" s="841" t="s">
        <v>7088</v>
      </c>
      <c r="L118" s="26" t="s">
        <v>7089</v>
      </c>
      <c r="M118" s="26" t="s">
        <v>7090</v>
      </c>
      <c r="N118" s="26" t="s">
        <v>7091</v>
      </c>
      <c r="O118" s="26" t="s">
        <v>7092</v>
      </c>
      <c r="AO118" s="30"/>
      <c r="AV118" s="49"/>
    </row>
    <row r="119" spans="1:48" ht="14.45" customHeight="1" x14ac:dyDescent="0.15">
      <c r="A119" s="145" t="s">
        <v>8886</v>
      </c>
      <c r="B119" s="145">
        <v>73</v>
      </c>
      <c r="C119" s="145">
        <v>1</v>
      </c>
      <c r="D119" s="145">
        <v>2</v>
      </c>
      <c r="I119" s="31"/>
      <c r="J119" s="839"/>
      <c r="K119" s="841"/>
      <c r="L119" s="26" t="s">
        <v>7093</v>
      </c>
      <c r="M119" s="26" t="s">
        <v>7094</v>
      </c>
      <c r="N119" s="26" t="s">
        <v>7095</v>
      </c>
      <c r="O119" s="26" t="s">
        <v>7096</v>
      </c>
      <c r="AO119" s="30"/>
      <c r="AV119" s="49"/>
    </row>
    <row r="120" spans="1:48" ht="14.45" customHeight="1" x14ac:dyDescent="0.15">
      <c r="A120" s="31" t="s">
        <v>8909</v>
      </c>
      <c r="B120" s="26"/>
      <c r="C120" s="26">
        <v>3</v>
      </c>
      <c r="D120" s="26">
        <v>5</v>
      </c>
      <c r="I120" s="31"/>
      <c r="J120" s="839">
        <v>60</v>
      </c>
      <c r="K120" s="841" t="s">
        <v>7097</v>
      </c>
      <c r="L120" s="26" t="s">
        <v>7098</v>
      </c>
      <c r="M120" s="26" t="s">
        <v>6991</v>
      </c>
      <c r="N120" s="26" t="s">
        <v>7099</v>
      </c>
      <c r="O120" s="26" t="s">
        <v>7100</v>
      </c>
      <c r="AO120" s="30"/>
      <c r="AV120" s="49"/>
    </row>
    <row r="121" spans="1:48" ht="14.45" customHeight="1" x14ac:dyDescent="0.15">
      <c r="A121" s="31" t="s">
        <v>8910</v>
      </c>
      <c r="B121" s="26"/>
      <c r="C121" s="26">
        <v>6</v>
      </c>
      <c r="D121" s="26">
        <v>7</v>
      </c>
      <c r="I121" s="31"/>
      <c r="J121" s="839"/>
      <c r="K121" s="841"/>
      <c r="L121" s="26" t="s">
        <v>7101</v>
      </c>
      <c r="M121" s="26" t="s">
        <v>7053</v>
      </c>
      <c r="N121" s="26" t="s">
        <v>7102</v>
      </c>
      <c r="O121" s="26" t="s">
        <v>7103</v>
      </c>
      <c r="AO121" s="30"/>
      <c r="AV121" s="49"/>
    </row>
    <row r="122" spans="1:48" ht="14.45" customHeight="1" x14ac:dyDescent="0.15">
      <c r="A122" s="145" t="s">
        <v>8887</v>
      </c>
      <c r="B122" s="145">
        <v>74</v>
      </c>
      <c r="C122" s="145">
        <v>1</v>
      </c>
      <c r="D122" s="145">
        <v>5</v>
      </c>
      <c r="I122" s="31"/>
      <c r="J122" s="839">
        <v>61</v>
      </c>
      <c r="K122" s="841" t="s">
        <v>7104</v>
      </c>
      <c r="L122" s="26" t="s">
        <v>7105</v>
      </c>
      <c r="M122" s="26" t="s">
        <v>6991</v>
      </c>
      <c r="N122" s="26" t="s">
        <v>7106</v>
      </c>
      <c r="O122" s="26" t="s">
        <v>7107</v>
      </c>
      <c r="AO122" s="30"/>
      <c r="AV122" s="49"/>
    </row>
    <row r="123" spans="1:48" ht="14.45" customHeight="1" x14ac:dyDescent="0.15">
      <c r="A123" s="145" t="s">
        <v>8888</v>
      </c>
      <c r="B123" s="145">
        <v>75</v>
      </c>
      <c r="C123" s="145">
        <v>1</v>
      </c>
      <c r="D123" s="145">
        <v>4</v>
      </c>
      <c r="I123" s="31"/>
      <c r="J123" s="839"/>
      <c r="K123" s="841"/>
      <c r="L123" s="26" t="s">
        <v>7108</v>
      </c>
      <c r="M123" s="26" t="s">
        <v>7053</v>
      </c>
      <c r="N123" s="26" t="s">
        <v>7109</v>
      </c>
      <c r="O123" s="26" t="s">
        <v>7110</v>
      </c>
      <c r="AO123" s="30"/>
      <c r="AV123" s="49"/>
    </row>
    <row r="124" spans="1:48" ht="14.45" customHeight="1" x14ac:dyDescent="0.15">
      <c r="A124" s="145" t="s">
        <v>8889</v>
      </c>
      <c r="B124" s="145">
        <v>76</v>
      </c>
      <c r="C124" s="145">
        <v>1</v>
      </c>
      <c r="D124" s="145">
        <v>5</v>
      </c>
      <c r="I124" s="31"/>
      <c r="J124" s="839">
        <v>62</v>
      </c>
      <c r="K124" s="841" t="s">
        <v>7111</v>
      </c>
      <c r="L124" s="26" t="s">
        <v>7112</v>
      </c>
      <c r="M124" s="26" t="s">
        <v>7113</v>
      </c>
      <c r="N124" s="26" t="s">
        <v>7114</v>
      </c>
      <c r="AO124" s="30"/>
      <c r="AV124" s="49"/>
    </row>
    <row r="125" spans="1:48" ht="14.45" customHeight="1" x14ac:dyDescent="0.15">
      <c r="A125" s="145" t="s">
        <v>8890</v>
      </c>
      <c r="B125" s="145">
        <v>77</v>
      </c>
      <c r="C125" s="145">
        <v>1</v>
      </c>
      <c r="D125" s="145">
        <v>4</v>
      </c>
      <c r="I125" s="31"/>
      <c r="J125" s="839"/>
      <c r="K125" s="841"/>
      <c r="L125" s="26" t="s">
        <v>7115</v>
      </c>
      <c r="M125" s="26" t="s">
        <v>7116</v>
      </c>
      <c r="N125" s="26" t="s">
        <v>7117</v>
      </c>
      <c r="AO125" s="30"/>
      <c r="AV125" s="49"/>
    </row>
    <row r="126" spans="1:48" ht="14.45" customHeight="1" x14ac:dyDescent="0.15">
      <c r="A126" s="145" t="s">
        <v>9088</v>
      </c>
      <c r="B126" s="145">
        <v>78</v>
      </c>
      <c r="C126" s="145">
        <v>1</v>
      </c>
      <c r="D126" s="145">
        <v>3</v>
      </c>
      <c r="I126" s="31"/>
      <c r="J126" s="839">
        <v>63</v>
      </c>
      <c r="K126" s="841" t="s">
        <v>7118</v>
      </c>
      <c r="L126" s="26" t="s">
        <v>7119</v>
      </c>
      <c r="M126" s="26" t="s">
        <v>7120</v>
      </c>
      <c r="N126" s="26" t="s">
        <v>7121</v>
      </c>
      <c r="O126" s="26" t="s">
        <v>7122</v>
      </c>
      <c r="P126" s="26" t="s">
        <v>7123</v>
      </c>
      <c r="AO126" s="30"/>
      <c r="AV126" s="49"/>
    </row>
    <row r="127" spans="1:48" ht="14.45" customHeight="1" x14ac:dyDescent="0.15">
      <c r="A127" s="145" t="s">
        <v>9089</v>
      </c>
      <c r="B127" s="145">
        <v>79</v>
      </c>
      <c r="C127" s="145">
        <v>1</v>
      </c>
      <c r="D127" s="145">
        <v>4</v>
      </c>
      <c r="I127" s="31"/>
      <c r="J127" s="839"/>
      <c r="K127" s="841"/>
      <c r="L127" s="26" t="s">
        <v>7124</v>
      </c>
      <c r="M127" s="26" t="s">
        <v>7125</v>
      </c>
      <c r="N127" s="26" t="s">
        <v>7086</v>
      </c>
      <c r="O127" s="26" t="s">
        <v>7126</v>
      </c>
      <c r="P127" s="26" t="s">
        <v>7127</v>
      </c>
      <c r="AO127" s="30"/>
      <c r="AV127" s="49"/>
    </row>
    <row r="128" spans="1:48" ht="14.45" customHeight="1" x14ac:dyDescent="0.15">
      <c r="A128" s="36" t="s">
        <v>9388</v>
      </c>
      <c r="B128" s="145">
        <v>80</v>
      </c>
      <c r="C128" s="145">
        <v>1</v>
      </c>
      <c r="D128" s="145">
        <v>6</v>
      </c>
      <c r="I128" s="31"/>
      <c r="J128" s="839">
        <v>64</v>
      </c>
      <c r="K128" s="841" t="s">
        <v>7128</v>
      </c>
      <c r="L128" s="26" t="s">
        <v>6991</v>
      </c>
      <c r="M128" s="26" t="s">
        <v>7129</v>
      </c>
      <c r="N128" s="26" t="s">
        <v>7130</v>
      </c>
      <c r="O128" s="26" t="s">
        <v>7131</v>
      </c>
      <c r="AO128" s="30"/>
      <c r="AV128" s="49"/>
    </row>
    <row r="129" spans="1:48" ht="14.45" customHeight="1" x14ac:dyDescent="0.15">
      <c r="A129" s="36" t="s">
        <v>9389</v>
      </c>
      <c r="B129" s="145">
        <v>81</v>
      </c>
      <c r="C129" s="145">
        <v>1</v>
      </c>
      <c r="D129" s="145">
        <v>7</v>
      </c>
      <c r="I129" s="31"/>
      <c r="J129" s="839"/>
      <c r="K129" s="841"/>
      <c r="L129" s="26" t="s">
        <v>7053</v>
      </c>
      <c r="M129" s="26" t="s">
        <v>7132</v>
      </c>
      <c r="N129" s="26" t="s">
        <v>7133</v>
      </c>
      <c r="O129" s="26" t="s">
        <v>7134</v>
      </c>
      <c r="AO129" s="30"/>
      <c r="AV129" s="49"/>
    </row>
    <row r="130" spans="1:48" ht="14.45" customHeight="1" x14ac:dyDescent="0.15">
      <c r="A130" s="31" t="s">
        <v>9412</v>
      </c>
      <c r="B130" s="26"/>
      <c r="C130" s="26">
        <v>8</v>
      </c>
      <c r="D130" s="26">
        <v>11</v>
      </c>
      <c r="I130" s="31"/>
      <c r="J130" s="839">
        <v>65</v>
      </c>
      <c r="K130" s="841" t="s">
        <v>7135</v>
      </c>
      <c r="L130" s="26" t="s">
        <v>7136</v>
      </c>
      <c r="M130" s="26" t="s">
        <v>6991</v>
      </c>
      <c r="N130" s="26" t="s">
        <v>7137</v>
      </c>
      <c r="O130" s="26" t="s">
        <v>7138</v>
      </c>
      <c r="P130" s="26" t="s">
        <v>7139</v>
      </c>
      <c r="AO130" s="30"/>
      <c r="AV130" s="49"/>
    </row>
    <row r="131" spans="1:48" ht="14.45" customHeight="1" x14ac:dyDescent="0.15">
      <c r="A131" s="31" t="s">
        <v>9413</v>
      </c>
      <c r="B131" s="26"/>
      <c r="C131" s="26">
        <v>12</v>
      </c>
      <c r="D131" s="26">
        <v>14</v>
      </c>
      <c r="I131" s="31"/>
      <c r="J131" s="839"/>
      <c r="K131" s="841"/>
      <c r="L131" s="26" t="s">
        <v>7047</v>
      </c>
      <c r="M131" s="26" t="s">
        <v>7053</v>
      </c>
      <c r="N131" s="26" t="s">
        <v>7140</v>
      </c>
      <c r="O131" s="26" t="s">
        <v>7141</v>
      </c>
      <c r="P131" s="26" t="s">
        <v>7142</v>
      </c>
      <c r="AO131" s="30"/>
      <c r="AV131" s="49"/>
    </row>
    <row r="132" spans="1:48" ht="14.45" customHeight="1" x14ac:dyDescent="0.15">
      <c r="A132" s="36" t="s">
        <v>9390</v>
      </c>
      <c r="B132" s="145">
        <v>82</v>
      </c>
      <c r="C132" s="145">
        <v>1</v>
      </c>
      <c r="D132" s="145">
        <v>6</v>
      </c>
      <c r="I132" s="31"/>
      <c r="J132" s="839">
        <v>66</v>
      </c>
      <c r="K132" s="845" t="s">
        <v>8638</v>
      </c>
      <c r="L132" s="26" t="s">
        <v>8641</v>
      </c>
      <c r="M132" s="26" t="s">
        <v>8643</v>
      </c>
      <c r="N132" s="26" t="s">
        <v>8645</v>
      </c>
      <c r="O132" s="26" t="s">
        <v>8647</v>
      </c>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V132" s="49"/>
    </row>
    <row r="133" spans="1:48" ht="14.45" customHeight="1" x14ac:dyDescent="0.15">
      <c r="A133" s="36" t="s">
        <v>9391</v>
      </c>
      <c r="B133" s="145">
        <v>83</v>
      </c>
      <c r="C133" s="145">
        <v>1</v>
      </c>
      <c r="D133" s="145">
        <v>3</v>
      </c>
      <c r="I133" s="31"/>
      <c r="J133" s="839"/>
      <c r="K133" s="845"/>
      <c r="L133" s="26" t="s">
        <v>8642</v>
      </c>
      <c r="M133" s="26" t="s">
        <v>8644</v>
      </c>
      <c r="N133" s="26" t="s">
        <v>8646</v>
      </c>
      <c r="O133" s="26" t="s">
        <v>8648</v>
      </c>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V133" s="49"/>
    </row>
    <row r="134" spans="1:48" ht="14.45" customHeight="1" x14ac:dyDescent="0.15">
      <c r="A134" s="31" t="s">
        <v>9414</v>
      </c>
      <c r="B134" s="26"/>
      <c r="C134" s="26">
        <v>4</v>
      </c>
      <c r="D134" s="26">
        <v>5</v>
      </c>
      <c r="I134" s="31"/>
      <c r="J134" s="839">
        <v>67</v>
      </c>
      <c r="K134" s="845" t="s">
        <v>8639</v>
      </c>
      <c r="L134" s="26" t="s">
        <v>8649</v>
      </c>
      <c r="M134" s="26" t="s">
        <v>8651</v>
      </c>
      <c r="N134" s="26" t="s">
        <v>8653</v>
      </c>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V134" s="49"/>
    </row>
    <row r="135" spans="1:48" ht="14.45" customHeight="1" x14ac:dyDescent="0.15">
      <c r="A135" s="31" t="s">
        <v>9415</v>
      </c>
      <c r="B135" s="26"/>
      <c r="C135" s="26">
        <v>6</v>
      </c>
      <c r="D135" s="26">
        <v>7</v>
      </c>
      <c r="I135" s="31"/>
      <c r="J135" s="839"/>
      <c r="K135" s="845"/>
      <c r="L135" s="26" t="s">
        <v>8650</v>
      </c>
      <c r="M135" s="26" t="s">
        <v>8652</v>
      </c>
      <c r="N135" s="26" t="s">
        <v>8654</v>
      </c>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V135" s="49"/>
    </row>
    <row r="136" spans="1:48" ht="14.45" customHeight="1" x14ac:dyDescent="0.15">
      <c r="A136" s="36" t="s">
        <v>9392</v>
      </c>
      <c r="B136" s="145">
        <v>84</v>
      </c>
      <c r="C136" s="145">
        <v>1</v>
      </c>
      <c r="D136" s="145">
        <v>4</v>
      </c>
      <c r="I136" s="31"/>
      <c r="J136" s="839">
        <v>68</v>
      </c>
      <c r="K136" s="842" t="s">
        <v>8881</v>
      </c>
      <c r="L136" s="26" t="s">
        <v>8891</v>
      </c>
      <c r="M136" s="26" t="s">
        <v>8893</v>
      </c>
      <c r="N136" s="26" t="s">
        <v>8895</v>
      </c>
      <c r="O136" s="26" t="s">
        <v>8897</v>
      </c>
      <c r="P136" s="26" t="s">
        <v>8911</v>
      </c>
      <c r="Q136" s="26" t="s">
        <v>8913</v>
      </c>
      <c r="R136" s="31" t="s">
        <v>8915</v>
      </c>
      <c r="S136" s="31" t="s">
        <v>8917</v>
      </c>
      <c r="T136" s="31"/>
      <c r="U136" s="31"/>
      <c r="V136" s="31"/>
      <c r="W136" s="31"/>
      <c r="X136" s="31"/>
      <c r="Y136" s="31"/>
      <c r="Z136" s="31"/>
      <c r="AA136" s="31"/>
      <c r="AB136" s="31"/>
      <c r="AC136" s="31"/>
      <c r="AD136" s="31"/>
      <c r="AE136" s="31"/>
      <c r="AF136" s="31"/>
      <c r="AG136" s="31"/>
      <c r="AH136" s="31"/>
      <c r="AI136" s="31"/>
      <c r="AJ136" s="31"/>
      <c r="AK136" s="31"/>
      <c r="AL136" s="31"/>
      <c r="AM136" s="31"/>
      <c r="AN136" s="31"/>
      <c r="AV136" s="49"/>
    </row>
    <row r="137" spans="1:48" ht="14.45" customHeight="1" x14ac:dyDescent="0.15">
      <c r="A137" s="36" t="s">
        <v>9393</v>
      </c>
      <c r="B137" s="145">
        <v>85</v>
      </c>
      <c r="C137" s="145">
        <v>1</v>
      </c>
      <c r="D137" s="145">
        <v>4</v>
      </c>
      <c r="I137" s="31"/>
      <c r="J137" s="839"/>
      <c r="K137" s="842"/>
      <c r="L137" s="26" t="s">
        <v>8892</v>
      </c>
      <c r="M137" s="26" t="s">
        <v>8894</v>
      </c>
      <c r="N137" s="26" t="s">
        <v>8896</v>
      </c>
      <c r="O137" s="26" t="s">
        <v>8898</v>
      </c>
      <c r="P137" s="26" t="s">
        <v>8912</v>
      </c>
      <c r="Q137" s="26" t="s">
        <v>8914</v>
      </c>
      <c r="R137" s="31" t="s">
        <v>8916</v>
      </c>
      <c r="S137" s="31" t="s">
        <v>8918</v>
      </c>
      <c r="T137" s="31"/>
      <c r="U137" s="31"/>
      <c r="V137" s="31"/>
      <c r="W137" s="31"/>
      <c r="X137" s="31"/>
      <c r="Y137" s="31"/>
      <c r="Z137" s="31"/>
      <c r="AA137" s="31"/>
      <c r="AB137" s="31"/>
      <c r="AC137" s="31"/>
      <c r="AD137" s="31"/>
      <c r="AE137" s="31"/>
      <c r="AF137" s="31"/>
      <c r="AG137" s="31"/>
      <c r="AH137" s="31"/>
      <c r="AI137" s="31"/>
      <c r="AJ137" s="31"/>
      <c r="AK137" s="31"/>
      <c r="AL137" s="31"/>
      <c r="AM137" s="31"/>
      <c r="AN137" s="31"/>
      <c r="AV137" s="49"/>
    </row>
    <row r="138" spans="1:48" ht="14.45" customHeight="1" x14ac:dyDescent="0.15">
      <c r="A138" s="31" t="s">
        <v>9416</v>
      </c>
      <c r="B138" s="26"/>
      <c r="C138" s="26">
        <v>5</v>
      </c>
      <c r="D138" s="26">
        <v>7</v>
      </c>
      <c r="I138" s="31"/>
      <c r="J138" s="839">
        <v>69</v>
      </c>
      <c r="K138" s="842" t="s">
        <v>8882</v>
      </c>
      <c r="L138" s="26" t="s">
        <v>8891</v>
      </c>
      <c r="M138" s="26" t="s">
        <v>8919</v>
      </c>
      <c r="N138" s="26" t="s">
        <v>8921</v>
      </c>
      <c r="O138" s="26" t="s">
        <v>8923</v>
      </c>
      <c r="P138" s="26" t="s">
        <v>8925</v>
      </c>
      <c r="Q138" s="26" t="s">
        <v>8927</v>
      </c>
      <c r="R138" s="31" t="s">
        <v>8929</v>
      </c>
      <c r="S138" s="31" t="s">
        <v>8930</v>
      </c>
      <c r="T138" s="31" t="s">
        <v>8932</v>
      </c>
      <c r="U138" s="31"/>
      <c r="V138" s="31"/>
      <c r="W138" s="31"/>
      <c r="X138" s="31"/>
      <c r="Y138" s="31"/>
      <c r="Z138" s="31"/>
      <c r="AA138" s="31"/>
      <c r="AB138" s="31"/>
      <c r="AC138" s="31"/>
      <c r="AD138" s="31"/>
      <c r="AE138" s="31"/>
      <c r="AF138" s="31"/>
      <c r="AG138" s="31"/>
      <c r="AH138" s="31"/>
      <c r="AI138" s="31"/>
      <c r="AJ138" s="31"/>
      <c r="AK138" s="31"/>
      <c r="AL138" s="31"/>
      <c r="AM138" s="31"/>
      <c r="AN138" s="31"/>
      <c r="AV138" s="49"/>
    </row>
    <row r="139" spans="1:48" ht="14.45" customHeight="1" x14ac:dyDescent="0.15">
      <c r="A139" s="31" t="s">
        <v>9417</v>
      </c>
      <c r="B139" s="26"/>
      <c r="C139" s="26">
        <v>8</v>
      </c>
      <c r="D139" s="26">
        <v>9</v>
      </c>
      <c r="I139" s="31"/>
      <c r="J139" s="839"/>
      <c r="K139" s="842"/>
      <c r="L139" s="26" t="s">
        <v>8892</v>
      </c>
      <c r="M139" s="26" t="s">
        <v>8920</v>
      </c>
      <c r="N139" s="26" t="s">
        <v>8922</v>
      </c>
      <c r="O139" s="26" t="s">
        <v>8924</v>
      </c>
      <c r="P139" s="26" t="s">
        <v>8926</v>
      </c>
      <c r="Q139" s="26" t="s">
        <v>8928</v>
      </c>
      <c r="R139" s="31" t="s">
        <v>8914</v>
      </c>
      <c r="S139" s="31" t="s">
        <v>8931</v>
      </c>
      <c r="T139" s="31" t="s">
        <v>8933</v>
      </c>
      <c r="U139" s="31"/>
      <c r="V139" s="31"/>
      <c r="W139" s="31"/>
      <c r="X139" s="31"/>
      <c r="Y139" s="31"/>
      <c r="Z139" s="31"/>
      <c r="AA139" s="31"/>
      <c r="AB139" s="31"/>
      <c r="AC139" s="31"/>
      <c r="AD139" s="31"/>
      <c r="AE139" s="31"/>
      <c r="AF139" s="31"/>
      <c r="AG139" s="31"/>
      <c r="AH139" s="31"/>
      <c r="AI139" s="31"/>
      <c r="AJ139" s="31"/>
      <c r="AK139" s="31"/>
      <c r="AL139" s="31"/>
      <c r="AM139" s="31"/>
      <c r="AN139" s="31"/>
      <c r="AV139" s="49"/>
    </row>
    <row r="140" spans="1:48" ht="14.45" customHeight="1" x14ac:dyDescent="0.15">
      <c r="A140" s="36" t="s">
        <v>9394</v>
      </c>
      <c r="B140" s="145">
        <v>86</v>
      </c>
      <c r="C140" s="145">
        <v>1</v>
      </c>
      <c r="D140" s="145">
        <v>5</v>
      </c>
      <c r="I140" s="31"/>
      <c r="J140" s="839">
        <v>70</v>
      </c>
      <c r="K140" s="842" t="s">
        <v>8883</v>
      </c>
      <c r="L140" s="26" t="s">
        <v>8891</v>
      </c>
      <c r="M140" s="26" t="s">
        <v>8919</v>
      </c>
      <c r="N140" s="26" t="s">
        <v>8936</v>
      </c>
      <c r="O140" s="26" t="s">
        <v>8938</v>
      </c>
      <c r="P140" s="26" t="s">
        <v>8940</v>
      </c>
      <c r="Q140" s="26" t="s">
        <v>8942</v>
      </c>
      <c r="R140" s="31" t="s">
        <v>8944</v>
      </c>
      <c r="S140" s="31" t="s">
        <v>8946</v>
      </c>
      <c r="T140" s="31"/>
      <c r="U140" s="31"/>
      <c r="V140" s="31"/>
      <c r="W140" s="31"/>
      <c r="X140" s="31"/>
      <c r="Y140" s="31"/>
      <c r="Z140" s="31"/>
      <c r="AA140" s="31"/>
      <c r="AB140" s="31"/>
      <c r="AC140" s="31"/>
      <c r="AD140" s="31"/>
      <c r="AE140" s="31"/>
      <c r="AF140" s="31"/>
      <c r="AG140" s="31"/>
      <c r="AH140" s="31"/>
      <c r="AI140" s="31"/>
      <c r="AJ140" s="31"/>
      <c r="AK140" s="31"/>
      <c r="AL140" s="31"/>
      <c r="AM140" s="31"/>
      <c r="AN140" s="31"/>
      <c r="AV140" s="49"/>
    </row>
    <row r="141" spans="1:48" ht="14.45" customHeight="1" x14ac:dyDescent="0.15">
      <c r="A141" s="36" t="s">
        <v>9395</v>
      </c>
      <c r="B141" s="145">
        <v>87</v>
      </c>
      <c r="C141" s="145">
        <v>1</v>
      </c>
      <c r="D141" s="145">
        <v>6</v>
      </c>
      <c r="I141" s="31"/>
      <c r="J141" s="839"/>
      <c r="K141" s="842"/>
      <c r="L141" s="26" t="s">
        <v>8892</v>
      </c>
      <c r="M141" s="26" t="s">
        <v>8920</v>
      </c>
      <c r="N141" s="26" t="s">
        <v>8937</v>
      </c>
      <c r="O141" s="26" t="s">
        <v>8939</v>
      </c>
      <c r="P141" s="26" t="s">
        <v>8941</v>
      </c>
      <c r="Q141" s="26" t="s">
        <v>8943</v>
      </c>
      <c r="R141" s="31" t="s">
        <v>8945</v>
      </c>
      <c r="S141" s="31" t="s">
        <v>8947</v>
      </c>
      <c r="T141" s="31"/>
      <c r="U141" s="31"/>
      <c r="V141" s="31"/>
      <c r="W141" s="31"/>
      <c r="X141" s="31"/>
      <c r="Y141" s="31"/>
      <c r="Z141" s="31"/>
      <c r="AA141" s="31"/>
      <c r="AB141" s="31"/>
      <c r="AC141" s="31"/>
      <c r="AD141" s="31"/>
      <c r="AE141" s="31"/>
      <c r="AF141" s="31"/>
      <c r="AG141" s="31"/>
      <c r="AH141" s="31"/>
      <c r="AI141" s="31"/>
      <c r="AJ141" s="31"/>
      <c r="AK141" s="31"/>
      <c r="AL141" s="31"/>
      <c r="AM141" s="31"/>
      <c r="AN141" s="31"/>
      <c r="AV141" s="49"/>
    </row>
    <row r="142" spans="1:48" ht="14.45" customHeight="1" x14ac:dyDescent="0.15">
      <c r="A142" s="36" t="s">
        <v>9396</v>
      </c>
      <c r="B142" s="145">
        <v>88</v>
      </c>
      <c r="C142" s="145">
        <v>1</v>
      </c>
      <c r="D142" s="145">
        <v>3</v>
      </c>
      <c r="I142" s="31"/>
      <c r="J142" s="839">
        <v>71</v>
      </c>
      <c r="K142" s="842" t="s">
        <v>8884</v>
      </c>
      <c r="L142" s="26" t="s">
        <v>8891</v>
      </c>
      <c r="M142" s="26" t="s">
        <v>8893</v>
      </c>
      <c r="N142" s="26" t="s">
        <v>7138</v>
      </c>
      <c r="O142" s="26" t="s">
        <v>8949</v>
      </c>
      <c r="P142" s="26" t="s">
        <v>8951</v>
      </c>
      <c r="Q142" s="26" t="s">
        <v>8953</v>
      </c>
      <c r="R142" s="31" t="s">
        <v>8955</v>
      </c>
      <c r="S142" s="31" t="s">
        <v>6905</v>
      </c>
      <c r="T142" s="31" t="s">
        <v>8958</v>
      </c>
      <c r="U142" s="31"/>
      <c r="V142" s="31"/>
      <c r="W142" s="31"/>
      <c r="X142" s="31"/>
      <c r="Y142" s="31"/>
      <c r="Z142" s="31"/>
      <c r="AA142" s="31"/>
      <c r="AB142" s="31"/>
      <c r="AC142" s="31"/>
      <c r="AD142" s="31"/>
      <c r="AE142" s="31"/>
      <c r="AF142" s="31"/>
      <c r="AG142" s="31"/>
      <c r="AH142" s="31"/>
      <c r="AI142" s="31"/>
      <c r="AJ142" s="31"/>
      <c r="AK142" s="31"/>
      <c r="AL142" s="31"/>
      <c r="AM142" s="31"/>
      <c r="AN142" s="31"/>
      <c r="AV142" s="49"/>
    </row>
    <row r="143" spans="1:48" ht="14.45" customHeight="1" x14ac:dyDescent="0.15">
      <c r="A143" s="36" t="s">
        <v>9397</v>
      </c>
      <c r="B143" s="145">
        <v>89</v>
      </c>
      <c r="C143" s="145">
        <v>1</v>
      </c>
      <c r="D143" s="145">
        <v>4</v>
      </c>
      <c r="I143" s="31"/>
      <c r="J143" s="839"/>
      <c r="K143" s="842"/>
      <c r="L143" s="26" t="s">
        <v>8934</v>
      </c>
      <c r="M143" s="26" t="s">
        <v>8894</v>
      </c>
      <c r="N143" s="26" t="s">
        <v>8948</v>
      </c>
      <c r="O143" s="26" t="s">
        <v>8950</v>
      </c>
      <c r="P143" s="26" t="s">
        <v>8952</v>
      </c>
      <c r="Q143" s="26" t="s">
        <v>8954</v>
      </c>
      <c r="R143" s="31" t="s">
        <v>8956</v>
      </c>
      <c r="S143" s="31" t="s">
        <v>8957</v>
      </c>
      <c r="T143" s="31" t="s">
        <v>9015</v>
      </c>
      <c r="U143" s="31"/>
      <c r="V143" s="31"/>
      <c r="W143" s="31"/>
      <c r="X143" s="31"/>
      <c r="Y143" s="31"/>
      <c r="Z143" s="31"/>
      <c r="AA143" s="31"/>
      <c r="AB143" s="31"/>
      <c r="AC143" s="31"/>
      <c r="AD143" s="31"/>
      <c r="AE143" s="31"/>
      <c r="AF143" s="31"/>
      <c r="AG143" s="31"/>
      <c r="AH143" s="31"/>
      <c r="AI143" s="31"/>
      <c r="AJ143" s="31"/>
      <c r="AK143" s="31"/>
      <c r="AL143" s="31"/>
      <c r="AM143" s="31"/>
      <c r="AN143" s="31"/>
      <c r="AV143" s="49"/>
    </row>
    <row r="144" spans="1:48" ht="14.45" customHeight="1" x14ac:dyDescent="0.15">
      <c r="A144" s="145" t="s">
        <v>3269</v>
      </c>
      <c r="B144" s="145">
        <v>90</v>
      </c>
      <c r="C144" s="145">
        <v>1</v>
      </c>
      <c r="D144" s="145">
        <v>5</v>
      </c>
      <c r="I144" s="31"/>
      <c r="J144" s="839">
        <v>72</v>
      </c>
      <c r="K144" s="842" t="s">
        <v>8885</v>
      </c>
      <c r="L144" s="26" t="s">
        <v>8891</v>
      </c>
      <c r="M144" s="26" t="s">
        <v>8893</v>
      </c>
      <c r="N144" s="26" t="s">
        <v>6991</v>
      </c>
      <c r="O144" s="26" t="s">
        <v>8959</v>
      </c>
      <c r="P144" s="26" t="s">
        <v>8961</v>
      </c>
      <c r="Q144" s="26" t="s">
        <v>8963</v>
      </c>
      <c r="R144" s="31" t="s">
        <v>3267</v>
      </c>
      <c r="S144" s="31" t="s">
        <v>8966</v>
      </c>
      <c r="T144" s="31"/>
      <c r="U144" s="31"/>
      <c r="V144" s="31"/>
      <c r="W144" s="31"/>
      <c r="X144" s="31"/>
      <c r="Y144" s="31"/>
      <c r="Z144" s="31"/>
      <c r="AA144" s="31"/>
      <c r="AB144" s="31"/>
      <c r="AC144" s="31"/>
      <c r="AD144" s="31"/>
      <c r="AE144" s="31"/>
      <c r="AF144" s="31"/>
      <c r="AG144" s="31"/>
      <c r="AH144" s="31"/>
      <c r="AI144" s="31"/>
      <c r="AJ144" s="31"/>
      <c r="AK144" s="31"/>
      <c r="AL144" s="31"/>
      <c r="AM144" s="31"/>
      <c r="AN144" s="31"/>
      <c r="AV144" s="49"/>
    </row>
    <row r="145" spans="1:48" ht="14.45" customHeight="1" x14ac:dyDescent="0.15">
      <c r="A145" s="145" t="s">
        <v>6966</v>
      </c>
      <c r="B145" s="145">
        <v>91</v>
      </c>
      <c r="C145" s="145">
        <v>1</v>
      </c>
      <c r="D145" s="145">
        <v>6</v>
      </c>
      <c r="I145" s="31"/>
      <c r="J145" s="839"/>
      <c r="K145" s="842"/>
      <c r="L145" s="26" t="s">
        <v>8935</v>
      </c>
      <c r="M145" s="26" t="s">
        <v>8894</v>
      </c>
      <c r="N145" s="26" t="s">
        <v>10183</v>
      </c>
      <c r="O145" s="26" t="s">
        <v>8960</v>
      </c>
      <c r="P145" s="26" t="s">
        <v>8962</v>
      </c>
      <c r="Q145" s="26" t="s">
        <v>8964</v>
      </c>
      <c r="R145" s="31" t="s">
        <v>8965</v>
      </c>
      <c r="S145" s="31" t="s">
        <v>8967</v>
      </c>
      <c r="T145" s="31"/>
      <c r="U145" s="31"/>
      <c r="V145" s="31"/>
      <c r="W145" s="31"/>
      <c r="X145" s="31"/>
      <c r="Y145" s="31"/>
      <c r="Z145" s="31"/>
      <c r="AA145" s="31"/>
      <c r="AB145" s="31"/>
      <c r="AC145" s="31"/>
      <c r="AD145" s="31"/>
      <c r="AE145" s="31"/>
      <c r="AF145" s="31"/>
      <c r="AG145" s="31"/>
      <c r="AH145" s="31"/>
      <c r="AI145" s="31"/>
      <c r="AJ145" s="31"/>
      <c r="AK145" s="31"/>
      <c r="AL145" s="31"/>
      <c r="AM145" s="31"/>
      <c r="AN145" s="31"/>
      <c r="AV145" s="49"/>
    </row>
    <row r="146" spans="1:48" ht="14.45" customHeight="1" x14ac:dyDescent="0.15">
      <c r="A146" s="145" t="s">
        <v>6967</v>
      </c>
      <c r="B146" s="145">
        <v>92</v>
      </c>
      <c r="C146" s="145">
        <v>1</v>
      </c>
      <c r="D146" s="145">
        <v>3</v>
      </c>
      <c r="I146" s="31"/>
      <c r="J146" s="839">
        <v>73</v>
      </c>
      <c r="K146" s="842" t="s">
        <v>8886</v>
      </c>
      <c r="L146" s="26" t="s">
        <v>8968</v>
      </c>
      <c r="M146" s="26" t="s">
        <v>8970</v>
      </c>
      <c r="N146" s="26" t="s">
        <v>3267</v>
      </c>
      <c r="O146" s="26" t="s">
        <v>8972</v>
      </c>
      <c r="P146" s="26" t="s">
        <v>8975</v>
      </c>
      <c r="Q146" s="26" t="s">
        <v>8976</v>
      </c>
      <c r="R146" s="31" t="s">
        <v>8978</v>
      </c>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V146" s="49"/>
    </row>
    <row r="147" spans="1:48" ht="14.45" customHeight="1" x14ac:dyDescent="0.15">
      <c r="A147" s="36" t="s">
        <v>10137</v>
      </c>
      <c r="B147" s="145">
        <v>93</v>
      </c>
      <c r="C147" s="145">
        <v>1</v>
      </c>
      <c r="D147" s="145">
        <v>4</v>
      </c>
      <c r="I147" s="31"/>
      <c r="J147" s="839"/>
      <c r="K147" s="842"/>
      <c r="L147" s="26" t="s">
        <v>8969</v>
      </c>
      <c r="M147" s="26" t="s">
        <v>8971</v>
      </c>
      <c r="N147" s="31" t="s">
        <v>8965</v>
      </c>
      <c r="O147" s="26" t="s">
        <v>8973</v>
      </c>
      <c r="P147" s="26" t="s">
        <v>8974</v>
      </c>
      <c r="Q147" s="26" t="s">
        <v>8977</v>
      </c>
      <c r="R147" s="31" t="s">
        <v>8979</v>
      </c>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V147" s="49"/>
    </row>
    <row r="148" spans="1:48" ht="14.45" customHeight="1" x14ac:dyDescent="0.15">
      <c r="A148" s="145" t="s">
        <v>10146</v>
      </c>
      <c r="B148" s="145">
        <v>94</v>
      </c>
      <c r="C148" s="145">
        <v>1</v>
      </c>
      <c r="D148" s="145">
        <v>4</v>
      </c>
      <c r="I148" s="31"/>
      <c r="J148" s="839">
        <v>74</v>
      </c>
      <c r="K148" s="842" t="s">
        <v>8887</v>
      </c>
      <c r="L148" s="26" t="s">
        <v>8980</v>
      </c>
      <c r="M148" s="26" t="s">
        <v>8982</v>
      </c>
      <c r="N148" s="26" t="s">
        <v>8984</v>
      </c>
      <c r="O148" s="26" t="s">
        <v>8986</v>
      </c>
      <c r="P148" s="26" t="s">
        <v>8988</v>
      </c>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V148" s="49"/>
    </row>
    <row r="149" spans="1:48" ht="14.45" customHeight="1" x14ac:dyDescent="0.15">
      <c r="A149" s="145" t="s">
        <v>10168</v>
      </c>
      <c r="B149" s="145">
        <v>95</v>
      </c>
      <c r="C149" s="145">
        <v>1</v>
      </c>
      <c r="D149" s="145">
        <v>3</v>
      </c>
      <c r="I149" s="31"/>
      <c r="J149" s="839"/>
      <c r="K149" s="842"/>
      <c r="L149" s="26" t="s">
        <v>8981</v>
      </c>
      <c r="M149" s="26" t="s">
        <v>8983</v>
      </c>
      <c r="N149" s="26" t="s">
        <v>8985</v>
      </c>
      <c r="O149" s="26" t="s">
        <v>8987</v>
      </c>
      <c r="P149" s="26" t="s">
        <v>8989</v>
      </c>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V149" s="49"/>
    </row>
    <row r="150" spans="1:48" ht="14.45" customHeight="1" x14ac:dyDescent="0.15">
      <c r="A150" s="145" t="s">
        <v>10178</v>
      </c>
      <c r="B150" s="145">
        <v>96</v>
      </c>
      <c r="C150" s="145">
        <v>1</v>
      </c>
      <c r="D150" s="145">
        <v>3</v>
      </c>
      <c r="I150" s="31"/>
      <c r="J150" s="839">
        <v>75</v>
      </c>
      <c r="K150" s="842" t="s">
        <v>8888</v>
      </c>
      <c r="L150" s="26" t="s">
        <v>8972</v>
      </c>
      <c r="M150" s="26" t="s">
        <v>6905</v>
      </c>
      <c r="N150" s="26" t="s">
        <v>8991</v>
      </c>
      <c r="O150" s="26" t="s">
        <v>8993</v>
      </c>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V150" s="49"/>
    </row>
    <row r="151" spans="1:48" ht="14.45" customHeight="1" x14ac:dyDescent="0.15">
      <c r="A151" s="145" t="s">
        <v>10179</v>
      </c>
      <c r="B151" s="145">
        <v>97</v>
      </c>
      <c r="C151" s="145">
        <v>1</v>
      </c>
      <c r="D151" s="145">
        <v>4</v>
      </c>
      <c r="I151" s="31"/>
      <c r="J151" s="839"/>
      <c r="K151" s="842"/>
      <c r="L151" s="26" t="s">
        <v>8973</v>
      </c>
      <c r="M151" s="26" t="s">
        <v>8990</v>
      </c>
      <c r="N151" s="26" t="s">
        <v>8992</v>
      </c>
      <c r="O151" s="26" t="s">
        <v>8994</v>
      </c>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V151" s="49"/>
    </row>
    <row r="152" spans="1:48" ht="14.45" customHeight="1" x14ac:dyDescent="0.15">
      <c r="A152" s="145" t="s">
        <v>10189</v>
      </c>
      <c r="B152" s="145">
        <v>98</v>
      </c>
      <c r="C152" s="145">
        <v>1</v>
      </c>
      <c r="D152" s="145">
        <v>4</v>
      </c>
      <c r="I152" s="31"/>
      <c r="J152" s="839">
        <v>76</v>
      </c>
      <c r="K152" s="842" t="s">
        <v>8889</v>
      </c>
      <c r="L152" s="26" t="s">
        <v>6991</v>
      </c>
      <c r="M152" s="26" t="s">
        <v>8995</v>
      </c>
      <c r="N152" s="26" t="s">
        <v>8997</v>
      </c>
      <c r="O152" s="26" t="s">
        <v>8998</v>
      </c>
      <c r="P152" s="26" t="s">
        <v>8911</v>
      </c>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V152" s="49"/>
    </row>
    <row r="153" spans="1:48" ht="14.45" customHeight="1" x14ac:dyDescent="0.15">
      <c r="A153" s="145" t="s">
        <v>10190</v>
      </c>
      <c r="B153" s="145">
        <v>99</v>
      </c>
      <c r="C153" s="145">
        <v>1</v>
      </c>
      <c r="D153" s="145">
        <v>4</v>
      </c>
      <c r="I153" s="31"/>
      <c r="J153" s="839"/>
      <c r="K153" s="842"/>
      <c r="L153" s="26" t="s">
        <v>754</v>
      </c>
      <c r="M153" s="26" t="s">
        <v>8996</v>
      </c>
      <c r="N153" s="26" t="s">
        <v>8943</v>
      </c>
      <c r="O153" s="26" t="s">
        <v>8999</v>
      </c>
      <c r="P153" s="26" t="s">
        <v>8912</v>
      </c>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V153" s="49"/>
    </row>
    <row r="154" spans="1:48" ht="14.45" customHeight="1" x14ac:dyDescent="0.15">
      <c r="A154" s="145" t="s">
        <v>10191</v>
      </c>
      <c r="B154" s="145">
        <v>100</v>
      </c>
      <c r="C154" s="145">
        <v>1</v>
      </c>
      <c r="D154" s="145">
        <v>4</v>
      </c>
      <c r="I154" s="31"/>
      <c r="J154" s="839">
        <v>77</v>
      </c>
      <c r="K154" s="842" t="s">
        <v>8890</v>
      </c>
      <c r="L154" s="26" t="s">
        <v>6991</v>
      </c>
      <c r="M154" s="26" t="s">
        <v>9000</v>
      </c>
      <c r="N154" s="26" t="s">
        <v>9002</v>
      </c>
      <c r="O154" s="26" t="s">
        <v>9004</v>
      </c>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V154" s="49"/>
    </row>
    <row r="155" spans="1:48" ht="14.45" customHeight="1" x14ac:dyDescent="0.15">
      <c r="A155" s="145" t="s">
        <v>10192</v>
      </c>
      <c r="B155" s="145">
        <v>101</v>
      </c>
      <c r="C155" s="145">
        <v>1</v>
      </c>
      <c r="D155" s="145">
        <v>5</v>
      </c>
      <c r="I155" s="31"/>
      <c r="J155" s="839"/>
      <c r="K155" s="842"/>
      <c r="L155" s="26" t="s">
        <v>10183</v>
      </c>
      <c r="M155" s="26" t="s">
        <v>9001</v>
      </c>
      <c r="N155" s="26" t="s">
        <v>9003</v>
      </c>
      <c r="O155" s="26" t="s">
        <v>9005</v>
      </c>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V155" s="49"/>
    </row>
    <row r="156" spans="1:48" ht="14.45" customHeight="1" x14ac:dyDescent="0.15">
      <c r="A156" s="144" t="s">
        <v>3209</v>
      </c>
      <c r="B156" s="145">
        <v>102</v>
      </c>
      <c r="C156" s="145">
        <v>1</v>
      </c>
      <c r="D156" s="145">
        <v>2</v>
      </c>
      <c r="I156" s="31"/>
      <c r="J156" s="839">
        <v>78</v>
      </c>
      <c r="K156" s="842" t="s">
        <v>9088</v>
      </c>
      <c r="L156" s="26" t="s">
        <v>6991</v>
      </c>
      <c r="M156" s="26" t="s">
        <v>9090</v>
      </c>
      <c r="N156" s="26" t="s">
        <v>9092</v>
      </c>
      <c r="O156" s="26"/>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V156" s="49"/>
    </row>
    <row r="157" spans="1:48" ht="14.45" customHeight="1" x14ac:dyDescent="0.15">
      <c r="A157" s="144" t="s">
        <v>3202</v>
      </c>
      <c r="B157" s="145">
        <v>103</v>
      </c>
      <c r="C157" s="145">
        <v>1</v>
      </c>
      <c r="D157" s="145">
        <v>4</v>
      </c>
      <c r="I157" s="31"/>
      <c r="J157" s="839"/>
      <c r="K157" s="842"/>
      <c r="L157" s="26" t="s">
        <v>10184</v>
      </c>
      <c r="M157" s="26" t="s">
        <v>9091</v>
      </c>
      <c r="N157" s="26" t="s">
        <v>9093</v>
      </c>
      <c r="O157" s="26"/>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V157" s="49"/>
    </row>
    <row r="158" spans="1:48" ht="14.45" customHeight="1" x14ac:dyDescent="0.15">
      <c r="A158" s="145" t="s">
        <v>10238</v>
      </c>
      <c r="B158" s="145">
        <v>104</v>
      </c>
      <c r="C158" s="145">
        <v>1</v>
      </c>
      <c r="D158" s="145">
        <v>5</v>
      </c>
      <c r="I158" s="31"/>
      <c r="J158" s="839">
        <v>79</v>
      </c>
      <c r="K158" s="842" t="s">
        <v>9089</v>
      </c>
      <c r="L158" s="26" t="s">
        <v>6991</v>
      </c>
      <c r="M158" s="26" t="s">
        <v>9095</v>
      </c>
      <c r="N158" s="26" t="s">
        <v>9097</v>
      </c>
      <c r="O158" s="26" t="s">
        <v>9099</v>
      </c>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V158" s="49"/>
    </row>
    <row r="159" spans="1:48" ht="14.45" customHeight="1" x14ac:dyDescent="0.15">
      <c r="A159" s="144" t="s">
        <v>3232</v>
      </c>
      <c r="B159" s="145">
        <v>105</v>
      </c>
      <c r="C159" s="145">
        <v>1</v>
      </c>
      <c r="D159" s="145">
        <v>3</v>
      </c>
      <c r="I159" s="31"/>
      <c r="J159" s="839"/>
      <c r="K159" s="842"/>
      <c r="L159" s="26" t="s">
        <v>9094</v>
      </c>
      <c r="M159" s="26" t="s">
        <v>9096</v>
      </c>
      <c r="N159" s="26" t="s">
        <v>9098</v>
      </c>
      <c r="O159" s="26" t="s">
        <v>9100</v>
      </c>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V159" s="49"/>
    </row>
    <row r="160" spans="1:48" ht="14.45" customHeight="1" x14ac:dyDescent="0.15">
      <c r="A160" s="121" t="s">
        <v>3265</v>
      </c>
      <c r="C160" s="30">
        <v>4</v>
      </c>
      <c r="D160" s="30">
        <v>4</v>
      </c>
      <c r="I160" s="31"/>
      <c r="J160" s="839">
        <v>80</v>
      </c>
      <c r="K160" s="842" t="s">
        <v>9388</v>
      </c>
      <c r="L160" s="26" t="s">
        <v>9474</v>
      </c>
      <c r="M160" s="26" t="s">
        <v>9476</v>
      </c>
      <c r="N160" s="26" t="s">
        <v>8976</v>
      </c>
      <c r="O160" s="26" t="s">
        <v>9480</v>
      </c>
      <c r="P160" s="26" t="s">
        <v>9482</v>
      </c>
      <c r="Q160" s="26" t="s">
        <v>6991</v>
      </c>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V160" s="49"/>
    </row>
    <row r="161" spans="1:48" ht="14.45" customHeight="1" x14ac:dyDescent="0.15">
      <c r="A161" s="121" t="s">
        <v>3266</v>
      </c>
      <c r="C161" s="30">
        <v>5</v>
      </c>
      <c r="D161" s="30">
        <v>5</v>
      </c>
      <c r="I161" s="31"/>
      <c r="J161" s="839"/>
      <c r="K161" s="842"/>
      <c r="L161" s="26" t="s">
        <v>9475</v>
      </c>
      <c r="M161" s="26" t="s">
        <v>9477</v>
      </c>
      <c r="N161" s="26" t="s">
        <v>9478</v>
      </c>
      <c r="O161" s="26" t="s">
        <v>9481</v>
      </c>
      <c r="P161" s="26" t="s">
        <v>9483</v>
      </c>
      <c r="Q161" s="26" t="s">
        <v>754</v>
      </c>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V161" s="49"/>
    </row>
    <row r="162" spans="1:48" ht="14.45" customHeight="1" x14ac:dyDescent="0.15">
      <c r="A162" s="121" t="s">
        <v>3267</v>
      </c>
      <c r="C162" s="30">
        <v>6</v>
      </c>
      <c r="D162" s="30">
        <v>6</v>
      </c>
      <c r="I162" s="31"/>
      <c r="J162" s="839">
        <v>81</v>
      </c>
      <c r="K162" s="842" t="s">
        <v>9389</v>
      </c>
      <c r="L162" s="26" t="s">
        <v>6991</v>
      </c>
      <c r="M162" s="26" t="s">
        <v>9484</v>
      </c>
      <c r="N162" s="26" t="s">
        <v>9486</v>
      </c>
      <c r="O162" s="26" t="s">
        <v>9488</v>
      </c>
      <c r="P162" s="26" t="s">
        <v>9402</v>
      </c>
      <c r="Q162" s="26" t="s">
        <v>9491</v>
      </c>
      <c r="R162" s="31" t="s">
        <v>9493</v>
      </c>
      <c r="S162" s="31" t="s">
        <v>9497</v>
      </c>
      <c r="T162" s="31" t="s">
        <v>9498</v>
      </c>
      <c r="U162" s="31" t="s">
        <v>9499</v>
      </c>
      <c r="V162" s="31" t="s">
        <v>9501</v>
      </c>
      <c r="W162" s="31" t="s">
        <v>9503</v>
      </c>
      <c r="X162" s="31" t="s">
        <v>9504</v>
      </c>
      <c r="Y162" s="31" t="s">
        <v>9506</v>
      </c>
      <c r="Z162" s="31"/>
      <c r="AA162" s="31"/>
      <c r="AB162" s="31"/>
      <c r="AC162" s="31"/>
      <c r="AD162" s="31"/>
      <c r="AE162" s="31"/>
      <c r="AF162" s="31"/>
      <c r="AG162" s="31"/>
      <c r="AH162" s="31"/>
      <c r="AI162" s="31"/>
      <c r="AJ162" s="31"/>
      <c r="AK162" s="31"/>
      <c r="AL162" s="31"/>
      <c r="AM162" s="31"/>
      <c r="AN162" s="31"/>
      <c r="AV162" s="49"/>
    </row>
    <row r="163" spans="1:48" ht="14.45" customHeight="1" x14ac:dyDescent="0.15">
      <c r="A163" s="121" t="s">
        <v>3268</v>
      </c>
      <c r="C163" s="30">
        <v>7</v>
      </c>
      <c r="D163" s="30">
        <v>7</v>
      </c>
      <c r="I163" s="31"/>
      <c r="J163" s="839"/>
      <c r="K163" s="842"/>
      <c r="L163" s="26" t="s">
        <v>754</v>
      </c>
      <c r="M163" s="26" t="s">
        <v>9485</v>
      </c>
      <c r="N163" s="26" t="s">
        <v>9487</v>
      </c>
      <c r="O163" s="26" t="s">
        <v>9489</v>
      </c>
      <c r="P163" s="26" t="s">
        <v>9490</v>
      </c>
      <c r="Q163" s="26" t="s">
        <v>9492</v>
      </c>
      <c r="R163" s="31" t="s">
        <v>9494</v>
      </c>
      <c r="S163" s="31" t="s">
        <v>9495</v>
      </c>
      <c r="T163" s="31" t="s">
        <v>9496</v>
      </c>
      <c r="U163" s="31" t="s">
        <v>9500</v>
      </c>
      <c r="V163" s="31" t="s">
        <v>9502</v>
      </c>
      <c r="W163" s="31" t="s">
        <v>9505</v>
      </c>
      <c r="X163" s="31" t="s">
        <v>6970</v>
      </c>
      <c r="Y163" s="31" t="s">
        <v>9507</v>
      </c>
      <c r="Z163" s="31"/>
      <c r="AA163" s="31"/>
      <c r="AB163" s="31"/>
      <c r="AC163" s="31"/>
      <c r="AD163" s="31"/>
      <c r="AE163" s="31"/>
      <c r="AF163" s="31"/>
      <c r="AG163" s="31"/>
      <c r="AH163" s="31"/>
      <c r="AI163" s="31"/>
      <c r="AJ163" s="31"/>
      <c r="AK163" s="31"/>
      <c r="AL163" s="31"/>
      <c r="AM163" s="31"/>
      <c r="AN163" s="31"/>
      <c r="AV163" s="49"/>
    </row>
    <row r="164" spans="1:48" ht="14.45" customHeight="1" x14ac:dyDescent="0.15">
      <c r="A164" s="146" t="s">
        <v>3201</v>
      </c>
      <c r="B164" s="145">
        <v>106</v>
      </c>
      <c r="C164" s="145">
        <v>1</v>
      </c>
      <c r="D164" s="145">
        <v>5</v>
      </c>
      <c r="I164" s="31"/>
      <c r="J164" s="839">
        <v>82</v>
      </c>
      <c r="K164" s="842" t="s">
        <v>9390</v>
      </c>
      <c r="L164" s="26" t="s">
        <v>6991</v>
      </c>
      <c r="M164" s="26" t="s">
        <v>9508</v>
      </c>
      <c r="N164" s="26" t="s">
        <v>9510</v>
      </c>
      <c r="O164" s="26" t="s">
        <v>9512</v>
      </c>
      <c r="P164" s="26" t="s">
        <v>9402</v>
      </c>
      <c r="Q164" s="26" t="s">
        <v>9515</v>
      </c>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V164" s="49"/>
    </row>
    <row r="165" spans="1:48" ht="14.45" customHeight="1" x14ac:dyDescent="0.15">
      <c r="I165" s="31"/>
      <c r="J165" s="839"/>
      <c r="K165" s="842"/>
      <c r="L165" s="26" t="s">
        <v>754</v>
      </c>
      <c r="M165" s="26" t="s">
        <v>9509</v>
      </c>
      <c r="N165" s="26" t="s">
        <v>9511</v>
      </c>
      <c r="O165" s="26" t="s">
        <v>9513</v>
      </c>
      <c r="P165" s="26" t="s">
        <v>9514</v>
      </c>
      <c r="Q165" s="26" t="s">
        <v>9516</v>
      </c>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V165" s="49"/>
    </row>
    <row r="166" spans="1:48" ht="14.45" customHeight="1" x14ac:dyDescent="0.15">
      <c r="I166" s="31"/>
      <c r="J166" s="839">
        <v>83</v>
      </c>
      <c r="K166" s="842" t="s">
        <v>9391</v>
      </c>
      <c r="L166" s="26" t="s">
        <v>6991</v>
      </c>
      <c r="M166" s="26" t="s">
        <v>9517</v>
      </c>
      <c r="N166" s="26" t="s">
        <v>9519</v>
      </c>
      <c r="O166" s="26" t="s">
        <v>9521</v>
      </c>
      <c r="P166" s="26" t="s">
        <v>9523</v>
      </c>
      <c r="Q166" s="26" t="s">
        <v>9525</v>
      </c>
      <c r="R166" s="31" t="s">
        <v>9527</v>
      </c>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V166" s="49"/>
    </row>
    <row r="167" spans="1:48" ht="14.45" customHeight="1" x14ac:dyDescent="0.15">
      <c r="I167" s="31"/>
      <c r="J167" s="839"/>
      <c r="K167" s="842"/>
      <c r="L167" s="26" t="s">
        <v>754</v>
      </c>
      <c r="M167" s="26" t="s">
        <v>9518</v>
      </c>
      <c r="N167" s="26" t="s">
        <v>9520</v>
      </c>
      <c r="O167" s="26" t="s">
        <v>9522</v>
      </c>
      <c r="P167" s="26" t="s">
        <v>9524</v>
      </c>
      <c r="Q167" s="26" t="s">
        <v>9526</v>
      </c>
      <c r="R167" s="31" t="s">
        <v>9528</v>
      </c>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V167" s="49"/>
    </row>
    <row r="168" spans="1:48" ht="14.45" customHeight="1" x14ac:dyDescent="0.15">
      <c r="I168" s="31"/>
      <c r="J168" s="839">
        <v>84</v>
      </c>
      <c r="K168" s="842" t="s">
        <v>9392</v>
      </c>
      <c r="L168" s="26" t="s">
        <v>6991</v>
      </c>
      <c r="M168" s="26" t="s">
        <v>9529</v>
      </c>
      <c r="N168" s="26" t="s">
        <v>6905</v>
      </c>
      <c r="O168" s="26" t="s">
        <v>9532</v>
      </c>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V168" s="49"/>
    </row>
    <row r="169" spans="1:48" ht="14.45" customHeight="1" x14ac:dyDescent="0.15">
      <c r="I169" s="31"/>
      <c r="J169" s="839"/>
      <c r="K169" s="842"/>
      <c r="L169" s="26" t="s">
        <v>754</v>
      </c>
      <c r="M169" s="26" t="s">
        <v>9530</v>
      </c>
      <c r="N169" s="26" t="s">
        <v>9531</v>
      </c>
      <c r="O169" s="26" t="s">
        <v>9533</v>
      </c>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V169" s="49"/>
    </row>
    <row r="170" spans="1:48" ht="14.45" customHeight="1" x14ac:dyDescent="0.15">
      <c r="I170" s="31"/>
      <c r="J170" s="839">
        <v>85</v>
      </c>
      <c r="K170" s="842" t="s">
        <v>9393</v>
      </c>
      <c r="L170" s="26" t="s">
        <v>6991</v>
      </c>
      <c r="M170" s="26" t="s">
        <v>9534</v>
      </c>
      <c r="N170" s="26" t="s">
        <v>9536</v>
      </c>
      <c r="O170" s="26" t="s">
        <v>9538</v>
      </c>
      <c r="P170" s="26" t="s">
        <v>9541</v>
      </c>
      <c r="Q170" s="26" t="s">
        <v>9542</v>
      </c>
      <c r="R170" s="31" t="s">
        <v>9544</v>
      </c>
      <c r="S170" s="31" t="s">
        <v>9547</v>
      </c>
      <c r="T170" s="31" t="s">
        <v>9548</v>
      </c>
      <c r="U170" s="31"/>
      <c r="V170" s="31"/>
      <c r="W170" s="31"/>
      <c r="X170" s="31"/>
      <c r="Y170" s="31"/>
      <c r="Z170" s="31"/>
      <c r="AA170" s="31"/>
      <c r="AB170" s="31"/>
      <c r="AC170" s="31"/>
      <c r="AD170" s="31"/>
      <c r="AE170" s="31"/>
      <c r="AF170" s="31"/>
      <c r="AG170" s="31"/>
      <c r="AH170" s="31"/>
      <c r="AI170" s="31"/>
      <c r="AJ170" s="31"/>
      <c r="AK170" s="31"/>
      <c r="AL170" s="31"/>
      <c r="AM170" s="31"/>
      <c r="AN170" s="31"/>
      <c r="AV170" s="49"/>
    </row>
    <row r="171" spans="1:48" ht="14.45" customHeight="1" x14ac:dyDescent="0.15">
      <c r="I171" s="31"/>
      <c r="J171" s="839"/>
      <c r="K171" s="842"/>
      <c r="L171" s="26" t="s">
        <v>754</v>
      </c>
      <c r="M171" s="26" t="s">
        <v>9535</v>
      </c>
      <c r="N171" s="26" t="s">
        <v>9537</v>
      </c>
      <c r="O171" s="26" t="s">
        <v>9539</v>
      </c>
      <c r="P171" s="26" t="s">
        <v>9540</v>
      </c>
      <c r="Q171" s="26" t="s">
        <v>9543</v>
      </c>
      <c r="R171" s="31" t="s">
        <v>9545</v>
      </c>
      <c r="S171" s="31" t="s">
        <v>9546</v>
      </c>
      <c r="T171" s="31" t="s">
        <v>9549</v>
      </c>
      <c r="U171" s="31"/>
      <c r="V171" s="31"/>
      <c r="W171" s="31"/>
      <c r="X171" s="31"/>
      <c r="Y171" s="31"/>
      <c r="Z171" s="31"/>
      <c r="AA171" s="31"/>
      <c r="AB171" s="31"/>
      <c r="AC171" s="31"/>
      <c r="AD171" s="31"/>
      <c r="AE171" s="31"/>
      <c r="AF171" s="31"/>
      <c r="AG171" s="31"/>
      <c r="AH171" s="31"/>
      <c r="AI171" s="31"/>
      <c r="AJ171" s="31"/>
      <c r="AK171" s="31"/>
      <c r="AL171" s="31"/>
      <c r="AM171" s="31"/>
      <c r="AN171" s="31"/>
      <c r="AV171" s="49"/>
    </row>
    <row r="172" spans="1:48" ht="14.45" customHeight="1" x14ac:dyDescent="0.15">
      <c r="I172" s="31"/>
      <c r="J172" s="839">
        <v>86</v>
      </c>
      <c r="K172" s="842" t="s">
        <v>9394</v>
      </c>
      <c r="L172" s="26" t="s">
        <v>6991</v>
      </c>
      <c r="M172" s="26" t="s">
        <v>9550</v>
      </c>
      <c r="N172" s="26" t="s">
        <v>9552</v>
      </c>
      <c r="O172" s="26" t="s">
        <v>9554</v>
      </c>
      <c r="P172" s="26" t="s">
        <v>9556</v>
      </c>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V172" s="49"/>
    </row>
    <row r="173" spans="1:48" ht="14.45" customHeight="1" x14ac:dyDescent="0.15">
      <c r="I173" s="31"/>
      <c r="J173" s="839"/>
      <c r="K173" s="842"/>
      <c r="L173" s="26" t="s">
        <v>754</v>
      </c>
      <c r="M173" s="26" t="s">
        <v>9551</v>
      </c>
      <c r="N173" s="26" t="s">
        <v>9553</v>
      </c>
      <c r="O173" s="26" t="s">
        <v>9555</v>
      </c>
      <c r="P173" s="26" t="s">
        <v>9557</v>
      </c>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V173" s="49"/>
    </row>
    <row r="174" spans="1:48" ht="14.45" customHeight="1" x14ac:dyDescent="0.15">
      <c r="I174" s="31"/>
      <c r="J174" s="839">
        <v>87</v>
      </c>
      <c r="K174" s="842" t="s">
        <v>9395</v>
      </c>
      <c r="L174" s="26" t="s">
        <v>6991</v>
      </c>
      <c r="M174" s="26" t="s">
        <v>9558</v>
      </c>
      <c r="N174" s="26" t="s">
        <v>9560</v>
      </c>
      <c r="O174" s="26" t="s">
        <v>9486</v>
      </c>
      <c r="P174" s="26" t="s">
        <v>9563</v>
      </c>
      <c r="Q174" s="26" t="s">
        <v>9565</v>
      </c>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V174" s="49"/>
    </row>
    <row r="175" spans="1:48" ht="14.45" customHeight="1" x14ac:dyDescent="0.15">
      <c r="I175" s="31"/>
      <c r="J175" s="839"/>
      <c r="K175" s="842"/>
      <c r="L175" s="26" t="s">
        <v>754</v>
      </c>
      <c r="M175" s="26" t="s">
        <v>9559</v>
      </c>
      <c r="N175" s="26" t="s">
        <v>9561</v>
      </c>
      <c r="O175" s="26" t="s">
        <v>9562</v>
      </c>
      <c r="P175" s="26" t="s">
        <v>9564</v>
      </c>
      <c r="Q175" s="26" t="s">
        <v>9566</v>
      </c>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V175" s="49"/>
    </row>
    <row r="176" spans="1:48" ht="14.45" customHeight="1" x14ac:dyDescent="0.15">
      <c r="I176" s="31"/>
      <c r="J176" s="839">
        <v>88</v>
      </c>
      <c r="K176" s="842" t="s">
        <v>9396</v>
      </c>
      <c r="L176" s="26" t="s">
        <v>9567</v>
      </c>
      <c r="M176" s="26" t="s">
        <v>9569</v>
      </c>
      <c r="N176" s="26" t="s">
        <v>9571</v>
      </c>
      <c r="O176" s="26"/>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V176" s="49"/>
    </row>
    <row r="177" spans="9:48" ht="14.45" customHeight="1" x14ac:dyDescent="0.15">
      <c r="I177" s="31"/>
      <c r="J177" s="839"/>
      <c r="K177" s="842"/>
      <c r="L177" s="26" t="s">
        <v>9568</v>
      </c>
      <c r="M177" s="26" t="s">
        <v>9570</v>
      </c>
      <c r="N177" s="26" t="s">
        <v>9572</v>
      </c>
      <c r="O177" s="26"/>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V177" s="49"/>
    </row>
    <row r="178" spans="9:48" ht="14.45" customHeight="1" x14ac:dyDescent="0.15">
      <c r="I178" s="31"/>
      <c r="J178" s="839">
        <v>89</v>
      </c>
      <c r="K178" s="842" t="s">
        <v>9397</v>
      </c>
      <c r="L178" s="26" t="s">
        <v>6991</v>
      </c>
      <c r="M178" s="26" t="s">
        <v>9573</v>
      </c>
      <c r="N178" s="26" t="s">
        <v>9575</v>
      </c>
      <c r="O178" s="26" t="s">
        <v>9577</v>
      </c>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V178" s="49"/>
    </row>
    <row r="179" spans="9:48" ht="14.45" customHeight="1" x14ac:dyDescent="0.15">
      <c r="I179" s="31"/>
      <c r="J179" s="839"/>
      <c r="K179" s="842"/>
      <c r="L179" s="26" t="s">
        <v>754</v>
      </c>
      <c r="M179" s="26" t="s">
        <v>9574</v>
      </c>
      <c r="N179" s="26" t="s">
        <v>9576</v>
      </c>
      <c r="O179" s="26" t="s">
        <v>9578</v>
      </c>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V179" s="49"/>
    </row>
    <row r="180" spans="9:48" ht="14.45" customHeight="1" x14ac:dyDescent="0.15">
      <c r="I180" s="31"/>
      <c r="J180" s="839">
        <v>90</v>
      </c>
      <c r="K180" s="844" t="s">
        <v>3269</v>
      </c>
      <c r="L180" s="31" t="s">
        <v>3528</v>
      </c>
      <c r="M180" s="31" t="s">
        <v>746</v>
      </c>
      <c r="N180" s="42" t="s">
        <v>3529</v>
      </c>
      <c r="O180" s="42" t="s">
        <v>3530</v>
      </c>
      <c r="P180" s="42" t="s">
        <v>3531</v>
      </c>
      <c r="Q180" s="42"/>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V180" s="49"/>
    </row>
    <row r="181" spans="9:48" ht="14.45" customHeight="1" x14ac:dyDescent="0.15">
      <c r="I181" s="31"/>
      <c r="J181" s="839"/>
      <c r="K181" s="844"/>
      <c r="L181" s="42" t="s">
        <v>3532</v>
      </c>
      <c r="M181" s="31" t="s">
        <v>754</v>
      </c>
      <c r="N181" s="42" t="s">
        <v>3533</v>
      </c>
      <c r="O181" s="42" t="s">
        <v>3534</v>
      </c>
      <c r="P181" s="42" t="s">
        <v>3535</v>
      </c>
      <c r="Q181" s="42"/>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V181" s="49"/>
    </row>
    <row r="182" spans="9:48" ht="14.45" customHeight="1" x14ac:dyDescent="0.15">
      <c r="I182" s="31"/>
      <c r="J182" s="839">
        <v>91</v>
      </c>
      <c r="K182" s="844" t="s">
        <v>6966</v>
      </c>
      <c r="L182" s="30" t="s">
        <v>3536</v>
      </c>
      <c r="M182" s="30" t="s">
        <v>746</v>
      </c>
      <c r="N182" s="30" t="s">
        <v>3537</v>
      </c>
      <c r="O182" s="30" t="s">
        <v>3538</v>
      </c>
      <c r="P182" s="30" t="s">
        <v>3539</v>
      </c>
      <c r="Q182" s="30" t="s">
        <v>3540</v>
      </c>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V182" s="49"/>
    </row>
    <row r="183" spans="9:48" ht="14.45" customHeight="1" x14ac:dyDescent="0.15">
      <c r="I183" s="31"/>
      <c r="J183" s="839"/>
      <c r="K183" s="844"/>
      <c r="L183" s="30" t="s">
        <v>3532</v>
      </c>
      <c r="M183" s="30" t="s">
        <v>754</v>
      </c>
      <c r="N183" s="30" t="s">
        <v>3541</v>
      </c>
      <c r="O183" s="30" t="s">
        <v>3542</v>
      </c>
      <c r="P183" s="30" t="s">
        <v>3543</v>
      </c>
      <c r="Q183" s="30" t="s">
        <v>3544</v>
      </c>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V183" s="49"/>
    </row>
    <row r="184" spans="9:48" ht="14.45" customHeight="1" x14ac:dyDescent="0.15">
      <c r="I184" s="31"/>
      <c r="J184" s="839">
        <v>92</v>
      </c>
      <c r="K184" s="843" t="s">
        <v>6967</v>
      </c>
      <c r="L184" s="31" t="s">
        <v>3536</v>
      </c>
      <c r="M184" s="31" t="s">
        <v>3529</v>
      </c>
      <c r="N184" s="31" t="s">
        <v>3545</v>
      </c>
      <c r="O184" s="31"/>
      <c r="P184" s="31"/>
      <c r="Z184" s="31"/>
      <c r="AA184" s="31"/>
      <c r="AB184" s="31"/>
      <c r="AC184" s="31"/>
      <c r="AD184" s="31"/>
      <c r="AE184" s="31"/>
      <c r="AF184" s="31"/>
      <c r="AG184" s="31"/>
      <c r="AH184" s="31"/>
      <c r="AI184" s="31"/>
      <c r="AJ184" s="31"/>
      <c r="AK184" s="31"/>
      <c r="AL184" s="31"/>
      <c r="AM184" s="31"/>
      <c r="AN184" s="31"/>
      <c r="AV184" s="49"/>
    </row>
    <row r="185" spans="9:48" ht="14.45" customHeight="1" x14ac:dyDescent="0.15">
      <c r="I185" s="31"/>
      <c r="J185" s="839"/>
      <c r="K185" s="843"/>
      <c r="L185" s="31" t="s">
        <v>3532</v>
      </c>
      <c r="M185" s="31" t="s">
        <v>3546</v>
      </c>
      <c r="N185" s="31" t="s">
        <v>3547</v>
      </c>
      <c r="O185" s="31"/>
      <c r="P185" s="31"/>
      <c r="Z185" s="31"/>
      <c r="AA185" s="31"/>
      <c r="AB185" s="31"/>
      <c r="AC185" s="31"/>
      <c r="AD185" s="31"/>
      <c r="AE185" s="31"/>
      <c r="AF185" s="31"/>
      <c r="AG185" s="31"/>
      <c r="AH185" s="31"/>
      <c r="AI185" s="31"/>
      <c r="AJ185" s="31"/>
      <c r="AK185" s="31"/>
      <c r="AL185" s="31"/>
      <c r="AM185" s="31"/>
      <c r="AN185" s="31"/>
      <c r="AV185" s="49"/>
    </row>
    <row r="186" spans="9:48" ht="14.45" customHeight="1" x14ac:dyDescent="0.15">
      <c r="I186" s="31"/>
      <c r="J186" s="839">
        <v>93</v>
      </c>
      <c r="K186" s="841" t="s">
        <v>10137</v>
      </c>
      <c r="L186" s="26" t="s">
        <v>10138</v>
      </c>
      <c r="M186" s="26" t="s">
        <v>6991</v>
      </c>
      <c r="N186" s="26" t="s">
        <v>10142</v>
      </c>
      <c r="O186" s="26" t="s">
        <v>10144</v>
      </c>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V186" s="49"/>
    </row>
    <row r="187" spans="9:48" ht="14.45" customHeight="1" x14ac:dyDescent="0.15">
      <c r="I187" s="31"/>
      <c r="J187" s="839"/>
      <c r="K187" s="842"/>
      <c r="L187" s="26" t="s">
        <v>10139</v>
      </c>
      <c r="M187" s="26" t="s">
        <v>10141</v>
      </c>
      <c r="N187" s="26" t="s">
        <v>10143</v>
      </c>
      <c r="O187" s="26" t="s">
        <v>10145</v>
      </c>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V187" s="49"/>
    </row>
    <row r="188" spans="9:48" ht="14.45" customHeight="1" x14ac:dyDescent="0.15">
      <c r="I188" s="31"/>
      <c r="J188" s="839">
        <v>94</v>
      </c>
      <c r="K188" s="841" t="s">
        <v>10146</v>
      </c>
      <c r="L188" s="31" t="s">
        <v>746</v>
      </c>
      <c r="M188" s="42" t="s">
        <v>3324</v>
      </c>
      <c r="N188" s="31" t="s">
        <v>3396</v>
      </c>
      <c r="O188" s="31" t="s">
        <v>3397</v>
      </c>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V188" s="49"/>
    </row>
    <row r="189" spans="9:48" ht="14.45" customHeight="1" x14ac:dyDescent="0.15">
      <c r="I189" s="31"/>
      <c r="J189" s="839"/>
      <c r="K189" s="842"/>
      <c r="L189" s="31" t="s">
        <v>754</v>
      </c>
      <c r="M189" s="31" t="s">
        <v>3328</v>
      </c>
      <c r="N189" s="31" t="s">
        <v>3398</v>
      </c>
      <c r="O189" s="31" t="s">
        <v>3399</v>
      </c>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V189" s="49"/>
    </row>
    <row r="190" spans="9:48" ht="14.45" customHeight="1" x14ac:dyDescent="0.15">
      <c r="I190" s="31"/>
      <c r="J190" s="839">
        <v>95</v>
      </c>
      <c r="K190" s="841" t="s">
        <v>10168</v>
      </c>
      <c r="L190" s="26" t="s">
        <v>10169</v>
      </c>
      <c r="M190" s="26" t="s">
        <v>10171</v>
      </c>
      <c r="N190" s="26" t="s">
        <v>6991</v>
      </c>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V190" s="49"/>
    </row>
    <row r="191" spans="9:48" ht="14.45" customHeight="1" x14ac:dyDescent="0.15">
      <c r="I191" s="31"/>
      <c r="J191" s="839"/>
      <c r="K191" s="842"/>
      <c r="L191" s="26" t="s">
        <v>10170</v>
      </c>
      <c r="M191" s="26" t="s">
        <v>10172</v>
      </c>
      <c r="N191" s="26" t="s">
        <v>7053</v>
      </c>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V191" s="49"/>
    </row>
    <row r="192" spans="9:48" ht="14.45" customHeight="1" x14ac:dyDescent="0.15">
      <c r="I192" s="31"/>
      <c r="J192" s="839">
        <v>96</v>
      </c>
      <c r="K192" s="841" t="s">
        <v>10178</v>
      </c>
      <c r="L192" s="31" t="s">
        <v>746</v>
      </c>
      <c r="M192" s="42" t="s">
        <v>3371</v>
      </c>
      <c r="N192" s="42" t="s">
        <v>3372</v>
      </c>
      <c r="Z192" s="31"/>
      <c r="AA192" s="31"/>
      <c r="AB192" s="31"/>
      <c r="AC192" s="31"/>
      <c r="AD192" s="31"/>
      <c r="AE192" s="31"/>
      <c r="AF192" s="31"/>
      <c r="AG192" s="31"/>
      <c r="AH192" s="31"/>
      <c r="AI192" s="31"/>
      <c r="AJ192" s="31"/>
      <c r="AK192" s="31"/>
      <c r="AL192" s="31"/>
      <c r="AM192" s="31"/>
      <c r="AN192" s="31"/>
      <c r="AV192" s="49"/>
    </row>
    <row r="193" spans="10:48" ht="14.45" customHeight="1" x14ac:dyDescent="0.15">
      <c r="J193" s="839"/>
      <c r="K193" s="842"/>
      <c r="L193" s="31" t="s">
        <v>754</v>
      </c>
      <c r="M193" s="42" t="s">
        <v>3381</v>
      </c>
      <c r="N193" s="42" t="s">
        <v>3382</v>
      </c>
      <c r="Z193" s="31"/>
      <c r="AA193" s="31"/>
      <c r="AB193" s="31"/>
      <c r="AC193" s="31"/>
      <c r="AD193" s="31"/>
      <c r="AE193" s="31"/>
      <c r="AF193" s="31"/>
      <c r="AG193" s="31"/>
      <c r="AH193" s="31"/>
      <c r="AI193" s="31"/>
      <c r="AJ193" s="31"/>
      <c r="AK193" s="31"/>
      <c r="AL193" s="31"/>
      <c r="AM193" s="31"/>
      <c r="AN193" s="31"/>
      <c r="AV193" s="49"/>
    </row>
    <row r="194" spans="10:48" ht="14.45" customHeight="1" x14ac:dyDescent="0.15">
      <c r="J194" s="839">
        <v>97</v>
      </c>
      <c r="K194" s="841" t="s">
        <v>10179</v>
      </c>
      <c r="L194" s="31" t="s">
        <v>812</v>
      </c>
      <c r="M194" s="31" t="s">
        <v>10180</v>
      </c>
      <c r="N194" s="31" t="s">
        <v>522</v>
      </c>
      <c r="O194" s="31" t="s">
        <v>814</v>
      </c>
      <c r="P194" s="26" t="s">
        <v>6991</v>
      </c>
      <c r="Z194" s="31"/>
      <c r="AA194" s="31"/>
      <c r="AB194" s="31"/>
      <c r="AC194" s="31"/>
      <c r="AD194" s="31"/>
      <c r="AE194" s="31"/>
      <c r="AF194" s="31"/>
      <c r="AG194" s="31"/>
      <c r="AH194" s="31"/>
      <c r="AI194" s="31"/>
      <c r="AJ194" s="31"/>
      <c r="AK194" s="31"/>
      <c r="AL194" s="31"/>
      <c r="AM194" s="31"/>
      <c r="AN194" s="31"/>
      <c r="AV194" s="49"/>
    </row>
    <row r="195" spans="10:48" ht="14.45" customHeight="1" x14ac:dyDescent="0.15">
      <c r="J195" s="839"/>
      <c r="K195" s="842"/>
      <c r="L195" s="31" t="s">
        <v>815</v>
      </c>
      <c r="M195" s="31" t="s">
        <v>816</v>
      </c>
      <c r="N195" s="31" t="s">
        <v>817</v>
      </c>
      <c r="O195" s="31" t="s">
        <v>818</v>
      </c>
      <c r="P195" s="26" t="s">
        <v>10181</v>
      </c>
      <c r="Z195" s="31"/>
      <c r="AA195" s="31"/>
      <c r="AB195" s="31"/>
      <c r="AC195" s="31"/>
      <c r="AD195" s="31"/>
      <c r="AE195" s="31"/>
      <c r="AF195" s="31"/>
      <c r="AG195" s="31"/>
      <c r="AH195" s="31"/>
      <c r="AI195" s="31"/>
      <c r="AJ195" s="31"/>
      <c r="AK195" s="31"/>
      <c r="AL195" s="31"/>
      <c r="AM195" s="31"/>
      <c r="AN195" s="31"/>
      <c r="AV195" s="49"/>
    </row>
    <row r="196" spans="10:48" ht="14.45" customHeight="1" x14ac:dyDescent="0.15">
      <c r="J196" s="839">
        <v>98</v>
      </c>
      <c r="K196" s="841" t="s">
        <v>10196</v>
      </c>
      <c r="L196" s="31" t="s">
        <v>10201</v>
      </c>
      <c r="M196" s="31" t="s">
        <v>10203</v>
      </c>
      <c r="N196" s="31" t="s">
        <v>10205</v>
      </c>
      <c r="O196" s="31" t="s">
        <v>10207</v>
      </c>
      <c r="P196" s="26"/>
      <c r="Z196" s="31"/>
      <c r="AA196" s="31"/>
      <c r="AB196" s="31"/>
      <c r="AC196" s="31"/>
      <c r="AD196" s="31"/>
      <c r="AE196" s="31"/>
      <c r="AF196" s="31"/>
      <c r="AG196" s="31"/>
      <c r="AH196" s="31"/>
      <c r="AI196" s="31"/>
      <c r="AJ196" s="31"/>
      <c r="AK196" s="31"/>
      <c r="AL196" s="31"/>
      <c r="AM196" s="31"/>
      <c r="AN196" s="31"/>
      <c r="AV196" s="49"/>
    </row>
    <row r="197" spans="10:48" ht="14.45" customHeight="1" x14ac:dyDescent="0.15">
      <c r="J197" s="839"/>
      <c r="K197" s="842"/>
      <c r="L197" s="31" t="s">
        <v>10202</v>
      </c>
      <c r="M197" s="31" t="s">
        <v>10204</v>
      </c>
      <c r="N197" s="31" t="s">
        <v>10206</v>
      </c>
      <c r="O197" s="31" t="s">
        <v>10208</v>
      </c>
      <c r="P197" s="26"/>
      <c r="Z197" s="31"/>
      <c r="AA197" s="31"/>
      <c r="AB197" s="31"/>
      <c r="AC197" s="31"/>
      <c r="AD197" s="31"/>
      <c r="AE197" s="31"/>
      <c r="AF197" s="31"/>
      <c r="AG197" s="31"/>
      <c r="AH197" s="31"/>
      <c r="AI197" s="31"/>
      <c r="AJ197" s="31"/>
      <c r="AK197" s="31"/>
      <c r="AL197" s="31"/>
      <c r="AM197" s="31"/>
      <c r="AN197" s="31"/>
      <c r="AV197" s="49"/>
    </row>
    <row r="198" spans="10:48" ht="14.45" customHeight="1" x14ac:dyDescent="0.15">
      <c r="J198" s="839">
        <v>99</v>
      </c>
      <c r="K198" s="841" t="s">
        <v>10195</v>
      </c>
      <c r="L198" s="31" t="s">
        <v>6991</v>
      </c>
      <c r="M198" s="31" t="s">
        <v>10209</v>
      </c>
      <c r="N198" s="31" t="s">
        <v>10211</v>
      </c>
      <c r="O198" s="31" t="s">
        <v>10213</v>
      </c>
      <c r="P198" s="26"/>
      <c r="Z198" s="31"/>
      <c r="AA198" s="31"/>
      <c r="AB198" s="31"/>
      <c r="AC198" s="31"/>
      <c r="AD198" s="31"/>
      <c r="AE198" s="31"/>
      <c r="AF198" s="31"/>
      <c r="AG198" s="31"/>
      <c r="AH198" s="31"/>
      <c r="AI198" s="31"/>
      <c r="AJ198" s="31"/>
      <c r="AK198" s="31"/>
      <c r="AL198" s="31"/>
      <c r="AM198" s="31"/>
      <c r="AN198" s="31"/>
      <c r="AV198" s="49"/>
    </row>
    <row r="199" spans="10:48" ht="14.45" customHeight="1" x14ac:dyDescent="0.15">
      <c r="J199" s="839"/>
      <c r="K199" s="842"/>
      <c r="L199" s="31" t="s">
        <v>754</v>
      </c>
      <c r="M199" s="31" t="s">
        <v>10210</v>
      </c>
      <c r="N199" s="31" t="s">
        <v>10212</v>
      </c>
      <c r="O199" s="31" t="s">
        <v>10214</v>
      </c>
      <c r="P199" s="26"/>
      <c r="Z199" s="31"/>
      <c r="AA199" s="31"/>
      <c r="AB199" s="31"/>
      <c r="AC199" s="31"/>
      <c r="AD199" s="31"/>
      <c r="AE199" s="31"/>
      <c r="AF199" s="31"/>
      <c r="AG199" s="31"/>
      <c r="AH199" s="31"/>
      <c r="AI199" s="31"/>
      <c r="AJ199" s="31"/>
      <c r="AK199" s="31"/>
      <c r="AL199" s="31"/>
      <c r="AM199" s="31"/>
      <c r="AN199" s="31"/>
      <c r="AV199" s="49"/>
    </row>
    <row r="200" spans="10:48" ht="14.45" customHeight="1" x14ac:dyDescent="0.15">
      <c r="J200" s="839">
        <v>100</v>
      </c>
      <c r="K200" s="841" t="s">
        <v>10194</v>
      </c>
      <c r="L200" s="31" t="s">
        <v>10215</v>
      </c>
      <c r="M200" s="31" t="s">
        <v>10217</v>
      </c>
      <c r="N200" s="31" t="s">
        <v>10219</v>
      </c>
      <c r="O200" s="31" t="s">
        <v>10221</v>
      </c>
      <c r="P200" s="26"/>
      <c r="Z200" s="31"/>
      <c r="AA200" s="31"/>
      <c r="AB200" s="31"/>
      <c r="AC200" s="31"/>
      <c r="AD200" s="31"/>
      <c r="AE200" s="31"/>
      <c r="AF200" s="31"/>
      <c r="AG200" s="31"/>
      <c r="AH200" s="31"/>
      <c r="AI200" s="31"/>
      <c r="AJ200" s="31"/>
      <c r="AK200" s="31"/>
      <c r="AL200" s="31"/>
      <c r="AM200" s="31"/>
      <c r="AN200" s="31"/>
      <c r="AV200" s="49"/>
    </row>
    <row r="201" spans="10:48" ht="14.45" customHeight="1" x14ac:dyDescent="0.15">
      <c r="J201" s="839"/>
      <c r="K201" s="842"/>
      <c r="L201" s="31" t="s">
        <v>10216</v>
      </c>
      <c r="M201" s="31" t="s">
        <v>10218</v>
      </c>
      <c r="N201" s="31" t="s">
        <v>10220</v>
      </c>
      <c r="O201" s="31" t="s">
        <v>7141</v>
      </c>
      <c r="P201" s="26"/>
      <c r="Z201" s="31"/>
      <c r="AA201" s="31"/>
      <c r="AB201" s="31"/>
      <c r="AC201" s="31"/>
      <c r="AD201" s="31"/>
      <c r="AE201" s="31"/>
      <c r="AF201" s="31"/>
      <c r="AG201" s="31"/>
      <c r="AH201" s="31"/>
      <c r="AI201" s="31"/>
      <c r="AJ201" s="31"/>
      <c r="AK201" s="31"/>
      <c r="AL201" s="31"/>
      <c r="AM201" s="31"/>
      <c r="AN201" s="31"/>
      <c r="AV201" s="49"/>
    </row>
    <row r="202" spans="10:48" ht="14.45" customHeight="1" x14ac:dyDescent="0.15">
      <c r="J202" s="839">
        <v>101</v>
      </c>
      <c r="K202" s="841" t="s">
        <v>10193</v>
      </c>
      <c r="L202" s="31" t="s">
        <v>6991</v>
      </c>
      <c r="M202" s="31" t="s">
        <v>10222</v>
      </c>
      <c r="N202" s="31" t="s">
        <v>10224</v>
      </c>
      <c r="O202" s="31" t="s">
        <v>10226</v>
      </c>
      <c r="P202" s="26" t="s">
        <v>10228</v>
      </c>
      <c r="Z202" s="31"/>
      <c r="AA202" s="31"/>
      <c r="AB202" s="31"/>
      <c r="AC202" s="31"/>
      <c r="AD202" s="31"/>
      <c r="AE202" s="31"/>
      <c r="AF202" s="31"/>
      <c r="AG202" s="31"/>
      <c r="AH202" s="31"/>
      <c r="AI202" s="31"/>
      <c r="AJ202" s="31"/>
      <c r="AK202" s="31"/>
      <c r="AL202" s="31"/>
      <c r="AM202" s="31"/>
      <c r="AN202" s="31"/>
      <c r="AV202" s="49"/>
    </row>
    <row r="203" spans="10:48" ht="14.45" customHeight="1" x14ac:dyDescent="0.15">
      <c r="J203" s="839"/>
      <c r="K203" s="842"/>
      <c r="L203" s="31" t="s">
        <v>10181</v>
      </c>
      <c r="M203" s="31" t="s">
        <v>10223</v>
      </c>
      <c r="N203" s="31" t="s">
        <v>10225</v>
      </c>
      <c r="O203" s="31" t="s">
        <v>10227</v>
      </c>
      <c r="P203" s="26" t="s">
        <v>10229</v>
      </c>
      <c r="Z203" s="31"/>
      <c r="AA203" s="31"/>
      <c r="AB203" s="31"/>
      <c r="AC203" s="31"/>
      <c r="AD203" s="31"/>
      <c r="AE203" s="31"/>
      <c r="AF203" s="31"/>
      <c r="AG203" s="31"/>
      <c r="AH203" s="31"/>
      <c r="AI203" s="31"/>
      <c r="AJ203" s="31"/>
      <c r="AK203" s="31"/>
      <c r="AL203" s="31"/>
      <c r="AM203" s="31"/>
      <c r="AN203" s="31"/>
      <c r="AV203" s="49"/>
    </row>
    <row r="204" spans="10:48" ht="14.45" customHeight="1" x14ac:dyDescent="0.15">
      <c r="J204" s="839">
        <v>102</v>
      </c>
      <c r="K204" s="840" t="s">
        <v>3209</v>
      </c>
      <c r="L204" s="31" t="s">
        <v>10242</v>
      </c>
      <c r="M204" s="31" t="s">
        <v>10244</v>
      </c>
      <c r="N204" s="31"/>
      <c r="O204" s="31"/>
      <c r="P204" s="26"/>
      <c r="Z204" s="31"/>
      <c r="AA204" s="31"/>
      <c r="AB204" s="31"/>
      <c r="AC204" s="31"/>
      <c r="AD204" s="31"/>
      <c r="AE204" s="31"/>
      <c r="AF204" s="31"/>
      <c r="AG204" s="31"/>
      <c r="AH204" s="31"/>
      <c r="AI204" s="31"/>
      <c r="AJ204" s="31"/>
      <c r="AK204" s="31"/>
      <c r="AL204" s="31"/>
      <c r="AM204" s="31"/>
      <c r="AN204" s="31"/>
      <c r="AV204" s="49"/>
    </row>
    <row r="205" spans="10:48" ht="14.45" customHeight="1" x14ac:dyDescent="0.15">
      <c r="J205" s="839"/>
      <c r="K205" s="840"/>
      <c r="L205" s="31" t="s">
        <v>10243</v>
      </c>
      <c r="M205" s="31" t="s">
        <v>10245</v>
      </c>
      <c r="R205" s="31"/>
      <c r="Z205" s="31"/>
      <c r="AA205" s="31"/>
      <c r="AB205" s="31"/>
      <c r="AC205" s="31"/>
      <c r="AD205" s="31"/>
      <c r="AE205" s="31"/>
      <c r="AF205" s="31"/>
      <c r="AG205" s="31"/>
      <c r="AH205" s="31"/>
      <c r="AI205" s="31"/>
      <c r="AJ205" s="31"/>
      <c r="AK205" s="31"/>
      <c r="AL205" s="31"/>
      <c r="AM205" s="31"/>
      <c r="AN205" s="31"/>
      <c r="AV205" s="49"/>
    </row>
    <row r="206" spans="10:48" ht="14.45" customHeight="1" x14ac:dyDescent="0.15">
      <c r="J206" s="839">
        <v>103</v>
      </c>
      <c r="K206" s="840" t="s">
        <v>3202</v>
      </c>
      <c r="L206" s="31" t="s">
        <v>10247</v>
      </c>
      <c r="M206" s="31" t="s">
        <v>10248</v>
      </c>
      <c r="N206" s="31" t="s">
        <v>10249</v>
      </c>
      <c r="O206" s="31" t="s">
        <v>10251</v>
      </c>
      <c r="R206" s="31"/>
      <c r="Z206" s="31"/>
      <c r="AA206" s="31"/>
      <c r="AB206" s="31"/>
      <c r="AC206" s="31"/>
      <c r="AD206" s="31"/>
      <c r="AE206" s="31"/>
      <c r="AF206" s="31"/>
      <c r="AG206" s="31"/>
      <c r="AH206" s="31"/>
      <c r="AI206" s="31"/>
      <c r="AJ206" s="31"/>
      <c r="AK206" s="31"/>
      <c r="AL206" s="31"/>
      <c r="AM206" s="31"/>
      <c r="AN206" s="31"/>
      <c r="AV206" s="49"/>
    </row>
    <row r="207" spans="10:48" ht="14.45" customHeight="1" x14ac:dyDescent="0.15">
      <c r="J207" s="839"/>
      <c r="K207" s="840"/>
      <c r="L207" s="31" t="s">
        <v>10246</v>
      </c>
      <c r="M207" s="31" t="s">
        <v>3300</v>
      </c>
      <c r="N207" s="31" t="s">
        <v>10250</v>
      </c>
      <c r="O207" s="31" t="s">
        <v>10252</v>
      </c>
      <c r="P207" s="31"/>
      <c r="Q207" s="31"/>
      <c r="R207" s="31"/>
      <c r="Z207" s="31"/>
      <c r="AA207" s="31"/>
      <c r="AB207" s="31"/>
      <c r="AC207" s="31"/>
      <c r="AD207" s="31"/>
      <c r="AE207" s="31"/>
      <c r="AF207" s="31"/>
      <c r="AG207" s="31"/>
      <c r="AH207" s="31"/>
      <c r="AI207" s="31"/>
      <c r="AJ207" s="31"/>
      <c r="AK207" s="31"/>
      <c r="AL207" s="31"/>
      <c r="AM207" s="31"/>
      <c r="AN207" s="31"/>
      <c r="AV207" s="49"/>
    </row>
    <row r="208" spans="10:48" ht="14.45" customHeight="1" x14ac:dyDescent="0.15">
      <c r="J208" s="839">
        <v>104</v>
      </c>
      <c r="K208" s="840" t="s">
        <v>10238</v>
      </c>
      <c r="L208" s="31" t="s">
        <v>6991</v>
      </c>
      <c r="M208" s="31" t="s">
        <v>9529</v>
      </c>
      <c r="N208" s="31" t="s">
        <v>10254</v>
      </c>
      <c r="O208" s="31" t="s">
        <v>10256</v>
      </c>
      <c r="P208" s="31" t="s">
        <v>10258</v>
      </c>
      <c r="Q208" s="31"/>
      <c r="R208" s="31"/>
      <c r="Z208" s="31"/>
      <c r="AA208" s="31"/>
      <c r="AB208" s="31"/>
      <c r="AC208" s="31"/>
      <c r="AD208" s="31"/>
      <c r="AE208" s="31"/>
      <c r="AF208" s="31"/>
      <c r="AG208" s="31"/>
      <c r="AH208" s="31"/>
      <c r="AI208" s="31"/>
      <c r="AJ208" s="31"/>
      <c r="AK208" s="31"/>
      <c r="AL208" s="31"/>
      <c r="AM208" s="31"/>
      <c r="AN208" s="31"/>
      <c r="AV208" s="49"/>
    </row>
    <row r="209" spans="10:48" ht="14.45" customHeight="1" x14ac:dyDescent="0.15">
      <c r="J209" s="839"/>
      <c r="K209" s="840"/>
      <c r="L209" s="31" t="s">
        <v>754</v>
      </c>
      <c r="M209" s="31" t="s">
        <v>10253</v>
      </c>
      <c r="N209" s="31" t="s">
        <v>10255</v>
      </c>
      <c r="O209" s="31" t="s">
        <v>10257</v>
      </c>
      <c r="P209" s="31" t="s">
        <v>10259</v>
      </c>
      <c r="Q209" s="31"/>
      <c r="R209" s="31"/>
      <c r="Z209" s="31"/>
      <c r="AA209" s="31"/>
      <c r="AB209" s="31"/>
      <c r="AC209" s="31"/>
      <c r="AD209" s="31"/>
      <c r="AE209" s="31"/>
      <c r="AF209" s="31"/>
      <c r="AG209" s="31"/>
      <c r="AH209" s="31"/>
      <c r="AI209" s="31"/>
      <c r="AJ209" s="31"/>
      <c r="AK209" s="31"/>
      <c r="AL209" s="31"/>
      <c r="AM209" s="31"/>
      <c r="AN209" s="31"/>
      <c r="AV209" s="49"/>
    </row>
    <row r="210" spans="10:48" ht="14.45" customHeight="1" x14ac:dyDescent="0.15">
      <c r="J210" s="839">
        <v>105</v>
      </c>
      <c r="K210" s="840" t="s">
        <v>3232</v>
      </c>
      <c r="L210" s="42" t="s">
        <v>10230</v>
      </c>
      <c r="M210" s="42" t="s">
        <v>746</v>
      </c>
      <c r="N210" s="42" t="s">
        <v>10232</v>
      </c>
      <c r="O210" s="42" t="s">
        <v>3233</v>
      </c>
      <c r="P210" s="42" t="s">
        <v>3234</v>
      </c>
      <c r="Q210" s="42" t="s">
        <v>3235</v>
      </c>
      <c r="R210" s="42" t="s">
        <v>3236</v>
      </c>
      <c r="Z210" s="31"/>
      <c r="AA210" s="31"/>
      <c r="AB210" s="31"/>
      <c r="AC210" s="31"/>
      <c r="AD210" s="31"/>
      <c r="AE210" s="31"/>
      <c r="AF210" s="31"/>
      <c r="AG210" s="31"/>
      <c r="AH210" s="31"/>
      <c r="AI210" s="31"/>
      <c r="AJ210" s="31"/>
      <c r="AK210" s="31"/>
      <c r="AL210" s="31"/>
      <c r="AM210" s="31"/>
      <c r="AN210" s="31"/>
      <c r="AV210" s="49"/>
    </row>
    <row r="211" spans="10:48" ht="14.45" customHeight="1" x14ac:dyDescent="0.15">
      <c r="J211" s="839"/>
      <c r="K211" s="840"/>
      <c r="L211" s="42" t="s">
        <v>3458</v>
      </c>
      <c r="M211" s="42" t="s">
        <v>754</v>
      </c>
      <c r="N211" s="42" t="s">
        <v>10233</v>
      </c>
      <c r="O211" s="42" t="s">
        <v>10234</v>
      </c>
      <c r="P211" s="42" t="s">
        <v>10235</v>
      </c>
      <c r="Q211" s="42" t="s">
        <v>10236</v>
      </c>
      <c r="R211" s="42" t="s">
        <v>10237</v>
      </c>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V211" s="49"/>
    </row>
    <row r="212" spans="10:48" ht="14.45" customHeight="1" x14ac:dyDescent="0.15">
      <c r="J212" s="839">
        <v>106</v>
      </c>
      <c r="K212" s="840" t="s">
        <v>3201</v>
      </c>
      <c r="L212" s="31" t="s">
        <v>10260</v>
      </c>
      <c r="M212" s="31" t="s">
        <v>10262</v>
      </c>
      <c r="N212" s="31" t="s">
        <v>10264</v>
      </c>
      <c r="O212" s="31" t="s">
        <v>10266</v>
      </c>
      <c r="P212" s="26" t="s">
        <v>10268</v>
      </c>
      <c r="S212" s="31"/>
      <c r="AB212" s="31"/>
      <c r="AC212" s="31"/>
      <c r="AD212" s="31"/>
      <c r="AE212" s="31"/>
      <c r="AF212" s="31"/>
      <c r="AG212" s="31"/>
      <c r="AH212" s="31"/>
      <c r="AI212" s="31"/>
      <c r="AJ212" s="31"/>
      <c r="AK212" s="31"/>
      <c r="AL212" s="31"/>
      <c r="AM212" s="31"/>
      <c r="AN212" s="31"/>
      <c r="AV212" s="49"/>
    </row>
    <row r="213" spans="10:48" ht="14.45" customHeight="1" x14ac:dyDescent="0.15">
      <c r="J213" s="839"/>
      <c r="K213" s="840"/>
      <c r="L213" s="31" t="s">
        <v>10261</v>
      </c>
      <c r="M213" s="31" t="s">
        <v>10263</v>
      </c>
      <c r="N213" s="31" t="s">
        <v>10265</v>
      </c>
      <c r="O213" s="31" t="s">
        <v>10267</v>
      </c>
      <c r="P213" s="26" t="s">
        <v>10269</v>
      </c>
      <c r="S213" s="31"/>
      <c r="AB213" s="31"/>
      <c r="AC213" s="31"/>
      <c r="AD213" s="31"/>
      <c r="AE213" s="31"/>
      <c r="AF213" s="31"/>
      <c r="AG213" s="31"/>
      <c r="AH213" s="31"/>
      <c r="AI213" s="31"/>
      <c r="AJ213" s="31"/>
      <c r="AK213" s="31"/>
      <c r="AL213" s="31"/>
      <c r="AM213" s="31"/>
      <c r="AN213" s="31"/>
      <c r="AV213" s="49"/>
    </row>
    <row r="214" spans="10:48" ht="14.45" customHeight="1" x14ac:dyDescent="0.15">
      <c r="J214" s="839">
        <v>107</v>
      </c>
      <c r="S214" s="31"/>
      <c r="AB214" s="31"/>
      <c r="AC214" s="31"/>
      <c r="AD214" s="31"/>
      <c r="AE214" s="31"/>
      <c r="AF214" s="31"/>
      <c r="AG214" s="31"/>
      <c r="AH214" s="31"/>
      <c r="AI214" s="31"/>
      <c r="AJ214" s="31"/>
      <c r="AK214" s="31"/>
      <c r="AL214" s="31"/>
      <c r="AM214" s="31"/>
      <c r="AN214" s="31"/>
      <c r="AV214" s="49"/>
    </row>
    <row r="215" spans="10:48" ht="14.45" customHeight="1" x14ac:dyDescent="0.15">
      <c r="J215" s="839"/>
      <c r="S215" s="31"/>
      <c r="AB215" s="31"/>
      <c r="AC215" s="31"/>
      <c r="AD215" s="31"/>
      <c r="AE215" s="31"/>
      <c r="AF215" s="31"/>
      <c r="AG215" s="31"/>
      <c r="AH215" s="31"/>
      <c r="AI215" s="31"/>
      <c r="AJ215" s="31"/>
      <c r="AK215" s="31"/>
      <c r="AL215" s="31"/>
      <c r="AM215" s="31"/>
      <c r="AN215" s="31"/>
      <c r="AV215" s="49"/>
    </row>
    <row r="216" spans="10:48" ht="14.45" customHeight="1" x14ac:dyDescent="0.15">
      <c r="J216" s="839">
        <v>108</v>
      </c>
      <c r="S216" s="31"/>
      <c r="AB216" s="31"/>
      <c r="AC216" s="31"/>
      <c r="AD216" s="31"/>
      <c r="AE216" s="31"/>
      <c r="AF216" s="31"/>
      <c r="AG216" s="31"/>
      <c r="AH216" s="31"/>
      <c r="AI216" s="31"/>
      <c r="AJ216" s="31"/>
      <c r="AK216" s="31"/>
      <c r="AL216" s="31"/>
      <c r="AM216" s="31"/>
      <c r="AN216" s="31"/>
      <c r="AV216" s="49"/>
    </row>
    <row r="217" spans="10:48" ht="14.45" customHeight="1" x14ac:dyDescent="0.15">
      <c r="J217" s="839"/>
      <c r="S217" s="31"/>
      <c r="AB217" s="31"/>
      <c r="AC217" s="31"/>
      <c r="AD217" s="31"/>
      <c r="AE217" s="31"/>
      <c r="AF217" s="31"/>
      <c r="AG217" s="31"/>
      <c r="AH217" s="31"/>
      <c r="AI217" s="31"/>
      <c r="AJ217" s="31"/>
      <c r="AK217" s="31"/>
      <c r="AL217" s="31"/>
      <c r="AM217" s="31"/>
      <c r="AN217" s="31"/>
      <c r="AV217" s="49"/>
    </row>
    <row r="218" spans="10:48" ht="14.45" customHeight="1" x14ac:dyDescent="0.15">
      <c r="J218" s="839">
        <v>109</v>
      </c>
      <c r="S218" s="31"/>
      <c r="AB218" s="31"/>
      <c r="AC218" s="31"/>
      <c r="AD218" s="31"/>
      <c r="AE218" s="31"/>
      <c r="AF218" s="31"/>
      <c r="AG218" s="31"/>
      <c r="AH218" s="31"/>
      <c r="AI218" s="31"/>
      <c r="AJ218" s="31"/>
      <c r="AK218" s="31"/>
      <c r="AL218" s="31"/>
      <c r="AM218" s="31"/>
      <c r="AN218" s="31"/>
      <c r="AV218" s="49"/>
    </row>
    <row r="219" spans="10:48" ht="14.45" customHeight="1" x14ac:dyDescent="0.15">
      <c r="J219" s="839"/>
      <c r="S219" s="31"/>
      <c r="AB219" s="31"/>
      <c r="AC219" s="31"/>
      <c r="AD219" s="31"/>
      <c r="AE219" s="31"/>
      <c r="AF219" s="31"/>
      <c r="AG219" s="31"/>
      <c r="AH219" s="31"/>
      <c r="AI219" s="31"/>
      <c r="AJ219" s="31"/>
      <c r="AK219" s="31"/>
      <c r="AL219" s="31"/>
      <c r="AM219" s="31"/>
      <c r="AN219" s="31"/>
      <c r="AV219" s="49"/>
    </row>
    <row r="220" spans="10:48" ht="14.45" customHeight="1" x14ac:dyDescent="0.15">
      <c r="J220" s="839">
        <v>110</v>
      </c>
      <c r="K220" s="31"/>
      <c r="L220" s="31"/>
      <c r="M220" s="31"/>
      <c r="N220" s="31"/>
      <c r="O220" s="31"/>
      <c r="P220" s="31"/>
      <c r="Q220" s="31"/>
      <c r="R220" s="31"/>
      <c r="S220" s="31"/>
      <c r="AB220" s="31"/>
      <c r="AC220" s="31"/>
      <c r="AD220" s="31"/>
      <c r="AE220" s="31"/>
      <c r="AF220" s="31"/>
      <c r="AG220" s="31"/>
      <c r="AH220" s="31"/>
      <c r="AI220" s="31"/>
      <c r="AJ220" s="31"/>
      <c r="AK220" s="31"/>
      <c r="AL220" s="31"/>
      <c r="AM220" s="31"/>
      <c r="AN220" s="31"/>
      <c r="AV220" s="49"/>
    </row>
    <row r="221" spans="10:48" ht="14.45" customHeight="1" x14ac:dyDescent="0.15">
      <c r="J221" s="839"/>
      <c r="K221" s="31"/>
      <c r="L221" s="31"/>
      <c r="M221" s="31"/>
      <c r="N221" s="31"/>
      <c r="O221" s="31"/>
      <c r="P221" s="31"/>
      <c r="Q221" s="31"/>
      <c r="R221" s="31"/>
      <c r="S221" s="31"/>
      <c r="AB221" s="31"/>
      <c r="AC221" s="31"/>
      <c r="AD221" s="31"/>
      <c r="AE221" s="31"/>
      <c r="AF221" s="31"/>
      <c r="AG221" s="31"/>
      <c r="AH221" s="31"/>
      <c r="AI221" s="31"/>
      <c r="AJ221" s="31"/>
      <c r="AK221" s="31"/>
      <c r="AL221" s="31"/>
      <c r="AM221" s="31"/>
      <c r="AN221" s="31"/>
      <c r="AV221" s="49"/>
    </row>
    <row r="222" spans="10:48" ht="14.45" customHeight="1" x14ac:dyDescent="0.15">
      <c r="J222" s="839">
        <v>111</v>
      </c>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V222" s="49"/>
    </row>
    <row r="223" spans="10:48" ht="14.45" customHeight="1" x14ac:dyDescent="0.15">
      <c r="J223" s="839"/>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V223" s="49"/>
    </row>
    <row r="224" spans="10:48" ht="14.45" customHeight="1" x14ac:dyDescent="0.15">
      <c r="J224" s="839">
        <v>112</v>
      </c>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V224" s="49"/>
    </row>
    <row r="225" spans="10:48" ht="14.45" customHeight="1" x14ac:dyDescent="0.15">
      <c r="J225" s="839"/>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V225" s="49"/>
    </row>
    <row r="226" spans="10:48" ht="14.45" customHeight="1" x14ac:dyDescent="0.15">
      <c r="J226" s="839">
        <v>113</v>
      </c>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V226" s="49"/>
    </row>
    <row r="227" spans="10:48" ht="14.45" customHeight="1" x14ac:dyDescent="0.15">
      <c r="J227" s="839"/>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V227" s="49"/>
    </row>
    <row r="228" spans="10:48" ht="14.45" customHeight="1" x14ac:dyDescent="0.15">
      <c r="J228" s="839">
        <v>114</v>
      </c>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V228" s="49"/>
    </row>
    <row r="229" spans="10:48" ht="14.45" customHeight="1" x14ac:dyDescent="0.15">
      <c r="J229" s="839"/>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V229" s="49"/>
    </row>
    <row r="230" spans="10:48" ht="14.45" customHeight="1" x14ac:dyDescent="0.15">
      <c r="J230" s="839">
        <v>115</v>
      </c>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V230" s="49"/>
    </row>
    <row r="231" spans="10:48" ht="14.45" customHeight="1" x14ac:dyDescent="0.15">
      <c r="J231" s="839"/>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V231" s="49"/>
    </row>
  </sheetData>
  <mergeCells count="226">
    <mergeCell ref="K100:K101"/>
    <mergeCell ref="J108:J109"/>
    <mergeCell ref="J110:J111"/>
    <mergeCell ref="J112:J113"/>
    <mergeCell ref="J120:J121"/>
    <mergeCell ref="J122:J123"/>
    <mergeCell ref="K102:K103"/>
    <mergeCell ref="K104:K105"/>
    <mergeCell ref="K106:K107"/>
    <mergeCell ref="K108:K109"/>
    <mergeCell ref="K110:K111"/>
    <mergeCell ref="K112:K113"/>
    <mergeCell ref="K114:K115"/>
    <mergeCell ref="K116:K117"/>
    <mergeCell ref="K118:K119"/>
    <mergeCell ref="K120:K121"/>
    <mergeCell ref="K122:K123"/>
    <mergeCell ref="K54:K55"/>
    <mergeCell ref="K56:K57"/>
    <mergeCell ref="K58:K59"/>
    <mergeCell ref="K60:K61"/>
    <mergeCell ref="K70:K71"/>
    <mergeCell ref="K72:K73"/>
    <mergeCell ref="J114:J115"/>
    <mergeCell ref="J116:J117"/>
    <mergeCell ref="J118:J119"/>
    <mergeCell ref="K96:K97"/>
    <mergeCell ref="K98:K99"/>
    <mergeCell ref="J102:J103"/>
    <mergeCell ref="J104:J105"/>
    <mergeCell ref="J106:J107"/>
    <mergeCell ref="J96:J97"/>
    <mergeCell ref="J98:J99"/>
    <mergeCell ref="J100:J101"/>
    <mergeCell ref="K90:K91"/>
    <mergeCell ref="K92:K93"/>
    <mergeCell ref="K94:K95"/>
    <mergeCell ref="K74:K75"/>
    <mergeCell ref="K76:K77"/>
    <mergeCell ref="K78:K79"/>
    <mergeCell ref="K80:K81"/>
    <mergeCell ref="K46:K47"/>
    <mergeCell ref="K34:K35"/>
    <mergeCell ref="K36:K37"/>
    <mergeCell ref="K38:K39"/>
    <mergeCell ref="K40:K41"/>
    <mergeCell ref="K42:K43"/>
    <mergeCell ref="K48:K49"/>
    <mergeCell ref="K50:K51"/>
    <mergeCell ref="K52:K53"/>
    <mergeCell ref="J48:J49"/>
    <mergeCell ref="J50:J51"/>
    <mergeCell ref="J52:J53"/>
    <mergeCell ref="J54:J55"/>
    <mergeCell ref="J56:J57"/>
    <mergeCell ref="J58:J59"/>
    <mergeCell ref="J64:J6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44:K45"/>
    <mergeCell ref="K82:K83"/>
    <mergeCell ref="K84:K85"/>
    <mergeCell ref="K86:K87"/>
    <mergeCell ref="K88:K89"/>
    <mergeCell ref="K62:K63"/>
    <mergeCell ref="K64:K65"/>
    <mergeCell ref="K66:K67"/>
    <mergeCell ref="K68:K69"/>
    <mergeCell ref="J92:J93"/>
    <mergeCell ref="J84:J85"/>
    <mergeCell ref="J86:J87"/>
    <mergeCell ref="J88:J89"/>
    <mergeCell ref="J90:J91"/>
    <mergeCell ref="J94:J95"/>
    <mergeCell ref="J66:J67"/>
    <mergeCell ref="J68:J69"/>
    <mergeCell ref="J70:J71"/>
    <mergeCell ref="J72:J73"/>
    <mergeCell ref="J74:J75"/>
    <mergeCell ref="J76:J77"/>
    <mergeCell ref="J78:J79"/>
    <mergeCell ref="J80:J81"/>
    <mergeCell ref="J82:J83"/>
    <mergeCell ref="J30:J31"/>
    <mergeCell ref="J32:J33"/>
    <mergeCell ref="J34:J35"/>
    <mergeCell ref="J36:J37"/>
    <mergeCell ref="J38:J39"/>
    <mergeCell ref="J40:J41"/>
    <mergeCell ref="J42:J43"/>
    <mergeCell ref="J44:J45"/>
    <mergeCell ref="J46:J47"/>
    <mergeCell ref="J172:J173"/>
    <mergeCell ref="J144:J145"/>
    <mergeCell ref="K168:K169"/>
    <mergeCell ref="BR1:BS1"/>
    <mergeCell ref="BT1:BW1"/>
    <mergeCell ref="BX1:BY1"/>
    <mergeCell ref="BZ1:CB1"/>
    <mergeCell ref="J2:J3"/>
    <mergeCell ref="J4:J5"/>
    <mergeCell ref="J6:J7"/>
    <mergeCell ref="J8:J9"/>
    <mergeCell ref="J10:J11"/>
    <mergeCell ref="AZ1:BO1"/>
    <mergeCell ref="J12:J13"/>
    <mergeCell ref="J14:J15"/>
    <mergeCell ref="J16:J17"/>
    <mergeCell ref="J18:J19"/>
    <mergeCell ref="J20:J21"/>
    <mergeCell ref="J22:J23"/>
    <mergeCell ref="J24:J25"/>
    <mergeCell ref="J26:J27"/>
    <mergeCell ref="J28:J29"/>
    <mergeCell ref="J60:J61"/>
    <mergeCell ref="J62:J63"/>
    <mergeCell ref="J174:J175"/>
    <mergeCell ref="K166:K167"/>
    <mergeCell ref="K170:K171"/>
    <mergeCell ref="K124:K125"/>
    <mergeCell ref="K126:K127"/>
    <mergeCell ref="K128:K129"/>
    <mergeCell ref="K130:K131"/>
    <mergeCell ref="J140:J141"/>
    <mergeCell ref="K180:K181"/>
    <mergeCell ref="J124:J125"/>
    <mergeCell ref="J126:J127"/>
    <mergeCell ref="J128:J129"/>
    <mergeCell ref="J130:J131"/>
    <mergeCell ref="J132:J133"/>
    <mergeCell ref="J134:J135"/>
    <mergeCell ref="J136:J137"/>
    <mergeCell ref="J138:J139"/>
    <mergeCell ref="J142:J143"/>
    <mergeCell ref="K132:K133"/>
    <mergeCell ref="K148:K149"/>
    <mergeCell ref="K146:K147"/>
    <mergeCell ref="K144:K145"/>
    <mergeCell ref="K142:K143"/>
    <mergeCell ref="J170:J171"/>
    <mergeCell ref="J156:J157"/>
    <mergeCell ref="J158:J159"/>
    <mergeCell ref="J160:J161"/>
    <mergeCell ref="J162:J163"/>
    <mergeCell ref="J164:J165"/>
    <mergeCell ref="J166:J167"/>
    <mergeCell ref="J168:J169"/>
    <mergeCell ref="K154:K155"/>
    <mergeCell ref="K152:K153"/>
    <mergeCell ref="J146:J147"/>
    <mergeCell ref="J148:J149"/>
    <mergeCell ref="J150:J151"/>
    <mergeCell ref="J152:J153"/>
    <mergeCell ref="J154:J155"/>
    <mergeCell ref="K134:K135"/>
    <mergeCell ref="K140:K141"/>
    <mergeCell ref="K138:K139"/>
    <mergeCell ref="K136:K137"/>
    <mergeCell ref="K150:K151"/>
    <mergeCell ref="J204:J205"/>
    <mergeCell ref="J176:J177"/>
    <mergeCell ref="J178:J179"/>
    <mergeCell ref="J180:J181"/>
    <mergeCell ref="J182:J183"/>
    <mergeCell ref="J184:J185"/>
    <mergeCell ref="J186:J187"/>
    <mergeCell ref="J188:J189"/>
    <mergeCell ref="K182:K183"/>
    <mergeCell ref="K186:K187"/>
    <mergeCell ref="K188:K189"/>
    <mergeCell ref="J202:J203"/>
    <mergeCell ref="J200:J201"/>
    <mergeCell ref="J190:J191"/>
    <mergeCell ref="J192:J193"/>
    <mergeCell ref="J194:J195"/>
    <mergeCell ref="J196:J197"/>
    <mergeCell ref="J198:J199"/>
    <mergeCell ref="K190:K191"/>
    <mergeCell ref="K192:K193"/>
    <mergeCell ref="K194:K195"/>
    <mergeCell ref="K196:K197"/>
    <mergeCell ref="K198:K199"/>
    <mergeCell ref="K200:K201"/>
    <mergeCell ref="K202:K203"/>
    <mergeCell ref="K210:K211"/>
    <mergeCell ref="K204:K205"/>
    <mergeCell ref="K158:K159"/>
    <mergeCell ref="K156:K157"/>
    <mergeCell ref="K160:K161"/>
    <mergeCell ref="K178:K179"/>
    <mergeCell ref="K176:K177"/>
    <mergeCell ref="K174:K175"/>
    <mergeCell ref="K164:K165"/>
    <mergeCell ref="K162:K163"/>
    <mergeCell ref="K206:K207"/>
    <mergeCell ref="K184:K185"/>
    <mergeCell ref="K172:K173"/>
    <mergeCell ref="J222:J223"/>
    <mergeCell ref="J224:J225"/>
    <mergeCell ref="J226:J227"/>
    <mergeCell ref="J228:J229"/>
    <mergeCell ref="J230:J231"/>
    <mergeCell ref="K208:K209"/>
    <mergeCell ref="J206:J207"/>
    <mergeCell ref="J208:J209"/>
    <mergeCell ref="J210:J211"/>
    <mergeCell ref="J212:J213"/>
    <mergeCell ref="J214:J215"/>
    <mergeCell ref="J216:J217"/>
    <mergeCell ref="J218:J219"/>
    <mergeCell ref="J220:J221"/>
    <mergeCell ref="K212:K213"/>
  </mergeCells>
  <phoneticPr fontId="6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P263"/>
  <sheetViews>
    <sheetView topLeftCell="A4" zoomScale="70" zoomScaleNormal="70" workbookViewId="0">
      <selection activeCell="D24" sqref="D24"/>
    </sheetView>
  </sheetViews>
  <sheetFormatPr defaultColWidth="8.875" defaultRowHeight="16.149999999999999" customHeight="1" x14ac:dyDescent="0.15"/>
  <cols>
    <col min="1" max="1" width="20.125" style="177" bestFit="1" customWidth="1"/>
    <col min="2" max="2" width="18.25" style="177" bestFit="1" customWidth="1"/>
    <col min="3" max="3" width="20.75" style="66" customWidth="1"/>
    <col min="4" max="4" width="15.25" style="177" bestFit="1" customWidth="1"/>
    <col min="5" max="5" width="20.75" style="66" customWidth="1"/>
    <col min="6" max="10" width="8.875" style="177"/>
    <col min="11" max="11" width="14.125" style="177" bestFit="1" customWidth="1"/>
    <col min="12" max="12" width="10.375" style="66" customWidth="1"/>
    <col min="13" max="13" width="6" style="177" bestFit="1" customWidth="1"/>
    <col min="14" max="14" width="14.625" style="177" bestFit="1" customWidth="1"/>
    <col min="15" max="15" width="6" style="177" bestFit="1" customWidth="1"/>
    <col min="16" max="16" width="18.75" style="66" customWidth="1"/>
    <col min="17" max="16384" width="8.875" style="177"/>
  </cols>
  <sheetData>
    <row r="1" spans="1:16" ht="16.149999999999999" customHeight="1" x14ac:dyDescent="0.15">
      <c r="A1" s="251" t="str" cm="1">
        <f t="array" ref="A1">IFERROR(INDEX($B$1:$B$259,SMALL(IF($B$3:$B$259&lt;&gt;"",ROW($B$3:$B$259),4^8),ROW(B2)))&amp;"","")</f>
        <v>—起源专长—</v>
      </c>
      <c r="L1" s="177"/>
      <c r="P1" s="177"/>
    </row>
    <row r="2" spans="1:16" ht="16.149999999999999" customHeight="1" x14ac:dyDescent="0.15">
      <c r="A2" s="251" t="str" cm="1">
        <f t="array" ref="A2">IFERROR(INDEX($B$1:$B$259,SMALL(IF($B$3:$B$259&lt;&gt;"",ROW($B$3:$B$259),4^8),ROW(B3)))&amp;"","")</f>
        <v>警戒</v>
      </c>
      <c r="L2" s="177"/>
      <c r="P2" s="177"/>
    </row>
    <row r="3" spans="1:16" ht="16.149999999999999" customHeight="1" x14ac:dyDescent="0.15">
      <c r="A3" s="251" t="str" cm="1">
        <f t="array" ref="A3">IFERROR(INDEX($B$1:$B$259,SMALL(IF($B$3:$B$259&lt;&gt;"",ROW($B$3:$B$259),4^8),ROW(B4)))&amp;"","")</f>
        <v>巧匠</v>
      </c>
      <c r="B3" s="241" t="s">
        <v>16</v>
      </c>
      <c r="C3" s="242" t="s">
        <v>37</v>
      </c>
      <c r="D3" s="241" t="s">
        <v>16</v>
      </c>
      <c r="E3" s="242" t="s">
        <v>37</v>
      </c>
      <c r="F3" s="178" t="s">
        <v>3193</v>
      </c>
      <c r="G3" s="178" t="s">
        <v>3194</v>
      </c>
      <c r="H3" s="178" t="s">
        <v>3193</v>
      </c>
      <c r="I3" s="178" t="s">
        <v>3194</v>
      </c>
      <c r="K3" s="241" t="s">
        <v>8546</v>
      </c>
      <c r="L3" s="242" t="s">
        <v>8540</v>
      </c>
      <c r="M3" s="242" t="s">
        <v>8541</v>
      </c>
      <c r="N3" s="242" t="s">
        <v>8542</v>
      </c>
      <c r="O3" s="242" t="s">
        <v>8543</v>
      </c>
      <c r="P3" s="242" t="s">
        <v>8308</v>
      </c>
    </row>
    <row r="4" spans="1:16" ht="16.149999999999999" customHeight="1" x14ac:dyDescent="0.15">
      <c r="A4" s="251" t="str" cm="1">
        <f t="array" ref="A4">IFERROR(INDEX($B$1:$B$259,SMALL(IF($B$3:$B$259&lt;&gt;"",ROW($B$3:$B$259),4^8),ROW(B5)))&amp;"","")</f>
        <v>医疗师</v>
      </c>
      <c r="B4" s="853" t="s">
        <v>10756</v>
      </c>
      <c r="C4" s="854"/>
      <c r="D4" s="252" t="s">
        <v>7143</v>
      </c>
      <c r="E4" s="253" t="s">
        <v>7144</v>
      </c>
      <c r="F4" s="177">
        <f>主要!BU19</f>
        <v>0</v>
      </c>
      <c r="G4" s="177" t="str">
        <f t="shared" ref="G4:G14" si="0">IFERROR(VLOOKUP(F4,$B$4:$C$259,2,FALSE),"")</f>
        <v/>
      </c>
      <c r="H4" s="177">
        <f>主要!BT33</f>
        <v>0</v>
      </c>
      <c r="I4" s="177" t="str">
        <f>IFERROR(VLOOKUP(H4,$D$4:$E$17,2,FALSE),"")</f>
        <v/>
      </c>
      <c r="K4" s="243" t="str">
        <f>据点!B5</f>
        <v>奥术研究室</v>
      </c>
      <c r="L4" s="244" t="str">
        <f>IFERROR(VLOOKUP($K$4,$K$7:$P$34,2,FALSE),"")</f>
        <v>可以使用奥术法器或可以将工具作为施法法器</v>
      </c>
      <c r="M4" s="244" t="str">
        <f>IFERROR(VLOOKUP($K$4,$K$7:$P$34,3,FALSE),"")</f>
        <v>宽敞</v>
      </c>
      <c r="N4" s="244">
        <f>IFERROR(VLOOKUP($K$4,$K$7:$P$34,4,FALSE),"")</f>
        <v>1</v>
      </c>
      <c r="O4" s="244" t="str">
        <f>IFERROR(VLOOKUP($K$4,$K$7:$P$34,5,FALSE),"")</f>
        <v>制造</v>
      </c>
      <c r="P4" s="244" t="str">
        <f>IFERROR(VLOOKUP($K$4,$K$7:$P$34,6,FALSE),"")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16" ht="16.149999999999999" customHeight="1" x14ac:dyDescent="0.15">
      <c r="A5" s="251" t="str" cm="1">
        <f t="array" ref="A5">IFERROR(INDEX($B$1:$B$259,SMALL(IF($B$3:$B$259&lt;&gt;"",ROW($B$3:$B$259),4^8),ROW(B6)))&amp;"","")</f>
        <v>幸运</v>
      </c>
      <c r="B5" s="416" t="s">
        <v>6641</v>
      </c>
      <c r="C5" s="417" t="s">
        <v>6642</v>
      </c>
      <c r="D5" s="254" t="s">
        <v>7145</v>
      </c>
      <c r="E5" s="255" t="s">
        <v>7146</v>
      </c>
      <c r="F5" s="177">
        <f>主要!BU20</f>
        <v>0</v>
      </c>
      <c r="G5" s="177" t="str">
        <f t="shared" si="0"/>
        <v/>
      </c>
      <c r="H5" s="177">
        <f>主要!BT34</f>
        <v>0</v>
      </c>
      <c r="I5" s="177" t="str">
        <f t="shared" ref="I5:I6" si="1">IFERROR(VLOOKUP(H5,$D$4:$E$17,2,FALSE),"")</f>
        <v/>
      </c>
    </row>
    <row r="6" spans="1:16" ht="16.149999999999999" customHeight="1" x14ac:dyDescent="0.15">
      <c r="A6" s="251" t="str" cm="1">
        <f t="array" ref="A6">IFERROR(INDEX($B$1:$B$259,SMALL(IF($B$3:$B$259&lt;&gt;"",ROW($B$3:$B$259),4^8),ROW(B7)))&amp;"","")</f>
        <v>魔法学徒</v>
      </c>
      <c r="B6" s="416" t="s">
        <v>520</v>
      </c>
      <c r="C6" s="417" t="s">
        <v>6643</v>
      </c>
      <c r="D6" s="254" t="s">
        <v>7147</v>
      </c>
      <c r="E6" s="255" t="s">
        <v>7148</v>
      </c>
      <c r="F6" s="177">
        <f>主要!BU21</f>
        <v>0</v>
      </c>
      <c r="G6" s="177" t="str">
        <f t="shared" si="0"/>
        <v/>
      </c>
      <c r="H6" s="177">
        <f>主要!BT35</f>
        <v>0</v>
      </c>
      <c r="I6" s="177" t="str">
        <f t="shared" si="1"/>
        <v/>
      </c>
      <c r="K6" s="178" t="s">
        <v>8567</v>
      </c>
      <c r="L6" s="296" t="s">
        <v>8568</v>
      </c>
      <c r="M6" s="296" t="s">
        <v>8569</v>
      </c>
      <c r="N6" s="296" t="s">
        <v>8570</v>
      </c>
      <c r="O6" s="296" t="s">
        <v>8571</v>
      </c>
      <c r="P6" s="296" t="s">
        <v>8572</v>
      </c>
    </row>
    <row r="7" spans="1:16" ht="16.149999999999999" customHeight="1" x14ac:dyDescent="0.15">
      <c r="A7" s="251" t="str" cm="1">
        <f t="array" ref="A7">IFERROR(INDEX($B$1:$B$259,SMALL(IF($B$3:$B$259&lt;&gt;"",ROW($B$3:$B$259),4^8),ROW(B8)))&amp;"","")</f>
        <v>音乐家</v>
      </c>
      <c r="B7" s="416" t="s">
        <v>521</v>
      </c>
      <c r="C7" s="417" t="s">
        <v>6644</v>
      </c>
      <c r="D7" s="254" t="s">
        <v>7149</v>
      </c>
      <c r="E7" s="255" t="s">
        <v>7150</v>
      </c>
      <c r="F7" s="177">
        <f>主要!BU22</f>
        <v>0</v>
      </c>
      <c r="G7" s="177" t="str">
        <f t="shared" si="0"/>
        <v/>
      </c>
      <c r="H7" s="177">
        <f>主要!BT36</f>
        <v>0</v>
      </c>
      <c r="I7" s="177" t="str">
        <f>IFERROR(VLOOKUP(H7,$D$4:$E$17,2,FALSE),"")</f>
        <v/>
      </c>
      <c r="K7" s="280" t="s">
        <v>8573</v>
      </c>
      <c r="L7" s="297" t="s">
        <v>8579</v>
      </c>
      <c r="M7" s="177" t="s">
        <v>8574</v>
      </c>
      <c r="N7" s="177">
        <v>1</v>
      </c>
      <c r="O7" s="177" t="s">
        <v>8575</v>
      </c>
      <c r="P7" s="66" t="s">
        <v>8576</v>
      </c>
    </row>
    <row r="8" spans="1:16" ht="16.149999999999999" customHeight="1" x14ac:dyDescent="0.15">
      <c r="A8" s="251" t="str" cm="1">
        <f t="array" ref="A8">IFERROR(INDEX($B$1:$B$259,SMALL(IF($B$3:$B$259&lt;&gt;"",ROW($B$3:$B$259),4^8),ROW(B9)))&amp;"","")</f>
        <v>凶蛮打手</v>
      </c>
      <c r="B8" s="416" t="s">
        <v>522</v>
      </c>
      <c r="C8" s="417" t="s">
        <v>6645</v>
      </c>
      <c r="D8" s="254" t="s">
        <v>7151</v>
      </c>
      <c r="E8" s="255" t="s">
        <v>7152</v>
      </c>
      <c r="F8" s="177">
        <f>主要!BU23</f>
        <v>0</v>
      </c>
      <c r="G8" s="177" t="str">
        <f t="shared" si="0"/>
        <v/>
      </c>
      <c r="K8" s="280" t="s">
        <v>8577</v>
      </c>
      <c r="L8" s="297" t="s">
        <v>7323</v>
      </c>
      <c r="M8" s="177" t="s">
        <v>8574</v>
      </c>
      <c r="N8" s="177">
        <v>1</v>
      </c>
      <c r="O8" s="282" t="s">
        <v>8553</v>
      </c>
      <c r="P8" s="283" t="s">
        <v>8578</v>
      </c>
    </row>
    <row r="9" spans="1:16" ht="16.149999999999999" customHeight="1" x14ac:dyDescent="0.15">
      <c r="A9" s="251" t="str" cm="1">
        <f t="array" ref="A9">IFERROR(INDEX($B$1:$B$259,SMALL(IF($B$3:$B$259&lt;&gt;"",ROW($B$3:$B$259),4^8),ROW(B10)))&amp;"","")</f>
        <v>熟习</v>
      </c>
      <c r="B9" s="416" t="s">
        <v>6646</v>
      </c>
      <c r="C9" s="417" t="s">
        <v>6647</v>
      </c>
      <c r="D9" s="254" t="s">
        <v>7153</v>
      </c>
      <c r="E9" s="255" t="s">
        <v>7154</v>
      </c>
      <c r="F9" s="177">
        <f>主要!BU24</f>
        <v>0</v>
      </c>
      <c r="G9" s="177" t="str">
        <f t="shared" si="0"/>
        <v/>
      </c>
      <c r="K9" s="298" t="s">
        <v>8580</v>
      </c>
      <c r="L9" s="297" t="s">
        <v>7323</v>
      </c>
      <c r="M9" s="177" t="s">
        <v>8574</v>
      </c>
      <c r="N9" s="177">
        <v>1</v>
      </c>
      <c r="O9" s="282" t="s">
        <v>8550</v>
      </c>
      <c r="P9" s="283" t="s">
        <v>8581</v>
      </c>
    </row>
    <row r="10" spans="1:16" ht="16.149999999999999" customHeight="1" x14ac:dyDescent="0.15">
      <c r="A10" s="251" t="str" cm="1">
        <f t="array" ref="A10">IFERROR(INDEX($B$1:$B$259,SMALL(IF($B$3:$B$259&lt;&gt;"",ROW($B$3:$B$259),4^8),ROW(B11)))&amp;"","")</f>
        <v>酒馆斗殴者</v>
      </c>
      <c r="B10" s="416" t="s">
        <v>523</v>
      </c>
      <c r="C10" s="417" t="s">
        <v>6648</v>
      </c>
      <c r="D10" s="254" t="s">
        <v>7155</v>
      </c>
      <c r="E10" s="255" t="s">
        <v>7156</v>
      </c>
      <c r="F10" s="177">
        <f>主要!BU25</f>
        <v>0</v>
      </c>
      <c r="G10" s="177" t="str">
        <f t="shared" si="0"/>
        <v/>
      </c>
      <c r="K10" s="298" t="s">
        <v>8582</v>
      </c>
      <c r="L10" s="297" t="s">
        <v>7323</v>
      </c>
      <c r="M10" s="177" t="s">
        <v>8574</v>
      </c>
      <c r="N10" s="177">
        <v>1</v>
      </c>
      <c r="O10" s="282" t="s">
        <v>119</v>
      </c>
      <c r="P10" s="283" t="s">
        <v>8583</v>
      </c>
    </row>
    <row r="11" spans="1:16" ht="16.149999999999999" customHeight="1" x14ac:dyDescent="0.15">
      <c r="A11" s="251" t="str" cm="1">
        <f t="array" ref="A11">IFERROR(INDEX($B$1:$B$259,SMALL(IF($B$3:$B$259&lt;&gt;"",ROW($B$3:$B$259),4^8),ROW(B12)))&amp;"","")</f>
        <v>健壮</v>
      </c>
      <c r="B11" s="416" t="s">
        <v>524</v>
      </c>
      <c r="C11" s="417" t="s">
        <v>6649</v>
      </c>
      <c r="D11" s="254" t="s">
        <v>7157</v>
      </c>
      <c r="E11" s="255" t="s">
        <v>7158</v>
      </c>
      <c r="F11" s="177">
        <f>主要!BU26</f>
        <v>0</v>
      </c>
      <c r="G11" s="177" t="str">
        <f t="shared" si="0"/>
        <v/>
      </c>
      <c r="K11" s="298" t="s">
        <v>8585</v>
      </c>
      <c r="L11" s="283" t="s">
        <v>8586</v>
      </c>
      <c r="M11" s="177" t="s">
        <v>8574</v>
      </c>
      <c r="N11" s="177">
        <v>1</v>
      </c>
      <c r="O11" s="282" t="s">
        <v>8548</v>
      </c>
      <c r="P11" s="283" t="s">
        <v>8584</v>
      </c>
    </row>
    <row r="12" spans="1:16" ht="16.149999999999999" customHeight="1" x14ac:dyDescent="0.15">
      <c r="A12" s="251" t="str" cm="1">
        <f t="array" ref="A12">IFERROR(INDEX($B$1:$B$259,SMALL(IF($B$3:$B$259&lt;&gt;"",ROW($B$3:$B$259),4^8),ROW(B13)))&amp;"","")</f>
        <v>斯翠海文学徒</v>
      </c>
      <c r="B12" s="416" t="s">
        <v>525</v>
      </c>
      <c r="C12" s="417" t="s">
        <v>6650</v>
      </c>
      <c r="D12" s="254" t="s">
        <v>7159</v>
      </c>
      <c r="E12" s="255" t="s">
        <v>7160</v>
      </c>
      <c r="F12" s="177">
        <f>主要!BU27</f>
        <v>0</v>
      </c>
      <c r="G12" s="177" t="str">
        <f t="shared" si="0"/>
        <v/>
      </c>
      <c r="K12" s="298" t="s">
        <v>8587</v>
      </c>
      <c r="L12" s="297" t="s">
        <v>7323</v>
      </c>
      <c r="M12" s="177" t="s">
        <v>8574</v>
      </c>
      <c r="N12" s="177">
        <v>2</v>
      </c>
      <c r="O12" s="282" t="s">
        <v>8548</v>
      </c>
      <c r="P12" s="283" t="s">
        <v>8588</v>
      </c>
    </row>
    <row r="13" spans="1:16" ht="16.149999999999999" customHeight="1" x14ac:dyDescent="0.15">
      <c r="A13" s="251" t="str" cm="1">
        <f t="array" ref="A13">IFERROR(INDEX($B$1:$B$259,SMALL(IF($B$3:$B$259&lt;&gt;"",ROW($B$3:$B$259),4^8),ROW(B14)))&amp;"","")</f>
        <v>符文塑形者</v>
      </c>
      <c r="B13" s="416" t="s">
        <v>526</v>
      </c>
      <c r="C13" s="417" t="s">
        <v>6651</v>
      </c>
      <c r="D13" s="254" t="s">
        <v>7161</v>
      </c>
      <c r="E13" s="255" t="s">
        <v>7162</v>
      </c>
      <c r="F13" s="177">
        <f>主要!BU28</f>
        <v>0</v>
      </c>
      <c r="G13" s="177" t="str">
        <f t="shared" si="0"/>
        <v/>
      </c>
      <c r="K13" s="298" t="s">
        <v>8589</v>
      </c>
      <c r="L13" s="297" t="s">
        <v>7323</v>
      </c>
      <c r="M13" s="177" t="s">
        <v>8574</v>
      </c>
      <c r="N13" s="177">
        <v>1</v>
      </c>
      <c r="O13" s="282" t="s">
        <v>8553</v>
      </c>
      <c r="P13" s="283" t="s">
        <v>8590</v>
      </c>
    </row>
    <row r="14" spans="1:16" ht="16.149999999999999" customHeight="1" x14ac:dyDescent="0.15">
      <c r="A14" s="251" t="str" cm="1">
        <f t="array" ref="A14">IFERROR(INDEX($B$1:$B$259,SMALL(IF($B$3:$B$259&lt;&gt;"",ROW($B$3:$B$259),4^8),ROW(B15)))&amp;"","")</f>
        <v>巨人打击</v>
      </c>
      <c r="B14" s="416" t="s">
        <v>527</v>
      </c>
      <c r="C14" s="417" t="s">
        <v>6652</v>
      </c>
      <c r="D14" s="254" t="s">
        <v>7163</v>
      </c>
      <c r="E14" s="255" t="s">
        <v>7164</v>
      </c>
      <c r="F14" s="177">
        <f>主要!BU29</f>
        <v>0</v>
      </c>
      <c r="G14" s="177" t="str">
        <f t="shared" si="0"/>
        <v/>
      </c>
      <c r="I14" s="282" t="s">
        <v>8555</v>
      </c>
      <c r="K14" s="298" t="s">
        <v>8591</v>
      </c>
      <c r="L14" s="297" t="s">
        <v>7323</v>
      </c>
      <c r="M14" s="177" t="s">
        <v>8574</v>
      </c>
      <c r="N14" s="177">
        <v>3</v>
      </c>
      <c r="O14" s="282" t="s">
        <v>8548</v>
      </c>
      <c r="P14" s="283" t="s">
        <v>8592</v>
      </c>
    </row>
    <row r="15" spans="1:16" ht="16.149999999999999" customHeight="1" x14ac:dyDescent="0.15">
      <c r="A15" s="251" t="str" cm="1">
        <f t="array" ref="A15">IFERROR(INDEX($B$1:$B$259,SMALL(IF($B$3:$B$259&lt;&gt;"",ROW($B$3:$B$259),4^8),ROW(B16)))&amp;"","")</f>
        <v>外层位面后裔</v>
      </c>
      <c r="B15" s="416" t="str">
        <f>IF(自定义调整栏!$E$20="O","斯翠海文学徒","")</f>
        <v>斯翠海文学徒</v>
      </c>
      <c r="C15" s="417" t="s">
        <v>6755</v>
      </c>
      <c r="D15" s="254" t="s">
        <v>7165</v>
      </c>
      <c r="E15" s="255" t="s">
        <v>7166</v>
      </c>
      <c r="I15" s="282" t="s">
        <v>8547</v>
      </c>
      <c r="K15" s="299" t="s">
        <v>8593</v>
      </c>
      <c r="L15" s="300" t="s">
        <v>7323</v>
      </c>
      <c r="M15" s="301" t="s">
        <v>8574</v>
      </c>
      <c r="N15" s="301">
        <v>1</v>
      </c>
      <c r="O15" s="302" t="s">
        <v>8553</v>
      </c>
      <c r="P15" s="303" t="s">
        <v>8594</v>
      </c>
    </row>
    <row r="16" spans="1:16" ht="16.149999999999999" customHeight="1" x14ac:dyDescent="0.15">
      <c r="A16" s="251" t="str" cm="1">
        <f t="array" ref="A16">IFERROR(INDEX($B$1:$B$259,SMALL(IF($B$3:$B$259&lt;&gt;"",ROW($B$3:$B$259),4^8),ROW(B17)))&amp;"","")</f>
        <v>新晋龙巫教徒</v>
      </c>
      <c r="B16" s="416" t="str">
        <f>IF(自定义调整栏!$E$21="O","符文塑形者","")</f>
        <v>符文塑形者</v>
      </c>
      <c r="C16" s="417" t="s">
        <v>6760</v>
      </c>
      <c r="D16" s="256" t="str">
        <f>自定义调整栏!U31</f>
        <v>自定义战风1</v>
      </c>
      <c r="E16" s="257" t="str">
        <f>自定义调整栏!W31</f>
        <v>-</v>
      </c>
      <c r="I16" s="282" t="s">
        <v>8554</v>
      </c>
      <c r="K16" s="299" t="s">
        <v>8595</v>
      </c>
      <c r="L16" s="300" t="s">
        <v>7323</v>
      </c>
      <c r="M16" s="302" t="s">
        <v>8554</v>
      </c>
      <c r="N16" s="301">
        <v>4</v>
      </c>
      <c r="O16" s="302" t="s">
        <v>8553</v>
      </c>
      <c r="P16" s="303" t="s">
        <v>8596</v>
      </c>
    </row>
    <row r="17" spans="1:16" ht="16.149999999999999" customHeight="1" x14ac:dyDescent="0.15">
      <c r="A17" s="251" t="str" cm="1">
        <f t="array" ref="A17">IFERROR(INDEX($B$1:$B$259,SMALL(IF($B$3:$B$259&lt;&gt;"",ROW($B$3:$B$259),4^8),ROW(B18)))&amp;"","")</f>
        <v>翠绿闲庭新羽</v>
      </c>
      <c r="B17" s="416" t="str">
        <f>IF(自定义调整栏!$E$21="O","巨人打击","")</f>
        <v>巨人打击</v>
      </c>
      <c r="C17" s="417" t="s">
        <v>6761</v>
      </c>
      <c r="D17" s="258" t="str">
        <f>自定义调整栏!U32</f>
        <v>自定义战风2</v>
      </c>
      <c r="E17" s="259" t="str">
        <f>自定义调整栏!W32</f>
        <v>-</v>
      </c>
      <c r="K17" s="299" t="s">
        <v>8597</v>
      </c>
      <c r="L17" s="300" t="s">
        <v>7323</v>
      </c>
      <c r="M17" s="301" t="s">
        <v>8574</v>
      </c>
      <c r="N17" s="301">
        <v>1</v>
      </c>
      <c r="O17" s="302" t="s">
        <v>8550</v>
      </c>
      <c r="P17" s="303" t="s">
        <v>8598</v>
      </c>
    </row>
    <row r="18" spans="1:16" ht="16.149999999999999" customHeight="1" x14ac:dyDescent="0.15">
      <c r="A18" s="251" t="str" cm="1">
        <f t="array" ref="A18">IFERROR(INDEX($B$1:$B$259,SMALL(IF($B$3:$B$259&lt;&gt;"",ROW($B$3:$B$259),4^8),ROW(B19)))&amp;"","")</f>
        <v>竖琴手特工</v>
      </c>
      <c r="B18" s="416" t="str">
        <f>IF(自定义调整栏!$E$22="O","外层位面后裔","")</f>
        <v>外层位面后裔</v>
      </c>
      <c r="C18" s="417" t="s">
        <v>6785</v>
      </c>
      <c r="I18" s="282" t="s">
        <v>178</v>
      </c>
      <c r="K18" s="299" t="s">
        <v>8599</v>
      </c>
      <c r="L18" s="300" t="s">
        <v>7323</v>
      </c>
      <c r="M18" s="301" t="s">
        <v>8574</v>
      </c>
      <c r="N18" s="301">
        <v>1</v>
      </c>
      <c r="O18" s="302" t="s">
        <v>178</v>
      </c>
      <c r="P18" s="303" t="s">
        <v>8600</v>
      </c>
    </row>
    <row r="19" spans="1:16" ht="16.149999999999999" customHeight="1" x14ac:dyDescent="0.15">
      <c r="A19" s="251" t="str" cm="1">
        <f t="array" ref="A19">IFERROR(INDEX($B$1:$B$259,SMALL(IF($B$3:$B$259&lt;&gt;"",ROW($B$3:$B$259),4^8),ROW(B20)))&amp;"","")</f>
        <v>领主联盟特工</v>
      </c>
      <c r="B19" s="416" t="str">
        <f>IF(自定义调整栏!$E$36="O","我曾斗战而归","")</f>
        <v/>
      </c>
      <c r="C19" s="417" t="s">
        <v>6789</v>
      </c>
      <c r="I19" s="282" t="s">
        <v>8549</v>
      </c>
      <c r="K19" s="299" t="s">
        <v>8601</v>
      </c>
      <c r="L19" s="303" t="s">
        <v>8586</v>
      </c>
      <c r="M19" s="301" t="s">
        <v>8574</v>
      </c>
      <c r="N19" s="301">
        <v>1</v>
      </c>
      <c r="O19" s="302" t="s">
        <v>8548</v>
      </c>
      <c r="P19" s="303" t="s">
        <v>8602</v>
      </c>
    </row>
    <row r="20" spans="1:16" ht="16.149999999999999" customHeight="1" x14ac:dyDescent="0.15">
      <c r="A20" s="251" t="str" cm="1">
        <f t="array" ref="A20">IFERROR(INDEX($B$1:$B$259,SMALL(IF($B$3:$B$259&lt;&gt;"",ROW($B$3:$B$259),4^8),ROW(B21)))&amp;"","")</f>
        <v>紫龙新兵</v>
      </c>
      <c r="B20" s="416" t="str">
        <f>IF(自定义调整栏!$E$36="O","我曾躲过惧怖","")</f>
        <v/>
      </c>
      <c r="C20" s="417" t="s">
        <v>6790</v>
      </c>
      <c r="I20" s="282" t="s">
        <v>8550</v>
      </c>
      <c r="K20" s="299" t="s">
        <v>8603</v>
      </c>
      <c r="L20" s="300" t="s">
        <v>7323</v>
      </c>
      <c r="M20" s="301" t="s">
        <v>8574</v>
      </c>
      <c r="N20" s="301">
        <v>1</v>
      </c>
      <c r="O20" s="302" t="s">
        <v>8548</v>
      </c>
      <c r="P20" s="303" t="s">
        <v>8604</v>
      </c>
    </row>
    <row r="21" spans="1:16" ht="16.149999999999999" customHeight="1" x14ac:dyDescent="0.15">
      <c r="A21" s="251" t="str" cm="1">
        <f t="array" ref="A21">IFERROR(INDEX($B$1:$B$259,SMALL(IF($B$3:$B$259&lt;&gt;"",ROW($B$3:$B$259),4^8),ROW(B22)))&amp;"","")</f>
        <v>咒火火花</v>
      </c>
      <c r="B21" s="416" t="str">
        <f>IF(自定义调整栏!$E$36="O","我曾冲破幻象","")</f>
        <v/>
      </c>
      <c r="C21" s="417" t="s">
        <v>6791</v>
      </c>
      <c r="I21" s="282" t="s">
        <v>8551</v>
      </c>
      <c r="K21" s="299" t="s">
        <v>8605</v>
      </c>
      <c r="L21" s="300" t="s">
        <v>7323</v>
      </c>
      <c r="M21" s="301" t="s">
        <v>8574</v>
      </c>
      <c r="N21" s="301">
        <v>1</v>
      </c>
      <c r="O21" s="302" t="s">
        <v>8552</v>
      </c>
      <c r="P21" s="303" t="s">
        <v>8606</v>
      </c>
    </row>
    <row r="22" spans="1:16" ht="16.149999999999999" customHeight="1" x14ac:dyDescent="0.15">
      <c r="A22" s="251" t="str" cm="1">
        <f t="array" ref="A22">IFERROR(INDEX($B$1:$B$259,SMALL(IF($B$3:$B$259&lt;&gt;"",ROW($B$3:$B$259),4^8),ROW(B23)))&amp;"","")</f>
        <v>新锻臂铠</v>
      </c>
      <c r="B22" s="416" t="str">
        <f>IF(自定义调整栏!$E$36="O","我曾打开大门","")</f>
        <v/>
      </c>
      <c r="C22" s="417" t="s">
        <v>6792</v>
      </c>
      <c r="I22" s="282" t="s">
        <v>8552</v>
      </c>
      <c r="K22" s="299" t="s">
        <v>8607</v>
      </c>
      <c r="L22" s="300" t="s">
        <v>7323</v>
      </c>
      <c r="M22" s="302" t="s">
        <v>8554</v>
      </c>
      <c r="N22" s="301">
        <v>4</v>
      </c>
      <c r="O22" s="302" t="s">
        <v>8549</v>
      </c>
      <c r="P22" s="303" t="s">
        <v>8608</v>
      </c>
    </row>
    <row r="23" spans="1:16" ht="16.149999999999999" customHeight="1" x14ac:dyDescent="0.15">
      <c r="A23" s="251" t="str" cm="1">
        <f t="array" ref="A23">IFERROR(INDEX($B$1:$B$259,SMALL(IF($B$3:$B$259&lt;&gt;"",ROW($B$3:$B$259),4^8),ROW(B24)))&amp;"","")</f>
        <v>散塔林会暴徒</v>
      </c>
      <c r="B23" s="416" t="str">
        <f>IF(自定义调整栏!$E$36="O","我曾幸存以述","")</f>
        <v/>
      </c>
      <c r="C23" s="417" t="s">
        <v>6793</v>
      </c>
      <c r="I23" s="282" t="s">
        <v>119</v>
      </c>
      <c r="K23" s="299" t="s">
        <v>8609</v>
      </c>
      <c r="L23" s="300" t="s">
        <v>7323</v>
      </c>
      <c r="M23" s="302" t="s">
        <v>8554</v>
      </c>
      <c r="N23" s="301">
        <v>4</v>
      </c>
      <c r="O23" s="302" t="s">
        <v>8549</v>
      </c>
      <c r="P23" s="303" t="s">
        <v>8610</v>
      </c>
    </row>
    <row r="24" spans="1:16" ht="16.149999999999999" customHeight="1" x14ac:dyDescent="0.15">
      <c r="A24" s="251" t="str" cm="1">
        <f t="array" ref="A24">IFERROR(INDEX($B$1:$B$259,SMALL(IF($B$3:$B$259&lt;&gt;"",ROW($B$3:$B$259),4^8),ROW(B25)))&amp;"","")</f>
        <v>骄阳之子</v>
      </c>
      <c r="B24" s="416" t="str">
        <f>IF(自定义调整栏!$E$41="O","天气操作","")</f>
        <v/>
      </c>
      <c r="C24" s="417" t="s">
        <v>6794</v>
      </c>
      <c r="I24" s="282" t="s">
        <v>8553</v>
      </c>
      <c r="K24" s="299" t="s">
        <v>8611</v>
      </c>
      <c r="L24" s="300" t="s">
        <v>7323</v>
      </c>
      <c r="M24" s="301" t="s">
        <v>8574</v>
      </c>
      <c r="N24" s="301">
        <v>1</v>
      </c>
      <c r="O24" s="302" t="s">
        <v>119</v>
      </c>
      <c r="P24" s="303" t="s">
        <v>8612</v>
      </c>
    </row>
    <row r="25" spans="1:16" ht="16.149999999999999" customHeight="1" x14ac:dyDescent="0.15">
      <c r="A25" s="251" t="str" cm="1">
        <f t="array" ref="A25">IFERROR(INDEX($B$1:$B$259,SMALL(IF($B$3:$B$259&lt;&gt;"",ROW($B$3:$B$259),4^8),ROW(B26)))&amp;"","")</f>
        <v>影原咒者</v>
      </c>
      <c r="B25" s="416" t="str">
        <f>IF(自定义调整栏!$E$41="O","生体操纵","")</f>
        <v/>
      </c>
      <c r="C25" s="417" t="s">
        <v>6795</v>
      </c>
      <c r="K25" s="298" t="s">
        <v>8613</v>
      </c>
      <c r="L25" s="297" t="s">
        <v>7323</v>
      </c>
      <c r="M25" s="177" t="s">
        <v>8574</v>
      </c>
      <c r="N25" s="177">
        <v>1</v>
      </c>
      <c r="O25" s="282" t="s">
        <v>119</v>
      </c>
      <c r="P25" s="283" t="s">
        <v>8614</v>
      </c>
    </row>
    <row r="26" spans="1:16" ht="16.149999999999999" customHeight="1" x14ac:dyDescent="0.15">
      <c r="A26" s="251" t="str" cm="1">
        <f t="array" ref="A26">IFERROR(INDEX($B$1:$B$259,SMALL(IF($B$3:$B$259&lt;&gt;"",ROW($B$3:$B$259),4^8),ROW(B27)))&amp;"","")</f>
        <v>异种龙纹</v>
      </c>
      <c r="B26" s="416" t="str">
        <f>IF(自定义调整栏!$E$41="O","超感知","")</f>
        <v/>
      </c>
      <c r="C26" s="417" t="s">
        <v>6796</v>
      </c>
      <c r="K26" s="298" t="s">
        <v>8615</v>
      </c>
      <c r="L26" s="297" t="s">
        <v>7323</v>
      </c>
      <c r="M26" s="281" t="s">
        <v>8616</v>
      </c>
      <c r="N26" s="177">
        <v>1</v>
      </c>
      <c r="O26" s="282" t="s">
        <v>8549</v>
      </c>
      <c r="P26" s="283" t="s">
        <v>8617</v>
      </c>
    </row>
    <row r="27" spans="1:16" ht="16.149999999999999" customHeight="1" x14ac:dyDescent="0.15">
      <c r="A27" s="251" t="str" cm="1">
        <f t="array" ref="A27">IFERROR(INDEX($B$1:$B$259,SMALL(IF($B$3:$B$259&lt;&gt;"",ROW($B$3:$B$259),4^8),ROW(B28)))&amp;"","")</f>
        <v>侦测龙纹</v>
      </c>
      <c r="B27" s="416" t="str">
        <f>IF(自定义调整栏!$E$41="O","低温控制","")</f>
        <v/>
      </c>
      <c r="C27" s="417" t="s">
        <v>6797</v>
      </c>
      <c r="K27" s="298" t="s">
        <v>8618</v>
      </c>
      <c r="L27" s="297" t="s">
        <v>7323</v>
      </c>
      <c r="M27" s="282" t="s">
        <v>8554</v>
      </c>
      <c r="N27" s="177">
        <v>2</v>
      </c>
      <c r="O27" s="282" t="s">
        <v>8552</v>
      </c>
      <c r="P27" s="283" t="s">
        <v>8619</v>
      </c>
    </row>
    <row r="28" spans="1:16" ht="16.149999999999999" customHeight="1" x14ac:dyDescent="0.15">
      <c r="A28" s="251" t="str" cm="1">
        <f t="array" ref="A28">IFERROR(INDEX($B$1:$B$259,SMALL(IF($B$3:$B$259&lt;&gt;"",ROW($B$3:$B$259),4^8),ROW(B29)))&amp;"","")</f>
        <v>探索龙纹</v>
      </c>
      <c r="B28" s="416" t="str">
        <f>IF(自定义调整栏!$E$41="O","超共感","")</f>
        <v/>
      </c>
      <c r="C28" s="417" t="s">
        <v>6798</v>
      </c>
      <c r="K28" s="298" t="s">
        <v>8620</v>
      </c>
      <c r="L28" s="297" t="s">
        <v>8621</v>
      </c>
      <c r="M28" s="177" t="s">
        <v>8574</v>
      </c>
      <c r="N28" s="177">
        <v>1</v>
      </c>
      <c r="O28" s="282" t="s">
        <v>8549</v>
      </c>
      <c r="P28" s="283" t="s">
        <v>8622</v>
      </c>
    </row>
    <row r="29" spans="1:16" ht="16.149999999999999" customHeight="1" x14ac:dyDescent="0.15">
      <c r="A29" s="251" t="str" cm="1">
        <f t="array" ref="A29">IFERROR(INDEX($B$1:$B$259,SMALL(IF($B$3:$B$259&lt;&gt;"",ROW($B$3:$B$259),4^8),ROW(B30)))&amp;"","")</f>
        <v>畜牧龙纹</v>
      </c>
      <c r="B29" s="416" t="str">
        <f>IF(自定义调整栏!$E$41="O","肉体变化","")</f>
        <v/>
      </c>
      <c r="C29" s="417" t="s">
        <v>6799</v>
      </c>
      <c r="K29" s="298" t="s">
        <v>8623</v>
      </c>
      <c r="L29" s="297" t="s">
        <v>7323</v>
      </c>
      <c r="M29" s="177" t="s">
        <v>8574</v>
      </c>
      <c r="N29" s="177">
        <v>1</v>
      </c>
      <c r="O29" s="282" t="s">
        <v>119</v>
      </c>
      <c r="P29" s="283" t="s">
        <v>8624</v>
      </c>
    </row>
    <row r="30" spans="1:16" ht="16.149999999999999" customHeight="1" x14ac:dyDescent="0.15">
      <c r="A30" s="251" t="str" cm="1">
        <f t="array" ref="A30">IFERROR(INDEX($B$1:$B$259,SMALL(IF($B$3:$B$259&lt;&gt;"",ROW($B$3:$B$259),4^8),ROW(B31)))&amp;"","")</f>
        <v>医疗龙纹</v>
      </c>
      <c r="B30" s="416" t="str">
        <f>IF(自定义调整栏!$E$41="O","思语者","")</f>
        <v/>
      </c>
      <c r="C30" s="417" t="s">
        <v>6800</v>
      </c>
      <c r="K30" s="298" t="s">
        <v>8625</v>
      </c>
      <c r="L30" s="283" t="s">
        <v>8586</v>
      </c>
      <c r="M30" s="281" t="s">
        <v>8616</v>
      </c>
      <c r="N30" s="177">
        <v>1</v>
      </c>
      <c r="O30" s="282" t="s">
        <v>8550</v>
      </c>
      <c r="P30" s="283" t="s">
        <v>8626</v>
      </c>
    </row>
    <row r="31" spans="1:16" ht="16.149999999999999" customHeight="1" x14ac:dyDescent="0.15">
      <c r="A31" s="251" t="str" cm="1">
        <f t="array" ref="A31">IFERROR(INDEX($B$1:$B$259,SMALL(IF($B$3:$B$259&lt;&gt;"",ROW($B$3:$B$259),4^8),ROW(B32)))&amp;"","")</f>
        <v>招待龙纹</v>
      </c>
      <c r="B31" s="416" t="str">
        <f>IF(自定义调整栏!$E$41="O","灵能骗徒","")</f>
        <v/>
      </c>
      <c r="C31" s="417" t="s">
        <v>6801</v>
      </c>
      <c r="K31" s="299" t="s">
        <v>8627</v>
      </c>
      <c r="L31" s="300" t="s">
        <v>8579</v>
      </c>
      <c r="M31" s="302" t="s">
        <v>8554</v>
      </c>
      <c r="N31" s="301">
        <v>1</v>
      </c>
      <c r="O31" s="302" t="s">
        <v>8549</v>
      </c>
      <c r="P31" s="303" t="s">
        <v>8628</v>
      </c>
    </row>
    <row r="32" spans="1:16" ht="16.149999999999999" customHeight="1" x14ac:dyDescent="0.15">
      <c r="A32" s="251" t="str" cm="1">
        <f t="array" ref="A32">IFERROR(INDEX($B$1:$B$259,SMALL(IF($B$3:$B$259&lt;&gt;"",ROW($B$3:$B$259),4^8),ROW(B33)))&amp;"","")</f>
        <v>创造龙纹</v>
      </c>
      <c r="B32" s="416" t="str">
        <f>IF(自定义调整栏!$E$41="O","心动力","")</f>
        <v/>
      </c>
      <c r="C32" s="417" t="s">
        <v>6802</v>
      </c>
      <c r="K32" s="299" t="s">
        <v>8629</v>
      </c>
      <c r="L32" s="300" t="s">
        <v>8630</v>
      </c>
      <c r="M32" s="302" t="s">
        <v>8554</v>
      </c>
      <c r="N32" s="301">
        <v>1</v>
      </c>
      <c r="O32" s="302" t="s">
        <v>8552</v>
      </c>
      <c r="P32" s="303" t="s">
        <v>8631</v>
      </c>
    </row>
    <row r="33" spans="1:16" ht="16.149999999999999" customHeight="1" x14ac:dyDescent="0.15">
      <c r="A33" s="251" t="str" cm="1">
        <f t="array" ref="A33">IFERROR(INDEX($B$1:$B$259,SMALL(IF($B$3:$B$259&lt;&gt;"",ROW($B$3:$B$259),4^8),ROW(B34)))&amp;"","")</f>
        <v>通行龙纹</v>
      </c>
      <c r="B33" s="416" t="str">
        <f>IF(自定义调整栏!$E$41="O","发火能力","")</f>
        <v/>
      </c>
      <c r="C33" s="417" t="s">
        <v>6803</v>
      </c>
      <c r="K33" s="299" t="s">
        <v>8632</v>
      </c>
      <c r="L33" s="303" t="s">
        <v>8586</v>
      </c>
      <c r="M33" s="301" t="s">
        <v>8574</v>
      </c>
      <c r="N33" s="301">
        <v>4</v>
      </c>
      <c r="O33" s="302" t="s">
        <v>8549</v>
      </c>
      <c r="P33" s="303" t="s">
        <v>8633</v>
      </c>
    </row>
    <row r="34" spans="1:16" ht="16.149999999999999" customHeight="1" x14ac:dyDescent="0.15">
      <c r="A34" s="251" t="str" cm="1">
        <f t="array" ref="A34">IFERROR(INDEX($B$1:$B$259,SMALL(IF($B$3:$B$259&lt;&gt;"",ROW($B$3:$B$259),4^8),ROW(B35)))&amp;"","")</f>
        <v>抄录龙纹</v>
      </c>
      <c r="B34" s="416" t="str">
        <f>IF(自定义调整栏!$E$35="O","异变者-水栖适应","")</f>
        <v/>
      </c>
      <c r="C34" s="417" t="s">
        <v>6833</v>
      </c>
      <c r="K34" s="299" t="s">
        <v>8634</v>
      </c>
      <c r="L34" s="300" t="s">
        <v>8635</v>
      </c>
      <c r="M34" s="302" t="s">
        <v>8554</v>
      </c>
      <c r="N34" s="301" t="s">
        <v>8636</v>
      </c>
      <c r="O34" s="302" t="s">
        <v>8552</v>
      </c>
      <c r="P34" s="303" t="s">
        <v>8637</v>
      </c>
    </row>
    <row r="35" spans="1:16" ht="16.149999999999999" customHeight="1" x14ac:dyDescent="0.15">
      <c r="A35" s="251" t="str" cm="1">
        <f t="array" ref="A35">IFERROR(INDEX($B$1:$B$259,SMALL(IF($B$3:$B$259&lt;&gt;"",ROW($B$3:$B$259),4^8),ROW(B36)))&amp;"","")</f>
        <v>哨戒龙纹</v>
      </c>
      <c r="B35" s="416" t="str">
        <f>IF(自定义调整栏!$E$35="O","异变者-天生护甲","")</f>
        <v/>
      </c>
      <c r="C35" s="417" t="s">
        <v>6834</v>
      </c>
    </row>
    <row r="36" spans="1:16" ht="16.149999999999999" customHeight="1" x14ac:dyDescent="0.15">
      <c r="A36" s="251" t="str" cm="1">
        <f t="array" ref="A36">IFERROR(INDEX($B$1:$B$259,SMALL(IF($B$3:$B$259&lt;&gt;"",ROW($B$3:$B$259),4^8),ROW(B37)))&amp;"","")</f>
        <v>阴影龙纹</v>
      </c>
      <c r="B36" s="416" t="str">
        <f>IF(自定义调整栏!$E$35="O","异变者-天生武器","")</f>
        <v/>
      </c>
      <c r="C36" s="417" t="s">
        <v>6835</v>
      </c>
    </row>
    <row r="37" spans="1:16" ht="16.149999999999999" customHeight="1" x14ac:dyDescent="0.15">
      <c r="A37" s="251" t="str" cm="1">
        <f t="array" ref="A37">IFERROR(INDEX($B$1:$B$259,SMALL(IF($B$3:$B$259&lt;&gt;"",ROW($B$3:$B$259),4^8),ROW(B38)))&amp;"","")</f>
        <v>暴风龙纹</v>
      </c>
      <c r="B37" s="416" t="str">
        <f>IF(自定义调整栏!$E$35="O","异变者-夜视","")</f>
        <v/>
      </c>
      <c r="C37" s="417" t="s">
        <v>6836</v>
      </c>
    </row>
    <row r="38" spans="1:16" ht="16.149999999999999" customHeight="1" x14ac:dyDescent="0.15">
      <c r="A38" s="251" t="str" cm="1">
        <f t="array" ref="A38">IFERROR(INDEX($B$1:$B$259,SMALL(IF($B$3:$B$259&lt;&gt;"",ROW($B$3:$B$259),4^8),ROW(B39)))&amp;"","")</f>
        <v>守御龙纹</v>
      </c>
      <c r="B38" s="416" t="str">
        <f>IF(自定义调整栏!$E$35="O","咒饰编织者","")</f>
        <v/>
      </c>
      <c r="C38" s="417" t="s">
        <v>6837</v>
      </c>
    </row>
    <row r="39" spans="1:16" ht="16.149999999999999" customHeight="1" x14ac:dyDescent="0.15">
      <c r="A39" s="251" t="str" cm="1">
        <f t="array" ref="A39">IFERROR(INDEX($B$1:$B$259,SMALL(IF($B$3:$B$259&lt;&gt;"",ROW($B$3:$B$259),4^8),ROW(B40)))&amp;"","")</f>
        <v>—通用专长—</v>
      </c>
      <c r="B39" s="416" t="str">
        <f>IF(自定义调整栏!$E$35="O","猩红祭仪师","")</f>
        <v/>
      </c>
      <c r="C39" s="417" t="s">
        <v>6838</v>
      </c>
    </row>
    <row r="40" spans="1:16" ht="16.149999999999999" customHeight="1" x14ac:dyDescent="0.15">
      <c r="A40" s="251" t="str" cm="1">
        <f t="array" ref="A40">IFERROR(INDEX($B$1:$B$259,SMALL(IF($B$3:$B$259&lt;&gt;"",ROW($B$3:$B$259),4^8),ROW(B41)))&amp;"","")</f>
        <v>属性值提升</v>
      </c>
      <c r="B40" s="416" t="str">
        <f>IF(自定义调整栏!$E$35="O","教团新进者","")</f>
        <v/>
      </c>
      <c r="C40" s="417" t="s">
        <v>6839</v>
      </c>
    </row>
    <row r="41" spans="1:16" ht="16.149999999999999" customHeight="1" x14ac:dyDescent="0.15">
      <c r="A41" s="251" t="str" cm="1">
        <f t="array" ref="A41">IFERROR(INDEX($B$1:$B$259,SMALL(IF($B$3:$B$259&lt;&gt;"",ROW($B$3:$B$259),4^8),ROW(B42)))&amp;"","")</f>
        <v>演员</v>
      </c>
      <c r="B41" s="416" t="str">
        <f>IF(自定义调整栏!$E$35="O","恐惧秘言","")</f>
        <v/>
      </c>
      <c r="C41" s="417" t="s">
        <v>6840</v>
      </c>
    </row>
    <row r="42" spans="1:16" ht="16.149999999999999" customHeight="1" x14ac:dyDescent="0.15">
      <c r="A42" s="251" t="str" cm="1">
        <f t="array" ref="A42">IFERROR(INDEX($B$1:$B$259,SMALL(IF($B$3:$B$259&lt;&gt;"",ROW($B$3:$B$259),4^8),ROW(B43)))&amp;"","")</f>
        <v>运动精英</v>
      </c>
      <c r="B42" s="416" t="str">
        <f>IF(自定义调整栏!$E$35="O","命运赌徒","")</f>
        <v/>
      </c>
      <c r="C42" s="417" t="s">
        <v>6841</v>
      </c>
    </row>
    <row r="43" spans="1:16" ht="16.149999999999999" customHeight="1" x14ac:dyDescent="0.15">
      <c r="A43" s="251" t="str" cm="1">
        <f t="array" ref="A43">IFERROR(INDEX($B$1:$B$259,SMALL(IF($B$3:$B$259&lt;&gt;"",ROW($B$3:$B$259),4^8),ROW(B44)))&amp;"","")</f>
        <v>冲锋手</v>
      </c>
      <c r="B43" s="416" t="str">
        <f>IF(自定义调整栏!$E$35="O","幽灯灵媒","")</f>
        <v/>
      </c>
      <c r="C43" s="417" t="s">
        <v>6842</v>
      </c>
    </row>
    <row r="44" spans="1:16" ht="16.149999999999999" customHeight="1" x14ac:dyDescent="0.15">
      <c r="A44" s="251" t="str" cm="1">
        <f t="array" ref="A44">IFERROR(INDEX($B$1:$B$259,SMALL(IF($B$3:$B$259&lt;&gt;"",ROW($B$3:$B$259),4^8),ROW(B45)))&amp;"","")</f>
        <v>大厨</v>
      </c>
      <c r="B44" s="416" t="str">
        <f>IF(自定义调整栏!$E$35="O","守墓人","")</f>
        <v/>
      </c>
      <c r="C44" s="417" t="s">
        <v>6843</v>
      </c>
    </row>
    <row r="45" spans="1:16" ht="16.149999999999999" customHeight="1" x14ac:dyDescent="0.15">
      <c r="A45" s="251" t="str" cm="1">
        <f t="array" ref="A45">IFERROR(INDEX($B$1:$B$259,SMALL(IF($B$3:$B$259&lt;&gt;"",ROW($B$3:$B$259),4^8),ROW(B46)))&amp;"","")</f>
        <v>强弩专家</v>
      </c>
      <c r="B45" s="416" t="str">
        <f>IF(自定义调整栏!$E$35="O","猎兽猎手","")</f>
        <v/>
      </c>
      <c r="C45" s="417" t="s">
        <v>6844</v>
      </c>
    </row>
    <row r="46" spans="1:16" ht="16.149999999999999" customHeight="1" x14ac:dyDescent="0.15">
      <c r="A46" s="251" t="str" cm="1">
        <f t="array" ref="A46">IFERROR(INDEX($B$1:$B$259,SMALL(IF($B$3:$B$259&lt;&gt;"",ROW($B$3:$B$259),4^8),ROW(B47)))&amp;"","")</f>
        <v>粉碎者</v>
      </c>
      <c r="B46" s="416" t="str">
        <f>IF(自定义调整栏!$E$35="O","记忆饥渴","")</f>
        <v/>
      </c>
      <c r="C46" s="417" t="s">
        <v>6845</v>
      </c>
    </row>
    <row r="47" spans="1:16" ht="16.149999999999999" customHeight="1" x14ac:dyDescent="0.15">
      <c r="A47" s="251" t="str" cm="1">
        <f t="array" ref="A47">IFERROR(INDEX($B$1:$B$259,SMALL(IF($B$3:$B$259&lt;&gt;"",ROW($B$3:$B$259),4^8),ROW(B48)))&amp;"","")</f>
        <v>防御式决斗</v>
      </c>
      <c r="B47" s="416" t="str">
        <f>IF(自定义调整栏!$E$35="O","狂欢愚者","")</f>
        <v/>
      </c>
      <c r="C47" s="417" t="s">
        <v>6846</v>
      </c>
    </row>
    <row r="48" spans="1:16" ht="16.149999999999999" customHeight="1" x14ac:dyDescent="0.15">
      <c r="A48" s="251" t="str" cm="1">
        <f t="array" ref="A48">IFERROR(INDEX($B$1:$B$259,SMALL(IF($B$3:$B$259&lt;&gt;"",ROW($B$3:$B$259),4^8),ROW(B49)))&amp;"","")</f>
        <v>双持客</v>
      </c>
      <c r="B48" s="416" t="str">
        <f>IF(自定义调整栏!$E$35="O","无影之形","")</f>
        <v/>
      </c>
      <c r="C48" s="417" t="s">
        <v>6847</v>
      </c>
    </row>
    <row r="49" spans="1:3" ht="16.149999999999999" customHeight="1" x14ac:dyDescent="0.15">
      <c r="A49" s="251" t="str" cm="1">
        <f t="array" ref="A49">IFERROR(INDEX($B$1:$B$259,SMALL(IF($B$3:$B$259&lt;&gt;"",ROW($B$3:$B$259),4^8),ROW(B50)))&amp;"","")</f>
        <v>耐性</v>
      </c>
      <c r="B49" s="426" t="str">
        <f>IF(自定义调整栏!$E$10="O","新晋龙巫教徒","")</f>
        <v>新晋龙巫教徒</v>
      </c>
      <c r="C49" s="249" t="s">
        <v>10018</v>
      </c>
    </row>
    <row r="50" spans="1:3" ht="16.149999999999999" customHeight="1" x14ac:dyDescent="0.15">
      <c r="A50" s="251" t="str" cm="1">
        <f t="array" ref="A50">IFERROR(INDEX($B$1:$B$259,SMALL(IF($B$3:$B$259&lt;&gt;"",ROW($B$3:$B$259),4^8),ROW(B51)))&amp;"","")</f>
        <v>元素掌控</v>
      </c>
      <c r="B50" s="426" t="str">
        <f>IF(自定义调整栏!$E$10="O","翠绿闲庭新羽","")</f>
        <v>翠绿闲庭新羽</v>
      </c>
      <c r="C50" s="249" t="s">
        <v>10019</v>
      </c>
    </row>
    <row r="51" spans="1:3" ht="16.149999999999999" customHeight="1" x14ac:dyDescent="0.15">
      <c r="A51" s="251" t="str" cm="1">
        <f t="array" ref="A51">IFERROR(INDEX($B$1:$B$259,SMALL(IF($B$3:$B$259&lt;&gt;"",ROW($B$3:$B$259),4^8),ROW(B52)))&amp;"","")</f>
        <v>妖精触碰</v>
      </c>
      <c r="B51" s="426" t="str">
        <f>IF(自定义调整栏!$E$10="O","竖琴手特工","")</f>
        <v>竖琴手特工</v>
      </c>
      <c r="C51" s="249" t="s">
        <v>10020</v>
      </c>
    </row>
    <row r="52" spans="1:3" ht="16.149999999999999" customHeight="1" x14ac:dyDescent="0.15">
      <c r="A52" s="251" t="str" cm="1">
        <f t="array" ref="A52">IFERROR(INDEX($B$1:$B$259,SMALL(IF($B$3:$B$259&lt;&gt;"",ROW($B$3:$B$259),4^8),ROW(B53)))&amp;"","")</f>
        <v>擒抱者</v>
      </c>
      <c r="B52" s="426" t="str">
        <f>IF(自定义调整栏!$E$10="O","领主联盟特工","")</f>
        <v>领主联盟特工</v>
      </c>
      <c r="C52" s="249" t="s">
        <v>10021</v>
      </c>
    </row>
    <row r="53" spans="1:3" ht="16.149999999999999" customHeight="1" x14ac:dyDescent="0.15">
      <c r="A53" s="251" t="str" cm="1">
        <f t="array" ref="A53">IFERROR(INDEX($B$1:$B$259,SMALL(IF($B$3:$B$259&lt;&gt;"",ROW($B$3:$B$259),4^8),ROW(B54)))&amp;"","")</f>
        <v>巨武器大师</v>
      </c>
      <c r="B53" s="426" t="str">
        <f>IF(自定义调整栏!$E$10="O","紫龙新兵","")</f>
        <v>紫龙新兵</v>
      </c>
      <c r="C53" s="249" t="s">
        <v>10022</v>
      </c>
    </row>
    <row r="54" spans="1:3" ht="16.149999999999999" customHeight="1" x14ac:dyDescent="0.15">
      <c r="A54" s="251" t="str" cm="1">
        <f t="array" ref="A54">IFERROR(INDEX($B$1:$B$259,SMALL(IF($B$3:$B$259&lt;&gt;"",ROW($B$3:$B$259),4^8),ROW(B55)))&amp;"","")</f>
        <v>重甲运用</v>
      </c>
      <c r="B54" s="426" t="str">
        <f>IF(自定义调整栏!$E$10="O","咒火火花","")</f>
        <v>咒火火花</v>
      </c>
      <c r="C54" s="249" t="s">
        <v>10023</v>
      </c>
    </row>
    <row r="55" spans="1:3" ht="16.149999999999999" customHeight="1" x14ac:dyDescent="0.15">
      <c r="A55" s="251" t="str" cm="1">
        <f t="array" ref="A55">IFERROR(INDEX($B$1:$B$259,SMALL(IF($B$3:$B$259&lt;&gt;"",ROW($B$3:$B$259),4^8),ROW(B56)))&amp;"","")</f>
        <v>重甲大师</v>
      </c>
      <c r="B55" s="426" t="str">
        <f>IF(自定义调整栏!$E$10="O","新锻臂铠","")</f>
        <v>新锻臂铠</v>
      </c>
      <c r="C55" s="249" t="s">
        <v>10024</v>
      </c>
    </row>
    <row r="56" spans="1:3" ht="16.149999999999999" customHeight="1" x14ac:dyDescent="0.15">
      <c r="A56" s="251" t="str" cm="1">
        <f t="array" ref="A56">IFERROR(INDEX($B$1:$B$259,SMALL(IF($B$3:$B$259&lt;&gt;"",ROW($B$3:$B$259),4^8),ROW(B57)))&amp;"","")</f>
        <v>领袖之证</v>
      </c>
      <c r="B56" s="426" t="str">
        <f>IF(自定义调整栏!$E$10="O","散塔林会暴徒","")</f>
        <v>散塔林会暴徒</v>
      </c>
      <c r="C56" s="249" t="s">
        <v>10025</v>
      </c>
    </row>
    <row r="57" spans="1:3" ht="16.149999999999999" customHeight="1" x14ac:dyDescent="0.15">
      <c r="A57" s="251" t="str" cm="1">
        <f t="array" ref="A57">IFERROR(INDEX($B$1:$B$259,SMALL(IF($B$3:$B$259&lt;&gt;"",ROW($B$3:$B$259),4^8),ROW(B58)))&amp;"","")</f>
        <v>敏锐心灵</v>
      </c>
      <c r="B57" s="426" t="str">
        <f>IF(自定义调整栏!$E$11="O","骄阳之子","")</f>
        <v>骄阳之子</v>
      </c>
      <c r="C57" s="249" t="s">
        <v>10135</v>
      </c>
    </row>
    <row r="58" spans="1:3" ht="16.149999999999999" customHeight="1" x14ac:dyDescent="0.15">
      <c r="A58" s="251" t="str" cm="1">
        <f t="array" ref="A58">IFERROR(INDEX($B$1:$B$259,SMALL(IF($B$3:$B$259&lt;&gt;"",ROW($B$3:$B$259),4^8),ROW(B59)))&amp;"","")</f>
        <v>轻甲运用</v>
      </c>
      <c r="B58" s="426" t="str">
        <f>IF(自定义调整栏!$E$11="O","影原咒者","")</f>
        <v>影原咒者</v>
      </c>
      <c r="C58" s="249" t="s">
        <v>10136</v>
      </c>
    </row>
    <row r="59" spans="1:3" ht="16.149999999999999" customHeight="1" x14ac:dyDescent="0.15">
      <c r="A59" s="251" t="str" cm="1">
        <f t="array" ref="A59">IFERROR(INDEX($B$1:$B$259,SMALL(IF($B$3:$B$259&lt;&gt;"",ROW($B$3:$B$259),4^8),ROW(B60)))&amp;"","")</f>
        <v>巫师杀手</v>
      </c>
      <c r="B59" s="416" t="str">
        <f>IF(自定义调整栏!$E$13="O","异种龙纹","")</f>
        <v>异种龙纹</v>
      </c>
      <c r="C59" s="417" t="s">
        <v>10403</v>
      </c>
    </row>
    <row r="60" spans="1:3" ht="16.149999999999999" customHeight="1" x14ac:dyDescent="0.15">
      <c r="A60" s="251" t="str" cm="1">
        <f t="array" ref="A60">IFERROR(INDEX($B$1:$B$259,SMALL(IF($B$3:$B$259&lt;&gt;"",ROW($B$3:$B$259),4^8),ROW(B61)))&amp;"","")</f>
        <v>军用武器训练</v>
      </c>
      <c r="B60" s="416" t="str">
        <f>IF(自定义调整栏!$E$13="O","侦测龙纹","")</f>
        <v>侦测龙纹</v>
      </c>
      <c r="C60" s="417" t="s">
        <v>10404</v>
      </c>
    </row>
    <row r="61" spans="1:3" ht="16.149999999999999" customHeight="1" x14ac:dyDescent="0.15">
      <c r="A61" s="251" t="str" cm="1">
        <f t="array" ref="A61">IFERROR(INDEX($B$1:$B$259,SMALL(IF($B$3:$B$259&lt;&gt;"",ROW($B$3:$B$259),4^8),ROW(B62)))&amp;"","")</f>
        <v>中甲大师</v>
      </c>
      <c r="B61" s="416" t="str">
        <f>IF(自定义调整栏!$E$13="O","探索龙纹","")</f>
        <v>探索龙纹</v>
      </c>
      <c r="C61" s="417" t="s">
        <v>10405</v>
      </c>
    </row>
    <row r="62" spans="1:3" ht="16.149999999999999" customHeight="1" x14ac:dyDescent="0.15">
      <c r="A62" s="251" t="str" cm="1">
        <f t="array" ref="A62">IFERROR(INDEX($B$1:$B$259,SMALL(IF($B$3:$B$259&lt;&gt;"",ROW($B$3:$B$259),4^8),ROW(B63)))&amp;"","")</f>
        <v>中甲运用</v>
      </c>
      <c r="B62" s="416" t="str">
        <f>IF(自定义调整栏!$E$13="O","畜牧龙纹","")</f>
        <v>畜牧龙纹</v>
      </c>
      <c r="C62" s="417" t="s">
        <v>10406</v>
      </c>
    </row>
    <row r="63" spans="1:3" ht="16.149999999999999" customHeight="1" x14ac:dyDescent="0.15">
      <c r="A63" s="251" t="str" cm="1">
        <f t="array" ref="A63">IFERROR(INDEX($B$1:$B$259,SMALL(IF($B$3:$B$259&lt;&gt;"",ROW($B$3:$B$259),4^8),ROW(B64)))&amp;"","")</f>
        <v>骑乘战斗</v>
      </c>
      <c r="B63" s="416" t="str">
        <f>IF(自定义调整栏!$E$13="O","医疗龙纹","")</f>
        <v>医疗龙纹</v>
      </c>
      <c r="C63" s="417" t="s">
        <v>10407</v>
      </c>
    </row>
    <row r="64" spans="1:3" ht="16.149999999999999" customHeight="1" x14ac:dyDescent="0.15">
      <c r="A64" s="251" t="str" cm="1">
        <f t="array" ref="A64">IFERROR(INDEX($B$1:$B$259,SMALL(IF($B$3:$B$259&lt;&gt;"",ROW($B$3:$B$259),4^8),ROW(B65)))&amp;"","")</f>
        <v>观察力</v>
      </c>
      <c r="B64" s="416" t="str">
        <f>IF(自定义调整栏!$E$13="O","招待龙纹","")</f>
        <v>招待龙纹</v>
      </c>
      <c r="C64" s="417" t="s">
        <v>10408</v>
      </c>
    </row>
    <row r="65" spans="1:3" ht="16.149999999999999" customHeight="1" x14ac:dyDescent="0.15">
      <c r="A65" s="251" t="str" cm="1">
        <f t="array" ref="A65">IFERROR(INDEX($B$1:$B$259,SMALL(IF($B$3:$B$259&lt;&gt;"",ROW($B$3:$B$259),4^8),ROW(B66)))&amp;"","")</f>
        <v>穿刺者</v>
      </c>
      <c r="B65" s="416" t="str">
        <f>IF(自定义调整栏!$E$13="O","创造龙纹","")</f>
        <v>创造龙纹</v>
      </c>
      <c r="C65" s="417" t="s">
        <v>10409</v>
      </c>
    </row>
    <row r="66" spans="1:3" ht="16.149999999999999" customHeight="1" x14ac:dyDescent="0.15">
      <c r="A66" s="251" t="str" cm="1">
        <f t="array" ref="A66">IFERROR(INDEX($B$1:$B$259,SMALL(IF($B$3:$B$259&lt;&gt;"",ROW($B$3:$B$259),4^8),ROW(B67)))&amp;"","")</f>
        <v>毒师</v>
      </c>
      <c r="B66" s="416" t="str">
        <f>IF(自定义调整栏!$E$13="O","通行龙纹","")</f>
        <v>通行龙纹</v>
      </c>
      <c r="C66" s="417" t="s">
        <v>10410</v>
      </c>
    </row>
    <row r="67" spans="1:3" ht="16.149999999999999" customHeight="1" x14ac:dyDescent="0.15">
      <c r="A67" s="251" t="str" cm="1">
        <f t="array" ref="A67">IFERROR(INDEX($B$1:$B$259,SMALL(IF($B$3:$B$259&lt;&gt;"",ROW($B$3:$B$259),4^8),ROW(B68)))&amp;"","")</f>
        <v>长柄武器大师</v>
      </c>
      <c r="B67" s="416" t="str">
        <f>IF(自定义调整栏!$E$13="O","抄录龙纹","")</f>
        <v>抄录龙纹</v>
      </c>
      <c r="C67" s="417" t="s">
        <v>10411</v>
      </c>
    </row>
    <row r="68" spans="1:3" ht="16.149999999999999" customHeight="1" x14ac:dyDescent="0.15">
      <c r="A68" s="251" t="str" cm="1">
        <f t="array" ref="A68">IFERROR(INDEX($B$1:$B$259,SMALL(IF($B$3:$B$259&lt;&gt;"",ROW($B$3:$B$259),4^8),ROW(B69)))&amp;"","")</f>
        <v>强健身心</v>
      </c>
      <c r="B68" s="416" t="str">
        <f>IF(自定义调整栏!$E$13="O","哨戒龙纹","")</f>
        <v>哨戒龙纹</v>
      </c>
      <c r="C68" s="417" t="s">
        <v>10412</v>
      </c>
    </row>
    <row r="69" spans="1:3" ht="16.149999999999999" customHeight="1" x14ac:dyDescent="0.15">
      <c r="A69" s="251" t="str" cm="1">
        <f t="array" ref="A69">IFERROR(INDEX($B$1:$B$259,SMALL(IF($B$3:$B$259&lt;&gt;"",ROW($B$3:$B$259),4^8),ROW(B70)))&amp;"","")</f>
        <v>仪式施法者</v>
      </c>
      <c r="B69" s="416" t="str">
        <f>IF(自定义调整栏!$E$13="O","阴影龙纹","")</f>
        <v>阴影龙纹</v>
      </c>
      <c r="C69" s="417" t="s">
        <v>10413</v>
      </c>
    </row>
    <row r="70" spans="1:3" ht="16.149999999999999" customHeight="1" x14ac:dyDescent="0.15">
      <c r="A70" s="251" t="str" cm="1">
        <f t="array" ref="A70">IFERROR(INDEX($B$1:$B$259,SMALL(IF($B$3:$B$259&lt;&gt;"",ROW($B$3:$B$259),4^8),ROW(B71)))&amp;"","")</f>
        <v>哨兵</v>
      </c>
      <c r="B70" s="416" t="str">
        <f>IF(自定义调整栏!$E$13="O","暴风龙纹","")</f>
        <v>暴风龙纹</v>
      </c>
      <c r="C70" s="417" t="s">
        <v>10414</v>
      </c>
    </row>
    <row r="71" spans="1:3" ht="16.149999999999999" customHeight="1" x14ac:dyDescent="0.15">
      <c r="A71" s="251" t="str" cm="1">
        <f t="array" ref="A71">IFERROR(INDEX($B$1:$B$259,SMALL(IF($B$3:$B$259&lt;&gt;"",ROW($B$3:$B$259),4^8),ROW(B72)))&amp;"","")</f>
        <v>影界触碰</v>
      </c>
      <c r="B71" s="416" t="str">
        <f>IF(自定义调整栏!$E$13="O","守御龙纹","")</f>
        <v>守御龙纹</v>
      </c>
      <c r="C71" s="417" t="s">
        <v>10415</v>
      </c>
    </row>
    <row r="72" spans="1:3" ht="16.149999999999999" customHeight="1" x14ac:dyDescent="0.15">
      <c r="A72" s="251" t="str" cm="1">
        <f t="array" ref="A72">IFERROR(INDEX($B$1:$B$259,SMALL(IF($B$3:$B$259&lt;&gt;"",ROW($B$3:$B$259),4^8),ROW(B73)))&amp;"","")</f>
        <v>神射手</v>
      </c>
      <c r="B72" s="855" t="s">
        <v>10757</v>
      </c>
      <c r="C72" s="856"/>
    </row>
    <row r="73" spans="1:3" ht="16.149999999999999" customHeight="1" x14ac:dyDescent="0.15">
      <c r="A73" s="251" t="str" cm="1">
        <f t="array" ref="A73">IFERROR(INDEX($B$1:$B$259,SMALL(IF($B$3:$B$259&lt;&gt;"",ROW($B$3:$B$259),4^8),ROW(B74)))&amp;"","")</f>
        <v>盾牌大师</v>
      </c>
      <c r="B73" s="419" t="s">
        <v>6653</v>
      </c>
      <c r="C73" s="418" t="s">
        <v>6654</v>
      </c>
    </row>
    <row r="74" spans="1:3" ht="16.149999999999999" customHeight="1" x14ac:dyDescent="0.15">
      <c r="A74" s="251" t="str" cm="1">
        <f t="array" ref="A74">IFERROR(INDEX($B$1:$B$259,SMALL(IF($B$3:$B$259&lt;&gt;"",ROW($B$3:$B$259),4^8),ROW(B75)))&amp;"","")</f>
        <v>技艺专家</v>
      </c>
      <c r="B74" s="419" t="s">
        <v>6655</v>
      </c>
      <c r="C74" s="418" t="s">
        <v>6656</v>
      </c>
    </row>
    <row r="75" spans="1:3" ht="16.149999999999999" customHeight="1" x14ac:dyDescent="0.15">
      <c r="A75" s="251" t="str" cm="1">
        <f t="array" ref="A75">IFERROR(INDEX($B$1:$B$259,SMALL(IF($B$3:$B$259&lt;&gt;"",ROW($B$3:$B$259),4^8),ROW(B76)))&amp;"","")</f>
        <v>隐伏者</v>
      </c>
      <c r="B75" s="419" t="s">
        <v>6657</v>
      </c>
      <c r="C75" s="418" t="s">
        <v>6658</v>
      </c>
    </row>
    <row r="76" spans="1:3" ht="16.149999999999999" customHeight="1" x14ac:dyDescent="0.15">
      <c r="A76" s="251" t="str" cm="1">
        <f t="array" ref="A76">IFERROR(INDEX($B$1:$B$259,SMALL(IF($B$3:$B$259&lt;&gt;"",ROW($B$3:$B$259),4^8),ROW(B77)))&amp;"","")</f>
        <v>劈砍者</v>
      </c>
      <c r="B76" s="419" t="s">
        <v>6659</v>
      </c>
      <c r="C76" s="418" t="s">
        <v>6660</v>
      </c>
    </row>
    <row r="77" spans="1:3" ht="16.149999999999999" customHeight="1" x14ac:dyDescent="0.15">
      <c r="A77" s="251" t="str" cm="1">
        <f t="array" ref="A77">IFERROR(INDEX($B$1:$B$259,SMALL(IF($B$3:$B$259&lt;&gt;"",ROW($B$3:$B$259),4^8),ROW(B78)))&amp;"","")</f>
        <v>飙速跑者</v>
      </c>
      <c r="B77" s="419" t="s">
        <v>6661</v>
      </c>
      <c r="C77" s="418" t="s">
        <v>6662</v>
      </c>
    </row>
    <row r="78" spans="1:3" ht="16.149999999999999" customHeight="1" x14ac:dyDescent="0.15">
      <c r="A78" s="251" t="str" cm="1">
        <f t="array" ref="A78">IFERROR(INDEX($B$1:$B$259,SMALL(IF($B$3:$B$259&lt;&gt;"",ROW($B$3:$B$259),4^8),ROW(B79)))&amp;"","")</f>
        <v>法术射手</v>
      </c>
      <c r="B78" s="419" t="s">
        <v>6663</v>
      </c>
      <c r="C78" s="418" t="s">
        <v>6664</v>
      </c>
    </row>
    <row r="79" spans="1:3" ht="16.149999999999999" customHeight="1" x14ac:dyDescent="0.15">
      <c r="A79" s="251" t="str" cm="1">
        <f t="array" ref="A79">IFERROR(INDEX($B$1:$B$259,SMALL(IF($B$3:$B$259&lt;&gt;"",ROW($B$3:$B$259),4^8),ROW(B80)))&amp;"","")</f>
        <v>念动力</v>
      </c>
      <c r="B79" s="419" t="s">
        <v>6665</v>
      </c>
      <c r="C79" s="418" t="s">
        <v>6666</v>
      </c>
    </row>
    <row r="80" spans="1:3" ht="16.149999999999999" customHeight="1" x14ac:dyDescent="0.15">
      <c r="A80" s="251" t="str" cm="1">
        <f t="array" ref="A80">IFERROR(INDEX($B$1:$B$259,SMALL(IF($B$3:$B$259&lt;&gt;"",ROW($B$3:$B$259),4^8),ROW(B81)))&amp;"","")</f>
        <v>心灵感应</v>
      </c>
      <c r="B80" s="419" t="s">
        <v>6667</v>
      </c>
      <c r="C80" s="418" t="s">
        <v>6668</v>
      </c>
    </row>
    <row r="81" spans="1:3" ht="16.149999999999999" customHeight="1" x14ac:dyDescent="0.15">
      <c r="A81" s="251" t="str" cm="1">
        <f t="array" ref="A81">IFERROR(INDEX($B$1:$B$259,SMALL(IF($B$3:$B$259&lt;&gt;"",ROW($B$3:$B$259),4^8),ROW(B82)))&amp;"","")</f>
        <v>战地施法者</v>
      </c>
      <c r="B81" s="419" t="s">
        <v>6669</v>
      </c>
      <c r="C81" s="418" t="s">
        <v>6670</v>
      </c>
    </row>
    <row r="82" spans="1:3" ht="16.149999999999999" customHeight="1" x14ac:dyDescent="0.15">
      <c r="A82" s="251" t="str" cm="1">
        <f t="array" ref="A82">IFERROR(INDEX($B$1:$B$259,SMALL(IF($B$3:$B$259&lt;&gt;"",ROW($B$3:$B$259),4^8),ROW(B83)))&amp;"","")</f>
        <v>武器大师</v>
      </c>
      <c r="B82" s="419" t="s">
        <v>6671</v>
      </c>
      <c r="C82" s="418" t="s">
        <v>6672</v>
      </c>
    </row>
    <row r="83" spans="1:3" ht="16.149999999999999" customHeight="1" x14ac:dyDescent="0.15">
      <c r="A83" s="251" t="str" cm="1">
        <f t="array" ref="A83">IFERROR(INDEX($B$1:$B$259,SMALL(IF($B$3:$B$259&lt;&gt;"",ROW($B$3:$B$259),4^8),ROW(B84)))&amp;"","")</f>
        <v>奇械学徒</v>
      </c>
      <c r="B83" s="419" t="s">
        <v>6673</v>
      </c>
      <c r="C83" s="418" t="s">
        <v>6674</v>
      </c>
    </row>
    <row r="84" spans="1:3" ht="16.149999999999999" customHeight="1" x14ac:dyDescent="0.15">
      <c r="A84" s="251" t="str" cm="1">
        <f t="array" ref="A84">IFERROR(INDEX($B$1:$B$259,SMALL(IF($B$3:$B$259&lt;&gt;"",ROW($B$3:$B$259),4^8),ROW(B85)))&amp;"","")</f>
        <v>魔能导师</v>
      </c>
      <c r="B84" s="419" t="s">
        <v>6675</v>
      </c>
      <c r="C84" s="418" t="s">
        <v>6676</v>
      </c>
    </row>
    <row r="85" spans="1:3" ht="16.149999999999999" customHeight="1" x14ac:dyDescent="0.15">
      <c r="A85" s="251" t="str" cm="1">
        <f t="array" ref="A85">IFERROR(INDEX($B$1:$B$259,SMALL(IF($B$3:$B$259&lt;&gt;"",ROW($B$3:$B$259),4^8),ROW(B86)))&amp;"","")</f>
        <v>战斗学徒</v>
      </c>
      <c r="B85" s="419" t="s">
        <v>6677</v>
      </c>
      <c r="C85" s="418" t="s">
        <v>6678</v>
      </c>
    </row>
    <row r="86" spans="1:3" ht="16.149999999999999" customHeight="1" x14ac:dyDescent="0.15">
      <c r="A86" s="251" t="str" cm="1">
        <f t="array" ref="A86">IFERROR(INDEX($B$1:$B$259,SMALL(IF($B$3:$B$259&lt;&gt;"",ROW($B$3:$B$259),4^8),ROW(B87)))&amp;"","")</f>
        <v>枪手</v>
      </c>
      <c r="B86" s="419" t="s">
        <v>6679</v>
      </c>
      <c r="C86" s="418" t="s">
        <v>6680</v>
      </c>
    </row>
    <row r="87" spans="1:3" ht="16.149999999999999" customHeight="1" x14ac:dyDescent="0.15">
      <c r="A87" s="251" t="str" cm="1">
        <f t="array" ref="A87">IFERROR(INDEX($B$1:$B$259,SMALL(IF($B$3:$B$259&lt;&gt;"",ROW($B$3:$B$259),4^8),ROW(B88)))&amp;"","")</f>
        <v>超魔法导师</v>
      </c>
      <c r="B87" s="419" t="s">
        <v>6681</v>
      </c>
      <c r="C87" s="418" t="s">
        <v>6682</v>
      </c>
    </row>
    <row r="88" spans="1:3" ht="16.149999999999999" customHeight="1" x14ac:dyDescent="0.15">
      <c r="A88" s="251" t="str" cm="1">
        <f t="array" ref="A88">IFERROR(INDEX($B$1:$B$259,SMALL(IF($B$3:$B$259&lt;&gt;"",ROW($B$3:$B$259),4^8),ROW(B89)))&amp;"","")</f>
        <v>斯翠海文苑像</v>
      </c>
      <c r="B88" s="419" t="s">
        <v>6683</v>
      </c>
      <c r="C88" s="418" t="s">
        <v>6684</v>
      </c>
    </row>
    <row r="89" spans="1:3" ht="16.149999999999999" customHeight="1" x14ac:dyDescent="0.15">
      <c r="A89" s="251" t="str" cm="1">
        <f t="array" ref="A89">IFERROR(INDEX($B$1:$B$259,SMALL(IF($B$3:$B$259&lt;&gt;"",ROW($B$3:$B$259),4^8),ROW(B90)))&amp;"","")</f>
        <v>色彩龙赋礼</v>
      </c>
      <c r="B89" s="419" t="s">
        <v>6685</v>
      </c>
      <c r="C89" s="418" t="s">
        <v>6686</v>
      </c>
    </row>
    <row r="90" spans="1:3" ht="16.149999999999999" customHeight="1" x14ac:dyDescent="0.15">
      <c r="A90" s="251" t="str" cm="1">
        <f t="array" ref="A90">IFERROR(INDEX($B$1:$B$259,SMALL(IF($B$3:$B$259&lt;&gt;"",ROW($B$3:$B$259),4^8),ROW(B91)))&amp;"","")</f>
        <v>宝石龙赋礼</v>
      </c>
      <c r="B90" s="419" t="s">
        <v>6687</v>
      </c>
      <c r="C90" s="418" t="s">
        <v>6688</v>
      </c>
    </row>
    <row r="91" spans="1:3" ht="16.149999999999999" customHeight="1" x14ac:dyDescent="0.15">
      <c r="A91" s="251" t="str" cm="1">
        <f t="array" ref="A91">IFERROR(INDEX($B$1:$B$259,SMALL(IF($B$3:$B$259&lt;&gt;"",ROW($B$3:$B$259),4^8),ROW(B92)))&amp;"","")</f>
        <v>金属龙赋礼</v>
      </c>
      <c r="B91" s="419" t="s">
        <v>6689</v>
      </c>
      <c r="C91" s="418" t="s">
        <v>6690</v>
      </c>
    </row>
    <row r="92" spans="1:3" ht="16.149999999999999" customHeight="1" x14ac:dyDescent="0.15">
      <c r="A92" s="251" t="str" cm="1">
        <f t="array" ref="A92">IFERROR(INDEX($B$1:$B$259,SMALL(IF($B$3:$B$259&lt;&gt;"",ROW($B$3:$B$259),4^8),ROW(B93)))&amp;"","")</f>
        <v>火巨人之余烬</v>
      </c>
      <c r="B92" s="419" t="s">
        <v>6691</v>
      </c>
      <c r="C92" s="418" t="s">
        <v>6692</v>
      </c>
    </row>
    <row r="93" spans="1:3" ht="16.149999999999999" customHeight="1" x14ac:dyDescent="0.15">
      <c r="A93" s="251" t="str" cm="1">
        <f t="array" ref="A93">IFERROR(INDEX($B$1:$B$259,SMALL(IF($B$3:$B$259&lt;&gt;"",ROW($B$3:$B$259),4^8),ROW(B94)))&amp;"","")</f>
        <v>霜巨人之狂怒</v>
      </c>
      <c r="B93" s="419" t="s">
        <v>6693</v>
      </c>
      <c r="C93" s="418" t="s">
        <v>6694</v>
      </c>
    </row>
    <row r="94" spans="1:3" ht="16.149999999999999" customHeight="1" x14ac:dyDescent="0.15">
      <c r="A94" s="251" t="str" cm="1">
        <f t="array" ref="A94">IFERROR(INDEX($B$1:$B$259,SMALL(IF($B$3:$B$259&lt;&gt;"",ROW($B$3:$B$259),4^8),ROW(B95)))&amp;"","")</f>
        <v>云巨人之诡诈</v>
      </c>
      <c r="B94" s="419" t="s">
        <v>6695</v>
      </c>
      <c r="C94" s="418" t="s">
        <v>6696</v>
      </c>
    </row>
    <row r="95" spans="1:3" ht="16.149999999999999" customHeight="1" x14ac:dyDescent="0.15">
      <c r="A95" s="251" t="str" cm="1">
        <f t="array" ref="A95">IFERROR(INDEX($B$1:$B$259,SMALL(IF($B$3:$B$259&lt;&gt;"",ROW($B$3:$B$259),4^8),ROW(B96)))&amp;"","")</f>
        <v>石巨人之敏锐</v>
      </c>
      <c r="B95" s="419" t="s">
        <v>6697</v>
      </c>
      <c r="C95" s="418" t="s">
        <v>6698</v>
      </c>
    </row>
    <row r="96" spans="1:3" ht="16.149999999999999" customHeight="1" x14ac:dyDescent="0.15">
      <c r="A96" s="251" t="str" cm="1">
        <f t="array" ref="A96">IFERROR(INDEX($B$1:$B$259,SMALL(IF($B$3:$B$259&lt;&gt;"",ROW($B$3:$B$259),4^8),ROW(B97)))&amp;"","")</f>
        <v>风暴巨人之灵魂</v>
      </c>
      <c r="B96" s="419" t="s">
        <v>6699</v>
      </c>
      <c r="C96" s="418" t="s">
        <v>6700</v>
      </c>
    </row>
    <row r="97" spans="1:3" ht="16.149999999999999" customHeight="1" x14ac:dyDescent="0.15">
      <c r="A97" s="251" t="str" cm="1">
        <f t="array" ref="A97">IFERROR(INDEX($B$1:$B$259,SMALL(IF($B$3:$B$259&lt;&gt;"",ROW($B$3:$B$259),4^8),ROW(B98)))&amp;"","")</f>
        <v>山丘巨人之健强</v>
      </c>
      <c r="B97" s="419" t="s">
        <v>6701</v>
      </c>
      <c r="C97" s="418" t="s">
        <v>6702</v>
      </c>
    </row>
    <row r="98" spans="1:3" ht="16.149999999999999" customHeight="1" x14ac:dyDescent="0.15">
      <c r="A98" s="251" t="str" cm="1">
        <f t="array" ref="A98">IFERROR(INDEX($B$1:$B$259,SMALL(IF($B$3:$B$259&lt;&gt;"",ROW($B$3:$B$259),4^8),ROW(B99)))&amp;"","")</f>
        <v>卡牌占卜师</v>
      </c>
      <c r="B98" s="419" t="s">
        <v>6703</v>
      </c>
      <c r="C98" s="418" t="s">
        <v>6704</v>
      </c>
    </row>
    <row r="99" spans="1:3" ht="16.149999999999999" customHeight="1" x14ac:dyDescent="0.15">
      <c r="A99" s="251" t="str" cm="1">
        <f t="array" ref="A99">IFERROR(INDEX($B$1:$B$259,SMALL(IF($B$3:$B$259&lt;&gt;"",ROW($B$3:$B$259),4^8),ROW(B100)))&amp;"","")</f>
        <v>英魂之刃</v>
      </c>
      <c r="B99" s="419" t="s">
        <v>6705</v>
      </c>
      <c r="C99" s="418" t="s">
        <v>6706</v>
      </c>
    </row>
    <row r="100" spans="1:3" ht="16.149999999999999" customHeight="1" x14ac:dyDescent="0.15">
      <c r="A100" s="251" t="str" cm="1">
        <f t="array" ref="A100">IFERROR(INDEX($B$1:$B$259,SMALL(IF($B$3:$B$259&lt;&gt;"",ROW($B$3:$B$259),4^8),ROW(B101)))&amp;"","")</f>
        <v>慷慨吉运</v>
      </c>
      <c r="B100" s="419" t="s">
        <v>6707</v>
      </c>
      <c r="C100" s="418" t="s">
        <v>6708</v>
      </c>
    </row>
    <row r="101" spans="1:3" ht="16.149999999999999" customHeight="1" x14ac:dyDescent="0.15">
      <c r="A101" s="251" t="str" cm="1">
        <f t="array" ref="A101">IFERROR(INDEX($B$1:$B$259,SMALL(IF($B$3:$B$259&lt;&gt;"",ROW($B$3:$B$259),4^8),ROW(B102)))&amp;"","")</f>
        <v>龙之威怖</v>
      </c>
      <c r="B101" s="419" t="s">
        <v>6709</v>
      </c>
      <c r="C101" s="418" t="s">
        <v>6710</v>
      </c>
    </row>
    <row r="102" spans="1:3" ht="16.149999999999999" customHeight="1" x14ac:dyDescent="0.15">
      <c r="A102" s="251" t="str" cm="1">
        <f t="array" ref="A102">IFERROR(INDEX($B$1:$B$259,SMALL(IF($B$3:$B$259&lt;&gt;"",ROW($B$3:$B$259),4^8),ROW(B103)))&amp;"","")</f>
        <v>龙之鳞爪</v>
      </c>
      <c r="B102" s="419" t="s">
        <v>6711</v>
      </c>
      <c r="C102" s="418" t="s">
        <v>6712</v>
      </c>
    </row>
    <row r="103" spans="1:3" ht="16.149999999999999" customHeight="1" x14ac:dyDescent="0.15">
      <c r="A103" s="251" t="str" cm="1">
        <f t="array" ref="A103">IFERROR(INDEX($B$1:$B$259,SMALL(IF($B$3:$B$259&lt;&gt;"",ROW($B$3:$B$259),4^8),ROW(B104)))&amp;"","")</f>
        <v>高等卓尔魔法</v>
      </c>
      <c r="B103" s="419" t="s">
        <v>6713</v>
      </c>
      <c r="C103" s="418" t="s">
        <v>6714</v>
      </c>
    </row>
    <row r="104" spans="1:3" ht="16.149999999999999" customHeight="1" x14ac:dyDescent="0.15">
      <c r="A104" s="251" t="str" cm="1">
        <f t="array" ref="A104">IFERROR(INDEX($B$1:$B$259,SMALL(IF($B$3:$B$259&lt;&gt;"",ROW($B$3:$B$259),4^8),ROW(B105)))&amp;"","")</f>
        <v>矮人坚毅</v>
      </c>
      <c r="B104" s="419" t="s">
        <v>6715</v>
      </c>
      <c r="C104" s="418" t="s">
        <v>6716</v>
      </c>
    </row>
    <row r="105" spans="1:3" ht="16.149999999999999" customHeight="1" x14ac:dyDescent="0.15">
      <c r="A105" s="251" t="str" cm="1">
        <f t="array" ref="A105">IFERROR(INDEX($B$1:$B$259,SMALL(IF($B$3:$B$259&lt;&gt;"",ROW($B$3:$B$259),4^8),ROW(B106)))&amp;"","")</f>
        <v>精灵之准</v>
      </c>
      <c r="B105" s="419" t="s">
        <v>6717</v>
      </c>
      <c r="C105" s="418" t="s">
        <v>6718</v>
      </c>
    </row>
    <row r="106" spans="1:3" ht="16.149999999999999" customHeight="1" x14ac:dyDescent="0.15">
      <c r="A106" s="251" t="str" cm="1">
        <f t="array" ref="A106">IFERROR(INDEX($B$1:$B$259,SMALL(IF($B$3:$B$259&lt;&gt;"",ROW($B$3:$B$259),4^8),ROW(B107)))&amp;"","")</f>
        <v>匿影无踪</v>
      </c>
      <c r="B106" s="419" t="s">
        <v>6719</v>
      </c>
      <c r="C106" s="418" t="s">
        <v>6720</v>
      </c>
    </row>
    <row r="107" spans="1:3" ht="16.149999999999999" customHeight="1" x14ac:dyDescent="0.15">
      <c r="A107" s="251" t="str" cm="1">
        <f t="array" ref="A107">IFERROR(INDEX($B$1:$B$259,SMALL(IF($B$3:$B$259&lt;&gt;"",ROW($B$3:$B$259),4^8),ROW(B108)))&amp;"","")</f>
        <v>妖精传送</v>
      </c>
      <c r="B107" s="419" t="s">
        <v>6721</v>
      </c>
      <c r="C107" s="418" t="s">
        <v>6722</v>
      </c>
    </row>
    <row r="108" spans="1:3" ht="16.149999999999999" customHeight="1" x14ac:dyDescent="0.15">
      <c r="A108" s="251" t="str" cm="1">
        <f t="array" ref="A108">IFERROR(INDEX($B$1:$B$259,SMALL(IF($B$3:$B$259&lt;&gt;"",ROW($B$3:$B$259),4^8),ROW(B109)))&amp;"","")</f>
        <v>弗莱格索斯之焰</v>
      </c>
      <c r="B108" s="419" t="s">
        <v>6723</v>
      </c>
      <c r="C108" s="418" t="s">
        <v>6724</v>
      </c>
    </row>
    <row r="109" spans="1:3" ht="16.149999999999999" customHeight="1" x14ac:dyDescent="0.15">
      <c r="A109" s="251" t="str" cm="1">
        <f t="array" ref="A109">IFERROR(INDEX($B$1:$B$259,SMALL(IF($B$3:$B$259&lt;&gt;"",ROW($B$3:$B$259),4^8),ROW(B110)))&amp;"","")</f>
        <v>炼狱体质</v>
      </c>
      <c r="B109" s="419" t="s">
        <v>6725</v>
      </c>
      <c r="C109" s="418" t="s">
        <v>6726</v>
      </c>
    </row>
    <row r="110" spans="1:3" ht="16.149999999999999" customHeight="1" x14ac:dyDescent="0.15">
      <c r="A110" s="251" t="str" cm="1">
        <f t="array" ref="A110">IFERROR(INDEX($B$1:$B$259,SMALL(IF($B$3:$B$259&lt;&gt;"",ROW($B$3:$B$259),4^8),ROW(B111)))&amp;"","")</f>
        <v>兽人狂怒</v>
      </c>
      <c r="B110" s="419" t="s">
        <v>6727</v>
      </c>
      <c r="C110" s="418" t="s">
        <v>6728</v>
      </c>
    </row>
    <row r="111" spans="1:3" ht="16.149999999999999" customHeight="1" x14ac:dyDescent="0.15">
      <c r="A111" s="251" t="str" cm="1">
        <f t="array" ref="A111">IFERROR(INDEX($B$1:$B$259,SMALL(IF($B$3:$B$259&lt;&gt;"",ROW($B$3:$B$259),4^8),ROW(B112)))&amp;"","")</f>
        <v>天赋异禀</v>
      </c>
      <c r="B111" s="419" t="s">
        <v>6729</v>
      </c>
      <c r="C111" s="418" t="s">
        <v>6730</v>
      </c>
    </row>
    <row r="112" spans="1:3" ht="16.149999999999999" customHeight="1" x14ac:dyDescent="0.15">
      <c r="A112" s="251" t="str" cm="1">
        <f t="array" ref="A112">IFERROR(INDEX($B$1:$B$259,SMALL(IF($B$3:$B$259&lt;&gt;"",ROW($B$3:$B$259),4^8),ROW(B113)))&amp;"","")</f>
        <v>花开二度</v>
      </c>
      <c r="B112" s="419" t="s">
        <v>6731</v>
      </c>
      <c r="C112" s="418" t="s">
        <v>6732</v>
      </c>
    </row>
    <row r="113" spans="1:3" ht="16.149999999999999" customHeight="1" x14ac:dyDescent="0.15">
      <c r="A113" s="251" t="str" cm="1">
        <f t="array" ref="A113">IFERROR(INDEX($B$1:$B$259,SMALL(IF($B$3:$B$259&lt;&gt;"",ROW($B$3:$B$259),4^8),ROW(B114)))&amp;"","")</f>
        <v>低身机敏</v>
      </c>
      <c r="B113" s="419" t="s">
        <v>528</v>
      </c>
      <c r="C113" s="418" t="s">
        <v>6733</v>
      </c>
    </row>
    <row r="114" spans="1:3" ht="16.149999999999999" customHeight="1" x14ac:dyDescent="0.15">
      <c r="A114" s="251" t="str" cm="1">
        <f t="array" ref="A114">IFERROR(INDEX($B$1:$B$259,SMALL(IF($B$3:$B$259&lt;&gt;"",ROW($B$3:$B$259),4^8),ROW(B115)))&amp;"","")</f>
        <v>木精灵魔法</v>
      </c>
      <c r="B114" s="419" t="s">
        <v>6734</v>
      </c>
      <c r="C114" s="418" t="s">
        <v>6735</v>
      </c>
    </row>
    <row r="115" spans="1:3" ht="16.149999999999999" customHeight="1" x14ac:dyDescent="0.15">
      <c r="A115" s="251" t="str" cm="1">
        <f t="array" ref="A115">IFERROR(INDEX($B$1:$B$259,SMALL(IF($B$3:$B$259&lt;&gt;"",ROW($B$3:$B$259),4^8),ROW(B116)))&amp;"","")</f>
        <v>混乱与共者</v>
      </c>
      <c r="B115" s="419" t="s">
        <v>6736</v>
      </c>
      <c r="C115" s="418" t="s">
        <v>6737</v>
      </c>
    </row>
    <row r="116" spans="1:3" ht="16.149999999999999" customHeight="1" x14ac:dyDescent="0.15">
      <c r="A116" s="251" t="str" cm="1">
        <f t="array" ref="A116">IFERROR(INDEX($B$1:$B$259,SMALL(IF($B$3:$B$259&lt;&gt;"",ROW($B$3:$B$259),4^8),ROW(B117)))&amp;"","")</f>
        <v>恶意后继者</v>
      </c>
      <c r="B116" s="419" t="str">
        <f>IF(自定义调整栏!$E$4="O","奇械学徒","")</f>
        <v>奇械学徒</v>
      </c>
      <c r="C116" s="418" t="s">
        <v>6738</v>
      </c>
    </row>
    <row r="117" spans="1:3" ht="16.149999999999999" customHeight="1" x14ac:dyDescent="0.15">
      <c r="A117" s="251" t="str" cm="1">
        <f t="array" ref="A117">IFERROR(INDEX($B$1:$B$259,SMALL(IF($B$3:$B$259&lt;&gt;"",ROW($B$3:$B$259),4^8),ROW(B118)))&amp;"","")</f>
        <v>公义传承者</v>
      </c>
      <c r="B117" s="419" t="str">
        <f>IF(自定义调整栏!$E$4="O","魔能导师","")</f>
        <v>魔能导师</v>
      </c>
      <c r="C117" s="418" t="s">
        <v>6739</v>
      </c>
    </row>
    <row r="118" spans="1:3" ht="16.149999999999999" customHeight="1" x14ac:dyDescent="0.15">
      <c r="A118" s="251" t="str" cm="1">
        <f t="array" ref="A118">IFERROR(INDEX($B$1:$B$259,SMALL(IF($B$3:$B$259&lt;&gt;"",ROW($B$3:$B$259),4^8),ROW(B119)))&amp;"","")</f>
        <v>秩序代行者</v>
      </c>
      <c r="B118" s="419" t="str">
        <f>IF(自定义调整栏!$E$4="O","战斗学徒","")</f>
        <v>战斗学徒</v>
      </c>
      <c r="C118" s="418" t="s">
        <v>6740</v>
      </c>
    </row>
    <row r="119" spans="1:3" ht="16.149999999999999" customHeight="1" x14ac:dyDescent="0.15">
      <c r="A119" s="251" t="str" cm="1">
        <f t="array" ref="A119">IFERROR(INDEX($B$1:$B$259,SMALL(IF($B$3:$B$259&lt;&gt;"",ROW($B$3:$B$259),4^8),ROW(B120)))&amp;"","")</f>
        <v>外域使节</v>
      </c>
      <c r="B119" s="419" t="str">
        <f>IF(自定义调整栏!$E$4="O","枪手","")</f>
        <v>枪手</v>
      </c>
      <c r="C119" s="418" t="s">
        <v>6741</v>
      </c>
    </row>
    <row r="120" spans="1:3" ht="16.149999999999999" customHeight="1" x14ac:dyDescent="0.15">
      <c r="A120" s="251" t="str" cm="1">
        <f t="array" ref="A120">IFERROR(INDEX($B$1:$B$259,SMALL(IF($B$3:$B$259&lt;&gt;"",ROW($B$3:$B$259),4^8),ROW(B121)))&amp;"","")</f>
        <v>位面漫游者</v>
      </c>
      <c r="B120" s="419" t="str">
        <f>IF(自定义调整栏!$E$4="O","超魔法导师","")</f>
        <v>超魔法导师</v>
      </c>
      <c r="C120" s="418" t="s">
        <v>6742</v>
      </c>
    </row>
    <row r="121" spans="1:3" ht="16.149999999999999" customHeight="1" x14ac:dyDescent="0.15">
      <c r="A121" s="251" t="str" cm="1">
        <f t="array" ref="A121">IFERROR(INDEX($B$1:$B$259,SMALL(IF($B$3:$B$259&lt;&gt;"",ROW($B$3:$B$259),4^8),ROW(B122)))&amp;"","")</f>
        <v>龙之瘢</v>
      </c>
      <c r="B121" s="419" t="str">
        <f>IF(自定义调整栏!$E$20="O","斯翠海文苑像","")</f>
        <v>斯翠海文苑像</v>
      </c>
      <c r="C121" s="418" t="s">
        <v>6756</v>
      </c>
    </row>
    <row r="122" spans="1:3" ht="16.149999999999999" customHeight="1" x14ac:dyDescent="0.15">
      <c r="A122" s="251" t="str" cm="1">
        <f t="array" ref="A122">IFERROR(INDEX($B$1:$B$259,SMALL(IF($B$3:$B$259&lt;&gt;"",ROW($B$3:$B$259),4^8),ROW(B123)))&amp;"","")</f>
        <v>翠色魔法</v>
      </c>
      <c r="B122" s="419" t="str">
        <f>IF(自定义调整栏!$E$20="O","色彩龙赋礼","")</f>
        <v>色彩龙赋礼</v>
      </c>
      <c r="C122" s="418" t="s">
        <v>6757</v>
      </c>
    </row>
    <row r="123" spans="1:3" ht="16.149999999999999" customHeight="1" x14ac:dyDescent="0.15">
      <c r="A123" s="251" t="str" cm="1">
        <f t="array" ref="A123">IFERROR(INDEX($B$1:$B$259,SMALL(IF($B$3:$B$259&lt;&gt;"",ROW($B$3:$B$259),4^8),ROW(B124)))&amp;"","")</f>
        <v>竖琴手协同</v>
      </c>
      <c r="B123" s="419" t="str">
        <f>IF(自定义调整栏!$E$20="O","宝石龙赋礼","")</f>
        <v>宝石龙赋礼</v>
      </c>
      <c r="C123" s="418" t="s">
        <v>6758</v>
      </c>
    </row>
    <row r="124" spans="1:3" ht="16.149999999999999" customHeight="1" x14ac:dyDescent="0.15">
      <c r="A124" s="251" t="str" cm="1">
        <f t="array" ref="A124">IFERROR(INDEX($B$1:$B$259,SMALL(IF($B$3:$B$259&lt;&gt;"",ROW($B$3:$B$259),4^8),ROW(B125)))&amp;"","")</f>
        <v>教团韧性</v>
      </c>
      <c r="B124" s="419" t="str">
        <f>IF(自定义调整栏!$E$20="O","金属龙赋礼","")</f>
        <v>金属龙赋礼</v>
      </c>
      <c r="C124" s="418" t="s">
        <v>6759</v>
      </c>
    </row>
    <row r="125" spans="1:3" ht="16.149999999999999" customHeight="1" x14ac:dyDescent="0.15">
      <c r="A125" s="251" t="str" cm="1">
        <f t="array" ref="A125">IFERROR(INDEX($B$1:$B$259,SMALL(IF($B$3:$B$259&lt;&gt;"",ROW($B$3:$B$259),4^8),ROW(B126)))&amp;"","")</f>
        <v>贵族信念</v>
      </c>
      <c r="B125" s="419" t="str">
        <f>IF(自定义调整栏!$E$21="O","火巨人之余烬","")</f>
        <v>火巨人之余烬</v>
      </c>
      <c r="C125" s="418" t="s">
        <v>6762</v>
      </c>
    </row>
    <row r="126" spans="1:3" ht="16.149999999999999" customHeight="1" x14ac:dyDescent="0.15">
      <c r="A126" s="251" t="str" cm="1">
        <f t="array" ref="A126">IFERROR(INDEX($B$1:$B$259,SMALL(IF($B$3:$B$259&lt;&gt;"",ROW($B$3:$B$259),4^8),ROW(B127)))&amp;"","")</f>
        <v>紫龙指挥官</v>
      </c>
      <c r="B126" s="419" t="str">
        <f>IF(自定义调整栏!$E$21="O","霜巨人之狂怒","")</f>
        <v>霜巨人之狂怒</v>
      </c>
      <c r="C126" s="418" t="s">
        <v>6763</v>
      </c>
    </row>
    <row r="127" spans="1:3" ht="16.149999999999999" customHeight="1" x14ac:dyDescent="0.15">
      <c r="A127" s="251" t="str" cm="1">
        <f t="array" ref="A127">IFERROR(INDEX($B$1:$B$259,SMALL(IF($B$3:$B$259&lt;&gt;"",ROW($B$3:$B$259),4^8),ROW(B128)))&amp;"","")</f>
        <v>咒火专家</v>
      </c>
      <c r="B127" s="419" t="str">
        <f>IF(自定义调整栏!$E$21="O","云巨人之诡诈","")</f>
        <v>云巨人之诡诈</v>
      </c>
      <c r="C127" s="418" t="s">
        <v>6764</v>
      </c>
    </row>
    <row r="128" spans="1:3" ht="16.149999999999999" customHeight="1" x14ac:dyDescent="0.15">
      <c r="A128" s="251" t="str" cm="1">
        <f t="array" ref="A128">IFERROR(INDEX($B$1:$B$259,SMALL(IF($B$3:$B$259&lt;&gt;"",ROW($B$3:$B$259),4^8),ROW(B129)))&amp;"","")</f>
        <v>散塔林会战术</v>
      </c>
      <c r="B128" s="419" t="str">
        <f>IF(自定义调整栏!$E$21="O","石巨人之敏锐","")</f>
        <v>石巨人之敏锐</v>
      </c>
      <c r="C128" s="418" t="s">
        <v>6765</v>
      </c>
    </row>
    <row r="129" spans="1:3" ht="16.149999999999999" customHeight="1" x14ac:dyDescent="0.15">
      <c r="A129" s="251" t="str" cm="1">
        <f t="array" ref="A129">IFERROR(INDEX($B$1:$B$259,SMALL(IF($B$3:$B$259&lt;&gt;"",ROW($B$3:$B$259),4^8),ROW(B130)))&amp;"","")</f>
        <v>寒地施法者</v>
      </c>
      <c r="B129" s="419" t="str">
        <f>IF(自定义调整栏!$E$21="O","风暴巨人之灵魂","")</f>
        <v>风暴巨人之灵魂</v>
      </c>
      <c r="C129" s="418" t="s">
        <v>6766</v>
      </c>
    </row>
    <row r="130" spans="1:3" ht="16.149999999999999" customHeight="1" x14ac:dyDescent="0.15">
      <c r="A130" s="251" t="str" cm="1">
        <f t="array" ref="A130">IFERROR(INDEX($B$1:$B$259,SMALL(IF($B$3:$B$259&lt;&gt;"",ROW($B$3:$B$259),4^8),ROW(B131)))&amp;"","")</f>
        <v>妖精诡术</v>
      </c>
      <c r="B130" s="419" t="str">
        <f>IF(自定义调整栏!$E$21="O","山丘巨人之健强","")</f>
        <v>山丘巨人之健强</v>
      </c>
      <c r="C130" s="418" t="s">
        <v>6767</v>
      </c>
    </row>
    <row r="131" spans="1:3" ht="16.149999999999999" customHeight="1" x14ac:dyDescent="0.15">
      <c r="A131" s="251" t="str" cm="1">
        <f t="array" ref="A131">IFERROR(INDEX($B$1:$B$259,SMALL(IF($B$3:$B$259&lt;&gt;"",ROW($B$3:$B$259),4^8),ROW(B132)))&amp;"","")</f>
        <v>巨灵魔法</v>
      </c>
      <c r="B131" s="419" t="str">
        <f>IF(自定义调整栏!$E$8="O","卡牌占卜师","")</f>
        <v>卡牌占卜师</v>
      </c>
      <c r="C131" s="418" t="s">
        <v>6768</v>
      </c>
    </row>
    <row r="132" spans="1:3" ht="16.149999999999999" customHeight="1" x14ac:dyDescent="0.15">
      <c r="A132" s="251" t="str" cm="1">
        <f t="array" ref="A132">IFERROR(INDEX($B$1:$B$259,SMALL(IF($B$3:$B$259&lt;&gt;"",ROW($B$3:$B$259),4^8),ROW(B133)))&amp;"","")</f>
        <v>迷锁触碰</v>
      </c>
      <c r="B132" s="419" t="str">
        <f>IF(自定义调整栏!$E$16="O","英魂之刃","")</f>
        <v>英魂之刃</v>
      </c>
      <c r="C132" s="418" t="s">
        <v>6769</v>
      </c>
    </row>
    <row r="133" spans="1:3" ht="16.149999999999999" customHeight="1" x14ac:dyDescent="0.15">
      <c r="A133" s="251" t="str" cm="1">
        <f t="array" ref="A133">IFERROR(INDEX($B$1:$B$259,SMALL(IF($B$3:$B$259&lt;&gt;"",ROW($B$3:$B$259),4^8),ROW(B134)))&amp;"","")</f>
        <v>街头正义</v>
      </c>
      <c r="B133" s="419" t="str">
        <f>IF(自定义调整栏!$E$3="O","慷慨吉运","")</f>
        <v>慷慨吉运</v>
      </c>
      <c r="C133" s="418" t="s">
        <v>6770</v>
      </c>
    </row>
    <row r="134" spans="1:3" ht="16.149999999999999" customHeight="1" x14ac:dyDescent="0.15">
      <c r="A134" s="251" t="str" cm="1">
        <f t="array" ref="A134">IFERROR(INDEX($B$1:$B$259,SMALL(IF($B$3:$B$259&lt;&gt;"",ROW($B$3:$B$259),4^8),ROW(B135)))&amp;"","")</f>
        <v>高等异种龙纹</v>
      </c>
      <c r="B134" s="419" t="str">
        <f>IF(自定义调整栏!$E$3="O","龙之威怖","")</f>
        <v>龙之威怖</v>
      </c>
      <c r="C134" s="418" t="s">
        <v>6771</v>
      </c>
    </row>
    <row r="135" spans="1:3" ht="16.149999999999999" customHeight="1" x14ac:dyDescent="0.15">
      <c r="A135" s="251" t="str" cm="1">
        <f t="array" ref="A135">IFERROR(INDEX($B$1:$B$259,SMALL(IF($B$3:$B$259&lt;&gt;"",ROW($B$3:$B$259),4^8),ROW(B136)))&amp;"","")</f>
        <v>高等侦测龙纹</v>
      </c>
      <c r="B135" s="419" t="str">
        <f>IF(自定义调整栏!$E$3="O","龙之鳞爪","")</f>
        <v>龙之鳞爪</v>
      </c>
      <c r="C135" s="418" t="s">
        <v>6772</v>
      </c>
    </row>
    <row r="136" spans="1:3" ht="16.149999999999999" customHeight="1" x14ac:dyDescent="0.15">
      <c r="A136" s="251" t="str" cm="1">
        <f t="array" ref="A136">IFERROR(INDEX($B$1:$B$259,SMALL(IF($B$3:$B$259&lt;&gt;"",ROW($B$3:$B$259),4^8),ROW(B137)))&amp;"","")</f>
        <v>高等探索龙纹</v>
      </c>
      <c r="B136" s="419" t="str">
        <f>IF(自定义调整栏!$E$3="O","高等卓尔魔法","")</f>
        <v>高等卓尔魔法</v>
      </c>
      <c r="C136" s="418" t="s">
        <v>6773</v>
      </c>
    </row>
    <row r="137" spans="1:3" ht="16.149999999999999" customHeight="1" x14ac:dyDescent="0.15">
      <c r="A137" s="251" t="str" cm="1">
        <f t="array" ref="A137">IFERROR(INDEX($B$1:$B$259,SMALL(IF($B$3:$B$259&lt;&gt;"",ROW($B$3:$B$259),4^8),ROW(B138)))&amp;"","")</f>
        <v>高等畜牧龙纹</v>
      </c>
      <c r="B137" s="419" t="str">
        <f>IF(自定义调整栏!$E$3="O","矮人坚毅","")</f>
        <v>矮人坚毅</v>
      </c>
      <c r="C137" s="418" t="s">
        <v>6774</v>
      </c>
    </row>
    <row r="138" spans="1:3" ht="16.149999999999999" customHeight="1" x14ac:dyDescent="0.15">
      <c r="A138" s="251" t="str" cm="1">
        <f t="array" ref="A138">IFERROR(INDEX($B$1:$B$259,SMALL(IF($B$3:$B$259&lt;&gt;"",ROW($B$3:$B$259),4^8),ROW(B139)))&amp;"","")</f>
        <v>高等医疗龙纹</v>
      </c>
      <c r="B138" s="419" t="str">
        <f>IF(自定义调整栏!$E$3="O","精灵之准","")</f>
        <v>精灵之准</v>
      </c>
      <c r="C138" s="418" t="s">
        <v>6775</v>
      </c>
    </row>
    <row r="139" spans="1:3" ht="16.149999999999999" customHeight="1" x14ac:dyDescent="0.15">
      <c r="A139" s="251" t="str" cm="1">
        <f t="array" ref="A139">IFERROR(INDEX($B$1:$B$259,SMALL(IF($B$3:$B$259&lt;&gt;"",ROW($B$3:$B$259),4^8),ROW(B140)))&amp;"","")</f>
        <v>高等招待龙纹</v>
      </c>
      <c r="B139" s="419" t="str">
        <f>IF(自定义调整栏!$E$3="O","匿影无踪","")</f>
        <v>匿影无踪</v>
      </c>
      <c r="C139" s="418" t="s">
        <v>6776</v>
      </c>
    </row>
    <row r="140" spans="1:3" ht="16.149999999999999" customHeight="1" x14ac:dyDescent="0.15">
      <c r="A140" s="251" t="str" cm="1">
        <f t="array" ref="A140">IFERROR(INDEX($B$1:$B$259,SMALL(IF($B$3:$B$259&lt;&gt;"",ROW($B$3:$B$259),4^8),ROW(B141)))&amp;"","")</f>
        <v>高等创造龙纹</v>
      </c>
      <c r="B140" s="419" t="str">
        <f>IF(自定义调整栏!$E$3="O","妖精传送","")</f>
        <v>妖精传送</v>
      </c>
      <c r="C140" s="418" t="s">
        <v>6777</v>
      </c>
    </row>
    <row r="141" spans="1:3" ht="16.149999999999999" customHeight="1" x14ac:dyDescent="0.15">
      <c r="A141" s="251" t="str" cm="1">
        <f t="array" ref="A141">IFERROR(INDEX($B$1:$B$259,SMALL(IF($B$3:$B$259&lt;&gt;"",ROW($B$3:$B$259),4^8),ROW(B142)))&amp;"","")</f>
        <v>高等通行龙纹</v>
      </c>
      <c r="B141" s="419" t="str">
        <f>IF(自定义调整栏!$E$3="O","弗莱格索斯之焰","")</f>
        <v>弗莱格索斯之焰</v>
      </c>
      <c r="C141" s="418" t="s">
        <v>6778</v>
      </c>
    </row>
    <row r="142" spans="1:3" ht="16.149999999999999" customHeight="1" x14ac:dyDescent="0.15">
      <c r="A142" s="251" t="str" cm="1">
        <f t="array" ref="A142">IFERROR(INDEX($B$1:$B$259,SMALL(IF($B$3:$B$259&lt;&gt;"",ROW($B$3:$B$259),4^8),ROW(B143)))&amp;"","")</f>
        <v>高等抄录龙纹</v>
      </c>
      <c r="B142" s="419" t="str">
        <f>IF(自定义调整栏!$E$3="O","炼狱体质","")</f>
        <v>炼狱体质</v>
      </c>
      <c r="C142" s="418" t="s">
        <v>6779</v>
      </c>
    </row>
    <row r="143" spans="1:3" ht="16.149999999999999" customHeight="1" x14ac:dyDescent="0.15">
      <c r="A143" s="251" t="str" cm="1">
        <f t="array" ref="A143">IFERROR(INDEX($B$1:$B$259,SMALL(IF($B$3:$B$259&lt;&gt;"",ROW($B$3:$B$259),4^8),ROW(B144)))&amp;"","")</f>
        <v>高等哨戒龙纹</v>
      </c>
      <c r="B143" s="419" t="str">
        <f>IF(自定义调整栏!$E$3="O","兽人狂怒","")</f>
        <v>兽人狂怒</v>
      </c>
      <c r="C143" s="418" t="s">
        <v>6780</v>
      </c>
    </row>
    <row r="144" spans="1:3" ht="16.149999999999999" customHeight="1" x14ac:dyDescent="0.15">
      <c r="A144" s="251" t="str" cm="1">
        <f t="array" ref="A144">IFERROR(INDEX($B$1:$B$259,SMALL(IF($B$3:$B$259&lt;&gt;"",ROW($B$3:$B$259),4^8),ROW(B145)))&amp;"","")</f>
        <v>高等阴影龙纹</v>
      </c>
      <c r="B144" s="419" t="str">
        <f>IF(自定义调整栏!$E$3="O","天赋异禀","")</f>
        <v>天赋异禀</v>
      </c>
      <c r="C144" s="418" t="s">
        <v>6781</v>
      </c>
    </row>
    <row r="145" spans="1:3" ht="16.149999999999999" customHeight="1" x14ac:dyDescent="0.15">
      <c r="A145" s="251" t="str" cm="1">
        <f t="array" ref="A145">IFERROR(INDEX($B$1:$B$259,SMALL(IF($B$3:$B$259&lt;&gt;"",ROW($B$3:$B$259),4^8),ROW(B146)))&amp;"","")</f>
        <v>高等暴风龙纹</v>
      </c>
      <c r="B145" s="419" t="str">
        <f>IF(自定义调整栏!$E$3="O","花开二度","")</f>
        <v>花开二度</v>
      </c>
      <c r="C145" s="418" t="s">
        <v>6782</v>
      </c>
    </row>
    <row r="146" spans="1:3" ht="16.149999999999999" customHeight="1" x14ac:dyDescent="0.15">
      <c r="A146" s="251" t="str" cm="1">
        <f t="array" ref="A146">IFERROR(INDEX($B$1:$B$259,SMALL(IF($B$3:$B$259&lt;&gt;"",ROW($B$3:$B$259),4^8),ROW(B147)))&amp;"","")</f>
        <v>高等守御龙纹</v>
      </c>
      <c r="B146" s="419" t="str">
        <f>IF(自定义调整栏!$E$3="O","低身机敏","")</f>
        <v>低身机敏</v>
      </c>
      <c r="C146" s="418" t="s">
        <v>6783</v>
      </c>
    </row>
    <row r="147" spans="1:3" ht="16.149999999999999" customHeight="1" x14ac:dyDescent="0.15">
      <c r="A147" s="251" t="str" cm="1">
        <f t="array" ref="A147">IFERROR(INDEX($B$1:$B$259,SMALL(IF($B$3:$B$259&lt;&gt;"",ROW($B$3:$B$259),4^8),ROW(B148)))&amp;"","")</f>
        <v>强效龙纹</v>
      </c>
      <c r="B147" s="419" t="str">
        <f>IF(自定义调整栏!$E$3="O","木精灵魔法","")</f>
        <v>木精灵魔法</v>
      </c>
      <c r="C147" s="418" t="s">
        <v>6784</v>
      </c>
    </row>
    <row r="148" spans="1:3" ht="16.149999999999999" customHeight="1" x14ac:dyDescent="0.15">
      <c r="A148" s="251" t="str" cm="1">
        <f t="array" ref="A148">IFERROR(INDEX($B$1:$B$259,SMALL(IF($B$3:$B$259&lt;&gt;"",ROW($B$3:$B$259),4^8),ROW(B149)))&amp;"","")</f>
        <v>—传奇恩惠—</v>
      </c>
      <c r="B148" s="419" t="str">
        <f>IF(自定义调整栏!$E$22="O","混乱与共者","")</f>
        <v>混乱与共者</v>
      </c>
      <c r="C148" s="418" t="s">
        <v>6786</v>
      </c>
    </row>
    <row r="149" spans="1:3" ht="16.149999999999999" customHeight="1" x14ac:dyDescent="0.15">
      <c r="A149" s="251" t="str" cm="1">
        <f t="array" ref="A149">IFERROR(INDEX($B$1:$B$259,SMALL(IF($B$3:$B$259&lt;&gt;"",ROW($B$3:$B$259),4^8),ROW(B150)))&amp;"","")</f>
        <v>自定义专长1</v>
      </c>
      <c r="B149" s="419" t="str">
        <f>IF(自定义调整栏!$E$22="O","恶意后继者","")</f>
        <v>恶意后继者</v>
      </c>
      <c r="C149" s="418" t="s">
        <v>6787</v>
      </c>
    </row>
    <row r="150" spans="1:3" ht="16.149999999999999" customHeight="1" x14ac:dyDescent="0.15">
      <c r="A150" s="251" t="str" cm="1">
        <f t="array" ref="A150">IFERROR(INDEX($B$1:$B$259,SMALL(IF($B$3:$B$259&lt;&gt;"",ROW($B$3:$B$259),4^8),ROW(B151)))&amp;"","")</f>
        <v>自定义专长2</v>
      </c>
      <c r="B150" s="419" t="str">
        <f>IF(自定义调整栏!$E$22="O","公义传承者","")</f>
        <v>公义传承者</v>
      </c>
      <c r="C150" s="418" t="s">
        <v>10753</v>
      </c>
    </row>
    <row r="151" spans="1:3" ht="16.149999999999999" customHeight="1" x14ac:dyDescent="0.15">
      <c r="A151" s="251" t="str" cm="1">
        <f t="array" ref="A151">IFERROR(INDEX($B$1:$B$259,SMALL(IF($B$3:$B$259&lt;&gt;"",ROW($B$3:$B$259),4^8),ROW(B152)))&amp;"","")</f>
        <v>自定义专长3</v>
      </c>
      <c r="B151" s="419" t="str">
        <f>IF(自定义调整栏!$E$22="O","秩序代行者","")</f>
        <v>秩序代行者</v>
      </c>
      <c r="C151" s="418" t="s">
        <v>6788</v>
      </c>
    </row>
    <row r="152" spans="1:3" ht="16.149999999999999" customHeight="1" x14ac:dyDescent="0.15">
      <c r="A152" s="251" t="str" cm="1">
        <f t="array" ref="A152">IFERROR(INDEX($B$1:$B$259,SMALL(IF($B$3:$B$259&lt;&gt;"",ROW($B$3:$B$259),4^8),ROW(B153)))&amp;"","")</f>
        <v/>
      </c>
      <c r="B152" s="419" t="str">
        <f>IF(自定义调整栏!$E$22="O","外域使节","")</f>
        <v>外域使节</v>
      </c>
      <c r="C152" s="418" t="s">
        <v>10754</v>
      </c>
    </row>
    <row r="153" spans="1:3" ht="16.149999999999999" customHeight="1" x14ac:dyDescent="0.15">
      <c r="A153" s="251" t="str" cm="1">
        <f t="array" ref="A153">IFERROR(INDEX($B$1:$B$259,SMALL(IF($B$3:$B$259&lt;&gt;"",ROW($B$3:$B$259),4^8),ROW(B154)))&amp;"","")</f>
        <v/>
      </c>
      <c r="B153" s="419" t="str">
        <f>IF(自定义调整栏!$E$22="O","位面漫游者","")</f>
        <v>位面漫游者</v>
      </c>
      <c r="C153" s="418" t="s">
        <v>10755</v>
      </c>
    </row>
    <row r="154" spans="1:3" ht="16.149999999999999" customHeight="1" x14ac:dyDescent="0.15">
      <c r="A154" s="251" t="str" cm="1">
        <f t="array" ref="A154">IFERROR(INDEX($B$1:$B$259,SMALL(IF($B$3:$B$259&lt;&gt;"",ROW($B$3:$B$259),4^8),ROW(B155)))&amp;"","")</f>
        <v/>
      </c>
      <c r="B154" s="419" t="str">
        <f>IF(自定义调整栏!$E$26="O","残酷","")</f>
        <v/>
      </c>
      <c r="C154" s="418" t="s">
        <v>6804</v>
      </c>
    </row>
    <row r="155" spans="1:3" ht="16.149999999999999" customHeight="1" x14ac:dyDescent="0.15">
      <c r="A155" s="251" t="str" cm="1">
        <f t="array" ref="A155">IFERROR(INDEX($B$1:$B$259,SMALL(IF($B$3:$B$259&lt;&gt;"",ROW($B$3:$B$259),4^8),ROW(B156)))&amp;"","")</f>
        <v/>
      </c>
      <c r="B155" s="419" t="str">
        <f>IF(自定义调整栏!$E$26="O","闪回记忆","")</f>
        <v/>
      </c>
      <c r="C155" s="418" t="s">
        <v>6805</v>
      </c>
    </row>
    <row r="156" spans="1:3" ht="16.149999999999999" customHeight="1" x14ac:dyDescent="0.15">
      <c r="A156" s="251" t="str" cm="1">
        <f t="array" ref="A156">IFERROR(INDEX($B$1:$B$259,SMALL(IF($B$3:$B$259&lt;&gt;"",ROW($B$3:$B$259),4^8),ROW(B157)))&amp;"","")</f>
        <v/>
      </c>
      <c r="B156" s="419" t="str">
        <f>IF(自定义调整栏!$E$26="O","秘法汇流","")</f>
        <v/>
      </c>
      <c r="C156" s="418" t="s">
        <v>6806</v>
      </c>
    </row>
    <row r="157" spans="1:3" ht="16.149999999999999" customHeight="1" x14ac:dyDescent="0.15">
      <c r="A157" s="251" t="str" cm="1">
        <f t="array" ref="A157">IFERROR(INDEX($B$1:$B$259,SMALL(IF($B$3:$B$259&lt;&gt;"",ROW($B$3:$B$259),4^8),ROW(B158)))&amp;"","")</f>
        <v/>
      </c>
      <c r="B157" s="419" t="str">
        <f>IF(自定义调整栏!$E$26="O","惊人恢复力","")</f>
        <v/>
      </c>
      <c r="C157" s="418" t="s">
        <v>6807</v>
      </c>
    </row>
    <row r="158" spans="1:3" ht="16.149999999999999" customHeight="1" x14ac:dyDescent="0.15">
      <c r="A158" s="251" t="str" cm="1">
        <f t="array" ref="A158">IFERROR(INDEX($B$1:$B$259,SMALL(IF($B$3:$B$259&lt;&gt;"",ROW($B$3:$B$259),4^8),ROW(B159)))&amp;"","")</f>
        <v/>
      </c>
      <c r="B158" s="419" t="str">
        <f>IF(自定义调整栏!$E$26="O","驱法者","")</f>
        <v/>
      </c>
      <c r="C158" s="418" t="s">
        <v>6808</v>
      </c>
    </row>
    <row r="159" spans="1:3" ht="16.149999999999999" customHeight="1" x14ac:dyDescent="0.15">
      <c r="A159" s="251" t="str" cm="1">
        <f t="array" ref="A159">IFERROR(INDEX($B$1:$B$259,SMALL(IF($B$3:$B$259&lt;&gt;"",ROW($B$3:$B$259),4^8),ROW(B160)))&amp;"","")</f>
        <v/>
      </c>
      <c r="B159" s="419" t="str">
        <f>IF(自定义调整栏!$E$26="O","武器投掷大师","")</f>
        <v/>
      </c>
      <c r="C159" s="418" t="s">
        <v>6809</v>
      </c>
    </row>
    <row r="160" spans="1:3" ht="16.149999999999999" customHeight="1" x14ac:dyDescent="0.15">
      <c r="A160" s="251" t="str" cm="1">
        <f t="array" ref="A160">IFERROR(INDEX($B$1:$B$259,SMALL(IF($B$3:$B$259&lt;&gt;"",ROW($B$3:$B$259),4^8),ROW(B161)))&amp;"","")</f>
        <v/>
      </c>
      <c r="B160" s="419" t="str">
        <f>IF(自定义调整栏!$E$26="O","生命献祭","")</f>
        <v/>
      </c>
      <c r="C160" s="418" t="s">
        <v>10167</v>
      </c>
    </row>
    <row r="161" spans="1:3" ht="16.149999999999999" customHeight="1" x14ac:dyDescent="0.15">
      <c r="A161" s="251" t="str" cm="1">
        <f t="array" ref="A161">IFERROR(INDEX($B$1:$B$259,SMALL(IF($B$3:$B$259&lt;&gt;"",ROW($B$3:$B$259),4^8),ROW(B162)))&amp;"","")</f>
        <v/>
      </c>
      <c r="B161" s="419" t="str">
        <f>IF(自定义调整栏!$E$34="O","残暴之握","")</f>
        <v/>
      </c>
      <c r="C161" s="418" t="s">
        <v>6810</v>
      </c>
    </row>
    <row r="162" spans="1:3" ht="16.149999999999999" customHeight="1" x14ac:dyDescent="0.15">
      <c r="A162" s="251" t="str" cm="1">
        <f t="array" ref="A162">IFERROR(INDEX($B$1:$B$259,SMALL(IF($B$3:$B$259&lt;&gt;"",ROW($B$3:$B$259),4^8),ROW(B163)))&amp;"","")</f>
        <v/>
      </c>
      <c r="B162" s="419" t="str">
        <f>IF(自定义调整栏!$E$34="O","战地指挥","")</f>
        <v/>
      </c>
      <c r="C162" s="418" t="s">
        <v>6811</v>
      </c>
    </row>
    <row r="163" spans="1:3" ht="16.149999999999999" customHeight="1" x14ac:dyDescent="0.15">
      <c r="A163" s="251" t="str" cm="1">
        <f t="array" ref="A163">IFERROR(INDEX($B$1:$B$259,SMALL(IF($B$3:$B$259&lt;&gt;"",ROW($B$3:$B$259),4^8),ROW(B164)))&amp;"","")</f>
        <v/>
      </c>
      <c r="B163" s="419" t="str">
        <f>IF(自定义调整栏!$E$34="O","专注重击","")</f>
        <v/>
      </c>
      <c r="C163" s="418" t="s">
        <v>6812</v>
      </c>
    </row>
    <row r="164" spans="1:3" ht="16.149999999999999" customHeight="1" x14ac:dyDescent="0.15">
      <c r="A164" s="251" t="str" cm="1">
        <f t="array" ref="A164">IFERROR(INDEX($B$1:$B$259,SMALL(IF($B$3:$B$259&lt;&gt;"",ROW($B$3:$B$259),4^8),ROW(B165)))&amp;"","")</f>
        <v/>
      </c>
      <c r="B164" s="419" t="str">
        <f>IF(自定义调整栏!$E$34="O","魔枪掌控","")</f>
        <v/>
      </c>
      <c r="C164" s="418" t="s">
        <v>6638</v>
      </c>
    </row>
    <row r="165" spans="1:3" ht="16.149999999999999" customHeight="1" x14ac:dyDescent="0.15">
      <c r="A165" s="251" t="str" cm="1">
        <f t="array" ref="A165">IFERROR(INDEX($B$1:$B$259,SMALL(IF($B$3:$B$259&lt;&gt;"",ROW($B$3:$B$259),4^8),ROW(B166)))&amp;"","")</f>
        <v/>
      </c>
      <c r="B165" s="419" t="str">
        <f>IF(自定义调整栏!$E$34="O","铁血英雄","")</f>
        <v/>
      </c>
      <c r="C165" s="418" t="s">
        <v>6639</v>
      </c>
    </row>
    <row r="166" spans="1:3" ht="16.149999999999999" customHeight="1" x14ac:dyDescent="0.15">
      <c r="A166" s="251" t="str" cm="1">
        <f t="array" ref="A166">IFERROR(INDEX($B$1:$B$259,SMALL(IF($B$3:$B$259&lt;&gt;"",ROW($B$3:$B$259),4^8),ROW(B167)))&amp;"","")</f>
        <v/>
      </c>
      <c r="B166" s="419" t="str">
        <f>IF(自定义调整栏!$E$34="O","神射手吉运","")</f>
        <v/>
      </c>
      <c r="C166" s="418" t="s">
        <v>6640</v>
      </c>
    </row>
    <row r="167" spans="1:3" ht="16.149999999999999" customHeight="1" x14ac:dyDescent="0.15">
      <c r="A167" s="251" t="str" cm="1">
        <f t="array" ref="A167">IFERROR(INDEX($B$1:$B$259,SMALL(IF($B$3:$B$259&lt;&gt;"",ROW($B$3:$B$259),4^8),ROW(B168)))&amp;"","")</f>
        <v/>
      </c>
      <c r="B167" s="419" t="str">
        <f>IF(自定义调整栏!$E$33="O","回旋镖专家","")</f>
        <v/>
      </c>
      <c r="C167" s="418" t="s">
        <v>6813</v>
      </c>
    </row>
    <row r="168" spans="1:3" ht="16.149999999999999" customHeight="1" x14ac:dyDescent="0.15">
      <c r="A168" s="251" t="str" cm="1">
        <f t="array" ref="A168">IFERROR(INDEX($B$1:$B$259,SMALL(IF($B$3:$B$259&lt;&gt;"",ROW($B$3:$B$259),4^8),ROW(B169)))&amp;"","")</f>
        <v/>
      </c>
      <c r="B168" s="419" t="str">
        <f>IF(自定义调整栏!$E$33="O","傻人傻福","")</f>
        <v/>
      </c>
      <c r="C168" s="418" t="s">
        <v>6814</v>
      </c>
    </row>
    <row r="169" spans="1:3" ht="16.149999999999999" customHeight="1" x14ac:dyDescent="0.15">
      <c r="A169" s="251" t="str" cm="1">
        <f t="array" ref="A169">IFERROR(INDEX($B$1:$B$259,SMALL(IF($B$3:$B$259&lt;&gt;"",ROW($B$3:$B$259),4^8),ROW(B170)))&amp;"","")</f>
        <v/>
      </c>
      <c r="B169" s="419" t="str">
        <f>IF(自定义调整栏!$E$33="O","寒传月闪流精要","")</f>
        <v/>
      </c>
      <c r="C169" s="418" t="s">
        <v>6815</v>
      </c>
    </row>
    <row r="170" spans="1:3" ht="16.149999999999999" customHeight="1" x14ac:dyDescent="0.15">
      <c r="A170" s="251" t="str" cm="1">
        <f t="array" ref="A170">IFERROR(INDEX($B$1:$B$259,SMALL(IF($B$3:$B$259&lt;&gt;"",ROW($B$3:$B$259),4^8),ROW(B171)))&amp;"","")</f>
        <v/>
      </c>
      <c r="B170" s="419" t="str">
        <f>IF(自定义调整栏!$E$33="O","云端漫步者","")</f>
        <v/>
      </c>
      <c r="C170" s="418" t="s">
        <v>6816</v>
      </c>
    </row>
    <row r="171" spans="1:3" ht="16.149999999999999" customHeight="1" x14ac:dyDescent="0.15">
      <c r="A171" s="251" t="str" cm="1">
        <f t="array" ref="A171">IFERROR(INDEX($B$1:$B$259,SMALL(IF($B$3:$B$259&lt;&gt;"",ROW($B$3:$B$259),4^8),ROW(B172)))&amp;"","")</f>
        <v/>
      </c>
      <c r="B171" s="419" t="str">
        <f>IF(自定义调整栏!$E$33="O","魔女盟誓","")</f>
        <v/>
      </c>
      <c r="C171" s="418" t="s">
        <v>6817</v>
      </c>
    </row>
    <row r="172" spans="1:3" ht="16.149999999999999" customHeight="1" x14ac:dyDescent="0.15">
      <c r="A172" s="251" t="str" cm="1">
        <f t="array" ref="A172">IFERROR(INDEX($B$1:$B$259,SMALL(IF($B$3:$B$259&lt;&gt;"",ROW($B$3:$B$259),4^8),ROW(B173)))&amp;"","")</f>
        <v/>
      </c>
      <c r="B172" s="419" t="str">
        <f>IF(自定义调整栏!$E$33="O","采集者","")</f>
        <v/>
      </c>
      <c r="C172" s="418" t="s">
        <v>6818</v>
      </c>
    </row>
    <row r="173" spans="1:3" ht="16.149999999999999" customHeight="1" x14ac:dyDescent="0.15">
      <c r="A173" s="251" t="str" cm="1">
        <f t="array" ref="A173">IFERROR(INDEX($B$1:$B$259,SMALL(IF($B$3:$B$259&lt;&gt;"",ROW($B$3:$B$259),4^8),ROW(B174)))&amp;"","")</f>
        <v/>
      </c>
      <c r="B173" s="419" t="str">
        <f>IF(自定义调整栏!$E$33="O","自由潜者","")</f>
        <v/>
      </c>
      <c r="C173" s="418" t="s">
        <v>6819</v>
      </c>
    </row>
    <row r="174" spans="1:3" ht="16.149999999999999" customHeight="1" x14ac:dyDescent="0.15">
      <c r="A174" s="251" t="str" cm="1">
        <f t="array" ref="A174">IFERROR(INDEX($B$1:$B$259,SMALL(IF($B$3:$B$259&lt;&gt;"",ROW($B$3:$B$259),4^8),ROW(B175)))&amp;"","")</f>
        <v/>
      </c>
      <c r="B174" s="419" t="str">
        <f>IF(自定义调整栏!$E$33="O","群战专家","")</f>
        <v/>
      </c>
      <c r="C174" s="418" t="s">
        <v>6820</v>
      </c>
    </row>
    <row r="175" spans="1:3" ht="16.149999999999999" customHeight="1" x14ac:dyDescent="0.15">
      <c r="A175" s="251" t="str" cm="1">
        <f t="array" ref="A175">IFERROR(INDEX($B$1:$B$259,SMALL(IF($B$3:$B$259&lt;&gt;"",ROW($B$3:$B$259),4^8),ROW(B176)))&amp;"","")</f>
        <v/>
      </c>
      <c r="B175" s="419" t="str">
        <f>IF(自定义调整栏!$E$33="O","身轻如燕","")</f>
        <v/>
      </c>
      <c r="C175" s="418" t="s">
        <v>6821</v>
      </c>
    </row>
    <row r="176" spans="1:3" ht="16.149999999999999" customHeight="1" x14ac:dyDescent="0.15">
      <c r="A176" s="251" t="str" cm="1">
        <f t="array" ref="A176">IFERROR(INDEX($B$1:$B$259,SMALL(IF($B$3:$B$259&lt;&gt;"",ROW($B$3:$B$259),4^8),ROW(B177)))&amp;"","")</f>
        <v/>
      </c>
      <c r="B176" s="419" t="str">
        <f>IF(自定义调整栏!$E$33="O","捣蛋魔偷","")</f>
        <v/>
      </c>
      <c r="C176" s="418" t="s">
        <v>6822</v>
      </c>
    </row>
    <row r="177" spans="1:3" ht="16.149999999999999" customHeight="1" x14ac:dyDescent="0.15">
      <c r="A177" s="251" t="str" cm="1">
        <f t="array" ref="A177">IFERROR(INDEX($B$1:$B$259,SMALL(IF($B$3:$B$259&lt;&gt;"",ROW($B$3:$B$259),4^8),ROW(B178)))&amp;"","")</f>
        <v/>
      </c>
      <c r="B177" s="419" t="str">
        <f>IF(自定义调整栏!$E$33="O","AHA成员","")</f>
        <v/>
      </c>
      <c r="C177" s="418" t="s">
        <v>6823</v>
      </c>
    </row>
    <row r="178" spans="1:3" ht="16.149999999999999" customHeight="1" x14ac:dyDescent="0.15">
      <c r="A178" s="251" t="str" cm="1">
        <f t="array" ref="A178">IFERROR(INDEX($B$1:$B$259,SMALL(IF($B$3:$B$259&lt;&gt;"",ROW($B$3:$B$259),4^8),ROW(B179)))&amp;"","")</f>
        <v/>
      </c>
      <c r="B178" s="419" t="str">
        <f>IF(自定义调整栏!$E$33="O","轻度侵蚀","")</f>
        <v/>
      </c>
      <c r="C178" s="418" t="s">
        <v>6824</v>
      </c>
    </row>
    <row r="179" spans="1:3" ht="16.149999999999999" customHeight="1" x14ac:dyDescent="0.15">
      <c r="A179" s="251" t="str" cm="1">
        <f t="array" ref="A179">IFERROR(INDEX($B$1:$B$259,SMALL(IF($B$3:$B$259&lt;&gt;"",ROW($B$3:$B$259),4^8),ROW(B180)))&amp;"","")</f>
        <v/>
      </c>
      <c r="B179" s="419" t="str">
        <f>IF(自定义调整栏!$E$33="O","雷血鸣玉","")</f>
        <v/>
      </c>
      <c r="C179" s="418" t="s">
        <v>6825</v>
      </c>
    </row>
    <row r="180" spans="1:3" ht="16.149999999999999" customHeight="1" x14ac:dyDescent="0.15">
      <c r="A180" s="251" t="str" cm="1">
        <f t="array" ref="A180">IFERROR(INDEX($B$1:$B$259,SMALL(IF($B$3:$B$259&lt;&gt;"",ROW($B$3:$B$259),4^8),ROW(B181)))&amp;"","")</f>
        <v/>
      </c>
      <c r="B180" s="419" t="str">
        <f>IF(自定义调整栏!$E$33="O","毒血鸣玉","")</f>
        <v/>
      </c>
      <c r="C180" s="418" t="s">
        <v>6826</v>
      </c>
    </row>
    <row r="181" spans="1:3" ht="16.149999999999999" customHeight="1" x14ac:dyDescent="0.15">
      <c r="A181" s="251" t="str" cm="1">
        <f t="array" ref="A181">IFERROR(INDEX($B$1:$B$259,SMALL(IF($B$3:$B$259&lt;&gt;"",ROW($B$3:$B$259),4^8),ROW(B182)))&amp;"","")</f>
        <v/>
      </c>
      <c r="B181" s="419" t="str">
        <f>IF(自定义调整栏!$E$33="O","驿骑士","")</f>
        <v/>
      </c>
      <c r="C181" s="418" t="s">
        <v>6827</v>
      </c>
    </row>
    <row r="182" spans="1:3" ht="16.149999999999999" customHeight="1" x14ac:dyDescent="0.15">
      <c r="A182" s="251" t="str" cm="1">
        <f t="array" ref="A182">IFERROR(INDEX($B$1:$B$259,SMALL(IF($B$3:$B$259&lt;&gt;"",ROW($B$3:$B$259),4^8),ROW(B183)))&amp;"","")</f>
        <v/>
      </c>
      <c r="B182" s="419" t="str">
        <f>IF(自定义调整栏!$E$33="O","药剂师","")</f>
        <v/>
      </c>
      <c r="C182" s="418" t="s">
        <v>6828</v>
      </c>
    </row>
    <row r="183" spans="1:3" ht="16.149999999999999" customHeight="1" x14ac:dyDescent="0.15">
      <c r="A183" s="251" t="str" cm="1">
        <f t="array" ref="A183">IFERROR(INDEX($B$1:$B$259,SMALL(IF($B$3:$B$259&lt;&gt;"",ROW($B$3:$B$259),4^8),ROW(B184)))&amp;"","")</f>
        <v/>
      </c>
      <c r="B183" s="419" t="str">
        <f>IF(自定义调整栏!$E$33="O","辉流鳞斩流精要","")</f>
        <v/>
      </c>
      <c r="C183" s="418" t="s">
        <v>6829</v>
      </c>
    </row>
    <row r="184" spans="1:3" ht="16.149999999999999" customHeight="1" x14ac:dyDescent="0.15">
      <c r="A184" s="251" t="str" cm="1">
        <f t="array" ref="A184">IFERROR(INDEX($B$1:$B$259,SMALL(IF($B$3:$B$259&lt;&gt;"",ROW($B$3:$B$259),4^8),ROW(B185)))&amp;"","")</f>
        <v/>
      </c>
      <c r="B184" s="419" t="str">
        <f>IF(自定义调整栏!$E$33="O","虎岚断岩流精要","")</f>
        <v/>
      </c>
      <c r="C184" s="418" t="s">
        <v>6830</v>
      </c>
    </row>
    <row r="185" spans="1:3" ht="16.149999999999999" customHeight="1" x14ac:dyDescent="0.15">
      <c r="A185" s="251" t="str" cm="1">
        <f t="array" ref="A185">IFERROR(INDEX($B$1:$B$259,SMALL(IF($B$3:$B$259&lt;&gt;"",ROW($B$3:$B$259),4^8),ROW(B186)))&amp;"","")</f>
        <v/>
      </c>
      <c r="B185" s="419" t="str">
        <f>IF(自定义调整栏!$E$33="O","咏术师","")</f>
        <v/>
      </c>
      <c r="C185" s="418" t="s">
        <v>6831</v>
      </c>
    </row>
    <row r="186" spans="1:3" ht="16.149999999999999" customHeight="1" x14ac:dyDescent="0.15">
      <c r="A186" s="251" t="str" cm="1">
        <f t="array" ref="A186">IFERROR(INDEX($B$1:$B$259,SMALL(IF($B$3:$B$259&lt;&gt;"",ROW($B$3:$B$259),4^8),ROW(B187)))&amp;"","")</f>
        <v/>
      </c>
      <c r="B186" s="419" t="str">
        <f>IF(自定义调整栏!$E$33="O","沼地探索者","")</f>
        <v/>
      </c>
      <c r="C186" s="418" t="s">
        <v>6832</v>
      </c>
    </row>
    <row r="187" spans="1:3" ht="16.149999999999999" customHeight="1" x14ac:dyDescent="0.15">
      <c r="A187" s="251" t="str" cm="1">
        <f t="array" ref="A187">IFERROR(INDEX($B$1:$B$259,SMALL(IF($B$3:$B$259&lt;&gt;"",ROW($B$3:$B$259),4^8),ROW(B188)))&amp;"","")</f>
        <v/>
      </c>
      <c r="B187" s="419" t="str">
        <f>IF(自定义调整栏!$E$35="O","拒绝死亡","")</f>
        <v/>
      </c>
      <c r="C187" s="418" t="s">
        <v>6848</v>
      </c>
    </row>
    <row r="188" spans="1:3" ht="16.149999999999999" customHeight="1" x14ac:dyDescent="0.15">
      <c r="A188" s="251" t="str" cm="1">
        <f t="array" ref="A188">IFERROR(INDEX($B$1:$B$259,SMALL(IF($B$3:$B$259&lt;&gt;"",ROW($B$3:$B$259),4^8),ROW(B189)))&amp;"","")</f>
        <v/>
      </c>
      <c r="B188" s="419" t="str">
        <f>IF(自定义调整栏!$E$35="O","迅捷巫术","")</f>
        <v/>
      </c>
      <c r="C188" s="418" t="s">
        <v>6849</v>
      </c>
    </row>
    <row r="189" spans="1:3" ht="16.149999999999999" customHeight="1" x14ac:dyDescent="0.15">
      <c r="A189" s="251" t="str" cm="1">
        <f t="array" ref="A189">IFERROR(INDEX($B$1:$B$259,SMALL(IF($B$3:$B$259&lt;&gt;"",ROW($B$3:$B$259),4^8),ROW(B190)))&amp;"","")</f>
        <v/>
      </c>
      <c r="B189" s="419" t="str">
        <f>IF(自定义调整栏!$E$29="O","飞翔专家","")</f>
        <v/>
      </c>
      <c r="C189" s="418" t="s">
        <v>9006</v>
      </c>
    </row>
    <row r="190" spans="1:3" ht="16.149999999999999" customHeight="1" x14ac:dyDescent="0.15">
      <c r="A190" s="251" t="str" cm="1">
        <f t="array" ref="A190">IFERROR(INDEX($B$1:$B$259,SMALL(IF($B$3:$B$259&lt;&gt;"",ROW($B$3:$B$259),4^8),ROW(B191)))&amp;"","")</f>
        <v/>
      </c>
      <c r="B190" s="419" t="str">
        <f>IF(自定义调整栏!$E$29="O","强盗狡诈","")</f>
        <v/>
      </c>
      <c r="C190" s="418" t="s">
        <v>9007</v>
      </c>
    </row>
    <row r="191" spans="1:3" ht="16.149999999999999" customHeight="1" x14ac:dyDescent="0.15">
      <c r="A191" s="251" t="str" cm="1">
        <f t="array" ref="A191">IFERROR(INDEX($B$1:$B$259,SMALL(IF($B$3:$B$259&lt;&gt;"",ROW($B$3:$B$259),4^8),ROW(B192)))&amp;"","")</f>
        <v/>
      </c>
      <c r="B191" s="419" t="str">
        <f>IF(自定义调整栏!$E$29="O","空中堡垒","")</f>
        <v/>
      </c>
      <c r="C191" s="418" t="s">
        <v>9008</v>
      </c>
    </row>
    <row r="192" spans="1:3" ht="16.149999999999999" customHeight="1" x14ac:dyDescent="0.15">
      <c r="A192" s="251" t="str" cm="1">
        <f t="array" ref="A192">IFERROR(INDEX($B$1:$B$259,SMALL(IF($B$3:$B$259&lt;&gt;"",ROW($B$3:$B$259),4^8),ROW(B193)))&amp;"","")</f>
        <v/>
      </c>
      <c r="B192" s="419" t="str">
        <f>IF(自定义调整栏!$E$29="O","见机行窃","")</f>
        <v/>
      </c>
      <c r="C192" s="418" t="s">
        <v>9009</v>
      </c>
    </row>
    <row r="193" spans="1:3" ht="16.149999999999999" customHeight="1" x14ac:dyDescent="0.15">
      <c r="A193" s="251" t="str" cm="1">
        <f t="array" ref="A193">IFERROR(INDEX($B$1:$B$259,SMALL(IF($B$3:$B$259&lt;&gt;"",ROW($B$3:$B$259),4^8),ROW(B194)))&amp;"","")</f>
        <v/>
      </c>
      <c r="B193" s="419" t="str">
        <f>IF(自定义调整栏!$E$29="O","完美着陆","")</f>
        <v/>
      </c>
      <c r="C193" s="418" t="s">
        <v>9010</v>
      </c>
    </row>
    <row r="194" spans="1:3" ht="16.149999999999999" customHeight="1" x14ac:dyDescent="0.15">
      <c r="A194" s="251" t="str" cm="1">
        <f t="array" ref="A194">IFERROR(INDEX($B$1:$B$259,SMALL(IF($B$3:$B$259&lt;&gt;"",ROW($B$3:$B$259),4^8),ROW(B195)))&amp;"","")</f>
        <v/>
      </c>
      <c r="B194" s="419" t="str">
        <f>IF(自定义调整栏!$E$29="O","远古野兽之语","")</f>
        <v/>
      </c>
      <c r="C194" s="418" t="s">
        <v>9011</v>
      </c>
    </row>
    <row r="195" spans="1:3" ht="16.149999999999999" customHeight="1" x14ac:dyDescent="0.15">
      <c r="A195" s="251" t="str" cm="1">
        <f t="array" ref="A195">IFERROR(INDEX($B$1:$B$259,SMALL(IF($B$3:$B$259&lt;&gt;"",ROW($B$3:$B$259),4^8),ROW(B196)))&amp;"","")</f>
        <v/>
      </c>
      <c r="B195" s="420" t="str">
        <f>IF(自定义调整栏!$E$29="O","林木之睿","")</f>
        <v/>
      </c>
      <c r="C195" s="421" t="s">
        <v>9012</v>
      </c>
    </row>
    <row r="196" spans="1:3" ht="16.149999999999999" customHeight="1" x14ac:dyDescent="0.15">
      <c r="A196" s="251" t="str" cm="1">
        <f t="array" ref="A196">IFERROR(INDEX($B$1:$B$259,SMALL(IF($B$3:$B$259&lt;&gt;"",ROW($B$3:$B$259),4^8),ROW(B197)))&amp;"","")</f>
        <v/>
      </c>
      <c r="B196" s="420" t="str">
        <f>IF(自定义调整栏!$E$29="O","战地医者","")</f>
        <v/>
      </c>
      <c r="C196" s="421" t="s">
        <v>9106</v>
      </c>
    </row>
    <row r="197" spans="1:3" ht="16.149999999999999" customHeight="1" x14ac:dyDescent="0.15">
      <c r="A197" s="251" t="str" cm="1">
        <f t="array" ref="A197">IFERROR(INDEX($B$1:$B$259,SMALL(IF($B$3:$B$259&lt;&gt;"",ROW($B$3:$B$259),4^8),ROW(B198)))&amp;"","")</f>
        <v/>
      </c>
      <c r="B197" s="420" t="str">
        <f>IF(自定义调整栏!$E$29="O","炎焱觉者","")</f>
        <v/>
      </c>
      <c r="C197" s="421" t="s">
        <v>9107</v>
      </c>
    </row>
    <row r="198" spans="1:3" ht="16.149999999999999" customHeight="1" x14ac:dyDescent="0.15">
      <c r="A198" s="251" t="str" cm="1">
        <f t="array" ref="A198">IFERROR(INDEX($B$1:$B$259,SMALL(IF($B$3:$B$259&lt;&gt;"",ROW($B$3:$B$259),4^8),ROW(B199)))&amp;"","")</f>
        <v/>
      </c>
      <c r="B198" s="420" t="str">
        <f>IF(自定义调整栏!$E$29="O","森木贤者","")</f>
        <v/>
      </c>
      <c r="C198" s="421" t="s">
        <v>9108</v>
      </c>
    </row>
    <row r="199" spans="1:3" ht="16.149999999999999" customHeight="1" x14ac:dyDescent="0.15">
      <c r="A199" s="251" t="str" cm="1">
        <f t="array" ref="A199">IFERROR(INDEX($B$1:$B$259,SMALL(IF($B$3:$B$259&lt;&gt;"",ROW($B$3:$B$259),4^8),ROW(B200)))&amp;"","")</f>
        <v/>
      </c>
      <c r="B199" s="420" t="str">
        <f>IF(自定义调整栏!$E$29="O","植物缮者","")</f>
        <v/>
      </c>
      <c r="C199" s="421" t="s">
        <v>9109</v>
      </c>
    </row>
    <row r="200" spans="1:3" ht="16.149999999999999" customHeight="1" x14ac:dyDescent="0.15">
      <c r="A200" s="251" t="str" cm="1">
        <f t="array" ref="A200">IFERROR(INDEX($B$1:$B$259,SMALL(IF($B$3:$B$259&lt;&gt;"",ROW($B$3:$B$259),4^8),ROW(B201)))&amp;"","")</f>
        <v/>
      </c>
      <c r="B200" s="420" t="str">
        <f>IF(自定义调整栏!$E$10="O","龙之瘢","")</f>
        <v>龙之瘢</v>
      </c>
      <c r="C200" s="421" t="s">
        <v>10026</v>
      </c>
    </row>
    <row r="201" spans="1:3" ht="16.149999999999999" customHeight="1" x14ac:dyDescent="0.15">
      <c r="A201" s="251" t="str" cm="1">
        <f t="array" ref="A201">IFERROR(INDEX($B$1:$B$259,SMALL(IF($B$3:$B$259&lt;&gt;"",ROW($B$3:$B$259),4^8),ROW(B202)))&amp;"","")</f>
        <v/>
      </c>
      <c r="B201" s="420" t="str">
        <f>IF(自定义调整栏!$E$10="O","翠色魔法","")</f>
        <v>翠色魔法</v>
      </c>
      <c r="C201" s="421" t="s">
        <v>10027</v>
      </c>
    </row>
    <row r="202" spans="1:3" ht="16.149999999999999" customHeight="1" x14ac:dyDescent="0.15">
      <c r="A202" s="251" t="str" cm="1">
        <f t="array" ref="A202">IFERROR(INDEX($B$1:$B$259,SMALL(IF($B$3:$B$259&lt;&gt;"",ROW($B$3:$B$259),4^8),ROW(B203)))&amp;"","")</f>
        <v/>
      </c>
      <c r="B202" s="420" t="str">
        <f>IF(自定义调整栏!$E$10="O","竖琴手协同","")</f>
        <v>竖琴手协同</v>
      </c>
      <c r="C202" s="421" t="s">
        <v>10028</v>
      </c>
    </row>
    <row r="203" spans="1:3" ht="16.149999999999999" customHeight="1" x14ac:dyDescent="0.15">
      <c r="A203" s="251" t="str" cm="1">
        <f t="array" ref="A203">IFERROR(INDEX($B$1:$B$259,SMALL(IF($B$3:$B$259&lt;&gt;"",ROW($B$3:$B$259),4^8),ROW(B204)))&amp;"","")</f>
        <v/>
      </c>
      <c r="B203" s="420" t="str">
        <f>IF(自定义调整栏!$E$10="O","教团韧性","")</f>
        <v>教团韧性</v>
      </c>
      <c r="C203" s="421" t="s">
        <v>10029</v>
      </c>
    </row>
    <row r="204" spans="1:3" ht="16.149999999999999" customHeight="1" x14ac:dyDescent="0.15">
      <c r="A204" s="251" t="str" cm="1">
        <f t="array" ref="A204">IFERROR(INDEX($B$1:$B$259,SMALL(IF($B$3:$B$259&lt;&gt;"",ROW($B$3:$B$259),4^8),ROW(B205)))&amp;"","")</f>
        <v/>
      </c>
      <c r="B204" s="420" t="str">
        <f>IF(自定义调整栏!$E$10="O","贵族信念","")</f>
        <v>贵族信念</v>
      </c>
      <c r="C204" s="421" t="s">
        <v>10030</v>
      </c>
    </row>
    <row r="205" spans="1:3" ht="16.149999999999999" customHeight="1" x14ac:dyDescent="0.15">
      <c r="A205" s="251" t="str" cm="1">
        <f t="array" ref="A205">IFERROR(INDEX($B$1:$B$259,SMALL(IF($B$3:$B$259&lt;&gt;"",ROW($B$3:$B$259),4^8),ROW(B206)))&amp;"","")</f>
        <v/>
      </c>
      <c r="B205" s="420" t="str">
        <f>IF(自定义调整栏!$E$10="O","紫龙指挥官","")</f>
        <v>紫龙指挥官</v>
      </c>
      <c r="C205" s="421" t="s">
        <v>10031</v>
      </c>
    </row>
    <row r="206" spans="1:3" ht="16.149999999999999" customHeight="1" x14ac:dyDescent="0.15">
      <c r="A206" s="251" t="str" cm="1">
        <f t="array" ref="A206">IFERROR(INDEX($B$1:$B$259,SMALL(IF($B$3:$B$259&lt;&gt;"",ROW($B$3:$B$259),4^8),ROW(B207)))&amp;"","")</f>
        <v/>
      </c>
      <c r="B206" s="420" t="str">
        <f>IF(自定义调整栏!$E$10="O","咒火专家","")</f>
        <v>咒火专家</v>
      </c>
      <c r="C206" s="421" t="s">
        <v>10032</v>
      </c>
    </row>
    <row r="207" spans="1:3" ht="16.149999999999999" customHeight="1" x14ac:dyDescent="0.15">
      <c r="A207" s="251" t="str" cm="1">
        <f t="array" ref="A207">IFERROR(INDEX($B$1:$B$259,SMALL(IF($B$3:$B$259&lt;&gt;"",ROW($B$3:$B$259),4^8),ROW(B208)))&amp;"","")</f>
        <v/>
      </c>
      <c r="B207" s="420" t="str">
        <f>IF(自定义调整栏!$E$10="O","散塔林会战术","")</f>
        <v>散塔林会战术</v>
      </c>
      <c r="C207" s="421" t="s">
        <v>10033</v>
      </c>
    </row>
    <row r="208" spans="1:3" ht="16.149999999999999" customHeight="1" x14ac:dyDescent="0.15">
      <c r="A208" s="251" t="str" cm="1">
        <f t="array" ref="A208">IFERROR(INDEX($B$1:$B$259,SMALL(IF($B$3:$B$259&lt;&gt;"",ROW($B$3:$B$259),4^8),ROW(B209)))&amp;"","")</f>
        <v/>
      </c>
      <c r="B208" s="420" t="str">
        <f>IF(自定义调整栏!$E$10="O","寒地施法者","")</f>
        <v>寒地施法者</v>
      </c>
      <c r="C208" s="421" t="s">
        <v>10034</v>
      </c>
    </row>
    <row r="209" spans="1:3" ht="16.149999999999999" customHeight="1" x14ac:dyDescent="0.15">
      <c r="A209" s="251" t="str" cm="1">
        <f t="array" ref="A209">IFERROR(INDEX($B$1:$B$259,SMALL(IF($B$3:$B$259&lt;&gt;"",ROW($B$3:$B$259),4^8),ROW(B210)))&amp;"","")</f>
        <v/>
      </c>
      <c r="B209" s="420" t="str">
        <f>IF(自定义调整栏!$E$10="O","妖精诡术","")</f>
        <v>妖精诡术</v>
      </c>
      <c r="C209" s="421" t="s">
        <v>10035</v>
      </c>
    </row>
    <row r="210" spans="1:3" ht="16.149999999999999" customHeight="1" x14ac:dyDescent="0.15">
      <c r="A210" s="251" t="str" cm="1">
        <f t="array" ref="A210">IFERROR(INDEX($B$1:$B$259,SMALL(IF($B$3:$B$259&lt;&gt;"",ROW($B$3:$B$259),4^8),ROW(B211)))&amp;"","")</f>
        <v/>
      </c>
      <c r="B210" s="420" t="str">
        <f>IF(自定义调整栏!$E$10="O","巨灵魔法","")</f>
        <v>巨灵魔法</v>
      </c>
      <c r="C210" s="421" t="s">
        <v>10036</v>
      </c>
    </row>
    <row r="211" spans="1:3" ht="16.149999999999999" customHeight="1" x14ac:dyDescent="0.15">
      <c r="A211" s="251" t="str" cm="1">
        <f t="array" ref="A211">IFERROR(INDEX($B$1:$B$259,SMALL(IF($B$3:$B$259&lt;&gt;"",ROW($B$3:$B$259),4^8),ROW(B212)))&amp;"","")</f>
        <v/>
      </c>
      <c r="B211" s="420" t="str">
        <f>IF(自定义调整栏!$E$10="O","迷锁触碰","")</f>
        <v>迷锁触碰</v>
      </c>
      <c r="C211" s="421" t="s">
        <v>10037</v>
      </c>
    </row>
    <row r="212" spans="1:3" ht="16.149999999999999" customHeight="1" x14ac:dyDescent="0.15">
      <c r="A212" s="251" t="str" cm="1">
        <f t="array" ref="A212">IFERROR(INDEX($B$1:$B$259,SMALL(IF($B$3:$B$259&lt;&gt;"",ROW($B$3:$B$259),4^8),ROW(B213)))&amp;"","")</f>
        <v/>
      </c>
      <c r="B212" s="420" t="str">
        <f>IF(自定义调整栏!$E$10="O","街头正义","")</f>
        <v>街头正义</v>
      </c>
      <c r="C212" s="421" t="s">
        <v>10038</v>
      </c>
    </row>
    <row r="213" spans="1:3" ht="16.149999999999999" customHeight="1" x14ac:dyDescent="0.15">
      <c r="A213" s="251" t="str" cm="1">
        <f t="array" ref="A213">IFERROR(INDEX($B$1:$B$259,SMALL(IF($B$3:$B$259&lt;&gt;"",ROW($B$3:$B$259),4^8),ROW(B214)))&amp;"","")</f>
        <v/>
      </c>
      <c r="B213" s="419" t="str">
        <f>IF(自定义调整栏!$E$13="O","高等异种龙纹","")</f>
        <v>高等异种龙纹</v>
      </c>
      <c r="C213" s="418" t="s">
        <v>10416</v>
      </c>
    </row>
    <row r="214" spans="1:3" ht="16.149999999999999" customHeight="1" x14ac:dyDescent="0.15">
      <c r="A214" s="251" t="str" cm="1">
        <f t="array" ref="A214">IFERROR(INDEX($B$1:$B$259,SMALL(IF($B$3:$B$259&lt;&gt;"",ROW($B$3:$B$259),4^8),ROW(B215)))&amp;"","")</f>
        <v/>
      </c>
      <c r="B214" s="419" t="str">
        <f>IF(自定义调整栏!$E$13="O","高等侦测龙纹","")</f>
        <v>高等侦测龙纹</v>
      </c>
      <c r="C214" s="418" t="s">
        <v>10417</v>
      </c>
    </row>
    <row r="215" spans="1:3" ht="16.149999999999999" customHeight="1" x14ac:dyDescent="0.15">
      <c r="A215" s="251" t="str" cm="1">
        <f t="array" ref="A215">IFERROR(INDEX($B$1:$B$259,SMALL(IF($B$3:$B$259&lt;&gt;"",ROW($B$3:$B$259),4^8),ROW(B216)))&amp;"","")</f>
        <v/>
      </c>
      <c r="B215" s="419" t="str">
        <f>IF(自定义调整栏!$E$13="O","高等探索龙纹","")</f>
        <v>高等探索龙纹</v>
      </c>
      <c r="C215" s="418" t="s">
        <v>10418</v>
      </c>
    </row>
    <row r="216" spans="1:3" ht="16.149999999999999" customHeight="1" x14ac:dyDescent="0.15">
      <c r="A216" s="251" t="str" cm="1">
        <f t="array" ref="A216">IFERROR(INDEX($B$1:$B$259,SMALL(IF($B$3:$B$259&lt;&gt;"",ROW($B$3:$B$259),4^8),ROW(B217)))&amp;"","")</f>
        <v/>
      </c>
      <c r="B216" s="419" t="str">
        <f>IF(自定义调整栏!$E$13="O","高等畜牧龙纹","")</f>
        <v>高等畜牧龙纹</v>
      </c>
      <c r="C216" s="418" t="s">
        <v>10419</v>
      </c>
    </row>
    <row r="217" spans="1:3" ht="16.149999999999999" customHeight="1" x14ac:dyDescent="0.15">
      <c r="A217" s="251" t="str" cm="1">
        <f t="array" ref="A217">IFERROR(INDEX($B$1:$B$259,SMALL(IF($B$3:$B$259&lt;&gt;"",ROW($B$3:$B$259),4^8),ROW(B218)))&amp;"","")</f>
        <v/>
      </c>
      <c r="B217" s="419" t="str">
        <f>IF(自定义调整栏!$E$13="O","高等医疗龙纹","")</f>
        <v>高等医疗龙纹</v>
      </c>
      <c r="C217" s="418" t="s">
        <v>10420</v>
      </c>
    </row>
    <row r="218" spans="1:3" ht="16.149999999999999" customHeight="1" x14ac:dyDescent="0.15">
      <c r="A218" s="251" t="str" cm="1">
        <f t="array" ref="A218">IFERROR(INDEX($B$1:$B$259,SMALL(IF($B$3:$B$259&lt;&gt;"",ROW($B$3:$B$259),4^8),ROW(B219)))&amp;"","")</f>
        <v/>
      </c>
      <c r="B218" s="419" t="str">
        <f>IF(自定义调整栏!$E$13="O","高等招待龙纹","")</f>
        <v>高等招待龙纹</v>
      </c>
      <c r="C218" s="418" t="s">
        <v>10421</v>
      </c>
    </row>
    <row r="219" spans="1:3" ht="16.149999999999999" customHeight="1" x14ac:dyDescent="0.15">
      <c r="A219" s="251" t="str" cm="1">
        <f t="array" ref="A219">IFERROR(INDEX($B$1:$B$259,SMALL(IF($B$3:$B$259&lt;&gt;"",ROW($B$3:$B$259),4^8),ROW(B220)))&amp;"","")</f>
        <v/>
      </c>
      <c r="B219" s="419" t="str">
        <f>IF(自定义调整栏!$E$13="O","高等创造龙纹","")</f>
        <v>高等创造龙纹</v>
      </c>
      <c r="C219" s="418" t="s">
        <v>10422</v>
      </c>
    </row>
    <row r="220" spans="1:3" ht="16.149999999999999" customHeight="1" x14ac:dyDescent="0.15">
      <c r="A220" s="251" t="str" cm="1">
        <f t="array" ref="A220">IFERROR(INDEX($B$1:$B$259,SMALL(IF($B$3:$B$259&lt;&gt;"",ROW($B$3:$B$259),4^8),ROW(B221)))&amp;"","")</f>
        <v/>
      </c>
      <c r="B220" s="419" t="str">
        <f>IF(自定义调整栏!$E$13="O","高等通行龙纹","")</f>
        <v>高等通行龙纹</v>
      </c>
      <c r="C220" s="418" t="s">
        <v>10423</v>
      </c>
    </row>
    <row r="221" spans="1:3" ht="16.149999999999999" customHeight="1" x14ac:dyDescent="0.15">
      <c r="A221" s="251" t="str" cm="1">
        <f t="array" ref="A221">IFERROR(INDEX($B$1:$B$259,SMALL(IF($B$3:$B$259&lt;&gt;"",ROW($B$3:$B$259),4^8),ROW(B222)))&amp;"","")</f>
        <v/>
      </c>
      <c r="B221" s="419" t="str">
        <f>IF(自定义调整栏!$E$13="O","高等抄录龙纹","")</f>
        <v>高等抄录龙纹</v>
      </c>
      <c r="C221" s="418" t="s">
        <v>10424</v>
      </c>
    </row>
    <row r="222" spans="1:3" ht="16.149999999999999" customHeight="1" x14ac:dyDescent="0.15">
      <c r="A222" s="251" t="str" cm="1">
        <f t="array" ref="A222">IFERROR(INDEX($B$1:$B$259,SMALL(IF($B$3:$B$259&lt;&gt;"",ROW($B$3:$B$259),4^8),ROW(B223)))&amp;"","")</f>
        <v/>
      </c>
      <c r="B222" s="419" t="str">
        <f>IF(自定义调整栏!$E$13="O","高等哨戒龙纹","")</f>
        <v>高等哨戒龙纹</v>
      </c>
      <c r="C222" s="418" t="s">
        <v>10425</v>
      </c>
    </row>
    <row r="223" spans="1:3" ht="16.149999999999999" customHeight="1" x14ac:dyDescent="0.15">
      <c r="A223" s="251" t="str" cm="1">
        <f t="array" ref="A223">IFERROR(INDEX($B$1:$B$259,SMALL(IF($B$3:$B$259&lt;&gt;"",ROW($B$3:$B$259),4^8),ROW(B224)))&amp;"","")</f>
        <v/>
      </c>
      <c r="B223" s="419" t="str">
        <f>IF(自定义调整栏!$E$13="O","高等阴影龙纹","")</f>
        <v>高等阴影龙纹</v>
      </c>
      <c r="C223" s="418" t="s">
        <v>10426</v>
      </c>
    </row>
    <row r="224" spans="1:3" ht="16.149999999999999" customHeight="1" x14ac:dyDescent="0.15">
      <c r="A224" s="251" t="str" cm="1">
        <f t="array" ref="A224">IFERROR(INDEX($B$1:$B$259,SMALL(IF($B$3:$B$259&lt;&gt;"",ROW($B$3:$B$259),4^8),ROW(B225)))&amp;"","")</f>
        <v/>
      </c>
      <c r="B224" s="419" t="str">
        <f>IF(自定义调整栏!$E$13="O","高等暴风龙纹","")</f>
        <v>高等暴风龙纹</v>
      </c>
      <c r="C224" s="418" t="s">
        <v>10427</v>
      </c>
    </row>
    <row r="225" spans="1:3" ht="16.149999999999999" customHeight="1" x14ac:dyDescent="0.15">
      <c r="A225" s="251" t="str" cm="1">
        <f t="array" ref="A225">IFERROR(INDEX($B$1:$B$259,SMALL(IF($B$3:$B$259&lt;&gt;"",ROW($B$3:$B$259),4^8),ROW(B226)))&amp;"","")</f>
        <v/>
      </c>
      <c r="B225" s="419" t="str">
        <f>IF(自定义调整栏!$E$13="O","高等守御龙纹","")</f>
        <v>高等守御龙纹</v>
      </c>
      <c r="C225" s="418" t="s">
        <v>10428</v>
      </c>
    </row>
    <row r="226" spans="1:3" ht="16.149999999999999" customHeight="1" x14ac:dyDescent="0.15">
      <c r="A226" s="251" t="str" cm="1">
        <f t="array" ref="A226">IFERROR(INDEX($B$1:$B$259,SMALL(IF($B$3:$B$259&lt;&gt;"",ROW($B$3:$B$259),4^8),ROW(B227)))&amp;"","")</f>
        <v/>
      </c>
      <c r="B226" s="419" t="str">
        <f>IF(自定义调整栏!$E$13="O","强效龙纹","")</f>
        <v>强效龙纹</v>
      </c>
      <c r="C226" s="418" t="s">
        <v>10429</v>
      </c>
    </row>
    <row r="227" spans="1:3" ht="16.149999999999999" customHeight="1" x14ac:dyDescent="0.15">
      <c r="A227" s="251" t="str" cm="1">
        <f t="array" ref="A227">IFERROR(INDEX($B$1:$B$259,SMALL(IF($B$3:$B$259&lt;&gt;"",ROW($B$3:$B$259),4^8),ROW(B228)))&amp;"","")</f>
        <v/>
      </c>
      <c r="B227" s="857" t="s">
        <v>10758</v>
      </c>
      <c r="C227" s="858"/>
    </row>
    <row r="228" spans="1:3" ht="16.149999999999999" customHeight="1" x14ac:dyDescent="0.15">
      <c r="A228" s="251" t="str" cm="1">
        <f t="array" ref="A228">IFERROR(INDEX($B$1:$B$259,SMALL(IF($B$3:$B$259&lt;&gt;"",ROW($B$3:$B$259),4^8),ROW(B229)))&amp;"","")</f>
        <v/>
      </c>
      <c r="B228" s="385" t="str">
        <f>IF(职业!$AT$6&gt;=19,"英勇战斗之恩惠","")</f>
        <v/>
      </c>
      <c r="C228" s="422" t="s">
        <v>6743</v>
      </c>
    </row>
    <row r="229" spans="1:3" ht="16.149999999999999" customHeight="1" x14ac:dyDescent="0.15">
      <c r="A229" s="251" t="str" cm="1">
        <f t="array" ref="A229">IFERROR(INDEX($B$1:$B$259,SMALL(IF($B$3:$B$259&lt;&gt;"",ROW($B$3:$B$259),4^8),ROW(B230)))&amp;"","")</f>
        <v/>
      </c>
      <c r="B229" s="385" t="str">
        <f>IF(职业!$AT$6&gt;=19,"次元旅行之恩惠","")</f>
        <v/>
      </c>
      <c r="C229" s="422" t="s">
        <v>6744</v>
      </c>
    </row>
    <row r="230" spans="1:3" ht="16.149999999999999" customHeight="1" x14ac:dyDescent="0.15">
      <c r="A230" s="251" t="str" cm="1">
        <f t="array" ref="A230">IFERROR(INDEX($B$1:$B$259,SMALL(IF($B$3:$B$259&lt;&gt;"",ROW($B$3:$B$259),4^8),ROW(B231)))&amp;"","")</f>
        <v/>
      </c>
      <c r="B230" s="385" t="str">
        <f>IF(职业!$AT$6&gt;=19,"能量抗性之恩惠","")</f>
        <v/>
      </c>
      <c r="C230" s="422" t="s">
        <v>6745</v>
      </c>
    </row>
    <row r="231" spans="1:3" ht="16.149999999999999" customHeight="1" x14ac:dyDescent="0.15">
      <c r="A231" s="251" t="str" cm="1">
        <f t="array" ref="A231">IFERROR(INDEX($B$1:$B$259,SMALL(IF($B$3:$B$259&lt;&gt;"",ROW($B$3:$B$259),4^8),ROW(B232)))&amp;"","")</f>
        <v/>
      </c>
      <c r="B231" s="385" t="str">
        <f>IF(职业!$AT$6&gt;=19,"扭曲命运之恩惠","")</f>
        <v/>
      </c>
      <c r="C231" s="422" t="s">
        <v>6746</v>
      </c>
    </row>
    <row r="232" spans="1:3" ht="16.149999999999999" customHeight="1" x14ac:dyDescent="0.15">
      <c r="A232" s="251" t="str" cm="1">
        <f t="array" ref="A232">IFERROR(INDEX($B$1:$B$259,SMALL(IF($B$3:$B$259&lt;&gt;"",ROW($B$3:$B$259),4^8),ROW(B233)))&amp;"","")</f>
        <v/>
      </c>
      <c r="B232" s="385" t="str">
        <f>IF(职业!$AT$6&gt;=19,"超凡强韧之恩惠","")</f>
        <v/>
      </c>
      <c r="C232" s="422" t="s">
        <v>6747</v>
      </c>
    </row>
    <row r="233" spans="1:3" ht="16.149999999999999" customHeight="1" x14ac:dyDescent="0.15">
      <c r="A233" s="251" t="str" cm="1">
        <f t="array" ref="A233">IFERROR(INDEX($B$1:$B$259,SMALL(IF($B$3:$B$259&lt;&gt;"",ROW($B$3:$B$259),4^8),ROW(B234)))&amp;"","")</f>
        <v/>
      </c>
      <c r="B233" s="385" t="str">
        <f>IF(职业!$AT$6&gt;=19,"无敌攻势之恩惠","")</f>
        <v/>
      </c>
      <c r="C233" s="422" t="s">
        <v>6748</v>
      </c>
    </row>
    <row r="234" spans="1:3" ht="16.149999999999999" customHeight="1" x14ac:dyDescent="0.15">
      <c r="A234" s="251" t="str" cm="1">
        <f t="array" ref="A234">IFERROR(INDEX($B$1:$B$259,SMALL(IF($B$3:$B$259&lt;&gt;"",ROW($B$3:$B$259),4^8),ROW(B235)))&amp;"","")</f>
        <v/>
      </c>
      <c r="B234" s="385" t="str">
        <f>IF(职业!$AT$6&gt;=19,"强力恢复之恩惠","")</f>
        <v/>
      </c>
      <c r="C234" s="422" t="s">
        <v>6749</v>
      </c>
    </row>
    <row r="235" spans="1:3" ht="16.149999999999999" customHeight="1" x14ac:dyDescent="0.15">
      <c r="A235" s="251" t="str" cm="1">
        <f t="array" ref="A235">IFERROR(INDEX($B$1:$B$259,SMALL(IF($B$3:$B$259&lt;&gt;"",ROW($B$3:$B$259),4^8),ROW(B236)))&amp;"","")</f>
        <v/>
      </c>
      <c r="B235" s="385" t="str">
        <f>IF(职业!$AT$6&gt;=19,"博学多才之恩惠","")</f>
        <v/>
      </c>
      <c r="C235" s="422" t="s">
        <v>6750</v>
      </c>
    </row>
    <row r="236" spans="1:3" ht="16.149999999999999" customHeight="1" x14ac:dyDescent="0.15">
      <c r="A236" s="251" t="str" cm="1">
        <f t="array" ref="A236">IFERROR(INDEX($B$1:$B$259,SMALL(IF($B$3:$B$259&lt;&gt;"",ROW($B$3:$B$259),4^8),ROW(B237)))&amp;"","")</f>
        <v/>
      </c>
      <c r="B236" s="385" t="str">
        <f>IF(职业!$AT$6&gt;=19,"神行无拘之恩惠","")</f>
        <v/>
      </c>
      <c r="C236" s="422" t="s">
        <v>6751</v>
      </c>
    </row>
    <row r="237" spans="1:3" ht="16.149999999999999" customHeight="1" x14ac:dyDescent="0.15">
      <c r="A237" s="251" t="str" cm="1">
        <f t="array" ref="A237">IFERROR(INDEX($B$1:$B$259,SMALL(IF($B$3:$B$259&lt;&gt;"",ROW($B$3:$B$259),4^8),ROW(B238)))&amp;"","")</f>
        <v/>
      </c>
      <c r="B237" s="385" t="str">
        <f>IF(职业!$AT$6&gt;=19,"法术溯回之恩惠","")</f>
        <v/>
      </c>
      <c r="C237" s="422" t="s">
        <v>6752</v>
      </c>
    </row>
    <row r="238" spans="1:3" ht="16.149999999999999" customHeight="1" x14ac:dyDescent="0.15">
      <c r="A238" s="251" t="str" cm="1">
        <f t="array" ref="A238">IFERROR(INDEX($B$1:$B$259,SMALL(IF($B$3:$B$259&lt;&gt;"",ROW($B$3:$B$259),4^8),ROW(B239)))&amp;"","")</f>
        <v/>
      </c>
      <c r="B238" s="385" t="str">
        <f>IF(职业!$AT$6&gt;=19,"暗夜精魂之恩惠","")</f>
        <v/>
      </c>
      <c r="C238" s="422" t="s">
        <v>6753</v>
      </c>
    </row>
    <row r="239" spans="1:3" ht="16.149999999999999" customHeight="1" x14ac:dyDescent="0.15">
      <c r="A239" s="251" t="str" cm="1">
        <f t="array" ref="A239">IFERROR(INDEX($B$1:$B$259,SMALL(IF($B$3:$B$259&lt;&gt;"",ROW($B$3:$B$259),4^8),ROW(B240)))&amp;"","")</f>
        <v/>
      </c>
      <c r="B239" s="425" t="str">
        <f>IF(职业!$AT$6&gt;=19,"真实视觉之恩惠","")</f>
        <v/>
      </c>
      <c r="C239" s="422" t="s">
        <v>6754</v>
      </c>
    </row>
    <row r="240" spans="1:3" ht="16.149999999999999" customHeight="1" x14ac:dyDescent="0.15">
      <c r="A240" s="251" t="str" cm="1">
        <f t="array" ref="A240">IFERROR(INDEX($B$1:$B$259,SMALL(IF($B$3:$B$259&lt;&gt;"",ROW($B$3:$B$259),4^8),ROW(B241)))&amp;"","")</f>
        <v/>
      </c>
      <c r="B240" s="423" t="str">
        <f>IF(职业!$AT$6&gt;=19,IF(自定义调整栏!$E$10="O","血海漂橹之恩惠",""),"")</f>
        <v/>
      </c>
      <c r="C240" s="424" t="s">
        <v>10039</v>
      </c>
    </row>
    <row r="241" spans="1:3" ht="16.149999999999999" customHeight="1" x14ac:dyDescent="0.15">
      <c r="A241" s="251" t="str" cm="1">
        <f t="array" ref="A241">IFERROR(INDEX($B$1:$B$259,SMALL(IF($B$3:$B$259&lt;&gt;"",ROW($B$3:$B$259),4^8),ROW(B242)))&amp;"","")</f>
        <v/>
      </c>
      <c r="B241" s="423" t="str">
        <f>IF(职业!$AT$6&gt;=19,IF(自定义调整栏!$E$10="O","生机勃发之恩惠",""),"")</f>
        <v/>
      </c>
      <c r="C241" s="424" t="s">
        <v>10040</v>
      </c>
    </row>
    <row r="242" spans="1:3" ht="16.149999999999999" customHeight="1" x14ac:dyDescent="0.15">
      <c r="A242" s="251" t="str" cm="1">
        <f t="array" ref="A242">IFERROR(INDEX($B$1:$B$259,SMALL(IF($B$3:$B$259&lt;&gt;"",ROW($B$3:$B$259),4^8),ROW(B243)))&amp;"","")</f>
        <v/>
      </c>
      <c r="B242" s="423" t="str">
        <f>IF(职业!$AT$6&gt;=19,IF(自定义调整栏!$E$10="O","八面玲珑之恩惠",""),"")</f>
        <v/>
      </c>
      <c r="C242" s="424" t="s">
        <v>10041</v>
      </c>
    </row>
    <row r="243" spans="1:3" ht="16.149999999999999" customHeight="1" x14ac:dyDescent="0.15">
      <c r="A243" s="251" t="str" cm="1">
        <f t="array" ref="A243">IFERROR(INDEX($B$1:$B$259,SMALL(IF($B$3:$B$259&lt;&gt;"",ROW($B$3:$B$259),4^8),ROW(B244)))&amp;"","")</f>
        <v/>
      </c>
      <c r="B243" s="423" t="str">
        <f>IF(职业!$AT$6&gt;=19,IF(自定义调整栏!$E$10="O","绝境逢生之恩惠",""),"")</f>
        <v/>
      </c>
      <c r="C243" s="424" t="s">
        <v>10042</v>
      </c>
    </row>
    <row r="244" spans="1:3" ht="16.149999999999999" customHeight="1" x14ac:dyDescent="0.15">
      <c r="A244" s="251" t="str" cm="1">
        <f t="array" ref="A244">IFERROR(INDEX($B$1:$B$259,SMALL(IF($B$3:$B$259&lt;&gt;"",ROW($B$3:$B$259),4^8),ROW(B245)))&amp;"","")</f>
        <v/>
      </c>
      <c r="B244" s="423" t="str">
        <f>IF(职业!$AT$6&gt;=19,IF(自定义调整栏!$E$10="O","熠熠生辉之恩惠",""),"")</f>
        <v/>
      </c>
      <c r="C244" s="424" t="s">
        <v>10043</v>
      </c>
    </row>
    <row r="245" spans="1:3" ht="16.149999999999999" customHeight="1" x14ac:dyDescent="0.15">
      <c r="A245" s="251" t="str" cm="1">
        <f t="array" ref="A245">IFERROR(INDEX($B$1:$B$259,SMALL(IF($B$3:$B$259&lt;&gt;"",ROW($B$3:$B$259),4^8),ROW(B246)))&amp;"","")</f>
        <v/>
      </c>
      <c r="B245" s="423" t="str">
        <f>IF(职业!$AT$6&gt;=19,IF(自定义调整栏!$E$10="O","变幻无常之恩惠",""),"")</f>
        <v/>
      </c>
      <c r="C245" s="424" t="s">
        <v>10044</v>
      </c>
    </row>
    <row r="246" spans="1:3" ht="16.149999999999999" customHeight="1" x14ac:dyDescent="0.15">
      <c r="A246" s="251" t="str" cm="1">
        <f t="array" ref="A246">IFERROR(INDEX($B$1:$B$259,SMALL(IF($B$3:$B$259&lt;&gt;"",ROW($B$3:$B$259),4^8),ROW(B247)))&amp;"","")</f>
        <v/>
      </c>
      <c r="B246" s="423" t="str">
        <f>IF(职业!$AT$6&gt;=19,IF(自定义调整栏!$E$10="O","命运眷顾之恩惠",""),"")</f>
        <v/>
      </c>
      <c r="C246" s="424" t="s">
        <v>10045</v>
      </c>
    </row>
    <row r="247" spans="1:3" ht="16.149999999999999" customHeight="1" x14ac:dyDescent="0.15">
      <c r="A247" s="251" t="str" cm="1">
        <f t="array" ref="A247">IFERROR(INDEX($B$1:$B$259,SMALL(IF($B$3:$B$259&lt;&gt;"",ROW($B$3:$B$259),4^8),ROW(B248)))&amp;"","")</f>
        <v/>
      </c>
      <c r="B247" s="423" t="str">
        <f>IF(职业!$AT$6&gt;=19,IF(自定义调整栏!$E$10="O","毒手殁心之恩惠",""),"")</f>
        <v/>
      </c>
      <c r="C247" s="424" t="s">
        <v>10046</v>
      </c>
    </row>
    <row r="248" spans="1:3" ht="16.149999999999999" customHeight="1" x14ac:dyDescent="0.15">
      <c r="A248" s="251" t="str" cm="1">
        <f t="array" ref="A248">IFERROR(INDEX($B$1:$B$259,SMALL(IF($B$3:$B$259&lt;&gt;"",ROW($B$3:$B$259),4^8),ROW(B249)))&amp;"","")</f>
        <v/>
      </c>
      <c r="B248" s="423" t="str">
        <f>IF(职业!$AT$6&gt;=19,IF(自定义调整栏!$E$10="O","夜宴狂欢之恩惠",""),"")</f>
        <v/>
      </c>
      <c r="C248" s="424" t="s">
        <v>10047</v>
      </c>
    </row>
    <row r="249" spans="1:3" ht="16.149999999999999" customHeight="1" x14ac:dyDescent="0.15">
      <c r="A249" s="251" t="str" cm="1">
        <f t="array" ref="A249">IFERROR(INDEX($B$1:$B$259,SMALL(IF($B$3:$B$259&lt;&gt;"",ROW($B$3:$B$259),4^8),ROW(B250)))&amp;"","")</f>
        <v/>
      </c>
      <c r="B249" s="423" t="str">
        <f>IF(职业!$AT$6&gt;=19,IF(自定义调整栏!$E$10="O","惊魂落魄之恩惠",""),"")</f>
        <v/>
      </c>
      <c r="C249" s="424" t="s">
        <v>10048</v>
      </c>
    </row>
    <row r="250" spans="1:3" ht="16.149999999999999" customHeight="1" x14ac:dyDescent="0.15">
      <c r="A250" s="251" t="str" cm="1">
        <f t="array" ref="A250">IFERROR(INDEX($B$1:$B$259,SMALL(IF($B$3:$B$259&lt;&gt;"",ROW($B$3:$B$259),4^8),ROW(B251)))&amp;"","")</f>
        <v/>
      </c>
      <c r="B250" s="423" t="str">
        <f>IF(职业!$AT$6&gt;=19,IF(自定义调整栏!$E$10="O","旭日骄阳之恩惠",""),"")</f>
        <v/>
      </c>
      <c r="C250" s="424" t="s">
        <v>10049</v>
      </c>
    </row>
    <row r="251" spans="1:3" ht="16.149999999999999" customHeight="1" x14ac:dyDescent="0.15">
      <c r="A251" s="251" t="str" cm="1">
        <f t="array" ref="A251">IFERROR(INDEX($B$1:$B$259,SMALL(IF($B$3:$B$259&lt;&gt;"",ROW($B$3:$B$259),4^8),ROW(B252)))&amp;"","")</f>
        <v/>
      </c>
      <c r="B251" s="423" t="str">
        <f>IF(职业!$AT$6&gt;=19,IF(自定义调整栏!$E$10="O","暴风骤岚之恩惠",""),"")</f>
        <v/>
      </c>
      <c r="C251" s="424" t="s">
        <v>10050</v>
      </c>
    </row>
    <row r="252" spans="1:3" ht="16.149999999999999" customHeight="1" x14ac:dyDescent="0.15">
      <c r="A252" s="251" t="str" cm="1">
        <f t="array" ref="A252">IFERROR(INDEX($B$1:$B$259,SMALL(IF($B$3:$B$259&lt;&gt;"",ROW($B$3:$B$259),4^8),ROW(B253)))&amp;"","")</f>
        <v/>
      </c>
      <c r="B252" s="423" t="str">
        <f>IF(职业!$AT$6&gt;=19,IF(自定义调整栏!$E$10="O","饮魂汲魄之恩惠",""),"")</f>
        <v/>
      </c>
      <c r="C252" s="424" t="s">
        <v>10051</v>
      </c>
    </row>
    <row r="253" spans="1:3" ht="16.149999999999999" customHeight="1" x14ac:dyDescent="0.15">
      <c r="A253" s="251" t="str" cm="1">
        <f t="array" ref="A253">IFERROR(INDEX($B$1:$B$259,SMALL(IF($B$3:$B$259&lt;&gt;"",ROW($B$3:$B$259),4^8),ROW(B254)))&amp;"","")</f>
        <v/>
      </c>
      <c r="B253" s="385" t="str">
        <f>IF(职业!$AT$6&gt;=19,IF(自定义调整栏!$E$13="O","西伯瑞斯之恩惠",""),"")</f>
        <v/>
      </c>
      <c r="C253" s="422" t="s">
        <v>10430</v>
      </c>
    </row>
    <row r="254" spans="1:3" ht="16.149999999999999" customHeight="1" x14ac:dyDescent="0.15">
      <c r="A254" s="251" t="str" cm="1">
        <f t="array" ref="A254">IFERROR(INDEX($B$1:$B$259,SMALL(IF($B$3:$B$259&lt;&gt;"",ROW($B$3:$B$259),4^8),ROW(B255)))&amp;"","")</f>
        <v/>
      </c>
      <c r="B254" s="282"/>
      <c r="C254" s="67"/>
    </row>
    <row r="255" spans="1:3" ht="16.149999999999999" customHeight="1" x14ac:dyDescent="0.15">
      <c r="A255" s="251" t="str" cm="1">
        <f t="array" ref="A255">IFERROR(INDEX($B$1:$B$259,SMALL(IF($B$3:$B$259&lt;&gt;"",ROW($B$3:$B$259),4^8),ROW(B256)))&amp;"","")</f>
        <v/>
      </c>
      <c r="B255" s="282"/>
      <c r="C255" s="67"/>
    </row>
    <row r="256" spans="1:3" ht="16.149999999999999" customHeight="1" x14ac:dyDescent="0.15">
      <c r="A256" s="251" t="str" cm="1">
        <f t="array" ref="A256">IFERROR(INDEX($B$1:$B$259,SMALL(IF($B$3:$B$259&lt;&gt;"",ROW($B$3:$B$259),4^8),ROW(B257)))&amp;"","")</f>
        <v/>
      </c>
    </row>
    <row r="257" spans="1:3" ht="16.149999999999999" customHeight="1" x14ac:dyDescent="0.15">
      <c r="A257" s="251" t="str" cm="1">
        <f t="array" ref="A257">IFERROR(INDEX($B$1:$B$259,SMALL(IF($B$3:$B$259&lt;&gt;"",ROW($B$3:$B$259),4^8),ROW(B258)))&amp;"","")</f>
        <v/>
      </c>
      <c r="B257" s="208" t="str">
        <f>自定义调整栏!U27</f>
        <v>自定义专长1</v>
      </c>
      <c r="C257" s="207" t="str">
        <f>自定义调整栏!W27</f>
        <v>-</v>
      </c>
    </row>
    <row r="258" spans="1:3" ht="16.149999999999999" customHeight="1" x14ac:dyDescent="0.15">
      <c r="A258" s="251" t="str" cm="1">
        <f t="array" ref="A258">IFERROR(INDEX($B$1:$B$259,SMALL(IF($B$3:$B$259&lt;&gt;"",ROW($B$3:$B$259),4^8),ROW(B259)))&amp;"","")</f>
        <v/>
      </c>
      <c r="B258" s="209" t="str">
        <f>自定义调整栏!U28</f>
        <v>自定义专长2</v>
      </c>
      <c r="C258" s="210" t="str">
        <f>自定义调整栏!W28</f>
        <v>-</v>
      </c>
    </row>
    <row r="259" spans="1:3" ht="16.149999999999999" customHeight="1" x14ac:dyDescent="0.15">
      <c r="A259" s="251" t="str" cm="1">
        <f t="array" ref="A259">IFERROR(INDEX($B$1:$B$259,SMALL(IF($B$3:$B$259&lt;&gt;"",ROW($B$3:$B$259),4^8),ROW(B260)))&amp;"","")</f>
        <v/>
      </c>
      <c r="B259" s="211" t="str">
        <f>自定义调整栏!U29</f>
        <v>自定义专长3</v>
      </c>
      <c r="C259" s="212" t="str">
        <f>自定义调整栏!W29</f>
        <v>-</v>
      </c>
    </row>
    <row r="260" spans="1:3" ht="16.149999999999999" customHeight="1" x14ac:dyDescent="0.15">
      <c r="A260" s="251" t="str" cm="1">
        <f t="array" ref="A260">IFERROR(INDEX($B$1:$B$259,SMALL(IF($B$3:$B$259&lt;&gt;"",ROW($B$3:$B$259),4^8),ROW(B261)))&amp;"","")</f>
        <v/>
      </c>
    </row>
    <row r="261" spans="1:3" ht="16.149999999999999" customHeight="1" x14ac:dyDescent="0.15">
      <c r="A261" s="251" t="str" cm="1">
        <f t="array" ref="A261">IFERROR(INDEX($B$1:$B$259,SMALL(IF($B$3:$B$259&lt;&gt;"",ROW($B$3:$B$259),4^8),ROW(B262)))&amp;"","")</f>
        <v/>
      </c>
    </row>
    <row r="262" spans="1:3" ht="16.149999999999999" customHeight="1" x14ac:dyDescent="0.15">
      <c r="A262" s="251" t="str" cm="1">
        <f t="array" ref="A262">IFERROR(INDEX($B$1:$B$259,SMALL(IF($B$3:$B$259&lt;&gt;"",ROW($B$3:$B$259),4^8),ROW(B263)))&amp;"","")</f>
        <v/>
      </c>
    </row>
    <row r="263" spans="1:3" ht="16.149999999999999" customHeight="1" x14ac:dyDescent="0.15">
      <c r="A263" s="251" t="str" cm="1">
        <f t="array" ref="A263">IFERROR(INDEX($B$1:$B$259,SMALL(IF($B$3:$B$259&lt;&gt;"",ROW($B$3:$B$259),4^8),ROW(B264)))&amp;"","")</f>
        <v/>
      </c>
    </row>
  </sheetData>
  <mergeCells count="3">
    <mergeCell ref="B4:C4"/>
    <mergeCell ref="B72:C72"/>
    <mergeCell ref="B227:C227"/>
  </mergeCells>
  <phoneticPr fontId="6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0BE1-EF98-4565-A2E8-34F02D7A6DF3}">
  <dimension ref="A1:AD21"/>
  <sheetViews>
    <sheetView zoomScale="70" zoomScaleNormal="70" workbookViewId="0">
      <selection activeCell="L23" sqref="L23"/>
    </sheetView>
  </sheetViews>
  <sheetFormatPr defaultColWidth="8.875" defaultRowHeight="18" customHeight="1" x14ac:dyDescent="0.15"/>
  <cols>
    <col min="1" max="1" width="15.75" style="460" bestFit="1" customWidth="1"/>
    <col min="2" max="2" width="6.375" style="460" bestFit="1" customWidth="1"/>
    <col min="3" max="3" width="10.75" style="460" bestFit="1" customWidth="1"/>
    <col min="4" max="4" width="10.125" style="460" bestFit="1" customWidth="1"/>
    <col min="5" max="6" width="4.5" style="460" bestFit="1" customWidth="1"/>
    <col min="7" max="7" width="5.25" style="460" bestFit="1" customWidth="1"/>
    <col min="8" max="8" width="6.375" style="462" bestFit="1" customWidth="1"/>
    <col min="9" max="9" width="17.25" style="460" bestFit="1" customWidth="1"/>
    <col min="10" max="10" width="6.375" style="462" bestFit="1" customWidth="1"/>
    <col min="11" max="12" width="4.125" style="462" bestFit="1" customWidth="1"/>
    <col min="13" max="13" width="6.375" style="462" bestFit="1" customWidth="1"/>
    <col min="14" max="15" width="4.125" style="462" bestFit="1" customWidth="1"/>
    <col min="16" max="16" width="6.375" style="462" bestFit="1" customWidth="1"/>
    <col min="17" max="18" width="4.125" style="462" bestFit="1" customWidth="1"/>
    <col min="19" max="19" width="6.375" style="462" bestFit="1" customWidth="1"/>
    <col min="20" max="21" width="4.125" style="462" bestFit="1" customWidth="1"/>
    <col min="22" max="22" width="6.375" style="462" bestFit="1" customWidth="1"/>
    <col min="23" max="24" width="4.125" style="462" bestFit="1" customWidth="1"/>
    <col min="25" max="25" width="6.375" style="462" bestFit="1" customWidth="1"/>
    <col min="26" max="27" width="4.125" style="462" bestFit="1" customWidth="1"/>
    <col min="28" max="28" width="26.125" style="460" customWidth="1"/>
    <col min="29" max="29" width="18.5" style="463" customWidth="1"/>
    <col min="30" max="30" width="20.5" style="463" customWidth="1"/>
    <col min="31" max="16384" width="8.875" style="460"/>
  </cols>
  <sheetData>
    <row r="1" spans="1:30" ht="18" customHeight="1" x14ac:dyDescent="0.15">
      <c r="H1" s="460"/>
      <c r="J1" s="460"/>
      <c r="K1" s="460"/>
      <c r="L1" s="460"/>
      <c r="M1" s="460"/>
      <c r="N1" s="460"/>
      <c r="O1" s="460"/>
      <c r="P1" s="460"/>
      <c r="Q1" s="460"/>
      <c r="R1" s="460"/>
      <c r="S1" s="460"/>
      <c r="T1" s="460"/>
      <c r="U1" s="460"/>
      <c r="V1" s="460"/>
      <c r="W1" s="460"/>
      <c r="X1" s="460"/>
      <c r="Y1" s="460"/>
      <c r="Z1" s="460"/>
      <c r="AA1" s="460"/>
      <c r="AC1" s="460"/>
      <c r="AD1" s="460"/>
    </row>
    <row r="2" spans="1:30" s="461" customFormat="1" ht="18" customHeight="1" x14ac:dyDescent="0.15">
      <c r="B2" s="461" t="s">
        <v>10761</v>
      </c>
      <c r="C2" s="461" t="s">
        <v>10819</v>
      </c>
      <c r="D2" s="461" t="s">
        <v>10820</v>
      </c>
      <c r="E2" s="461" t="s">
        <v>10821</v>
      </c>
      <c r="F2" s="461" t="s">
        <v>10822</v>
      </c>
      <c r="G2" s="461" t="s">
        <v>10823</v>
      </c>
      <c r="H2" s="461" t="s">
        <v>10824</v>
      </c>
      <c r="I2" s="461" t="s">
        <v>10825</v>
      </c>
      <c r="J2" s="461" t="s">
        <v>6882</v>
      </c>
      <c r="M2" s="461" t="s">
        <v>2990</v>
      </c>
      <c r="P2" s="461" t="s">
        <v>10826</v>
      </c>
      <c r="S2" s="461" t="s">
        <v>5532</v>
      </c>
      <c r="V2" s="461" t="s">
        <v>8305</v>
      </c>
      <c r="Y2" s="461" t="s">
        <v>5537</v>
      </c>
      <c r="AB2" s="461" t="s">
        <v>10895</v>
      </c>
      <c r="AC2" s="461" t="s">
        <v>10832</v>
      </c>
      <c r="AD2" s="461" t="s">
        <v>10827</v>
      </c>
    </row>
    <row r="3" spans="1:30" ht="18" customHeight="1" x14ac:dyDescent="0.15">
      <c r="A3" s="460" t="s">
        <v>10813</v>
      </c>
      <c r="B3" s="460" t="s">
        <v>10814</v>
      </c>
      <c r="C3" s="460" t="s">
        <v>10815</v>
      </c>
      <c r="D3" s="460" t="s">
        <v>10816</v>
      </c>
      <c r="E3" s="460">
        <v>12</v>
      </c>
      <c r="F3" s="460">
        <v>1</v>
      </c>
      <c r="G3" s="460" t="s">
        <v>10863</v>
      </c>
      <c r="H3" s="465" t="s">
        <v>10817</v>
      </c>
      <c r="I3" s="460" t="s">
        <v>10818</v>
      </c>
      <c r="J3" s="466">
        <v>2</v>
      </c>
      <c r="K3" s="462">
        <v>-4</v>
      </c>
      <c r="L3" s="462">
        <v>-4</v>
      </c>
      <c r="M3" s="466">
        <v>15</v>
      </c>
      <c r="N3" s="462" t="s">
        <v>10817</v>
      </c>
      <c r="O3" s="462" t="s">
        <v>10817</v>
      </c>
      <c r="P3" s="466">
        <v>8</v>
      </c>
      <c r="Q3" s="462">
        <v>-1</v>
      </c>
      <c r="R3" s="462">
        <v>-1</v>
      </c>
      <c r="S3" s="466">
        <v>2</v>
      </c>
      <c r="T3" s="462">
        <v>-4</v>
      </c>
      <c r="U3" s="462">
        <v>-4</v>
      </c>
      <c r="V3" s="466">
        <v>12</v>
      </c>
      <c r="W3" s="462" t="s">
        <v>10835</v>
      </c>
      <c r="X3" s="462" t="s">
        <v>10835</v>
      </c>
      <c r="Y3" s="466">
        <v>4</v>
      </c>
      <c r="Z3" s="462">
        <v>-3</v>
      </c>
      <c r="AA3" s="462">
        <v>-3</v>
      </c>
      <c r="AB3" s="460" t="s">
        <v>10896</v>
      </c>
      <c r="AC3" s="463" t="str">
        <f>""</f>
        <v/>
      </c>
      <c r="AD3" s="463" t="s">
        <v>10828</v>
      </c>
    </row>
    <row r="4" spans="1:30" ht="18" customHeight="1" x14ac:dyDescent="0.15">
      <c r="A4" s="460" t="s">
        <v>10829</v>
      </c>
      <c r="B4" s="460" t="s">
        <v>10814</v>
      </c>
      <c r="C4" s="460" t="s">
        <v>10815</v>
      </c>
      <c r="D4" s="460" t="s">
        <v>10816</v>
      </c>
      <c r="E4" s="460">
        <v>12</v>
      </c>
      <c r="F4" s="460">
        <v>2</v>
      </c>
      <c r="G4" s="460" t="s">
        <v>10863</v>
      </c>
      <c r="H4" s="465" t="s">
        <v>10817</v>
      </c>
      <c r="I4" s="460" t="s">
        <v>10830</v>
      </c>
      <c r="J4" s="466">
        <v>3</v>
      </c>
      <c r="K4" s="462">
        <v>-4</v>
      </c>
      <c r="L4" s="462">
        <v>-4</v>
      </c>
      <c r="M4" s="466">
        <v>15</v>
      </c>
      <c r="N4" s="462" t="s">
        <v>10817</v>
      </c>
      <c r="O4" s="462" t="s">
        <v>10836</v>
      </c>
      <c r="P4" s="466">
        <v>10</v>
      </c>
      <c r="Q4" s="462" t="s">
        <v>10837</v>
      </c>
      <c r="R4" s="462" t="s">
        <v>10837</v>
      </c>
      <c r="S4" s="466">
        <v>3</v>
      </c>
      <c r="T4" s="462">
        <v>-4</v>
      </c>
      <c r="U4" s="462">
        <v>-4</v>
      </c>
      <c r="V4" s="466" t="s">
        <v>10838</v>
      </c>
      <c r="W4" s="462" t="s">
        <v>10835</v>
      </c>
      <c r="X4" s="462" t="s">
        <v>10835</v>
      </c>
      <c r="Y4" s="466">
        <v>7</v>
      </c>
      <c r="Z4" s="462">
        <v>-2</v>
      </c>
      <c r="AA4" s="462">
        <v>-2</v>
      </c>
      <c r="AB4" s="460" t="s">
        <v>10897</v>
      </c>
      <c r="AC4" s="463" t="s">
        <v>10833</v>
      </c>
      <c r="AD4" s="463" t="s">
        <v>10831</v>
      </c>
    </row>
    <row r="5" spans="1:30" ht="18" customHeight="1" x14ac:dyDescent="0.15">
      <c r="A5" s="460" t="s">
        <v>10834</v>
      </c>
      <c r="B5" s="460" t="s">
        <v>10814</v>
      </c>
      <c r="C5" s="460" t="s">
        <v>10815</v>
      </c>
      <c r="D5" s="460" t="s">
        <v>10816</v>
      </c>
      <c r="E5" s="460">
        <v>11</v>
      </c>
      <c r="F5" s="460">
        <v>1</v>
      </c>
      <c r="G5" s="460" t="s">
        <v>10863</v>
      </c>
      <c r="H5" s="465" t="s">
        <v>10835</v>
      </c>
      <c r="I5" s="464" t="s">
        <v>10839</v>
      </c>
      <c r="J5" s="466">
        <v>1</v>
      </c>
      <c r="K5" s="462">
        <v>-5</v>
      </c>
      <c r="L5" s="462">
        <v>-5</v>
      </c>
      <c r="M5" s="466">
        <v>13</v>
      </c>
      <c r="N5" s="462" t="s">
        <v>10835</v>
      </c>
      <c r="O5" s="462" t="s">
        <v>10835</v>
      </c>
      <c r="P5" s="466">
        <v>8</v>
      </c>
      <c r="Q5" s="462">
        <v>-1</v>
      </c>
      <c r="R5" s="462">
        <v>-1</v>
      </c>
      <c r="S5" s="466">
        <v>1</v>
      </c>
      <c r="T5" s="462">
        <v>-5</v>
      </c>
      <c r="U5" s="462">
        <v>-5</v>
      </c>
      <c r="V5" s="466">
        <v>8</v>
      </c>
      <c r="W5" s="462">
        <v>-1</v>
      </c>
      <c r="X5" s="462">
        <v>-1</v>
      </c>
      <c r="Y5" s="466">
        <v>3</v>
      </c>
      <c r="Z5" s="462">
        <v>-4</v>
      </c>
      <c r="AA5" s="462">
        <v>-4</v>
      </c>
      <c r="AB5" s="460" t="s">
        <v>10898</v>
      </c>
      <c r="AC5" s="463" t="s">
        <v>10840</v>
      </c>
      <c r="AD5" s="463" t="s">
        <v>10841</v>
      </c>
    </row>
    <row r="6" spans="1:30" ht="18" customHeight="1" x14ac:dyDescent="0.15">
      <c r="A6" s="460" t="s">
        <v>10842</v>
      </c>
      <c r="B6" s="460" t="s">
        <v>10814</v>
      </c>
      <c r="C6" s="460" t="s">
        <v>10815</v>
      </c>
      <c r="D6" s="460" t="s">
        <v>10816</v>
      </c>
      <c r="E6" s="460">
        <v>13</v>
      </c>
      <c r="F6" s="460">
        <v>1</v>
      </c>
      <c r="G6" s="460" t="s">
        <v>10863</v>
      </c>
      <c r="H6" s="462" t="s">
        <v>10844</v>
      </c>
      <c r="I6" s="460" t="s">
        <v>10843</v>
      </c>
      <c r="J6" s="466">
        <v>5</v>
      </c>
      <c r="K6" s="462">
        <v>-3</v>
      </c>
      <c r="L6" s="462">
        <v>-3</v>
      </c>
      <c r="M6" s="466">
        <v>16</v>
      </c>
      <c r="N6" s="462" t="s">
        <v>10844</v>
      </c>
      <c r="O6" s="462" t="s">
        <v>10844</v>
      </c>
      <c r="P6" s="466">
        <v>8</v>
      </c>
      <c r="Q6" s="462">
        <v>-1</v>
      </c>
      <c r="R6" s="462">
        <v>-1</v>
      </c>
      <c r="S6" s="466">
        <v>2</v>
      </c>
      <c r="T6" s="462">
        <v>-4</v>
      </c>
      <c r="U6" s="462">
        <v>-4</v>
      </c>
      <c r="V6" s="466">
        <v>14</v>
      </c>
      <c r="W6" s="462" t="s">
        <v>10817</v>
      </c>
      <c r="X6" s="462" t="s">
        <v>10817</v>
      </c>
      <c r="Y6" s="466">
        <v>6</v>
      </c>
      <c r="Z6" s="462">
        <v>-2</v>
      </c>
      <c r="AA6" s="462">
        <v>-2</v>
      </c>
      <c r="AB6" s="458" t="s">
        <v>10899</v>
      </c>
      <c r="AC6" s="463" t="str">
        <f>""</f>
        <v/>
      </c>
      <c r="AD6" s="463" t="s">
        <v>10845</v>
      </c>
    </row>
    <row r="7" spans="1:30" ht="18" customHeight="1" x14ac:dyDescent="0.15">
      <c r="A7" s="460" t="s">
        <v>10846</v>
      </c>
      <c r="B7" s="460" t="s">
        <v>10814</v>
      </c>
      <c r="C7" s="460" t="s">
        <v>10815</v>
      </c>
      <c r="D7" s="460" t="s">
        <v>10816</v>
      </c>
      <c r="E7" s="460">
        <v>10</v>
      </c>
      <c r="F7" s="460">
        <v>2</v>
      </c>
      <c r="G7" s="460" t="s">
        <v>10863</v>
      </c>
      <c r="H7" s="462" t="s">
        <v>10837</v>
      </c>
      <c r="I7" s="460" t="s">
        <v>10859</v>
      </c>
      <c r="J7" s="466">
        <v>2</v>
      </c>
      <c r="K7" s="462">
        <v>-4</v>
      </c>
      <c r="L7" s="462">
        <v>-4</v>
      </c>
      <c r="M7" s="466">
        <v>11</v>
      </c>
      <c r="N7" s="462" t="s">
        <v>10837</v>
      </c>
      <c r="O7" s="462" t="s">
        <v>10837</v>
      </c>
      <c r="P7" s="466">
        <v>10</v>
      </c>
      <c r="Q7" s="462" t="s">
        <v>10837</v>
      </c>
      <c r="R7" s="462" t="s">
        <v>10837</v>
      </c>
      <c r="S7" s="466">
        <v>1</v>
      </c>
      <c r="T7" s="462">
        <v>-5</v>
      </c>
      <c r="U7" s="462">
        <v>-5</v>
      </c>
      <c r="V7" s="466">
        <v>8</v>
      </c>
      <c r="W7" s="462">
        <v>-1</v>
      </c>
      <c r="X7" s="462">
        <v>-1</v>
      </c>
      <c r="Y7" s="466">
        <v>3</v>
      </c>
      <c r="Z7" s="462">
        <v>-4</v>
      </c>
      <c r="AA7" s="462">
        <v>-4</v>
      </c>
      <c r="AB7" s="460" t="s">
        <v>10900</v>
      </c>
      <c r="AC7" s="463" t="s">
        <v>10860</v>
      </c>
      <c r="AD7" s="463" t="s">
        <v>10861</v>
      </c>
    </row>
    <row r="8" spans="1:30" ht="18" customHeight="1" x14ac:dyDescent="0.15">
      <c r="A8" s="460" t="s">
        <v>10847</v>
      </c>
      <c r="B8" s="460" t="s">
        <v>10762</v>
      </c>
      <c r="C8" s="460" t="s">
        <v>10815</v>
      </c>
      <c r="D8" s="460" t="s">
        <v>10816</v>
      </c>
      <c r="E8" s="460">
        <v>12</v>
      </c>
      <c r="F8" s="460">
        <v>3</v>
      </c>
      <c r="G8" s="460" t="s">
        <v>10153</v>
      </c>
      <c r="H8" s="462" t="s">
        <v>10817</v>
      </c>
      <c r="I8" s="460" t="s">
        <v>10862</v>
      </c>
      <c r="J8" s="466">
        <v>4</v>
      </c>
      <c r="K8" s="462">
        <v>-3</v>
      </c>
      <c r="L8" s="462">
        <v>-3</v>
      </c>
      <c r="M8" s="466">
        <v>15</v>
      </c>
      <c r="N8" s="462">
        <v>2</v>
      </c>
      <c r="O8" s="462">
        <v>2</v>
      </c>
      <c r="P8" s="466" t="s">
        <v>10864</v>
      </c>
      <c r="Q8" s="462" t="s">
        <v>10837</v>
      </c>
      <c r="R8" s="462" t="s">
        <v>10837</v>
      </c>
      <c r="S8" s="466">
        <v>3</v>
      </c>
      <c r="T8" s="462">
        <v>-4</v>
      </c>
      <c r="U8" s="462">
        <v>-4</v>
      </c>
      <c r="V8" s="466">
        <v>10</v>
      </c>
      <c r="W8" s="462" t="s">
        <v>10837</v>
      </c>
      <c r="X8" s="462" t="s">
        <v>10837</v>
      </c>
      <c r="Y8" s="466">
        <v>4</v>
      </c>
      <c r="Z8" s="462">
        <v>-3</v>
      </c>
      <c r="AA8" s="462">
        <v>-3</v>
      </c>
      <c r="AB8" s="460" t="s">
        <v>10901</v>
      </c>
      <c r="AC8" s="463" t="s">
        <v>10865</v>
      </c>
      <c r="AD8" s="463" t="s">
        <v>10933</v>
      </c>
    </row>
    <row r="9" spans="1:30" ht="18" customHeight="1" x14ac:dyDescent="0.15">
      <c r="A9" s="460" t="s">
        <v>10848</v>
      </c>
      <c r="B9" s="460" t="s">
        <v>10814</v>
      </c>
      <c r="C9" s="460" t="s">
        <v>10815</v>
      </c>
      <c r="D9" s="460" t="s">
        <v>10816</v>
      </c>
      <c r="E9" s="460">
        <v>11</v>
      </c>
      <c r="F9" s="460">
        <v>1</v>
      </c>
      <c r="G9" s="460" t="s">
        <v>10863</v>
      </c>
      <c r="H9" s="462" t="s">
        <v>10835</v>
      </c>
      <c r="I9" s="460" t="s">
        <v>10866</v>
      </c>
      <c r="J9" s="466">
        <v>3</v>
      </c>
      <c r="K9" s="462">
        <v>-4</v>
      </c>
      <c r="L9" s="462">
        <v>-4</v>
      </c>
      <c r="M9" s="466">
        <v>13</v>
      </c>
      <c r="N9" s="462" t="s">
        <v>10835</v>
      </c>
      <c r="O9" s="462" t="s">
        <v>10835</v>
      </c>
      <c r="P9" s="466">
        <v>8</v>
      </c>
      <c r="Q9" s="462">
        <v>-1</v>
      </c>
      <c r="R9" s="462">
        <v>-1</v>
      </c>
      <c r="S9" s="466">
        <v>2</v>
      </c>
      <c r="T9" s="462">
        <v>-4</v>
      </c>
      <c r="U9" s="462">
        <v>-4</v>
      </c>
      <c r="V9" s="466" t="s">
        <v>10838</v>
      </c>
      <c r="W9" s="462" t="s">
        <v>10835</v>
      </c>
      <c r="X9" s="462" t="s">
        <v>10835</v>
      </c>
      <c r="Y9" s="466">
        <v>7</v>
      </c>
      <c r="Z9" s="462">
        <v>-2</v>
      </c>
      <c r="AA9" s="462">
        <v>-2</v>
      </c>
      <c r="AB9" s="460" t="s">
        <v>10902</v>
      </c>
      <c r="AC9" s="463" t="s">
        <v>10867</v>
      </c>
      <c r="AD9" s="463" t="s">
        <v>10868</v>
      </c>
    </row>
    <row r="10" spans="1:30" ht="18" customHeight="1" x14ac:dyDescent="0.15">
      <c r="A10" s="460" t="s">
        <v>10849</v>
      </c>
      <c r="B10" s="460" t="s">
        <v>10814</v>
      </c>
      <c r="C10" s="460" t="s">
        <v>10815</v>
      </c>
      <c r="D10" s="460" t="s">
        <v>10816</v>
      </c>
      <c r="E10" s="460">
        <v>10</v>
      </c>
      <c r="F10" s="460">
        <v>1</v>
      </c>
      <c r="G10" s="460" t="s">
        <v>10863</v>
      </c>
      <c r="H10" s="462" t="s">
        <v>10837</v>
      </c>
      <c r="I10" s="460" t="s">
        <v>10859</v>
      </c>
      <c r="J10" s="466">
        <v>2</v>
      </c>
      <c r="K10" s="462">
        <v>-4</v>
      </c>
      <c r="L10" s="462">
        <v>-4</v>
      </c>
      <c r="M10" s="466" t="s">
        <v>10864</v>
      </c>
      <c r="N10" s="462" t="s">
        <v>10837</v>
      </c>
      <c r="O10" s="462" t="s">
        <v>10837</v>
      </c>
      <c r="P10" s="466" t="s">
        <v>10869</v>
      </c>
      <c r="Q10" s="462" t="s">
        <v>10837</v>
      </c>
      <c r="R10" s="462" t="s">
        <v>10837</v>
      </c>
      <c r="S10" s="466">
        <v>2</v>
      </c>
      <c r="T10" s="462">
        <v>-4</v>
      </c>
      <c r="U10" s="462">
        <v>-4</v>
      </c>
      <c r="V10" s="466">
        <v>9</v>
      </c>
      <c r="W10" s="462">
        <v>-1</v>
      </c>
      <c r="X10" s="462">
        <v>-1</v>
      </c>
      <c r="Y10" s="466" t="s">
        <v>10870</v>
      </c>
      <c r="Z10" s="462">
        <v>-3</v>
      </c>
      <c r="AA10" s="462">
        <v>-3</v>
      </c>
      <c r="AB10" s="460" t="s">
        <v>10903</v>
      </c>
      <c r="AC10" s="463" t="s">
        <v>10871</v>
      </c>
      <c r="AD10" s="463" t="s">
        <v>10872</v>
      </c>
    </row>
    <row r="11" spans="1:30" ht="18" customHeight="1" x14ac:dyDescent="0.15">
      <c r="A11" s="460" t="s">
        <v>10850</v>
      </c>
      <c r="B11" s="460" t="s">
        <v>10814</v>
      </c>
      <c r="C11" s="460" t="s">
        <v>10815</v>
      </c>
      <c r="D11" s="460" t="s">
        <v>10816</v>
      </c>
      <c r="E11" s="460">
        <v>12</v>
      </c>
      <c r="F11" s="460">
        <v>2</v>
      </c>
      <c r="G11" s="460" t="s">
        <v>10863</v>
      </c>
      <c r="H11" s="462" t="s">
        <v>10817</v>
      </c>
      <c r="I11" s="460" t="s">
        <v>10873</v>
      </c>
      <c r="J11" s="466">
        <v>2</v>
      </c>
      <c r="K11" s="462">
        <v>-4</v>
      </c>
      <c r="L11" s="462">
        <v>-4</v>
      </c>
      <c r="M11" s="466">
        <v>14</v>
      </c>
      <c r="N11" s="462" t="s">
        <v>10817</v>
      </c>
      <c r="O11" s="462" t="s">
        <v>10817</v>
      </c>
      <c r="P11" s="466" t="s">
        <v>10869</v>
      </c>
      <c r="Q11" s="462" t="s">
        <v>10837</v>
      </c>
      <c r="R11" s="462" t="s">
        <v>10837</v>
      </c>
      <c r="S11" s="466">
        <v>5</v>
      </c>
      <c r="T11" s="462">
        <v>-3</v>
      </c>
      <c r="U11" s="462">
        <v>-3</v>
      </c>
      <c r="V11" s="466">
        <v>13</v>
      </c>
      <c r="W11" s="462" t="s">
        <v>10835</v>
      </c>
      <c r="X11" s="462" t="s">
        <v>10835</v>
      </c>
      <c r="Y11" s="466">
        <v>6</v>
      </c>
      <c r="Z11" s="462">
        <v>-2</v>
      </c>
      <c r="AA11" s="462">
        <v>-2</v>
      </c>
      <c r="AB11" s="460" t="s">
        <v>10904</v>
      </c>
      <c r="AC11" s="463" t="s">
        <v>10874</v>
      </c>
      <c r="AD11" s="463" t="s">
        <v>10875</v>
      </c>
    </row>
    <row r="12" spans="1:30" ht="18" customHeight="1" x14ac:dyDescent="0.15">
      <c r="A12" s="460" t="s">
        <v>10851</v>
      </c>
      <c r="B12" s="460" t="s">
        <v>10814</v>
      </c>
      <c r="C12" s="460" t="s">
        <v>10815</v>
      </c>
      <c r="D12" s="460" t="s">
        <v>10816</v>
      </c>
      <c r="E12" s="460">
        <v>12</v>
      </c>
      <c r="F12" s="460">
        <v>1</v>
      </c>
      <c r="G12" s="460" t="s">
        <v>10863</v>
      </c>
      <c r="H12" s="462" t="s">
        <v>10817</v>
      </c>
      <c r="I12" s="460" t="s">
        <v>10859</v>
      </c>
      <c r="J12" s="466">
        <v>2</v>
      </c>
      <c r="K12" s="462">
        <v>-4</v>
      </c>
      <c r="L12" s="462">
        <v>-4</v>
      </c>
      <c r="M12" s="466">
        <v>14</v>
      </c>
      <c r="N12" s="462" t="s">
        <v>10817</v>
      </c>
      <c r="O12" s="462" t="s">
        <v>10817</v>
      </c>
      <c r="P12" s="466">
        <v>8</v>
      </c>
      <c r="Q12" s="462">
        <v>-1</v>
      </c>
      <c r="R12" s="462">
        <v>-1</v>
      </c>
      <c r="S12" s="466">
        <v>1</v>
      </c>
      <c r="T12" s="462">
        <v>-5</v>
      </c>
      <c r="U12" s="462">
        <v>-5</v>
      </c>
      <c r="V12" s="466" t="s">
        <v>10869</v>
      </c>
      <c r="W12" s="462" t="s">
        <v>10837</v>
      </c>
      <c r="X12" s="462" t="s">
        <v>10837</v>
      </c>
      <c r="Y12" s="466">
        <v>2</v>
      </c>
      <c r="Z12" s="462">
        <v>-4</v>
      </c>
      <c r="AA12" s="462">
        <v>-4</v>
      </c>
      <c r="AB12" s="460" t="s">
        <v>10905</v>
      </c>
      <c r="AC12" s="463" t="s">
        <v>10876</v>
      </c>
      <c r="AD12" s="463" t="s">
        <v>10877</v>
      </c>
    </row>
    <row r="13" spans="1:30" ht="18" customHeight="1" x14ac:dyDescent="0.15">
      <c r="A13" s="460" t="s">
        <v>10852</v>
      </c>
      <c r="B13" s="460" t="s">
        <v>10814</v>
      </c>
      <c r="C13" s="460" t="s">
        <v>10815</v>
      </c>
      <c r="D13" s="460" t="s">
        <v>10816</v>
      </c>
      <c r="E13" s="460">
        <v>13</v>
      </c>
      <c r="F13" s="460">
        <v>1</v>
      </c>
      <c r="G13" s="460" t="s">
        <v>10863</v>
      </c>
      <c r="H13" s="462" t="s">
        <v>10844</v>
      </c>
      <c r="I13" s="460" t="s">
        <v>10878</v>
      </c>
      <c r="J13" s="466">
        <v>3</v>
      </c>
      <c r="K13" s="462">
        <v>-4</v>
      </c>
      <c r="L13" s="462">
        <v>-4</v>
      </c>
      <c r="M13" s="466">
        <v>16</v>
      </c>
      <c r="N13" s="462" t="s">
        <v>10844</v>
      </c>
      <c r="O13" s="462" t="s">
        <v>10844</v>
      </c>
      <c r="P13" s="466">
        <v>8</v>
      </c>
      <c r="Q13" s="462">
        <v>-1</v>
      </c>
      <c r="R13" s="462">
        <v>-1</v>
      </c>
      <c r="S13" s="466">
        <v>2</v>
      </c>
      <c r="T13" s="462">
        <v>-4</v>
      </c>
      <c r="U13" s="462">
        <v>-4</v>
      </c>
      <c r="V13" s="466" t="s">
        <v>10838</v>
      </c>
      <c r="W13" s="462" t="s">
        <v>10835</v>
      </c>
      <c r="X13" s="462" t="s">
        <v>10835</v>
      </c>
      <c r="Y13" s="466">
        <v>3</v>
      </c>
      <c r="Z13" s="462">
        <v>-4</v>
      </c>
      <c r="AA13" s="462">
        <v>-4</v>
      </c>
      <c r="AB13" s="460" t="s">
        <v>10906</v>
      </c>
      <c r="AC13" s="463" t="str">
        <f>""</f>
        <v/>
      </c>
      <c r="AD13" s="463" t="s">
        <v>10879</v>
      </c>
    </row>
    <row r="14" spans="1:30" ht="18" customHeight="1" x14ac:dyDescent="0.15">
      <c r="A14" s="460" t="s">
        <v>10853</v>
      </c>
      <c r="B14" s="460" t="s">
        <v>10814</v>
      </c>
      <c r="C14" s="460" t="s">
        <v>6977</v>
      </c>
      <c r="D14" s="460" t="s">
        <v>10880</v>
      </c>
      <c r="E14" s="460">
        <v>13</v>
      </c>
      <c r="F14" s="460">
        <v>21</v>
      </c>
      <c r="G14" s="460" t="s">
        <v>10863</v>
      </c>
      <c r="H14" s="462" t="s">
        <v>10844</v>
      </c>
      <c r="I14" s="460" t="s">
        <v>10881</v>
      </c>
      <c r="J14" s="466">
        <v>6</v>
      </c>
      <c r="K14" s="462">
        <v>-2</v>
      </c>
      <c r="L14" s="462">
        <v>-2</v>
      </c>
      <c r="M14" s="466">
        <v>17</v>
      </c>
      <c r="N14" s="462" t="s">
        <v>10844</v>
      </c>
      <c r="O14" s="462" t="s">
        <v>10844</v>
      </c>
      <c r="P14" s="466">
        <v>13</v>
      </c>
      <c r="Q14" s="462" t="s">
        <v>10835</v>
      </c>
      <c r="R14" s="462" t="s">
        <v>10835</v>
      </c>
      <c r="S14" s="466">
        <v>11</v>
      </c>
      <c r="T14" s="462" t="s">
        <v>10837</v>
      </c>
      <c r="U14" s="462" t="s">
        <v>10837</v>
      </c>
      <c r="V14" s="466">
        <v>12</v>
      </c>
      <c r="W14" s="462" t="s">
        <v>10835</v>
      </c>
      <c r="X14" s="462" t="s">
        <v>10835</v>
      </c>
      <c r="Y14" s="466">
        <v>14</v>
      </c>
      <c r="Z14" s="462" t="s">
        <v>10817</v>
      </c>
      <c r="AA14" s="462" t="s">
        <v>10817</v>
      </c>
      <c r="AB14" s="460" t="s">
        <v>10907</v>
      </c>
      <c r="AC14" s="463" t="s">
        <v>10882</v>
      </c>
      <c r="AD14" s="463" t="s">
        <v>10883</v>
      </c>
    </row>
    <row r="15" spans="1:30" ht="18" customHeight="1" x14ac:dyDescent="0.15">
      <c r="A15" s="460" t="s">
        <v>10854</v>
      </c>
      <c r="B15" s="460" t="s">
        <v>10814</v>
      </c>
      <c r="C15" s="460" t="s">
        <v>10884</v>
      </c>
      <c r="D15" s="460" t="s">
        <v>10885</v>
      </c>
      <c r="E15" s="460">
        <v>14</v>
      </c>
      <c r="F15" s="460">
        <v>10</v>
      </c>
      <c r="G15" s="460" t="s">
        <v>10863</v>
      </c>
      <c r="H15" s="462" t="s">
        <v>10817</v>
      </c>
      <c r="I15" s="460" t="s">
        <v>10886</v>
      </c>
      <c r="J15" s="466">
        <v>6</v>
      </c>
      <c r="K15" s="462">
        <v>-2</v>
      </c>
      <c r="L15" s="462">
        <v>-2</v>
      </c>
      <c r="M15" s="466">
        <v>15</v>
      </c>
      <c r="N15" s="462" t="s">
        <v>10817</v>
      </c>
      <c r="O15" s="462" t="s">
        <v>10817</v>
      </c>
      <c r="P15" s="466">
        <v>13</v>
      </c>
      <c r="Q15" s="462" t="s">
        <v>10835</v>
      </c>
      <c r="R15" s="462" t="s">
        <v>10835</v>
      </c>
      <c r="S15" s="466" t="s">
        <v>10869</v>
      </c>
      <c r="T15" s="462" t="s">
        <v>10837</v>
      </c>
      <c r="U15" s="462" t="s">
        <v>10837</v>
      </c>
      <c r="V15" s="466">
        <v>12</v>
      </c>
      <c r="W15" s="462" t="s">
        <v>10835</v>
      </c>
      <c r="X15" s="462" t="s">
        <v>10835</v>
      </c>
      <c r="Y15" s="466" t="s">
        <v>10869</v>
      </c>
      <c r="Z15" s="462" t="s">
        <v>10837</v>
      </c>
      <c r="AA15" s="462" t="s">
        <v>10837</v>
      </c>
      <c r="AB15" s="460" t="s">
        <v>10908</v>
      </c>
      <c r="AC15" s="463" t="s">
        <v>10887</v>
      </c>
      <c r="AD15" s="463" t="s">
        <v>10888</v>
      </c>
    </row>
    <row r="16" spans="1:30" ht="18" customHeight="1" x14ac:dyDescent="0.15">
      <c r="A16" s="460" t="s">
        <v>10855</v>
      </c>
      <c r="B16" s="460" t="s">
        <v>10814</v>
      </c>
      <c r="C16" s="460" t="s">
        <v>6977</v>
      </c>
      <c r="D16" s="460" t="s">
        <v>10889</v>
      </c>
      <c r="E16" s="460">
        <v>13</v>
      </c>
      <c r="F16" s="460">
        <v>25</v>
      </c>
      <c r="G16" s="460" t="s">
        <v>10863</v>
      </c>
      <c r="H16" s="462" t="s">
        <v>10844</v>
      </c>
      <c r="I16" s="460" t="s">
        <v>3249</v>
      </c>
      <c r="J16" s="466">
        <v>5</v>
      </c>
      <c r="K16" s="462">
        <v>-3</v>
      </c>
      <c r="L16" s="462">
        <v>-3</v>
      </c>
      <c r="M16" s="466">
        <v>17</v>
      </c>
      <c r="N16" s="462" t="s">
        <v>10844</v>
      </c>
      <c r="O16" s="462" t="s">
        <v>10844</v>
      </c>
      <c r="P16" s="466" t="s">
        <v>10869</v>
      </c>
      <c r="Q16" s="462" t="s">
        <v>10837</v>
      </c>
      <c r="R16" s="462" t="s">
        <v>10837</v>
      </c>
      <c r="S16" s="466">
        <v>7</v>
      </c>
      <c r="T16" s="462">
        <v>-2</v>
      </c>
      <c r="U16" s="462">
        <v>-2</v>
      </c>
      <c r="V16" s="466" t="s">
        <v>10869</v>
      </c>
      <c r="W16" s="462" t="s">
        <v>10837</v>
      </c>
      <c r="X16" s="462" t="s">
        <v>10837</v>
      </c>
      <c r="Y16" s="466" t="s">
        <v>10869</v>
      </c>
      <c r="Z16" s="462" t="s">
        <v>10837</v>
      </c>
      <c r="AA16" s="462" t="s">
        <v>10837</v>
      </c>
      <c r="AB16" s="460" t="s">
        <v>10909</v>
      </c>
      <c r="AC16" s="463" t="s">
        <v>10890</v>
      </c>
      <c r="AD16" s="463" t="s">
        <v>10891</v>
      </c>
    </row>
    <row r="17" spans="1:30" ht="18" customHeight="1" x14ac:dyDescent="0.15">
      <c r="A17" s="460" t="s">
        <v>10931</v>
      </c>
      <c r="B17" s="460" t="s">
        <v>9456</v>
      </c>
      <c r="C17" s="460" t="s">
        <v>6981</v>
      </c>
      <c r="D17" s="459" t="s">
        <v>10880</v>
      </c>
      <c r="E17" s="460">
        <v>14</v>
      </c>
      <c r="F17" s="460">
        <v>13</v>
      </c>
      <c r="G17" s="460" t="s">
        <v>10892</v>
      </c>
      <c r="H17" s="462" t="s">
        <v>10844</v>
      </c>
      <c r="I17" s="460" t="s">
        <v>709</v>
      </c>
      <c r="J17" s="466" t="s">
        <v>10869</v>
      </c>
      <c r="K17" s="462" t="s">
        <v>10837</v>
      </c>
      <c r="L17" s="462" t="s">
        <v>10837</v>
      </c>
      <c r="M17" s="466">
        <v>16</v>
      </c>
      <c r="N17" s="462" t="s">
        <v>10844</v>
      </c>
      <c r="O17" s="462" t="s">
        <v>10844</v>
      </c>
      <c r="P17" s="466">
        <v>15</v>
      </c>
      <c r="Q17" s="462" t="s">
        <v>10817</v>
      </c>
      <c r="R17" s="462" t="s">
        <v>10817</v>
      </c>
      <c r="S17" s="466">
        <v>6</v>
      </c>
      <c r="T17" s="462">
        <v>-2</v>
      </c>
      <c r="U17" s="462">
        <v>-2</v>
      </c>
      <c r="V17" s="466">
        <v>8</v>
      </c>
      <c r="W17" s="462">
        <v>-1</v>
      </c>
      <c r="X17" s="462">
        <v>-1</v>
      </c>
      <c r="Y17" s="466">
        <v>5</v>
      </c>
      <c r="Z17" s="462">
        <v>-3</v>
      </c>
      <c r="AA17" s="462">
        <v>-3</v>
      </c>
      <c r="AB17" s="460" t="s">
        <v>10910</v>
      </c>
      <c r="AC17" s="463" t="str">
        <f>""</f>
        <v/>
      </c>
      <c r="AD17" s="463" t="s">
        <v>10911</v>
      </c>
    </row>
    <row r="18" spans="1:30" ht="18" customHeight="1" x14ac:dyDescent="0.15">
      <c r="A18" s="460" t="s">
        <v>10856</v>
      </c>
      <c r="B18" s="460" t="s">
        <v>10814</v>
      </c>
      <c r="C18" s="460" t="s">
        <v>3253</v>
      </c>
      <c r="D18" s="460" t="s">
        <v>10894</v>
      </c>
      <c r="E18" s="460">
        <v>12</v>
      </c>
      <c r="F18" s="460">
        <v>7</v>
      </c>
      <c r="G18" s="460" t="s">
        <v>10863</v>
      </c>
      <c r="H18" s="462" t="s">
        <v>10817</v>
      </c>
      <c r="I18" s="460" t="s">
        <v>10893</v>
      </c>
      <c r="J18" s="466">
        <v>7</v>
      </c>
      <c r="K18" s="462">
        <v>-2</v>
      </c>
      <c r="L18" s="462">
        <v>-2</v>
      </c>
      <c r="M18" s="466">
        <v>15</v>
      </c>
      <c r="N18" s="462" t="s">
        <v>10817</v>
      </c>
      <c r="O18" s="462" t="s">
        <v>10817</v>
      </c>
      <c r="P18" s="466" t="s">
        <v>10869</v>
      </c>
      <c r="Q18" s="462" t="s">
        <v>10837</v>
      </c>
      <c r="R18" s="462" t="s">
        <v>10837</v>
      </c>
      <c r="S18" s="466">
        <v>3</v>
      </c>
      <c r="T18" s="462">
        <v>-4</v>
      </c>
      <c r="U18" s="462">
        <v>-4</v>
      </c>
      <c r="V18" s="466">
        <v>5</v>
      </c>
      <c r="W18" s="462">
        <v>-3</v>
      </c>
      <c r="X18" s="462">
        <v>-3</v>
      </c>
      <c r="Y18" s="466">
        <v>3</v>
      </c>
      <c r="Z18" s="462">
        <v>-4</v>
      </c>
      <c r="AA18" s="462">
        <v>-4</v>
      </c>
      <c r="AB18" s="460" t="s">
        <v>10912</v>
      </c>
      <c r="AC18" s="463" t="s">
        <v>10913</v>
      </c>
      <c r="AD18" s="463" t="s">
        <v>10914</v>
      </c>
    </row>
    <row r="19" spans="1:30" ht="18" customHeight="1" x14ac:dyDescent="0.15">
      <c r="A19" s="460" t="s">
        <v>10932</v>
      </c>
      <c r="B19" s="460" t="s">
        <v>10814</v>
      </c>
      <c r="C19" s="460" t="s">
        <v>10916</v>
      </c>
      <c r="D19" s="460" t="s">
        <v>10915</v>
      </c>
      <c r="E19" s="460">
        <v>13</v>
      </c>
      <c r="F19" s="460">
        <v>24</v>
      </c>
      <c r="G19" s="460" t="s">
        <v>10863</v>
      </c>
      <c r="H19" s="462" t="s">
        <v>10844</v>
      </c>
      <c r="I19" s="460" t="s">
        <v>10881</v>
      </c>
      <c r="J19" s="466">
        <v>6</v>
      </c>
      <c r="K19" s="462">
        <v>-2</v>
      </c>
      <c r="L19" s="462">
        <v>-2</v>
      </c>
      <c r="M19" s="466">
        <v>17</v>
      </c>
      <c r="N19" s="462" t="s">
        <v>10844</v>
      </c>
      <c r="O19" s="462" t="s">
        <v>10844</v>
      </c>
      <c r="P19" s="466">
        <v>13</v>
      </c>
      <c r="Q19" s="462" t="s">
        <v>10835</v>
      </c>
      <c r="R19" s="462" t="s">
        <v>10835</v>
      </c>
      <c r="S19" s="466">
        <v>15</v>
      </c>
      <c r="T19" s="462" t="s">
        <v>10817</v>
      </c>
      <c r="U19" s="462" t="s">
        <v>10817</v>
      </c>
      <c r="V19" s="466">
        <v>12</v>
      </c>
      <c r="W19" s="462" t="s">
        <v>10835</v>
      </c>
      <c r="X19" s="462" t="s">
        <v>10835</v>
      </c>
      <c r="Y19" s="466">
        <v>11</v>
      </c>
      <c r="Z19" s="462" t="s">
        <v>10837</v>
      </c>
      <c r="AA19" s="462" t="s">
        <v>10837</v>
      </c>
      <c r="AB19" s="460" t="s">
        <v>10917</v>
      </c>
      <c r="AC19" s="463" t="s">
        <v>10918</v>
      </c>
      <c r="AD19" s="463" t="s">
        <v>10934</v>
      </c>
    </row>
    <row r="20" spans="1:30" ht="18" customHeight="1" x14ac:dyDescent="0.15">
      <c r="A20" s="460" t="s">
        <v>10857</v>
      </c>
      <c r="B20" s="460" t="s">
        <v>10814</v>
      </c>
      <c r="C20" s="460" t="s">
        <v>3248</v>
      </c>
      <c r="D20" s="460" t="s">
        <v>10885</v>
      </c>
      <c r="E20" s="460">
        <v>15</v>
      </c>
      <c r="F20" s="460">
        <v>10</v>
      </c>
      <c r="G20" s="460" t="s">
        <v>10863</v>
      </c>
      <c r="H20" s="462" t="s">
        <v>10836</v>
      </c>
      <c r="I20" s="460" t="s">
        <v>10919</v>
      </c>
      <c r="J20" s="466">
        <v>3</v>
      </c>
      <c r="K20" s="462">
        <v>-4</v>
      </c>
      <c r="L20" s="462">
        <v>-4</v>
      </c>
      <c r="M20" s="466">
        <v>18</v>
      </c>
      <c r="N20" s="462" t="s">
        <v>10836</v>
      </c>
      <c r="O20" s="462" t="s">
        <v>10836</v>
      </c>
      <c r="P20" s="466" t="s">
        <v>10869</v>
      </c>
      <c r="Q20" s="462" t="s">
        <v>10837</v>
      </c>
      <c r="R20" s="462" t="s">
        <v>10837</v>
      </c>
      <c r="S20" s="466">
        <v>14</v>
      </c>
      <c r="T20" s="462" t="s">
        <v>10817</v>
      </c>
      <c r="U20" s="462" t="s">
        <v>10817</v>
      </c>
      <c r="V20" s="466">
        <v>13</v>
      </c>
      <c r="W20" s="462" t="s">
        <v>10835</v>
      </c>
      <c r="X20" s="462" t="s">
        <v>10835</v>
      </c>
      <c r="Y20" s="466">
        <v>11</v>
      </c>
      <c r="Z20" s="462" t="s">
        <v>10837</v>
      </c>
      <c r="AA20" s="462" t="s">
        <v>10837</v>
      </c>
      <c r="AB20" s="460" t="s">
        <v>10920</v>
      </c>
      <c r="AC20" s="463" t="str">
        <f>""</f>
        <v/>
      </c>
      <c r="AD20" s="463" t="s">
        <v>10921</v>
      </c>
    </row>
    <row r="21" spans="1:30" ht="18" customHeight="1" x14ac:dyDescent="0.15">
      <c r="A21" s="460" t="s">
        <v>10858</v>
      </c>
      <c r="B21" s="460" t="s">
        <v>10814</v>
      </c>
      <c r="C21" s="460" t="s">
        <v>10815</v>
      </c>
      <c r="D21" s="460" t="s">
        <v>10816</v>
      </c>
      <c r="E21" s="460">
        <v>12</v>
      </c>
      <c r="F21" s="460">
        <v>5</v>
      </c>
      <c r="G21" s="460" t="s">
        <v>10863</v>
      </c>
      <c r="H21" s="462" t="s">
        <v>10817</v>
      </c>
      <c r="I21" s="460" t="s">
        <v>10922</v>
      </c>
      <c r="J21" s="466">
        <v>2</v>
      </c>
      <c r="K21" s="462">
        <v>-4</v>
      </c>
      <c r="L21" s="462">
        <v>-4</v>
      </c>
      <c r="M21" s="466">
        <v>15</v>
      </c>
      <c r="N21" s="462" t="s">
        <v>10817</v>
      </c>
      <c r="O21" s="462" t="s">
        <v>10817</v>
      </c>
      <c r="P21" s="466" t="s">
        <v>10864</v>
      </c>
      <c r="Q21" s="462" t="s">
        <v>10837</v>
      </c>
      <c r="R21" s="462" t="s">
        <v>10837</v>
      </c>
      <c r="S21" s="466">
        <v>1</v>
      </c>
      <c r="T21" s="462">
        <v>-5</v>
      </c>
      <c r="U21" s="462">
        <v>-5</v>
      </c>
      <c r="V21" s="466" t="s">
        <v>10869</v>
      </c>
      <c r="W21" s="462" t="s">
        <v>10837</v>
      </c>
      <c r="X21" s="462" t="s">
        <v>10837</v>
      </c>
      <c r="Y21" s="466">
        <v>3</v>
      </c>
      <c r="Z21" s="462">
        <v>-4</v>
      </c>
      <c r="AA21" s="462">
        <v>-4</v>
      </c>
      <c r="AB21" s="460" t="s">
        <v>10923</v>
      </c>
      <c r="AC21" s="463" t="str">
        <f>""</f>
        <v/>
      </c>
      <c r="AD21" s="463" t="s">
        <v>10924</v>
      </c>
    </row>
  </sheetData>
  <sheetProtection formatColumns="0" formatRows="0" insertColumns="0" insertRows="0" insertHyperlinks="0" deleteColumns="0" deleteRows="0" sort="0" autoFilter="0" pivotTables="0"/>
  <phoneticPr fontId="6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O142"/>
  <sheetViews>
    <sheetView zoomScale="85" zoomScaleNormal="85" workbookViewId="0">
      <pane ySplit="1" topLeftCell="A116" activePane="bottomLeft" state="frozen"/>
      <selection activeCell="B5" sqref="B5:E5"/>
      <selection pane="bottomLeft" activeCell="D143" sqref="D143"/>
    </sheetView>
  </sheetViews>
  <sheetFormatPr defaultColWidth="9.375" defaultRowHeight="14.45" customHeight="1" x14ac:dyDescent="0.15"/>
  <cols>
    <col min="1" max="1" width="29.5" style="26" bestFit="1" customWidth="1"/>
    <col min="2" max="2" width="20.5" style="26" customWidth="1"/>
    <col min="3" max="3" width="10.75" style="26" customWidth="1"/>
    <col min="4" max="4" width="16.625" style="26" customWidth="1"/>
    <col min="5" max="7" width="19.5" style="26" customWidth="1"/>
    <col min="8" max="8" width="62.75" style="26" customWidth="1"/>
    <col min="9" max="16384" width="9.375" style="26"/>
  </cols>
  <sheetData>
    <row r="1" spans="1:15" ht="14.45" customHeight="1" x14ac:dyDescent="0.15">
      <c r="B1" s="27" t="s">
        <v>6</v>
      </c>
      <c r="C1" s="27" t="s">
        <v>14</v>
      </c>
      <c r="D1" s="27" t="s">
        <v>16</v>
      </c>
      <c r="E1" s="27" t="s">
        <v>18</v>
      </c>
      <c r="F1" s="27" t="s">
        <v>20</v>
      </c>
      <c r="G1" s="27" t="s">
        <v>101</v>
      </c>
      <c r="H1" s="28" t="s">
        <v>5</v>
      </c>
      <c r="I1" s="27" t="s">
        <v>835</v>
      </c>
      <c r="J1" s="27" t="s">
        <v>14</v>
      </c>
      <c r="K1" s="27" t="s">
        <v>16</v>
      </c>
      <c r="L1" s="27" t="s">
        <v>18</v>
      </c>
      <c r="M1" s="27" t="s">
        <v>20</v>
      </c>
      <c r="N1" s="27" t="s">
        <v>101</v>
      </c>
      <c r="O1" s="27" t="s">
        <v>7243</v>
      </c>
    </row>
    <row r="2" spans="1:15" ht="14.45" customHeight="1" x14ac:dyDescent="0.15">
      <c r="A2" s="26" t="str" cm="1">
        <f t="array" ref="A2">IFERROR(INDEX($B$1:$B$141,SMALL(IF($B$1:$B$141&lt;&gt;"",ROW($B$1:$B$141),4^8),ROW(2:2)))&amp;"","")</f>
        <v>自定义背景</v>
      </c>
      <c r="B2" s="26" t="s">
        <v>3027</v>
      </c>
      <c r="C2" s="26" t="s">
        <v>3024</v>
      </c>
      <c r="D2" s="26" t="s">
        <v>3022</v>
      </c>
      <c r="E2" s="26" t="s">
        <v>3023</v>
      </c>
      <c r="F2" s="26" t="s">
        <v>6487</v>
      </c>
      <c r="G2" s="26" t="s">
        <v>3025</v>
      </c>
      <c r="H2" s="29" t="s">
        <v>3028</v>
      </c>
      <c r="I2" s="26" t="str">
        <f>起源!E6</f>
        <v>自定义背景</v>
      </c>
      <c r="J2" s="26" t="str">
        <f>IFERROR(VLOOKUP($I$2,$B$2:$H$141,2,FALSE),"")</f>
        <v>见注释，或自选至多三项</v>
      </c>
      <c r="K2" s="26" t="str">
        <f>IFERROR(VLOOKUP($I$2,$B$2:$H$141,3,FALSE),"")</f>
        <v>自选一项起源专长</v>
      </c>
      <c r="L2" s="26" t="str">
        <f>IFERROR(VLOOKUP($I$2,$B$2:$H$141,4,FALSE),"")</f>
        <v>自选两个适合背景的技能</v>
      </c>
      <c r="M2" s="26" t="str">
        <f>IFERROR(VLOOKUP($I$2,$B$2:$H$141,5,FALSE),"")</f>
        <v>选择一个工具，它与该背景有关，或是经常被该背景的人使用</v>
      </c>
      <c r="N2" s="26" t="str">
        <f>IFERROR(VLOOKUP($I$2,$B$2:$H$141,6,FALSE),"")</f>
        <v>组合一套价值50GP的装备（购买完毕后多余的钱也会包含在其内）。不要将包含军用武器和护甲包含在背景给予的装备中，角色会从其职业中获得这两样装备。</v>
      </c>
      <c r="O2" s="26" t="str">
        <f>IFERROR(VLOOKUP($I$2,$B$2:$H$141,7,FALSE),"")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spans="1:15" ht="14.45" customHeight="1" x14ac:dyDescent="0.15">
      <c r="A3" s="26" t="str" cm="1">
        <f t="array" ref="A3">IFERROR(INDEX($B$1:$B$141,SMALL(IF($B$1:$B$141&lt;&gt;"",ROW($B$1:$B$141),4^8),ROW(3:3)))&amp;"","")</f>
        <v>侍僧</v>
      </c>
      <c r="B3" s="26" t="s">
        <v>836</v>
      </c>
      <c r="C3" s="26" t="s">
        <v>837</v>
      </c>
      <c r="D3" s="26" t="s">
        <v>838</v>
      </c>
      <c r="E3" s="26" t="s">
        <v>839</v>
      </c>
      <c r="F3" s="26" t="s">
        <v>208</v>
      </c>
      <c r="G3" s="26" t="s">
        <v>840</v>
      </c>
      <c r="H3" s="29" t="s">
        <v>841</v>
      </c>
    </row>
    <row r="4" spans="1:15" ht="14.45" customHeight="1" x14ac:dyDescent="0.15">
      <c r="A4" s="26" t="str" cm="1">
        <f t="array" ref="A4">IFERROR(INDEX($B$1:$B$141,SMALL(IF($B$1:$B$141&lt;&gt;"",ROW($B$1:$B$141),4^8),ROW(4:4)))&amp;"","")</f>
        <v>工匠</v>
      </c>
      <c r="B4" s="26" t="s">
        <v>842</v>
      </c>
      <c r="C4" s="26" t="s">
        <v>843</v>
      </c>
      <c r="D4" s="26" t="s">
        <v>520</v>
      </c>
      <c r="E4" s="26" t="s">
        <v>844</v>
      </c>
      <c r="F4" s="26" t="s">
        <v>845</v>
      </c>
      <c r="G4" s="26" t="s">
        <v>846</v>
      </c>
      <c r="H4" s="29" t="s">
        <v>847</v>
      </c>
    </row>
    <row r="5" spans="1:15" ht="14.45" customHeight="1" x14ac:dyDescent="0.15">
      <c r="A5" s="26" t="str" cm="1">
        <f t="array" ref="A5">IFERROR(INDEX($B$1:$B$141,SMALL(IF($B$1:$B$141&lt;&gt;"",ROW($B$1:$B$141),4^8),ROW(5:5)))&amp;"","")</f>
        <v>骗子</v>
      </c>
      <c r="B5" s="26" t="s">
        <v>848</v>
      </c>
      <c r="C5" s="26" t="s">
        <v>849</v>
      </c>
      <c r="D5" s="26" t="s">
        <v>525</v>
      </c>
      <c r="E5" s="26" t="s">
        <v>850</v>
      </c>
      <c r="F5" s="26" t="s">
        <v>328</v>
      </c>
      <c r="G5" s="26" t="s">
        <v>851</v>
      </c>
      <c r="H5" s="29" t="s">
        <v>852</v>
      </c>
    </row>
    <row r="6" spans="1:15" ht="14.45" customHeight="1" x14ac:dyDescent="0.15">
      <c r="A6" s="26" t="str" cm="1">
        <f t="array" ref="A6">IFERROR(INDEX($B$1:$B$141,SMALL(IF($B$1:$B$141&lt;&gt;"",ROW($B$1:$B$141),4^8),ROW(6:6)))&amp;"","")</f>
        <v>罪犯</v>
      </c>
      <c r="B6" s="26" t="s">
        <v>853</v>
      </c>
      <c r="C6" s="26" t="s">
        <v>854</v>
      </c>
      <c r="D6" s="26" t="s">
        <v>855</v>
      </c>
      <c r="E6" s="26" t="s">
        <v>856</v>
      </c>
      <c r="F6" s="26" t="s">
        <v>408</v>
      </c>
      <c r="G6" s="26" t="s">
        <v>857</v>
      </c>
      <c r="H6" s="29" t="s">
        <v>858</v>
      </c>
    </row>
    <row r="7" spans="1:15" ht="14.45" customHeight="1" x14ac:dyDescent="0.15">
      <c r="A7" s="26" t="str" cm="1">
        <f t="array" ref="A7">IFERROR(INDEX($B$1:$B$141,SMALL(IF($B$1:$B$141&lt;&gt;"",ROW($B$1:$B$141),4^8),ROW(7:7)))&amp;"","")</f>
        <v>艺人</v>
      </c>
      <c r="B7" s="26" t="s">
        <v>859</v>
      </c>
      <c r="C7" s="26" t="s">
        <v>860</v>
      </c>
      <c r="D7" s="26" t="s">
        <v>523</v>
      </c>
      <c r="E7" s="26" t="s">
        <v>861</v>
      </c>
      <c r="F7" s="26" t="s">
        <v>862</v>
      </c>
      <c r="G7" s="26" t="s">
        <v>863</v>
      </c>
      <c r="H7" s="29" t="s">
        <v>864</v>
      </c>
    </row>
    <row r="8" spans="1:15" ht="14.45" customHeight="1" x14ac:dyDescent="0.15">
      <c r="A8" s="26" t="str" cm="1">
        <f t="array" ref="A8">IFERROR(INDEX($B$1:$B$141,SMALL(IF($B$1:$B$141&lt;&gt;"",ROW($B$1:$B$141),4^8),ROW(8:8)))&amp;"","")</f>
        <v>农民</v>
      </c>
      <c r="B8" s="26" t="s">
        <v>865</v>
      </c>
      <c r="C8" s="26" t="s">
        <v>866</v>
      </c>
      <c r="D8" s="26" t="s">
        <v>527</v>
      </c>
      <c r="E8" s="26" t="s">
        <v>867</v>
      </c>
      <c r="F8" s="26" t="s">
        <v>217</v>
      </c>
      <c r="G8" s="26" t="s">
        <v>868</v>
      </c>
      <c r="H8" s="29" t="s">
        <v>869</v>
      </c>
    </row>
    <row r="9" spans="1:15" ht="14.45" customHeight="1" x14ac:dyDescent="0.15">
      <c r="A9" s="26" t="str" cm="1">
        <f t="array" ref="A9">IFERROR(INDEX($B$1:$B$141,SMALL(IF($B$1:$B$141&lt;&gt;"",ROW($B$1:$B$141),4^8),ROW(9:9)))&amp;"","")</f>
        <v>警卫</v>
      </c>
      <c r="B9" s="26" t="s">
        <v>870</v>
      </c>
      <c r="C9" s="26" t="s">
        <v>871</v>
      </c>
      <c r="D9" s="26" t="s">
        <v>855</v>
      </c>
      <c r="E9" s="26" t="s">
        <v>872</v>
      </c>
      <c r="F9" s="26" t="s">
        <v>873</v>
      </c>
      <c r="G9" s="26" t="s">
        <v>874</v>
      </c>
      <c r="H9" s="29" t="s">
        <v>875</v>
      </c>
    </row>
    <row r="10" spans="1:15" ht="14.45" customHeight="1" x14ac:dyDescent="0.15">
      <c r="A10" s="26" t="str" cm="1">
        <f t="array" ref="A10">IFERROR(INDEX($B$1:$B$141,SMALL(IF($B$1:$B$141&lt;&gt;"",ROW($B$1:$B$141),4^8),ROW(10:10)))&amp;"","")</f>
        <v>向导</v>
      </c>
      <c r="B10" s="26" t="s">
        <v>876</v>
      </c>
      <c r="C10" s="26" t="s">
        <v>877</v>
      </c>
      <c r="D10" s="26" t="s">
        <v>878</v>
      </c>
      <c r="E10" s="26" t="s">
        <v>879</v>
      </c>
      <c r="F10" s="26" t="s">
        <v>228</v>
      </c>
      <c r="G10" s="26" t="s">
        <v>880</v>
      </c>
      <c r="H10" s="29" t="s">
        <v>881</v>
      </c>
    </row>
    <row r="11" spans="1:15" ht="14.45" customHeight="1" x14ac:dyDescent="0.15">
      <c r="A11" s="26" t="str" cm="1">
        <f t="array" ref="A11">IFERROR(INDEX($B$1:$B$141,SMALL(IF($B$1:$B$141&lt;&gt;"",ROW($B$1:$B$141),4^8),ROW(11:11)))&amp;"","")</f>
        <v>隐士</v>
      </c>
      <c r="B11" s="26" t="s">
        <v>882</v>
      </c>
      <c r="C11" s="26" t="s">
        <v>883</v>
      </c>
      <c r="D11" s="26" t="s">
        <v>521</v>
      </c>
      <c r="E11" s="26" t="s">
        <v>884</v>
      </c>
      <c r="F11" s="26" t="s">
        <v>356</v>
      </c>
      <c r="G11" s="26" t="s">
        <v>885</v>
      </c>
      <c r="H11" s="29" t="s">
        <v>886</v>
      </c>
    </row>
    <row r="12" spans="1:15" ht="14.45" customHeight="1" x14ac:dyDescent="0.15">
      <c r="A12" s="26" t="str" cm="1">
        <f t="array" ref="A12">IFERROR(INDEX($B$1:$B$141,SMALL(IF($B$1:$B$141&lt;&gt;"",ROW($B$1:$B$141),4^8),ROW(12:12)))&amp;"","")</f>
        <v>商人</v>
      </c>
      <c r="B12" s="26" t="s">
        <v>887</v>
      </c>
      <c r="C12" s="26" t="s">
        <v>888</v>
      </c>
      <c r="D12" s="26" t="s">
        <v>522</v>
      </c>
      <c r="E12" s="26" t="s">
        <v>889</v>
      </c>
      <c r="F12" s="26" t="s">
        <v>398</v>
      </c>
      <c r="G12" s="26" t="s">
        <v>890</v>
      </c>
      <c r="H12" s="29" t="s">
        <v>891</v>
      </c>
    </row>
    <row r="13" spans="1:15" ht="14.45" customHeight="1" x14ac:dyDescent="0.15">
      <c r="A13" s="26" t="str" cm="1">
        <f t="array" ref="A13">IFERROR(INDEX($B$1:$B$141,SMALL(IF($B$1:$B$141&lt;&gt;"",ROW($B$1:$B$141),4^8),ROW(13:13)))&amp;"","")</f>
        <v>贵族</v>
      </c>
      <c r="B13" s="26" t="s">
        <v>892</v>
      </c>
      <c r="C13" s="26" t="s">
        <v>893</v>
      </c>
      <c r="D13" s="26" t="s">
        <v>525</v>
      </c>
      <c r="E13" s="26" t="s">
        <v>894</v>
      </c>
      <c r="F13" s="26" t="s">
        <v>873</v>
      </c>
      <c r="G13" s="26" t="s">
        <v>895</v>
      </c>
      <c r="H13" s="29" t="s">
        <v>896</v>
      </c>
    </row>
    <row r="14" spans="1:15" ht="14.45" customHeight="1" x14ac:dyDescent="0.15">
      <c r="A14" s="26" t="str" cm="1">
        <f t="array" ref="A14">IFERROR(INDEX($B$1:$B$141,SMALL(IF($B$1:$B$141&lt;&gt;"",ROW($B$1:$B$141),4^8),ROW(14:14)))&amp;"","")</f>
        <v>智者</v>
      </c>
      <c r="B14" s="26" t="s">
        <v>897</v>
      </c>
      <c r="C14" s="26" t="s">
        <v>898</v>
      </c>
      <c r="D14" s="26" t="s">
        <v>899</v>
      </c>
      <c r="E14" s="26" t="s">
        <v>900</v>
      </c>
      <c r="F14" s="26" t="s">
        <v>208</v>
      </c>
      <c r="G14" s="26" t="s">
        <v>901</v>
      </c>
      <c r="H14" s="29" t="s">
        <v>902</v>
      </c>
    </row>
    <row r="15" spans="1:15" ht="14.45" customHeight="1" x14ac:dyDescent="0.15">
      <c r="A15" s="26" t="str" cm="1">
        <f t="array" ref="A15">IFERROR(INDEX($B$1:$B$141,SMALL(IF($B$1:$B$141&lt;&gt;"",ROW($B$1:$B$141),4^8),ROW(15:15)))&amp;"","")</f>
        <v>水手</v>
      </c>
      <c r="B15" s="26" t="s">
        <v>903</v>
      </c>
      <c r="C15" s="26" t="s">
        <v>904</v>
      </c>
      <c r="D15" s="26" t="s">
        <v>526</v>
      </c>
      <c r="E15" s="26" t="s">
        <v>905</v>
      </c>
      <c r="F15" s="26" t="s">
        <v>398</v>
      </c>
      <c r="G15" s="26" t="s">
        <v>906</v>
      </c>
      <c r="H15" s="29" t="s">
        <v>907</v>
      </c>
    </row>
    <row r="16" spans="1:15" ht="14.45" customHeight="1" x14ac:dyDescent="0.15">
      <c r="A16" s="26" t="str" cm="1">
        <f t="array" ref="A16">IFERROR(INDEX($B$1:$B$141,SMALL(IF($B$1:$B$141&lt;&gt;"",ROW($B$1:$B$141),4^8),ROW(16:16)))&amp;"","")</f>
        <v>抄写员</v>
      </c>
      <c r="B16" s="26" t="s">
        <v>908</v>
      </c>
      <c r="C16" s="26" t="s">
        <v>909</v>
      </c>
      <c r="D16" s="26" t="s">
        <v>525</v>
      </c>
      <c r="E16" s="26" t="s">
        <v>910</v>
      </c>
      <c r="F16" s="26" t="s">
        <v>208</v>
      </c>
      <c r="G16" s="26" t="s">
        <v>911</v>
      </c>
      <c r="H16" s="29" t="s">
        <v>912</v>
      </c>
    </row>
    <row r="17" spans="1:8" ht="14.45" customHeight="1" x14ac:dyDescent="0.15">
      <c r="A17" s="26" t="str" cm="1">
        <f t="array" ref="A17">IFERROR(INDEX($B$1:$B$141,SMALL(IF($B$1:$B$141&lt;&gt;"",ROW($B$1:$B$141),4^8),ROW(17:17)))&amp;"","")</f>
        <v>士兵</v>
      </c>
      <c r="B17" s="26" t="s">
        <v>913</v>
      </c>
      <c r="C17" s="26" t="s">
        <v>914</v>
      </c>
      <c r="D17" s="26" t="s">
        <v>524</v>
      </c>
      <c r="E17" s="26" t="s">
        <v>915</v>
      </c>
      <c r="F17" s="26" t="s">
        <v>873</v>
      </c>
      <c r="G17" s="26" t="s">
        <v>916</v>
      </c>
      <c r="H17" s="29" t="s">
        <v>917</v>
      </c>
    </row>
    <row r="18" spans="1:8" ht="14.45" customHeight="1" x14ac:dyDescent="0.15">
      <c r="A18" s="26" t="str" cm="1">
        <f t="array" ref="A18">IFERROR(INDEX($B$1:$B$141,SMALL(IF($B$1:$B$141&lt;&gt;"",ROW($B$1:$B$141),4^8),ROW(18:18)))&amp;"","")</f>
        <v>流浪者</v>
      </c>
      <c r="B18" s="26" t="s">
        <v>918</v>
      </c>
      <c r="C18" s="26" t="s">
        <v>919</v>
      </c>
      <c r="D18" s="26" t="s">
        <v>522</v>
      </c>
      <c r="E18" s="26" t="s">
        <v>920</v>
      </c>
      <c r="F18" s="26" t="s">
        <v>408</v>
      </c>
      <c r="G18" s="26" t="s">
        <v>921</v>
      </c>
      <c r="H18" s="29" t="s">
        <v>922</v>
      </c>
    </row>
    <row r="19" spans="1:8" ht="14.45" customHeight="1" x14ac:dyDescent="0.15">
      <c r="A19" s="26" t="str" cm="1">
        <f t="array" ref="A19">IFERROR(INDEX($B$1:$B$141,SMALL(IF($B$1:$B$141&lt;&gt;"",ROW($B$1:$B$141),4^8),ROW(19:19)))&amp;"","")</f>
        <v>城市守卫</v>
      </c>
      <c r="B19" s="141" t="str">
        <f>IF(自定义调整栏!$E$14="O","城市守卫","")</f>
        <v>城市守卫</v>
      </c>
      <c r="C19" s="141" t="s">
        <v>3024</v>
      </c>
      <c r="D19" s="141" t="s">
        <v>3022</v>
      </c>
      <c r="E19" s="141" t="s">
        <v>3191</v>
      </c>
      <c r="F19" s="141" t="s">
        <v>2882</v>
      </c>
      <c r="G19" s="141" t="s">
        <v>3038</v>
      </c>
      <c r="H19" s="141" t="s">
        <v>3037</v>
      </c>
    </row>
    <row r="20" spans="1:8" ht="14.45" customHeight="1" x14ac:dyDescent="0.15">
      <c r="A20" s="26" t="str" cm="1">
        <f t="array" ref="A20">IFERROR(INDEX($B$1:$B$141,SMALL(IF($B$1:$B$141&lt;&gt;"",ROW($B$1:$B$141),4^8),ROW(20:20)))&amp;"","")</f>
        <v>城市守卫变体-调查员</v>
      </c>
      <c r="B20" s="141" t="str">
        <f>IF(自定义调整栏!$E$14="O","城市守卫变体-调查员","")</f>
        <v>城市守卫变体-调查员</v>
      </c>
      <c r="C20" s="141" t="s">
        <v>3024</v>
      </c>
      <c r="D20" s="141" t="s">
        <v>3022</v>
      </c>
      <c r="E20" s="141" t="s">
        <v>3191</v>
      </c>
      <c r="F20" s="141" t="s">
        <v>2882</v>
      </c>
      <c r="G20" s="141" t="s">
        <v>3038</v>
      </c>
      <c r="H20" s="141" t="s">
        <v>3118</v>
      </c>
    </row>
    <row r="21" spans="1:8" ht="14.45" customHeight="1" x14ac:dyDescent="0.15">
      <c r="A21" s="26" t="str" cm="1">
        <f t="array" ref="A21">IFERROR(INDEX($B$1:$B$141,SMALL(IF($B$1:$B$141&lt;&gt;"",ROW($B$1:$B$141),4^8),ROW(21:21)))&amp;"","")</f>
        <v>宗族工匠</v>
      </c>
      <c r="B21" s="141" t="str">
        <f>IF(自定义调整栏!$E$14="O","宗族工匠","")</f>
        <v>宗族工匠</v>
      </c>
      <c r="C21" s="141" t="s">
        <v>3024</v>
      </c>
      <c r="D21" s="141" t="s">
        <v>3022</v>
      </c>
      <c r="E21" s="141" t="s">
        <v>3065</v>
      </c>
      <c r="F21" s="141" t="s">
        <v>3066</v>
      </c>
      <c r="G21" s="141" t="s">
        <v>3067</v>
      </c>
      <c r="H21" s="141" t="s">
        <v>3069</v>
      </c>
    </row>
    <row r="22" spans="1:8" ht="14.45" customHeight="1" x14ac:dyDescent="0.15">
      <c r="A22" s="26" t="str" cm="1">
        <f t="array" ref="A22">IFERROR(INDEX($B$1:$B$141,SMALL(IF($B$1:$B$141&lt;&gt;"",ROW($B$1:$B$141),4^8),ROW(22:22)))&amp;"","")</f>
        <v>与世隔绝的学者</v>
      </c>
      <c r="B22" s="141" t="str">
        <f>IF(自定义调整栏!$E$14="O","与世隔绝的学者","")</f>
        <v>与世隔绝的学者</v>
      </c>
      <c r="C22" s="141" t="s">
        <v>3024</v>
      </c>
      <c r="D22" s="141" t="s">
        <v>3022</v>
      </c>
      <c r="E22" s="141" t="s">
        <v>3063</v>
      </c>
      <c r="F22" s="141" t="s">
        <v>2882</v>
      </c>
      <c r="G22" s="141" t="s">
        <v>3064</v>
      </c>
      <c r="H22" s="141" t="s">
        <v>3062</v>
      </c>
    </row>
    <row r="23" spans="1:8" ht="14.45" customHeight="1" x14ac:dyDescent="0.15">
      <c r="A23" s="26" t="str" cm="1">
        <f t="array" ref="A23">IFERROR(INDEX($B$1:$B$141,SMALL(IF($B$1:$B$141&lt;&gt;"",ROW($B$1:$B$141),4^8),ROW(23:23)))&amp;"","")</f>
        <v>朝臣</v>
      </c>
      <c r="B23" s="141" t="str">
        <f>IF(自定义调整栏!$E$14="O","朝臣","")</f>
        <v>朝臣</v>
      </c>
      <c r="C23" s="141" t="s">
        <v>3024</v>
      </c>
      <c r="D23" s="141" t="s">
        <v>3022</v>
      </c>
      <c r="E23" s="141" t="s">
        <v>3042</v>
      </c>
      <c r="F23" s="141" t="s">
        <v>2882</v>
      </c>
      <c r="G23" s="141" t="s">
        <v>3043</v>
      </c>
      <c r="H23" s="141" t="s">
        <v>3044</v>
      </c>
    </row>
    <row r="24" spans="1:8" ht="14.45" customHeight="1" x14ac:dyDescent="0.15">
      <c r="A24" s="26" t="str" cm="1">
        <f t="array" ref="A24">IFERROR(INDEX($B$1:$B$141,SMALL(IF($B$1:$B$141&lt;&gt;"",ROW($B$1:$B$141),4^8),ROW(24:24)))&amp;"","")</f>
        <v>派系特工</v>
      </c>
      <c r="B24" s="141" t="str">
        <f>IF(自定义调整栏!$E$14="O","派系特工","")</f>
        <v>派系特工</v>
      </c>
      <c r="C24" s="141" t="s">
        <v>3024</v>
      </c>
      <c r="D24" s="141" t="s">
        <v>3022</v>
      </c>
      <c r="E24" s="141" t="s">
        <v>3054</v>
      </c>
      <c r="F24" s="141" t="s">
        <v>2882</v>
      </c>
      <c r="G24" s="141" t="s">
        <v>3068</v>
      </c>
      <c r="H24" s="141" t="s">
        <v>3053</v>
      </c>
    </row>
    <row r="25" spans="1:8" ht="14.45" customHeight="1" x14ac:dyDescent="0.15">
      <c r="A25" s="26" t="str" cm="1">
        <f t="array" ref="A25">IFERROR(INDEX($B$1:$B$141,SMALL(IF($B$1:$B$141&lt;&gt;"",ROW($B$1:$B$141),4^8),ROW(25:25)))&amp;"","")</f>
        <v>远行者</v>
      </c>
      <c r="B25" s="141" t="str">
        <f>IF(自定义调整栏!$E$14="O","远行者","")</f>
        <v>远行者</v>
      </c>
      <c r="C25" s="141" t="s">
        <v>3024</v>
      </c>
      <c r="D25" s="141" t="s">
        <v>3022</v>
      </c>
      <c r="E25" s="141" t="s">
        <v>3026</v>
      </c>
      <c r="F25" s="141" t="s">
        <v>3030</v>
      </c>
      <c r="G25" s="141" t="s">
        <v>3031</v>
      </c>
      <c r="H25" s="141" t="s">
        <v>3029</v>
      </c>
    </row>
    <row r="26" spans="1:8" ht="14.45" customHeight="1" x14ac:dyDescent="0.15">
      <c r="A26" s="26" t="str" cm="1">
        <f t="array" ref="A26">IFERROR(INDEX($B$1:$B$141,SMALL(IF($B$1:$B$141&lt;&gt;"",ROW($B$1:$B$141),4^8),ROW(26:26)))&amp;"","")</f>
        <v>继承者</v>
      </c>
      <c r="B26" s="141" t="str">
        <f>IF(自定义调整栏!$E$14="O","继承者","")</f>
        <v>继承者</v>
      </c>
      <c r="C26" s="141" t="s">
        <v>3024</v>
      </c>
      <c r="D26" s="141" t="s">
        <v>3022</v>
      </c>
      <c r="E26" s="141" t="s">
        <v>3157</v>
      </c>
      <c r="F26" s="141" t="s">
        <v>3046</v>
      </c>
      <c r="G26" s="141" t="s">
        <v>3047</v>
      </c>
      <c r="H26" s="141" t="s">
        <v>3048</v>
      </c>
    </row>
    <row r="27" spans="1:8" ht="14.45" customHeight="1" x14ac:dyDescent="0.15">
      <c r="A27" s="26" t="str" cm="1">
        <f t="array" ref="A27">IFERROR(INDEX($B$1:$B$141,SMALL(IF($B$1:$B$141&lt;&gt;"",ROW($B$1:$B$141),4^8),ROW(27:27)))&amp;"","")</f>
        <v>骑士团成员</v>
      </c>
      <c r="B27" s="141" t="str">
        <f>IF(自定义调整栏!$E$14="O","骑士团成员","")</f>
        <v>骑士团成员</v>
      </c>
      <c r="C27" s="141" t="s">
        <v>3024</v>
      </c>
      <c r="D27" s="141" t="s">
        <v>3022</v>
      </c>
      <c r="E27" s="141" t="s">
        <v>3050</v>
      </c>
      <c r="F27" s="141" t="s">
        <v>3051</v>
      </c>
      <c r="G27" s="141" t="s">
        <v>3052</v>
      </c>
      <c r="H27" s="141" t="s">
        <v>3049</v>
      </c>
    </row>
    <row r="28" spans="1:8" ht="14.45" customHeight="1" x14ac:dyDescent="0.15">
      <c r="A28" s="26" t="str" cm="1">
        <f t="array" ref="A28">IFERROR(INDEX($B$1:$B$141,SMALL(IF($B$1:$B$141&lt;&gt;"",ROW($B$1:$B$141),4^8),ROW(28:28)))&amp;"","")</f>
        <v>老佣兵</v>
      </c>
      <c r="B28" s="141" t="str">
        <f>IF(自定义调整栏!$E$14="O","老佣兵","")</f>
        <v>老佣兵</v>
      </c>
      <c r="C28" s="141" t="s">
        <v>3024</v>
      </c>
      <c r="D28" s="141" t="s">
        <v>3022</v>
      </c>
      <c r="E28" s="141" t="s">
        <v>3039</v>
      </c>
      <c r="F28" s="141" t="s">
        <v>3040</v>
      </c>
      <c r="G28" s="141" t="s">
        <v>3041</v>
      </c>
      <c r="H28" s="141" t="s">
        <v>3045</v>
      </c>
    </row>
    <row r="29" spans="1:8" ht="14.45" customHeight="1" x14ac:dyDescent="0.15">
      <c r="A29" s="26" t="str" cm="1">
        <f t="array" ref="A29">IFERROR(INDEX($B$1:$B$141,SMALL(IF($B$1:$B$141&lt;&gt;"",ROW($B$1:$B$141),4^8),ROW(29:29)))&amp;"","")</f>
        <v>城市猎人</v>
      </c>
      <c r="B29" s="141" t="str">
        <f>IF(自定义调整栏!$E$14="O","城市猎人","")</f>
        <v>城市猎人</v>
      </c>
      <c r="C29" s="141" t="s">
        <v>3024</v>
      </c>
      <c r="D29" s="141" t="s">
        <v>3022</v>
      </c>
      <c r="E29" s="141" t="s">
        <v>3032</v>
      </c>
      <c r="F29" s="141" t="s">
        <v>3033</v>
      </c>
      <c r="G29" s="141" t="s">
        <v>3034</v>
      </c>
      <c r="H29" s="141" t="s">
        <v>3035</v>
      </c>
    </row>
    <row r="30" spans="1:8" ht="14.45" customHeight="1" x14ac:dyDescent="0.15">
      <c r="A30" s="26" t="str" cm="1">
        <f t="array" ref="A30">IFERROR(INDEX($B$1:$B$141,SMALL(IF($B$1:$B$141&lt;&gt;"",ROW($B$1:$B$141),4^8),ROW(30:30)))&amp;"","")</f>
        <v>乌斯伽部族成员</v>
      </c>
      <c r="B30" s="141" t="str">
        <f>IF(自定义调整栏!$E$14="O","乌斯伽部族成员","")</f>
        <v>乌斯伽部族成员</v>
      </c>
      <c r="C30" s="141" t="s">
        <v>3024</v>
      </c>
      <c r="D30" s="141" t="s">
        <v>3022</v>
      </c>
      <c r="E30" s="141" t="s">
        <v>3158</v>
      </c>
      <c r="F30" s="141" t="s">
        <v>3060</v>
      </c>
      <c r="G30" s="141" t="s">
        <v>3061</v>
      </c>
      <c r="H30" s="141" t="s">
        <v>3059</v>
      </c>
    </row>
    <row r="31" spans="1:8" ht="14.45" customHeight="1" x14ac:dyDescent="0.15">
      <c r="A31" s="26" t="str" cm="1">
        <f t="array" ref="A31">IFERROR(INDEX($B$1:$B$141,SMALL(IF($B$1:$B$141&lt;&gt;"",ROW($B$1:$B$141),4^8),ROW(31:31)))&amp;"","")</f>
        <v>深水城贵族</v>
      </c>
      <c r="B31" s="141" t="str">
        <f>IF(自定义调整栏!$E$14="O","深水城贵族","")</f>
        <v>深水城贵族</v>
      </c>
      <c r="C31" s="141" t="s">
        <v>3024</v>
      </c>
      <c r="D31" s="141" t="s">
        <v>3022</v>
      </c>
      <c r="E31" s="141" t="s">
        <v>3056</v>
      </c>
      <c r="F31" s="141" t="s">
        <v>3057</v>
      </c>
      <c r="G31" s="141" t="s">
        <v>3058</v>
      </c>
      <c r="H31" s="141" t="s">
        <v>3055</v>
      </c>
    </row>
    <row r="32" spans="1:8" ht="14.45" customHeight="1" x14ac:dyDescent="0.15">
      <c r="A32" s="26" t="str" cm="1">
        <f t="array" ref="A32">IFERROR(INDEX($B$1:$B$141,SMALL(IF($B$1:$B$141&lt;&gt;"",ROW($B$1:$B$141),4^8),ROW(32:32)))&amp;"","")</f>
        <v>俄佐立官员</v>
      </c>
      <c r="B32" s="26" t="str">
        <f>IF(自定义调整栏!$E$15="O","俄佐立官员","")</f>
        <v>俄佐立官员</v>
      </c>
      <c r="C32" s="26" t="s">
        <v>3024</v>
      </c>
      <c r="D32" s="26" t="s">
        <v>3022</v>
      </c>
      <c r="E32" s="26" t="s">
        <v>3071</v>
      </c>
      <c r="F32" s="26" t="s">
        <v>2882</v>
      </c>
      <c r="G32" s="26" t="s">
        <v>3072</v>
      </c>
      <c r="H32" s="26" t="s">
        <v>3070</v>
      </c>
    </row>
    <row r="33" spans="1:8" ht="14.45" customHeight="1" x14ac:dyDescent="0.15">
      <c r="A33" s="26" t="str" cm="1">
        <f t="array" ref="A33">IFERROR(INDEX($B$1:$B$141,SMALL(IF($B$1:$B$141&lt;&gt;"",ROW($B$1:$B$141),4^8),ROW(33:33)))&amp;"","")</f>
        <v>波洛斯教团兵</v>
      </c>
      <c r="B33" s="26" t="str">
        <f>IF(自定义调整栏!$E$15="O","波洛斯教团兵","")</f>
        <v>波洛斯教团兵</v>
      </c>
      <c r="C33" s="26" t="s">
        <v>3024</v>
      </c>
      <c r="D33" s="26" t="s">
        <v>3022</v>
      </c>
      <c r="E33" s="26" t="s">
        <v>3074</v>
      </c>
      <c r="F33" s="26" t="s">
        <v>3076</v>
      </c>
      <c r="G33" s="26" t="s">
        <v>3075</v>
      </c>
      <c r="H33" s="26" t="s">
        <v>3073</v>
      </c>
    </row>
    <row r="34" spans="1:8" ht="14.45" customHeight="1" x14ac:dyDescent="0.15">
      <c r="A34" s="26" t="str" cm="1">
        <f t="array" ref="A34">IFERROR(INDEX($B$1:$B$141,SMALL(IF($B$1:$B$141&lt;&gt;"",ROW($B$1:$B$141),4^8),ROW(34:34)))&amp;"","")</f>
        <v>底密尔特务</v>
      </c>
      <c r="B34" s="26" t="str">
        <f>IF(自定义调整栏!$E$15="O","底密尔特务","")</f>
        <v>底密尔特务</v>
      </c>
      <c r="C34" s="26" t="s">
        <v>3024</v>
      </c>
      <c r="D34" s="26" t="s">
        <v>3022</v>
      </c>
      <c r="E34" s="26" t="s">
        <v>3077</v>
      </c>
      <c r="F34" s="26" t="s">
        <v>3079</v>
      </c>
      <c r="G34" s="26" t="s">
        <v>3078</v>
      </c>
      <c r="H34" s="26" t="s">
        <v>3080</v>
      </c>
    </row>
    <row r="35" spans="1:8" ht="14.45" customHeight="1" x14ac:dyDescent="0.15">
      <c r="A35" s="26" t="str" cm="1">
        <f t="array" ref="A35">IFERROR(INDEX($B$1:$B$141,SMALL(IF($B$1:$B$141&lt;&gt;"",ROW($B$1:$B$141),4^8),ROW(35:35)))&amp;"","")</f>
        <v>葛加理成员</v>
      </c>
      <c r="B35" s="26" t="str">
        <f>IF(自定义调整栏!$E$15="O","葛加理成员","")</f>
        <v>葛加理成员</v>
      </c>
      <c r="C35" s="26" t="s">
        <v>3024</v>
      </c>
      <c r="D35" s="26" t="s">
        <v>3022</v>
      </c>
      <c r="E35" s="26" t="s">
        <v>3159</v>
      </c>
      <c r="F35" s="26" t="s">
        <v>3081</v>
      </c>
      <c r="G35" s="26" t="s">
        <v>3082</v>
      </c>
      <c r="H35" s="26" t="s">
        <v>3083</v>
      </c>
    </row>
    <row r="36" spans="1:8" ht="14.45" customHeight="1" x14ac:dyDescent="0.15">
      <c r="A36" s="26" t="str" cm="1">
        <f t="array" ref="A36">IFERROR(INDEX($B$1:$B$141,SMALL(IF($B$1:$B$141&lt;&gt;"",ROW($B$1:$B$141),4^8),ROW(36:36)))&amp;"","")</f>
        <v>古鲁反抗者</v>
      </c>
      <c r="B36" s="26" t="str">
        <f>IF(自定义调整栏!$E$15="O","古鲁反抗者","")</f>
        <v>古鲁反抗者</v>
      </c>
      <c r="C36" s="26" t="s">
        <v>3024</v>
      </c>
      <c r="D36" s="26" t="s">
        <v>3022</v>
      </c>
      <c r="E36" s="26" t="s">
        <v>3085</v>
      </c>
      <c r="F36" s="26" t="s">
        <v>3086</v>
      </c>
      <c r="G36" s="26" t="s">
        <v>3099</v>
      </c>
      <c r="H36" s="26" t="s">
        <v>3084</v>
      </c>
    </row>
    <row r="37" spans="1:8" ht="14.45" customHeight="1" x14ac:dyDescent="0.15">
      <c r="A37" s="26" t="str" cm="1">
        <f t="array" ref="A37">IFERROR(INDEX($B$1:$B$141,SMALL(IF($B$1:$B$141&lt;&gt;"",ROW($B$1:$B$141),4^8),ROW(37:37)))&amp;"","")</f>
        <v>伊捷工程师</v>
      </c>
      <c r="B37" s="26" t="str">
        <f>IF(自定义调整栏!$E$15="O","伊捷工程师","")</f>
        <v>伊捷工程师</v>
      </c>
      <c r="C37" s="26" t="s">
        <v>3024</v>
      </c>
      <c r="D37" s="26" t="s">
        <v>3022</v>
      </c>
      <c r="E37" s="26" t="s">
        <v>3087</v>
      </c>
      <c r="F37" s="26" t="s">
        <v>3088</v>
      </c>
      <c r="G37" s="26" t="s">
        <v>3089</v>
      </c>
      <c r="H37" s="26" t="s">
        <v>3090</v>
      </c>
    </row>
    <row r="38" spans="1:8" ht="14.45" customHeight="1" x14ac:dyDescent="0.15">
      <c r="A38" s="26" t="str" cm="1">
        <f t="array" ref="A38">IFERROR(INDEX($B$1:$B$141,SMALL(IF($B$1:$B$141&lt;&gt;"",ROW($B$1:$B$141),4^8),ROW(38:38)))&amp;"","")</f>
        <v>欧佐夫议员</v>
      </c>
      <c r="B38" s="26" t="str">
        <f>IF(自定义调整栏!$E$15="O","欧佐夫议员","")</f>
        <v>欧佐夫议员</v>
      </c>
      <c r="C38" s="26" t="s">
        <v>3024</v>
      </c>
      <c r="D38" s="26" t="s">
        <v>3022</v>
      </c>
      <c r="E38" s="26" t="s">
        <v>3092</v>
      </c>
      <c r="F38" s="26" t="s">
        <v>2882</v>
      </c>
      <c r="G38" s="26" t="s">
        <v>3093</v>
      </c>
      <c r="H38" s="26" t="s">
        <v>3091</v>
      </c>
    </row>
    <row r="39" spans="1:8" ht="14.45" customHeight="1" x14ac:dyDescent="0.15">
      <c r="A39" s="26" t="str" cm="1">
        <f t="array" ref="A39">IFERROR(INDEX($B$1:$B$141,SMALL(IF($B$1:$B$141&lt;&gt;"",ROW($B$1:$B$141),4^8),ROW(39:39)))&amp;"","")</f>
        <v>拉铎司邪教徒</v>
      </c>
      <c r="B39" s="26" t="str">
        <f>IF(自定义调整栏!$E$15="O","拉铎司邪教徒","")</f>
        <v>拉铎司邪教徒</v>
      </c>
      <c r="C39" s="26" t="s">
        <v>3024</v>
      </c>
      <c r="D39" s="26" t="s">
        <v>3022</v>
      </c>
      <c r="E39" s="26" t="s">
        <v>3096</v>
      </c>
      <c r="F39" s="26" t="s">
        <v>3097</v>
      </c>
      <c r="G39" s="26" t="s">
        <v>3098</v>
      </c>
      <c r="H39" s="26" t="s">
        <v>3094</v>
      </c>
    </row>
    <row r="40" spans="1:8" ht="14.45" customHeight="1" x14ac:dyDescent="0.15">
      <c r="A40" s="26" t="str" cm="1">
        <f t="array" ref="A40">IFERROR(INDEX($B$1:$B$141,SMALL(IF($B$1:$B$141&lt;&gt;"",ROW($B$1:$B$141),4^8),ROW(40:40)))&amp;"","")</f>
        <v>瑟雷尼亚祀徒</v>
      </c>
      <c r="B40" s="26" t="str">
        <f>IF(自定义调整栏!$E$15="O","瑟雷尼亚祀徒","")</f>
        <v>瑟雷尼亚祀徒</v>
      </c>
      <c r="C40" s="26" t="s">
        <v>3024</v>
      </c>
      <c r="D40" s="26" t="s">
        <v>3022</v>
      </c>
      <c r="E40" s="26" t="s">
        <v>3101</v>
      </c>
      <c r="F40" s="26" t="s">
        <v>3102</v>
      </c>
      <c r="G40" s="26" t="s">
        <v>3103</v>
      </c>
      <c r="H40" s="26" t="s">
        <v>3100</v>
      </c>
    </row>
    <row r="41" spans="1:8" ht="14.45" customHeight="1" x14ac:dyDescent="0.15">
      <c r="A41" s="26" t="str" cm="1">
        <f t="array" ref="A41">IFERROR(INDEX($B$1:$B$141,SMALL(IF($B$1:$B$141&lt;&gt;"",ROW($B$1:$B$141),4^8),ROW(41:41)))&amp;"","")</f>
        <v>析米克科学家</v>
      </c>
      <c r="B41" s="26" t="str">
        <f>IF(自定义调整栏!$E$15="O","析米克科学家","")</f>
        <v>析米克科学家</v>
      </c>
      <c r="C41" s="26" t="s">
        <v>3024</v>
      </c>
      <c r="D41" s="26" t="s">
        <v>3022</v>
      </c>
      <c r="E41" s="26" t="s">
        <v>3104</v>
      </c>
      <c r="F41" s="26" t="s">
        <v>2882</v>
      </c>
      <c r="G41" s="26" t="s">
        <v>3125</v>
      </c>
      <c r="H41" s="26" t="s">
        <v>3105</v>
      </c>
    </row>
    <row r="42" spans="1:8" ht="14.45" customHeight="1" x14ac:dyDescent="0.15">
      <c r="A42" s="26" t="str" cm="1">
        <f t="array" ref="A42">IFERROR(INDEX($B$1:$B$141,SMALL(IF($B$1:$B$141&lt;&gt;"",ROW($B$1:$B$141),4^8),ROW(42:42)))&amp;"","")</f>
        <v>名人冒险家的子孙</v>
      </c>
      <c r="B42" s="141" t="str">
        <f>IF(自定义调整栏!$E$17="O","名人冒险家的子孙","")</f>
        <v>名人冒险家的子孙</v>
      </c>
      <c r="C42" s="141" t="s">
        <v>3024</v>
      </c>
      <c r="D42" s="141" t="s">
        <v>3022</v>
      </c>
      <c r="E42" s="141" t="s">
        <v>3111</v>
      </c>
      <c r="F42" s="141" t="s">
        <v>3079</v>
      </c>
      <c r="G42" s="141" t="s">
        <v>3130</v>
      </c>
      <c r="H42" s="141" t="s">
        <v>3110</v>
      </c>
    </row>
    <row r="43" spans="1:8" ht="14.45" customHeight="1" x14ac:dyDescent="0.15">
      <c r="A43" s="26" t="str" cm="1">
        <f t="array" ref="A43">IFERROR(INDEX($B$1:$B$141,SMALL(IF($B$1:$B$141&lt;&gt;"",ROW($B$1:$B$141),4^8),ROW(43:43)))&amp;"","")</f>
        <v>失败商人</v>
      </c>
      <c r="B43" s="141" t="str">
        <f>IF(自定义调整栏!$E$17="O","失败商人","")</f>
        <v>失败商人</v>
      </c>
      <c r="C43" s="141" t="s">
        <v>3024</v>
      </c>
      <c r="D43" s="141" t="s">
        <v>3022</v>
      </c>
      <c r="E43" s="141" t="s">
        <v>3106</v>
      </c>
      <c r="F43" s="141" t="s">
        <v>3109</v>
      </c>
      <c r="G43" s="141" t="s">
        <v>3128</v>
      </c>
      <c r="H43" s="141" t="s">
        <v>3129</v>
      </c>
    </row>
    <row r="44" spans="1:8" ht="14.45" customHeight="1" x14ac:dyDescent="0.15">
      <c r="A44" s="26" t="str" cm="1">
        <f t="array" ref="A44">IFERROR(INDEX($B$1:$B$141,SMALL(IF($B$1:$B$141&lt;&gt;"",ROW($B$1:$B$141),4^8),ROW(44:44)))&amp;"","")</f>
        <v>赌徒</v>
      </c>
      <c r="B44" s="141" t="str">
        <f>IF(自定义调整栏!$E$17="O","赌徒","")</f>
        <v>赌徒</v>
      </c>
      <c r="C44" s="141" t="s">
        <v>3024</v>
      </c>
      <c r="D44" s="141" t="s">
        <v>3022</v>
      </c>
      <c r="E44" s="141" t="s">
        <v>3107</v>
      </c>
      <c r="F44" s="141" t="s">
        <v>3076</v>
      </c>
      <c r="G44" s="141" t="s">
        <v>3126</v>
      </c>
      <c r="H44" s="141" t="s">
        <v>3127</v>
      </c>
    </row>
    <row r="45" spans="1:8" ht="14.45" customHeight="1" x14ac:dyDescent="0.15">
      <c r="A45" s="26" t="str" cm="1">
        <f t="array" ref="A45">IFERROR(INDEX($B$1:$B$141,SMALL(IF($B$1:$B$141&lt;&gt;"",ROW($B$1:$B$141),4^8),ROW(45:45)))&amp;"","")</f>
        <v>起诉人</v>
      </c>
      <c r="B45" s="141" t="str">
        <f>IF(自定义调整栏!$E$17="O","起诉人","")</f>
        <v>起诉人</v>
      </c>
      <c r="C45" s="141" t="s">
        <v>3024</v>
      </c>
      <c r="D45" s="141" t="s">
        <v>3022</v>
      </c>
      <c r="E45" s="141" t="s">
        <v>3113</v>
      </c>
      <c r="F45" s="141" t="s">
        <v>3109</v>
      </c>
      <c r="G45" s="141" t="s">
        <v>3133</v>
      </c>
      <c r="H45" s="141" t="s">
        <v>3134</v>
      </c>
    </row>
    <row r="46" spans="1:8" ht="14.45" customHeight="1" x14ac:dyDescent="0.15">
      <c r="A46" s="26" t="str" cm="1">
        <f t="array" ref="A46">IFERROR(INDEX($B$1:$B$141,SMALL(IF($B$1:$B$141&lt;&gt;"",ROW($B$1:$B$141),4^8),ROW(46:46)))&amp;"","")</f>
        <v>竞争对手实习生</v>
      </c>
      <c r="B46" s="141" t="str">
        <f>IF(自定义调整栏!$E$17="O","竞争对手实习生","")</f>
        <v>竞争对手实习生</v>
      </c>
      <c r="C46" s="141" t="s">
        <v>3024</v>
      </c>
      <c r="D46" s="141" t="s">
        <v>3022</v>
      </c>
      <c r="E46" s="141" t="s">
        <v>3112</v>
      </c>
      <c r="F46" s="141" t="s">
        <v>3109</v>
      </c>
      <c r="G46" s="141" t="s">
        <v>3131</v>
      </c>
      <c r="H46" s="141" t="s">
        <v>3132</v>
      </c>
    </row>
    <row r="47" spans="1:8" ht="14.45" customHeight="1" x14ac:dyDescent="0.15">
      <c r="A47" s="26" t="str" cm="1">
        <f t="array" ref="A47">IFERROR(INDEX($B$1:$B$141,SMALL(IF($B$1:$B$141&lt;&gt;"",ROW($B$1:$B$141),4^8),ROW(47:47)))&amp;"","")</f>
        <v>运动员</v>
      </c>
      <c r="B47" s="26" t="str">
        <f>IF(自定义调整栏!$E$18="O","运动员","")</f>
        <v>运动员</v>
      </c>
      <c r="C47" s="26" t="s">
        <v>3024</v>
      </c>
      <c r="D47" s="26" t="s">
        <v>3022</v>
      </c>
      <c r="E47" s="26" t="s">
        <v>3114</v>
      </c>
      <c r="F47" s="26" t="s">
        <v>3115</v>
      </c>
      <c r="G47" s="26" t="s">
        <v>3116</v>
      </c>
      <c r="H47" s="26" t="s">
        <v>3117</v>
      </c>
    </row>
    <row r="48" spans="1:8" ht="14.45" customHeight="1" x14ac:dyDescent="0.15">
      <c r="A48" s="26" t="str" cm="1">
        <f t="array" ref="A48">IFERROR(INDEX($B$1:$B$141,SMALL(IF($B$1:$B$141&lt;&gt;"",ROW($B$1:$B$141),4^8),ROW(48:48)))&amp;"","")</f>
        <v>噩梦缠身</v>
      </c>
      <c r="B48" s="141" t="str">
        <f>IF(自定义调整栏!$E$19="O","噩梦缠身","")</f>
        <v>噩梦缠身</v>
      </c>
      <c r="C48" s="141" t="s">
        <v>3024</v>
      </c>
      <c r="D48" s="141" t="s">
        <v>3022</v>
      </c>
      <c r="E48" s="141" t="s">
        <v>3160</v>
      </c>
      <c r="F48" s="141" t="s">
        <v>2882</v>
      </c>
      <c r="G48" s="141" t="s">
        <v>3136</v>
      </c>
      <c r="H48" s="141" t="s">
        <v>3137</v>
      </c>
    </row>
    <row r="49" spans="1:8" ht="14.45" customHeight="1" x14ac:dyDescent="0.15">
      <c r="A49" s="26" t="str" cm="1">
        <f t="array" ref="A49">IFERROR(INDEX($B$1:$B$141,SMALL(IF($B$1:$B$141&lt;&gt;"",ROW($B$1:$B$141),4^8),ROW(49:49)))&amp;"","")</f>
        <v>调查员</v>
      </c>
      <c r="B49" s="141" t="str">
        <f>IF(自定义调整栏!$E$19="O","调查员","")</f>
        <v>调查员</v>
      </c>
      <c r="C49" s="141" t="s">
        <v>3024</v>
      </c>
      <c r="D49" s="141" t="s">
        <v>3022</v>
      </c>
      <c r="E49" s="141" t="s">
        <v>3135</v>
      </c>
      <c r="F49" s="141" t="s">
        <v>3119</v>
      </c>
      <c r="G49" s="141" t="s">
        <v>3120</v>
      </c>
      <c r="H49" s="141" t="s">
        <v>3121</v>
      </c>
    </row>
    <row r="50" spans="1:8" ht="14.45" customHeight="1" x14ac:dyDescent="0.15">
      <c r="A50" s="26" t="str" cm="1">
        <f t="array" ref="A50">IFERROR(INDEX($B$1:$B$141,SMALL(IF($B$1:$B$141&lt;&gt;"",ROW($B$1:$B$141),4^8),ROW(50:50)))&amp;"","")</f>
        <v>衡鉴学生</v>
      </c>
      <c r="B50" s="26" t="str">
        <f>IF(自定义调整栏!$E$20="O","衡鉴学生","")</f>
        <v>衡鉴学生</v>
      </c>
      <c r="C50" s="26" t="s">
        <v>3024</v>
      </c>
      <c r="D50" s="26" t="s">
        <v>3153</v>
      </c>
      <c r="E50" s="26" t="s">
        <v>3140</v>
      </c>
      <c r="F50" s="26" t="s">
        <v>2882</v>
      </c>
      <c r="G50" s="26" t="s">
        <v>3141</v>
      </c>
      <c r="H50" s="26" t="s">
        <v>3123</v>
      </c>
    </row>
    <row r="51" spans="1:8" ht="14.45" customHeight="1" x14ac:dyDescent="0.15">
      <c r="A51" s="26" t="str" cm="1">
        <f t="array" ref="A51">IFERROR(INDEX($B$1:$B$141,SMALL(IF($B$1:$B$141&lt;&gt;"",ROW($B$1:$B$141),4^8),ROW(51:51)))&amp;"","")</f>
        <v>粹丽学生</v>
      </c>
      <c r="B51" s="26" t="str">
        <f>IF(自定义调整栏!$E$20="O","粹丽学生","")</f>
        <v>粹丽学生</v>
      </c>
      <c r="C51" s="26" t="s">
        <v>3024</v>
      </c>
      <c r="D51" s="26" t="s">
        <v>3152</v>
      </c>
      <c r="E51" s="26" t="s">
        <v>3095</v>
      </c>
      <c r="F51" s="26" t="s">
        <v>3138</v>
      </c>
      <c r="G51" s="26" t="s">
        <v>3139</v>
      </c>
      <c r="H51" s="26" t="s">
        <v>3122</v>
      </c>
    </row>
    <row r="52" spans="1:8" ht="14.45" customHeight="1" x14ac:dyDescent="0.15">
      <c r="A52" s="26" t="str" cm="1">
        <f t="array" ref="A52">IFERROR(INDEX($B$1:$B$141,SMALL(IF($B$1:$B$141&lt;&gt;"",ROW($B$1:$B$141),4^8),ROW(52:52)))&amp;"","")</f>
        <v>量析学生</v>
      </c>
      <c r="B52" s="26" t="str">
        <f>IF(自定义调整栏!$E$20="O","量析学生","")</f>
        <v>量析学生</v>
      </c>
      <c r="C52" s="26" t="s">
        <v>3024</v>
      </c>
      <c r="D52" s="26" t="s">
        <v>3154</v>
      </c>
      <c r="E52" s="26" t="s">
        <v>3142</v>
      </c>
      <c r="F52" s="26" t="s">
        <v>3108</v>
      </c>
      <c r="G52" s="26" t="s">
        <v>3143</v>
      </c>
      <c r="H52" s="26" t="s">
        <v>3124</v>
      </c>
    </row>
    <row r="53" spans="1:8" ht="14.45" customHeight="1" x14ac:dyDescent="0.15">
      <c r="A53" s="26" t="str" cm="1">
        <f t="array" ref="A53">IFERROR(INDEX($B$1:$B$141,SMALL(IF($B$1:$B$141&lt;&gt;"",ROW($B$1:$B$141),4^8),ROW(53:53)))&amp;"","")</f>
        <v>银毫学生</v>
      </c>
      <c r="B53" s="26" t="str">
        <f>IF(自定义调整栏!$E$20="O","银毫学生","")</f>
        <v>银毫学生</v>
      </c>
      <c r="C53" s="26" t="s">
        <v>3024</v>
      </c>
      <c r="D53" s="26" t="s">
        <v>3156</v>
      </c>
      <c r="E53" s="26" t="s">
        <v>3146</v>
      </c>
      <c r="F53" s="26" t="s">
        <v>2882</v>
      </c>
      <c r="G53" s="26" t="s">
        <v>3147</v>
      </c>
      <c r="H53" s="26" t="s">
        <v>3148</v>
      </c>
    </row>
    <row r="54" spans="1:8" ht="14.45" customHeight="1" x14ac:dyDescent="0.15">
      <c r="A54" s="26" t="str" cm="1">
        <f t="array" ref="A54">IFERROR(INDEX($B$1:$B$141,SMALL(IF($B$1:$B$141&lt;&gt;"",ROW($B$1:$B$141),4^8),ROW(54:54)))&amp;"","")</f>
        <v>靡华学生</v>
      </c>
      <c r="B54" s="26" t="str">
        <f>IF(自定义调整栏!$E$20="O","靡华学生","")</f>
        <v>靡华学生</v>
      </c>
      <c r="C54" s="26" t="s">
        <v>3024</v>
      </c>
      <c r="D54" s="26" t="s">
        <v>3155</v>
      </c>
      <c r="E54" s="26" t="s">
        <v>3159</v>
      </c>
      <c r="F54" s="26" t="s">
        <v>3086</v>
      </c>
      <c r="G54" s="26" t="s">
        <v>3144</v>
      </c>
      <c r="H54" s="26" t="s">
        <v>3145</v>
      </c>
    </row>
    <row r="55" spans="1:8" ht="14.45" customHeight="1" x14ac:dyDescent="0.15">
      <c r="A55" s="26" t="str" cm="1">
        <f t="array" ref="A55">IFERROR(INDEX($B$1:$B$141,SMALL(IF($B$1:$B$141&lt;&gt;"",ROW($B$1:$B$141),4^8),ROW(55:55)))&amp;"","")</f>
        <v>星界浪客</v>
      </c>
      <c r="B55" s="141" t="str">
        <f>IF(自定义调整栏!$E$21="O","星界浪客","")</f>
        <v>星界浪客</v>
      </c>
      <c r="C55" s="141" t="s">
        <v>3024</v>
      </c>
      <c r="D55" s="141" t="s">
        <v>3149</v>
      </c>
      <c r="E55" s="141" t="s">
        <v>3182</v>
      </c>
      <c r="F55" s="141" t="s">
        <v>2882</v>
      </c>
      <c r="G55" s="141" t="s">
        <v>3183</v>
      </c>
      <c r="H55" s="141" t="s">
        <v>3184</v>
      </c>
    </row>
    <row r="56" spans="1:8" ht="14.45" customHeight="1" x14ac:dyDescent="0.15">
      <c r="A56" s="26" t="str" cm="1">
        <f t="array" ref="A56">IFERROR(INDEX($B$1:$B$141,SMALL(IF($B$1:$B$141&lt;&gt;"",ROW($B$1:$B$141),4^8),ROW(56:56)))&amp;"","")</f>
        <v>荒宇人</v>
      </c>
      <c r="B56" s="141" t="str">
        <f>IF(自定义调整栏!$E$21="O","荒宇人","")</f>
        <v>荒宇人</v>
      </c>
      <c r="C56" s="141" t="s">
        <v>3024</v>
      </c>
      <c r="D56" s="141" t="s">
        <v>3150</v>
      </c>
      <c r="E56" s="141" t="s">
        <v>3158</v>
      </c>
      <c r="F56" s="141" t="s">
        <v>3179</v>
      </c>
      <c r="G56" s="141" t="s">
        <v>3180</v>
      </c>
      <c r="H56" s="141" t="s">
        <v>3181</v>
      </c>
    </row>
    <row r="57" spans="1:8" ht="14.45" customHeight="1" x14ac:dyDescent="0.15">
      <c r="A57" s="26" t="str" cm="1">
        <f t="array" ref="A57">IFERROR(INDEX($B$1:$B$141,SMALL(IF($B$1:$B$141&lt;&gt;"",ROW($B$1:$B$141),4^8),ROW(57:57)))&amp;"","")</f>
        <v>巨人养子</v>
      </c>
      <c r="B57" s="26" t="str">
        <f>IF(自定义调整栏!$E$7="O","巨人养子","")</f>
        <v>巨人养子</v>
      </c>
      <c r="C57" s="26" t="s">
        <v>3024</v>
      </c>
      <c r="D57" s="26" t="s">
        <v>3163</v>
      </c>
      <c r="E57" s="26" t="s">
        <v>3161</v>
      </c>
      <c r="F57" s="26" t="s">
        <v>2882</v>
      </c>
      <c r="G57" s="26" t="s">
        <v>3162</v>
      </c>
      <c r="H57" s="26" t="s">
        <v>3151</v>
      </c>
    </row>
    <row r="58" spans="1:8" ht="14.45" customHeight="1" x14ac:dyDescent="0.15">
      <c r="A58" s="26" t="str" cm="1">
        <f t="array" ref="A58">IFERROR(INDEX($B$1:$B$141,SMALL(IF($B$1:$B$141&lt;&gt;"",ROW($B$1:$B$141),4^8),ROW(58:58)))&amp;"","")</f>
        <v>符文雕刻者</v>
      </c>
      <c r="B58" s="26" t="str">
        <f>IF(自定义调整栏!$E$7="O","符文雕刻者","")</f>
        <v>符文雕刻者</v>
      </c>
      <c r="C58" s="26" t="s">
        <v>3024</v>
      </c>
      <c r="D58" s="26" t="s">
        <v>3168</v>
      </c>
      <c r="E58" s="26" t="s">
        <v>3164</v>
      </c>
      <c r="F58" s="26" t="s">
        <v>3166</v>
      </c>
      <c r="G58" s="26" t="s">
        <v>3167</v>
      </c>
      <c r="H58" s="26" t="s">
        <v>3165</v>
      </c>
    </row>
    <row r="59" spans="1:8" ht="14.45" customHeight="1" x14ac:dyDescent="0.15">
      <c r="A59" s="26" t="str" cm="1">
        <f t="array" ref="A59">IFERROR(INDEX($B$1:$B$141,SMALL(IF($B$1:$B$141&lt;&gt;"",ROW($B$1:$B$141),4^8),ROW(59:59)))&amp;"","")</f>
        <v>门镇守卫</v>
      </c>
      <c r="B59" s="141" t="str">
        <f>IF(自定义调整栏!$E$22="O","门镇守卫","")</f>
        <v>门镇守卫</v>
      </c>
      <c r="C59" s="141" t="s">
        <v>3024</v>
      </c>
      <c r="D59" s="141" t="s">
        <v>3172</v>
      </c>
      <c r="E59" s="141" t="s">
        <v>3170</v>
      </c>
      <c r="F59" s="389" t="s">
        <v>2882</v>
      </c>
      <c r="G59" s="141" t="s">
        <v>3171</v>
      </c>
      <c r="H59" s="141" t="s">
        <v>3169</v>
      </c>
    </row>
    <row r="60" spans="1:8" ht="14.45" customHeight="1" x14ac:dyDescent="0.15">
      <c r="A60" s="26" t="str" cm="1">
        <f t="array" ref="A60">IFERROR(INDEX($B$1:$B$141,SMALL(IF($B$1:$B$141&lt;&gt;"",ROW($B$1:$B$141),4^8),ROW(60:60)))&amp;"","")</f>
        <v>位面哲学家</v>
      </c>
      <c r="B60" s="141" t="str">
        <f>IF(自定义调整栏!$E$22="O","位面哲学家","")</f>
        <v>位面哲学家</v>
      </c>
      <c r="C60" s="141" t="s">
        <v>3024</v>
      </c>
      <c r="D60" s="141" t="s">
        <v>3172</v>
      </c>
      <c r="E60" s="141" t="s">
        <v>3173</v>
      </c>
      <c r="F60" s="141" t="s">
        <v>2882</v>
      </c>
      <c r="G60" s="141" t="s">
        <v>3175</v>
      </c>
      <c r="H60" s="141" t="s">
        <v>3174</v>
      </c>
    </row>
    <row r="61" spans="1:8" ht="14.45" customHeight="1" x14ac:dyDescent="0.15">
      <c r="A61" s="26" t="str" cm="1">
        <f t="array" ref="A61">IFERROR(INDEX($B$1:$B$141,SMALL(IF($B$1:$B$141&lt;&gt;"",ROW($B$1:$B$141),4^8),ROW(61:61)))&amp;"","")</f>
        <v>受宠者</v>
      </c>
      <c r="B61" s="26" t="str">
        <f>IF(自定义调整栏!$E$8="O","受宠者","")</f>
        <v>受宠者</v>
      </c>
      <c r="C61" s="26" t="s">
        <v>3024</v>
      </c>
      <c r="D61" s="26" t="s">
        <v>3185</v>
      </c>
      <c r="E61" s="26" t="s">
        <v>3042</v>
      </c>
      <c r="F61" s="26" t="s">
        <v>3177</v>
      </c>
      <c r="G61" s="26" t="s">
        <v>3178</v>
      </c>
      <c r="H61" s="26" t="s">
        <v>3176</v>
      </c>
    </row>
    <row r="62" spans="1:8" ht="14.45" customHeight="1" x14ac:dyDescent="0.15">
      <c r="A62" s="26" t="str" cm="1">
        <f t="array" ref="A62">IFERROR(INDEX($B$1:$B$141,SMALL(IF($B$1:$B$141&lt;&gt;"",ROW($B$1:$B$141),4^8),ROW(62:62)))&amp;"","")</f>
        <v>受难者</v>
      </c>
      <c r="B62" s="26" t="str">
        <f>IF(自定义调整栏!$E$8="O","受难者","")</f>
        <v>受难者</v>
      </c>
      <c r="C62" s="26" t="s">
        <v>3024</v>
      </c>
      <c r="D62" s="26" t="s">
        <v>3189</v>
      </c>
      <c r="E62" s="26" t="s">
        <v>3186</v>
      </c>
      <c r="F62" s="26" t="s">
        <v>3177</v>
      </c>
      <c r="G62" s="26" t="s">
        <v>3188</v>
      </c>
      <c r="H62" s="26" t="s">
        <v>3187</v>
      </c>
    </row>
    <row r="63" spans="1:8" ht="14.45" customHeight="1" x14ac:dyDescent="0.15">
      <c r="A63" s="26" t="str" cm="1">
        <f t="array" ref="A63">IFERROR(INDEX($B$1:$B$141,SMALL(IF($B$1:$B$141&lt;&gt;"",ROW($B$1:$B$141),4^8),ROW(63:63)))&amp;"","")</f>
        <v>笑面人</v>
      </c>
      <c r="B63" s="141" t="str">
        <f>IF(自定义调整栏!$E$36="O","神话调查员","")</f>
        <v/>
      </c>
      <c r="C63" s="141" t="s">
        <v>5527</v>
      </c>
      <c r="D63" s="141" t="s">
        <v>5528</v>
      </c>
      <c r="E63" s="141" t="s">
        <v>5529</v>
      </c>
      <c r="F63" s="141" t="s">
        <v>5530</v>
      </c>
      <c r="G63" s="141" t="s">
        <v>190</v>
      </c>
      <c r="H63" s="141" t="s">
        <v>5531</v>
      </c>
    </row>
    <row r="64" spans="1:8" ht="14.45" customHeight="1" x14ac:dyDescent="0.15">
      <c r="A64" s="26" t="str" cm="1">
        <f t="array" ref="A64">IFERROR(INDEX($B$1:$B$141,SMALL(IF($B$1:$B$141&lt;&gt;"",ROW($B$1:$B$141),4^8),ROW(64:64)))&amp;"","")</f>
        <v>沃什塔克特工</v>
      </c>
      <c r="B64" s="26" t="str">
        <f>IF(自定义调整栏!$E$23="O","笑面人","")</f>
        <v>笑面人</v>
      </c>
      <c r="C64" s="26" t="s">
        <v>3024</v>
      </c>
      <c r="D64" s="26" t="s">
        <v>3022</v>
      </c>
      <c r="E64" s="26" t="s">
        <v>5791</v>
      </c>
      <c r="F64" s="26" t="s">
        <v>5792</v>
      </c>
      <c r="G64" s="26" t="s">
        <v>5793</v>
      </c>
      <c r="H64" s="26" t="s">
        <v>5794</v>
      </c>
    </row>
    <row r="65" spans="1:8" ht="14.45" customHeight="1" x14ac:dyDescent="0.15">
      <c r="A65" s="26" t="str" cm="1">
        <f t="array" ref="A65">IFERROR(INDEX($B$1:$B$141,SMALL(IF($B$1:$B$141&lt;&gt;"",ROW($B$1:$B$141),4^8),ROW(65:65)))&amp;"","")</f>
        <v>琼达斯海盗</v>
      </c>
      <c r="B65" s="26" t="str">
        <f>IF(自定义调整栏!$E$23="O","沃什塔克特工","")</f>
        <v>沃什塔克特工</v>
      </c>
      <c r="C65" s="26" t="s">
        <v>3024</v>
      </c>
      <c r="D65" s="26" t="s">
        <v>3022</v>
      </c>
      <c r="E65" s="26" t="s">
        <v>3077</v>
      </c>
      <c r="F65" s="26" t="s">
        <v>5796</v>
      </c>
      <c r="G65" s="26" t="s">
        <v>5797</v>
      </c>
      <c r="H65" s="26" t="s">
        <v>5795</v>
      </c>
    </row>
    <row r="66" spans="1:8" ht="14.45" customHeight="1" x14ac:dyDescent="0.15">
      <c r="A66" s="26" t="str" cm="1">
        <f t="array" ref="A66">IFERROR(INDEX($B$1:$B$141,SMALL(IF($B$1:$B$141&lt;&gt;"",ROW($B$1:$B$141),4^8),ROW(66:66)))&amp;"","")</f>
        <v>死魔法区住民</v>
      </c>
      <c r="B66" s="141" t="str">
        <f>IF(自定义调整栏!$E$28="O","大陆贵族","")</f>
        <v/>
      </c>
      <c r="C66" s="141" t="s">
        <v>3024</v>
      </c>
      <c r="D66" s="141" t="s">
        <v>3022</v>
      </c>
      <c r="E66" s="141" t="s">
        <v>5821</v>
      </c>
      <c r="F66" s="141" t="s">
        <v>2882</v>
      </c>
      <c r="G66" s="141" t="s">
        <v>5829</v>
      </c>
      <c r="H66" s="141" t="s">
        <v>5834</v>
      </c>
    </row>
    <row r="67" spans="1:8" ht="14.45" customHeight="1" x14ac:dyDescent="0.15">
      <c r="A67" s="26" t="str" cm="1">
        <f t="array" ref="A67">IFERROR(INDEX($B$1:$B$141,SMALL(IF($B$1:$B$141&lt;&gt;"",ROW($B$1:$B$141),4^8),ROW(67:67)))&amp;"","")</f>
        <v>焰拳佣兵</v>
      </c>
      <c r="B67" s="141" t="str">
        <f>IF(自定义调整栏!$E$28="O","大陆贵族变体-末裔","")</f>
        <v/>
      </c>
      <c r="C67" s="141" t="s">
        <v>3024</v>
      </c>
      <c r="D67" s="141" t="s">
        <v>3022</v>
      </c>
      <c r="E67" s="141" t="s">
        <v>5821</v>
      </c>
      <c r="F67" s="141" t="s">
        <v>2882</v>
      </c>
      <c r="G67" s="141" t="s">
        <v>5829</v>
      </c>
      <c r="H67" s="141" t="s">
        <v>5835</v>
      </c>
    </row>
    <row r="68" spans="1:8" ht="14.45" customHeight="1" x14ac:dyDescent="0.15">
      <c r="A68" s="26" t="str" cm="1">
        <f t="array" ref="A68">IFERROR(INDEX($B$1:$B$141,SMALL(IF($B$1:$B$141&lt;&gt;"",ROW($B$1:$B$141),4^8),ROW(68:68)))&amp;"","")</f>
        <v>巨灵接触者</v>
      </c>
      <c r="B68" s="141" t="str">
        <f>IF(自定义调整栏!$E$28="O","魔法血脉","")</f>
        <v/>
      </c>
      <c r="C68" s="141" t="s">
        <v>3024</v>
      </c>
      <c r="D68" s="141" t="s">
        <v>3022</v>
      </c>
      <c r="E68" s="141" t="s">
        <v>5822</v>
      </c>
      <c r="F68" s="141" t="s">
        <v>5826</v>
      </c>
      <c r="G68" s="141" t="s">
        <v>5830</v>
      </c>
      <c r="H68" s="141" t="s">
        <v>5836</v>
      </c>
    </row>
    <row r="69" spans="1:8" ht="14.45" customHeight="1" x14ac:dyDescent="0.15">
      <c r="A69" s="26" t="str" cm="1">
        <f t="array" ref="A69">IFERROR(INDEX($B$1:$B$141,SMALL(IF($B$1:$B$141&lt;&gt;"",ROW($B$1:$B$141),4^8),ROW(69:69)))&amp;"","")</f>
        <v>冰上钓客</v>
      </c>
      <c r="B69" s="141" t="str">
        <f>IF(自定义调整栏!$E$28="O","魔法血脉变体-叛道法师","")</f>
        <v/>
      </c>
      <c r="C69" s="141" t="s">
        <v>3024</v>
      </c>
      <c r="D69" s="141" t="s">
        <v>3022</v>
      </c>
      <c r="E69" s="141" t="s">
        <v>5822</v>
      </c>
      <c r="F69" s="141" t="s">
        <v>5826</v>
      </c>
      <c r="G69" s="141" t="s">
        <v>5830</v>
      </c>
      <c r="H69" s="141" t="s">
        <v>5837</v>
      </c>
    </row>
    <row r="70" spans="1:8" ht="14.45" customHeight="1" x14ac:dyDescent="0.15">
      <c r="A70" s="26" t="str" cm="1">
        <f t="array" ref="A70">IFERROR(INDEX($B$1:$B$141,SMALL(IF($B$1:$B$141&lt;&gt;"",ROW($B$1:$B$141),4^8),ROW(70:70)))&amp;"","")</f>
        <v>月井朝圣者</v>
      </c>
      <c r="B70" s="141" t="str">
        <f>IF(自定义调整栏!$E$28="O","虔诚传教士","")</f>
        <v/>
      </c>
      <c r="C70" s="141" t="s">
        <v>3024</v>
      </c>
      <c r="D70" s="141" t="s">
        <v>3022</v>
      </c>
      <c r="E70" s="141" t="s">
        <v>5823</v>
      </c>
      <c r="F70" s="141" t="s">
        <v>2882</v>
      </c>
      <c r="G70" s="141" t="s">
        <v>5831</v>
      </c>
      <c r="H70" s="141" t="s">
        <v>5838</v>
      </c>
    </row>
    <row r="71" spans="1:8" ht="14.45" customHeight="1" x14ac:dyDescent="0.15">
      <c r="A71" s="26" t="str" cm="1">
        <f t="array" ref="A71">IFERROR(INDEX($B$1:$B$141,SMALL(IF($B$1:$B$141&lt;&gt;"",ROW($B$1:$B$141),4^8),ROW(71:71)))&amp;"","")</f>
        <v>穆尔霍兰德盗墓者</v>
      </c>
      <c r="B71" s="141" t="str">
        <f>IF(自定义调整栏!$E$28="O","虔诚传教士变体-观星者","")</f>
        <v/>
      </c>
      <c r="C71" s="141" t="s">
        <v>3024</v>
      </c>
      <c r="D71" s="141" t="s">
        <v>3022</v>
      </c>
      <c r="E71" s="141" t="s">
        <v>5823</v>
      </c>
      <c r="F71" s="141" t="s">
        <v>2882</v>
      </c>
      <c r="G71" s="141" t="s">
        <v>5831</v>
      </c>
      <c r="H71" s="141" t="s">
        <v>5839</v>
      </c>
    </row>
    <row r="72" spans="1:8" ht="14.45" customHeight="1" x14ac:dyDescent="0.15">
      <c r="A72" s="26" t="str" cm="1">
        <f t="array" ref="A72">IFERROR(INDEX($B$1:$B$141,SMALL(IF($B$1:$B$141&lt;&gt;"",ROW($B$1:$B$141),4^8),ROW(72:72)))&amp;"","")</f>
        <v>迷锁守卫者</v>
      </c>
      <c r="B72" s="141" t="str">
        <f>IF(自定义调整栏!$E$28="O","幸存者","")</f>
        <v/>
      </c>
      <c r="C72" s="141" t="s">
        <v>3024</v>
      </c>
      <c r="D72" s="141" t="s">
        <v>3022</v>
      </c>
      <c r="E72" s="141" t="s">
        <v>5824</v>
      </c>
      <c r="F72" s="141" t="s">
        <v>5827</v>
      </c>
      <c r="G72" s="141" t="s">
        <v>5832</v>
      </c>
      <c r="H72" s="141" t="s">
        <v>5840</v>
      </c>
    </row>
    <row r="73" spans="1:8" ht="14.45" customHeight="1" x14ac:dyDescent="0.15">
      <c r="A73" s="26" t="str" cm="1">
        <f t="array" ref="A73">IFERROR(INDEX($B$1:$B$141,SMALL(IF($B$1:$B$141&lt;&gt;"",ROW($B$1:$B$141),4^8),ROW(73:73)))&amp;"","")</f>
        <v>莱瑟曼流浪者</v>
      </c>
      <c r="B73" s="141" t="str">
        <f>IF(自定义调整栏!$E$28="O","幸存者变体-内战老兵","")</f>
        <v/>
      </c>
      <c r="C73" s="141" t="s">
        <v>3024</v>
      </c>
      <c r="D73" s="141" t="s">
        <v>3022</v>
      </c>
      <c r="E73" s="141" t="s">
        <v>5824</v>
      </c>
      <c r="F73" s="141" t="s">
        <v>5827</v>
      </c>
      <c r="G73" s="141" t="s">
        <v>5832</v>
      </c>
      <c r="H73" s="141" t="s">
        <v>5841</v>
      </c>
    </row>
    <row r="74" spans="1:8" ht="14.45" customHeight="1" x14ac:dyDescent="0.15">
      <c r="A74" s="26" t="str" cm="1">
        <f t="array" ref="A74">IFERROR(INDEX($B$1:$B$141,SMALL(IF($B$1:$B$141&lt;&gt;"",ROW($B$1:$B$141),4^8),ROW(74:74)))&amp;"","")</f>
        <v>影宗放逐者</v>
      </c>
      <c r="B74" s="141" t="str">
        <f>IF(自定义调整栏!$E$28="O","寻宝者","")</f>
        <v/>
      </c>
      <c r="C74" s="141" t="s">
        <v>3024</v>
      </c>
      <c r="D74" s="141" t="s">
        <v>3022</v>
      </c>
      <c r="E74" s="141" t="s">
        <v>5825</v>
      </c>
      <c r="F74" s="141" t="s">
        <v>5828</v>
      </c>
      <c r="G74" s="141" t="s">
        <v>5833</v>
      </c>
      <c r="H74" s="141" t="s">
        <v>5842</v>
      </c>
    </row>
    <row r="75" spans="1:8" ht="14.45" customHeight="1" x14ac:dyDescent="0.15">
      <c r="A75" s="26" t="str" cm="1">
        <f t="array" ref="A75">IFERROR(INDEX($B$1:$B$141,SMALL(IF($B$1:$B$141&lt;&gt;"",ROW($B$1:$B$141),4^8),ROW(75:75)))&amp;"","")</f>
        <v>咒火学徒</v>
      </c>
      <c r="B75" s="141" t="str">
        <f>IF(自定义调整栏!$E$28="O","寻宝者变体-赏金客","")</f>
        <v/>
      </c>
      <c r="C75" s="141" t="s">
        <v>3024</v>
      </c>
      <c r="D75" s="141" t="s">
        <v>3022</v>
      </c>
      <c r="E75" s="141" t="s">
        <v>5825</v>
      </c>
      <c r="F75" s="141" t="s">
        <v>5828</v>
      </c>
      <c r="G75" s="141" t="s">
        <v>5833</v>
      </c>
      <c r="H75" s="141" t="s">
        <v>5843</v>
      </c>
    </row>
    <row r="76" spans="1:8" ht="14.45" customHeight="1" x14ac:dyDescent="0.15">
      <c r="A76" s="26" t="str" cm="1">
        <f t="array" ref="A76">IFERROR(INDEX($B$1:$B$141,SMALL(IF($B$1:$B$141&lt;&gt;"",ROW($B$1:$B$141),4^8),ROW(76:76)))&amp;"","")</f>
        <v>龙巫教信徒</v>
      </c>
      <c r="B76" s="141" t="str">
        <f>IF(自定义调整栏!$E$26="O","阿沙里人","")</f>
        <v/>
      </c>
      <c r="C76" s="141" t="s">
        <v>3024</v>
      </c>
      <c r="D76" s="141" t="s">
        <v>3022</v>
      </c>
      <c r="E76" s="141" t="s">
        <v>6496</v>
      </c>
      <c r="F76" s="141" t="s">
        <v>3086</v>
      </c>
      <c r="G76" s="141" t="s">
        <v>6497</v>
      </c>
      <c r="H76" s="141" t="s">
        <v>6499</v>
      </c>
    </row>
    <row r="77" spans="1:8" ht="14.45" customHeight="1" x14ac:dyDescent="0.15">
      <c r="A77" s="26" t="str" cm="1">
        <f t="array" ref="A77">IFERROR(INDEX($B$1:$B$141,SMALL(IF($B$1:$B$141&lt;&gt;"",ROW($B$1:$B$141),4^8),ROW(77:77)))&amp;"","")</f>
        <v>翠绿闲庭庇护者</v>
      </c>
      <c r="B77" s="141" t="str">
        <f>IF(自定义调整栏!$E$26="O","扣环帮成员","")</f>
        <v/>
      </c>
      <c r="C77" s="141" t="s">
        <v>3024</v>
      </c>
      <c r="D77" s="141" t="s">
        <v>3022</v>
      </c>
      <c r="E77" s="141" t="s">
        <v>6500</v>
      </c>
      <c r="F77" s="141" t="s">
        <v>6501</v>
      </c>
      <c r="G77" s="141" t="s">
        <v>6502</v>
      </c>
      <c r="H77" s="141" t="s">
        <v>6504</v>
      </c>
    </row>
    <row r="78" spans="1:8" ht="14.45" customHeight="1" x14ac:dyDescent="0.15">
      <c r="A78" s="26" t="str" cm="1">
        <f t="array" ref="A78">IFERROR(INDEX($B$1:$B$141,SMALL(IF($B$1:$B$141&lt;&gt;"",ROW($B$1:$B$141),4^8),ROW(78:78)))&amp;"","")</f>
        <v>竖琴手</v>
      </c>
      <c r="B78" s="141" t="str">
        <f>IF(自定义调整栏!$E$26="O","扣环帮成员变体-万象会特工","")</f>
        <v/>
      </c>
      <c r="C78" s="141" t="s">
        <v>3024</v>
      </c>
      <c r="D78" s="141" t="s">
        <v>3022</v>
      </c>
      <c r="E78" s="141" t="s">
        <v>6500</v>
      </c>
      <c r="F78" s="141" t="s">
        <v>6501</v>
      </c>
      <c r="G78" s="141" t="s">
        <v>6502</v>
      </c>
      <c r="H78" s="141" t="s">
        <v>6503</v>
      </c>
    </row>
    <row r="79" spans="1:8" ht="14.45" customHeight="1" x14ac:dyDescent="0.15">
      <c r="A79" s="26" t="str" cm="1">
        <f t="array" ref="A79">IFERROR(INDEX($B$1:$B$141,SMALL(IF($B$1:$B$141&lt;&gt;"",ROW($B$1:$B$141),4^8),ROW(79:79)))&amp;"","")</f>
        <v>臂铠骑士</v>
      </c>
      <c r="B79" s="141" t="str">
        <f>IF(自定义调整栏!$E$26="O","学苑学者","")</f>
        <v/>
      </c>
      <c r="C79" s="141" t="s">
        <v>3024</v>
      </c>
      <c r="D79" s="141" t="s">
        <v>3022</v>
      </c>
      <c r="E79" s="141" t="s">
        <v>6505</v>
      </c>
      <c r="F79" s="141" t="s">
        <v>2882</v>
      </c>
      <c r="G79" s="141" t="s">
        <v>6506</v>
      </c>
      <c r="H79" s="141" t="s">
        <v>6507</v>
      </c>
    </row>
    <row r="80" spans="1:8" ht="14.45" customHeight="1" x14ac:dyDescent="0.15">
      <c r="A80" s="26" t="str" cm="1">
        <f t="array" ref="A80">IFERROR(INDEX($B$1:$B$141,SMALL(IF($B$1:$B$141&lt;&gt;"",ROW($B$1:$B$141),4^8),ROW(80:80)))&amp;"","")</f>
        <v>领主联盟臣属</v>
      </c>
      <c r="B80" s="141" t="str">
        <f>IF(自定义调整栏!$E$26="O","白石城步枪团","")</f>
        <v/>
      </c>
      <c r="C80" s="141" t="s">
        <v>3024</v>
      </c>
      <c r="D80" s="141" t="s">
        <v>3022</v>
      </c>
      <c r="E80" s="141" t="s">
        <v>6508</v>
      </c>
      <c r="F80" s="141" t="s">
        <v>2882</v>
      </c>
      <c r="G80" s="141" t="s">
        <v>6509</v>
      </c>
      <c r="H80" s="141" t="s">
        <v>6511</v>
      </c>
    </row>
    <row r="81" spans="1:8" ht="14.45" customHeight="1" x14ac:dyDescent="0.15">
      <c r="A81" s="26" t="str" cm="1">
        <f t="array" ref="A81">IFERROR(INDEX($B$1:$B$141,SMALL(IF($B$1:$B$141&lt;&gt;"",ROW($B$1:$B$141),4^8),ROW(81:81)))&amp;"","")</f>
        <v>紫龙骑士侍从</v>
      </c>
      <c r="B81" s="141" t="str">
        <f>IF(自定义调整栏!$E$26="O","白石城步枪团变体-灰色猎手","")</f>
        <v/>
      </c>
      <c r="C81" s="141" t="s">
        <v>3024</v>
      </c>
      <c r="D81" s="141" t="s">
        <v>3022</v>
      </c>
      <c r="E81" s="141" t="s">
        <v>6508</v>
      </c>
      <c r="F81" s="141" t="s">
        <v>2882</v>
      </c>
      <c r="G81" s="141" t="s">
        <v>6509</v>
      </c>
      <c r="H81" s="141" t="s">
        <v>6510</v>
      </c>
    </row>
    <row r="82" spans="1:8" ht="14.45" customHeight="1" x14ac:dyDescent="0.15">
      <c r="A82" s="26" t="str" cm="1">
        <f t="array" ref="A82">IFERROR(INDEX($B$1:$B$141,SMALL(IF($B$1:$B$141&lt;&gt;"",ROW($B$1:$B$141),4^8),ROW(82:82)))&amp;"","")</f>
        <v>散塔林会佣兵</v>
      </c>
      <c r="B82" s="141" t="str">
        <f>IF(自定义调整栏!$E$26="O","前邪教徒","")</f>
        <v/>
      </c>
      <c r="C82" s="141" t="s">
        <v>3024</v>
      </c>
      <c r="D82" s="141" t="s">
        <v>3022</v>
      </c>
      <c r="E82" s="141" t="s">
        <v>6512</v>
      </c>
      <c r="F82" s="141" t="s">
        <v>2882</v>
      </c>
      <c r="G82" s="141" t="s">
        <v>6513</v>
      </c>
      <c r="H82" s="141" t="s">
        <v>6498</v>
      </c>
    </row>
    <row r="83" spans="1:8" ht="14.45" customHeight="1" x14ac:dyDescent="0.15">
      <c r="A83" s="26" t="str" cm="1">
        <f t="array" ref="A83">IFERROR(INDEX($B$1:$B$141,SMALL(IF($B$1:$B$141&lt;&gt;"",ROW($B$1:$B$141),4^8),ROW(83:83)))&amp;"","")</f>
        <v>洛温专家</v>
      </c>
      <c r="B83" s="26" t="str">
        <f>IF(自定义调整栏!$E$33="O","AHA学徒","")</f>
        <v/>
      </c>
      <c r="C83" s="26" t="s">
        <v>3024</v>
      </c>
      <c r="D83" s="26" t="s">
        <v>3022</v>
      </c>
      <c r="E83" s="26" t="s">
        <v>3112</v>
      </c>
      <c r="F83" s="26" t="s">
        <v>3109</v>
      </c>
      <c r="G83" s="26" t="s">
        <v>7167</v>
      </c>
      <c r="H83" s="26" t="s">
        <v>7168</v>
      </c>
    </row>
    <row r="84" spans="1:8" ht="14.45" customHeight="1" x14ac:dyDescent="0.15">
      <c r="A84" s="26" t="str" cm="1">
        <f t="array" ref="A84">IFERROR(INDEX($B$1:$B$141,SMALL(IF($B$1:$B$141&lt;&gt;"",ROW($B$1:$B$141),4^8),ROW(84:84)))&amp;"","")</f>
        <v>影原专家</v>
      </c>
      <c r="B84" s="26" t="str">
        <f>IF(自定义调整栏!$E$33="O","潜水学徒","")</f>
        <v/>
      </c>
      <c r="C84" s="26" t="s">
        <v>3024</v>
      </c>
      <c r="D84" s="26" t="s">
        <v>3022</v>
      </c>
      <c r="E84" s="26" t="s">
        <v>7169</v>
      </c>
      <c r="F84" s="26" t="s">
        <v>7170</v>
      </c>
      <c r="G84" s="26" t="s">
        <v>7171</v>
      </c>
      <c r="H84" s="26" t="s">
        <v>7172</v>
      </c>
    </row>
    <row r="85" spans="1:8" ht="14.45" customHeight="1" x14ac:dyDescent="0.15">
      <c r="A85" s="26" t="str" cm="1">
        <f t="array" ref="A85">IFERROR(INDEX($B$1:$B$141,SMALL(IF($B$1:$B$141&lt;&gt;"",ROW($B$1:$B$141),4^8),ROW(85:85)))&amp;"","")</f>
        <v>考古学家</v>
      </c>
      <c r="B85" s="26" t="str">
        <f>IF(自定义调整栏!$E$33="O","魔女学徒","")</f>
        <v/>
      </c>
      <c r="C85" s="26" t="s">
        <v>3024</v>
      </c>
      <c r="D85" s="26" t="s">
        <v>3022</v>
      </c>
      <c r="E85" s="26" t="s">
        <v>7173</v>
      </c>
      <c r="F85" s="26" t="s">
        <v>7174</v>
      </c>
      <c r="G85" s="26" t="s">
        <v>7175</v>
      </c>
      <c r="H85" s="26" t="s">
        <v>7176</v>
      </c>
    </row>
    <row r="86" spans="1:8" ht="14.45" customHeight="1" x14ac:dyDescent="0.15">
      <c r="A86" s="26" t="str" cm="1">
        <f t="array" ref="A86">IFERROR(INDEX($B$1:$B$141,SMALL(IF($B$1:$B$141&lt;&gt;"",ROW($B$1:$B$141),4^8),ROW(86:86)))&amp;"","")</f>
        <v>家族代理人</v>
      </c>
      <c r="B86" s="26" t="str">
        <f>IF(自定义调整栏!$E$33="O","速递队学员","")</f>
        <v/>
      </c>
      <c r="C86" s="26" t="s">
        <v>3024</v>
      </c>
      <c r="D86" s="26" t="s">
        <v>3022</v>
      </c>
      <c r="E86" s="26" t="s">
        <v>3186</v>
      </c>
      <c r="F86" s="26" t="s">
        <v>7177</v>
      </c>
      <c r="G86" s="26" t="s">
        <v>7178</v>
      </c>
      <c r="H86" s="26" t="s">
        <v>7179</v>
      </c>
    </row>
    <row r="87" spans="1:8" ht="14.45" customHeight="1" x14ac:dyDescent="0.15">
      <c r="A87" s="26" t="str" cm="1">
        <f t="array" ref="A87">IFERROR(INDEX($B$1:$B$141,SMALL(IF($B$1:$B$141&lt;&gt;"",ROW($B$1:$B$141),4^8),ROW(87:87)))&amp;"","")</f>
        <v>探事员</v>
      </c>
      <c r="B87" s="26" t="str">
        <f>IF(自定义调整栏!$E$33="O","机械师","")</f>
        <v/>
      </c>
      <c r="C87" s="26" t="s">
        <v>3024</v>
      </c>
      <c r="D87" s="26" t="s">
        <v>3022</v>
      </c>
      <c r="E87" s="26" t="s">
        <v>7180</v>
      </c>
      <c r="F87" s="26" t="s">
        <v>7181</v>
      </c>
      <c r="G87" s="26" t="s">
        <v>7182</v>
      </c>
      <c r="H87" s="26" t="s">
        <v>7183</v>
      </c>
    </row>
    <row r="88" spans="1:8" ht="14.45" customHeight="1" x14ac:dyDescent="0.15">
      <c r="A88" s="26" t="str" cm="1">
        <f t="array" ref="A88">IFERROR(INDEX($B$1:$B$141,SMALL(IF($B$1:$B$141&lt;&gt;"",ROW($B$1:$B$141),4^8),ROW(88:88)))&amp;"","")</f>
        <v>异种家族后裔</v>
      </c>
      <c r="B88" s="26" t="str">
        <f>IF(自定义调整栏!$E$33="O","亲灵者","")</f>
        <v/>
      </c>
      <c r="C88" s="26" t="s">
        <v>3024</v>
      </c>
      <c r="D88" s="26" t="s">
        <v>3022</v>
      </c>
      <c r="E88" s="26" t="s">
        <v>7184</v>
      </c>
      <c r="F88" s="26" t="s">
        <v>2882</v>
      </c>
      <c r="G88" s="26" t="s">
        <v>7185</v>
      </c>
      <c r="H88" s="26" t="s">
        <v>7186</v>
      </c>
    </row>
    <row r="89" spans="1:8" ht="14.45" customHeight="1" x14ac:dyDescent="0.15">
      <c r="A89" s="26" t="str" cm="1">
        <f t="array" ref="A89">IFERROR(INDEX($B$1:$B$141,SMALL(IF($B$1:$B$141&lt;&gt;"",ROW($B$1:$B$141),4^8),ROW(89:89)))&amp;"","")</f>
        <v>梅丹尼家族后裔</v>
      </c>
      <c r="B89" s="141" t="str">
        <f>IF(自定义调整栏!$E$35="O","德鲁斯肯瓦尔德居民","")</f>
        <v/>
      </c>
      <c r="C89" s="141" t="s">
        <v>3024</v>
      </c>
      <c r="D89" s="141" t="s">
        <v>3022</v>
      </c>
      <c r="E89" s="141" t="s">
        <v>7187</v>
      </c>
      <c r="F89" s="141" t="s">
        <v>7188</v>
      </c>
      <c r="G89" s="141" t="s">
        <v>7189</v>
      </c>
      <c r="H89" s="141" t="s">
        <v>7190</v>
      </c>
    </row>
    <row r="90" spans="1:8" ht="14.45" customHeight="1" x14ac:dyDescent="0.15">
      <c r="A90" s="26" t="str" cm="1">
        <f t="array" ref="A90">IFERROR(INDEX($B$1:$B$141,SMALL(IF($B$1:$B$141&lt;&gt;"",ROW($B$1:$B$141),4^8),ROW(90:90)))&amp;"","")</f>
        <v>萨拉释克家族后裔</v>
      </c>
      <c r="B90" s="141" t="str">
        <f>IF(自定义调整栏!$E$35="O","实验体","")</f>
        <v/>
      </c>
      <c r="C90" s="141" t="s">
        <v>3024</v>
      </c>
      <c r="D90" s="141" t="s">
        <v>7191</v>
      </c>
      <c r="E90" s="141" t="s">
        <v>7192</v>
      </c>
      <c r="F90" s="141" t="s">
        <v>7174</v>
      </c>
      <c r="G90" s="141" t="s">
        <v>7193</v>
      </c>
      <c r="H90" s="141" t="s">
        <v>7194</v>
      </c>
    </row>
    <row r="91" spans="1:8" ht="14.45" customHeight="1" x14ac:dyDescent="0.15">
      <c r="A91" s="26" t="str" cm="1">
        <f t="array" ref="A91">IFERROR(INDEX($B$1:$B$141,SMALL(IF($B$1:$B$141&lt;&gt;"",ROW($B$1:$B$141),4^8),ROW(91:91)))&amp;"","")</f>
        <v>瓦达利斯家族后裔</v>
      </c>
      <c r="B91" s="141" t="str">
        <f>IF(自定义调整栏!$E$35="O","柳编咒匠","")</f>
        <v/>
      </c>
      <c r="C91" s="141" t="s">
        <v>3024</v>
      </c>
      <c r="D91" s="141" t="s">
        <v>7195</v>
      </c>
      <c r="E91" s="141" t="s">
        <v>7196</v>
      </c>
      <c r="F91" s="141" t="s">
        <v>7197</v>
      </c>
      <c r="G91" s="141" t="s">
        <v>7198</v>
      </c>
      <c r="H91" s="141" t="s">
        <v>7199</v>
      </c>
    </row>
    <row r="92" spans="1:8" ht="14.45" customHeight="1" x14ac:dyDescent="0.15">
      <c r="A92" s="26" t="str" cm="1">
        <f t="array" ref="A92">IFERROR(INDEX($B$1:$B$141,SMALL(IF($B$1:$B$141&lt;&gt;"",ROW($B$1:$B$141),4^8),ROW(92:92)))&amp;"","")</f>
        <v>乔拉斯科家族家族后裔</v>
      </c>
      <c r="B92" s="141" t="str">
        <f>IF(自定义调整栏!$E$35="O","猩红求道者","")</f>
        <v/>
      </c>
      <c r="C92" s="141" t="s">
        <v>3024</v>
      </c>
      <c r="D92" s="141" t="s">
        <v>7200</v>
      </c>
      <c r="E92" s="141" t="s">
        <v>7201</v>
      </c>
      <c r="F92" s="141" t="s">
        <v>3086</v>
      </c>
      <c r="G92" s="141" t="s">
        <v>7202</v>
      </c>
      <c r="H92" s="141" t="s">
        <v>7203</v>
      </c>
    </row>
    <row r="93" spans="1:8" ht="14.45" customHeight="1" x14ac:dyDescent="0.15">
      <c r="A93" s="26" t="str" cm="1">
        <f t="array" ref="A93">IFERROR(INDEX($B$1:$B$141,SMALL(IF($B$1:$B$141&lt;&gt;"",ROW($B$1:$B$141),4^8),ROW(93:93)))&amp;"","")</f>
        <v>伽兰达家族后裔</v>
      </c>
      <c r="B93" s="141" t="str">
        <f>IF(自定义调整栏!$E$35="O","密教徒","")</f>
        <v/>
      </c>
      <c r="C93" s="141" t="s">
        <v>3024</v>
      </c>
      <c r="D93" s="141" t="s">
        <v>7204</v>
      </c>
      <c r="E93" s="141" t="s">
        <v>7205</v>
      </c>
      <c r="F93" s="141" t="s">
        <v>7206</v>
      </c>
      <c r="G93" s="141" t="s">
        <v>7207</v>
      </c>
      <c r="H93" s="141" t="s">
        <v>7208</v>
      </c>
    </row>
    <row r="94" spans="1:8" ht="14.45" customHeight="1" x14ac:dyDescent="0.15">
      <c r="A94" s="26" t="str" cm="1">
        <f t="array" ref="A94">IFERROR(INDEX($B$1:$B$141,SMALL(IF($B$1:$B$141&lt;&gt;"",ROW($B$1:$B$141),4^8),ROW(94:94)))&amp;"","")</f>
        <v>坎尼斯家族后裔</v>
      </c>
      <c r="B94" s="141" t="str">
        <f>IF(自定义调整栏!$E$35="O","禁忌学者","")</f>
        <v/>
      </c>
      <c r="C94" s="141" t="s">
        <v>3024</v>
      </c>
      <c r="D94" s="141" t="s">
        <v>7209</v>
      </c>
      <c r="E94" s="141" t="s">
        <v>7210</v>
      </c>
      <c r="F94" s="141" t="s">
        <v>7206</v>
      </c>
      <c r="G94" s="141" t="s">
        <v>7211</v>
      </c>
      <c r="H94" s="141" t="s">
        <v>7212</v>
      </c>
    </row>
    <row r="95" spans="1:8" ht="14.45" customHeight="1" x14ac:dyDescent="0.15">
      <c r="A95" s="26" t="str" cm="1">
        <f t="array" ref="A95">IFERROR(INDEX($B$1:$B$141,SMALL(IF($B$1:$B$141&lt;&gt;"",ROW($B$1:$B$141),4^8),ROW(95:95)))&amp;"","")</f>
        <v>欧瑞恩家族后裔</v>
      </c>
      <c r="B95" s="141" t="str">
        <f>IF(自定义调整栏!$E$35="O","岔路赌徒","")</f>
        <v/>
      </c>
      <c r="C95" s="141" t="s">
        <v>3024</v>
      </c>
      <c r="D95" s="141" t="s">
        <v>7213</v>
      </c>
      <c r="E95" s="141" t="s">
        <v>3107</v>
      </c>
      <c r="F95" s="141" t="s">
        <v>7214</v>
      </c>
      <c r="G95" s="141" t="s">
        <v>7215</v>
      </c>
      <c r="H95" s="141" t="s">
        <v>7216</v>
      </c>
    </row>
    <row r="96" spans="1:8" ht="14.45" customHeight="1" x14ac:dyDescent="0.15">
      <c r="A96" s="26" t="str" cm="1">
        <f t="array" ref="A96">IFERROR(INDEX($B$1:$B$141,SMALL(IF($B$1:$B$141&lt;&gt;"",ROW($B$1:$B$141),4^8),ROW(96:96)))&amp;"","")</f>
        <v>西维斯家族后裔</v>
      </c>
      <c r="B96" s="141" t="str">
        <f>IF(自定义调整栏!$E$35="O","幽灯乘客","")</f>
        <v/>
      </c>
      <c r="C96" s="141" t="s">
        <v>3024</v>
      </c>
      <c r="D96" s="141" t="s">
        <v>7217</v>
      </c>
      <c r="E96" s="141" t="s">
        <v>3042</v>
      </c>
      <c r="F96" s="141" t="s">
        <v>7218</v>
      </c>
      <c r="G96" s="141" t="s">
        <v>7219</v>
      </c>
      <c r="H96" s="141" t="s">
        <v>7220</v>
      </c>
    </row>
    <row r="97" spans="1:8" ht="14.45" customHeight="1" x14ac:dyDescent="0.15">
      <c r="A97" s="26" t="str" cm="1">
        <f t="array" ref="A97">IFERROR(INDEX($B$1:$B$141,SMALL(IF($B$1:$B$141&lt;&gt;"",ROW($B$1:$B$141),4^8),ROW(97:97)))&amp;"","")</f>
        <v>邓内斯家族后裔</v>
      </c>
      <c r="B97" s="141" t="str">
        <f>IF(自定义调整栏!$E$35="O","安魂墓卫","")</f>
        <v/>
      </c>
      <c r="C97" s="141" t="s">
        <v>3024</v>
      </c>
      <c r="D97" s="141" t="s">
        <v>7221</v>
      </c>
      <c r="E97" s="141" t="s">
        <v>7222</v>
      </c>
      <c r="F97" s="141" t="s">
        <v>7223</v>
      </c>
      <c r="G97" s="141" t="s">
        <v>7224</v>
      </c>
      <c r="H97" s="141" t="s">
        <v>7225</v>
      </c>
    </row>
    <row r="98" spans="1:8" ht="14.45" customHeight="1" x14ac:dyDescent="0.15">
      <c r="A98" s="26" t="str" cm="1">
        <f t="array" ref="A98">IFERROR(INDEX($B$1:$B$141,SMALL(IF($B$1:$B$141&lt;&gt;"",ROW($B$1:$B$141),4^8),ROW(98:98)))&amp;"","")</f>
        <v>费亚兰家族后裔</v>
      </c>
      <c r="B98" s="141" t="str">
        <f>IF(自定义调整栏!$E$35="O","暗夜猎手","")</f>
        <v/>
      </c>
      <c r="C98" s="141" t="s">
        <v>3024</v>
      </c>
      <c r="D98" s="141" t="s">
        <v>7226</v>
      </c>
      <c r="E98" s="141" t="s">
        <v>7227</v>
      </c>
      <c r="F98" s="141" t="s">
        <v>7228</v>
      </c>
      <c r="G98" s="141" t="s">
        <v>7229</v>
      </c>
      <c r="H98" s="141" t="s">
        <v>7230</v>
      </c>
    </row>
    <row r="99" spans="1:8" ht="14.45" customHeight="1" x14ac:dyDescent="0.15">
      <c r="A99" s="26" t="str" cm="1">
        <f t="array" ref="A99">IFERROR(INDEX($B$1:$B$141,SMALL(IF($B$1:$B$141&lt;&gt;"",ROW($B$1:$B$141),4^8),ROW(99:99)))&amp;"","")</f>
        <v>苏兰尼家族后裔</v>
      </c>
      <c r="B99" s="141" t="str">
        <f>IF(自定义调整栏!$E$35="O","失忆者","")</f>
        <v/>
      </c>
      <c r="C99" s="141" t="s">
        <v>3024</v>
      </c>
      <c r="D99" s="141" t="s">
        <v>7231</v>
      </c>
      <c r="E99" s="141" t="s">
        <v>2882</v>
      </c>
      <c r="F99" s="141" t="s">
        <v>2882</v>
      </c>
      <c r="G99" s="141" t="s">
        <v>7232</v>
      </c>
      <c r="H99" s="141" t="s">
        <v>7233</v>
      </c>
    </row>
    <row r="100" spans="1:8" ht="14.45" customHeight="1" x14ac:dyDescent="0.15">
      <c r="A100" s="26" t="str" cm="1">
        <f t="array" ref="A100">IFERROR(INDEX($B$1:$B$141,SMALL(IF($B$1:$B$141&lt;&gt;"",ROW($B$1:$B$141),4^8),ROW(100:100)))&amp;"","")</f>
        <v>黎兰达家族后裔</v>
      </c>
      <c r="B100" s="141" t="str">
        <f>IF(自定义调整栏!$E$35="O","狂欢者","")</f>
        <v/>
      </c>
      <c r="C100" s="141" t="s">
        <v>3024</v>
      </c>
      <c r="D100" s="141" t="s">
        <v>7234</v>
      </c>
      <c r="E100" s="141" t="s">
        <v>7235</v>
      </c>
      <c r="F100" s="141" t="s">
        <v>7236</v>
      </c>
      <c r="G100" s="141" t="s">
        <v>7237</v>
      </c>
      <c r="H100" s="141" t="s">
        <v>7238</v>
      </c>
    </row>
    <row r="101" spans="1:8" ht="14.45" customHeight="1" x14ac:dyDescent="0.15">
      <c r="A101" s="26" t="str" cm="1">
        <f t="array" ref="A101">IFERROR(INDEX($B$1:$B$141,SMALL(IF($B$1:$B$141&lt;&gt;"",ROW($B$1:$B$141),4^8),ROW(101:101)))&amp;"","")</f>
        <v>昆达拉克家族后裔</v>
      </c>
      <c r="B101" s="141" t="str">
        <f>IF(自定义调整栏!$E$35="O","彷徨镜影","")</f>
        <v/>
      </c>
      <c r="C101" s="141" t="s">
        <v>3024</v>
      </c>
      <c r="D101" s="141" t="s">
        <v>7239</v>
      </c>
      <c r="E101" s="141" t="s">
        <v>7240</v>
      </c>
      <c r="F101" s="141" t="s">
        <v>3079</v>
      </c>
      <c r="G101" s="141" t="s">
        <v>7241</v>
      </c>
      <c r="H101" s="141" t="s">
        <v>7242</v>
      </c>
    </row>
    <row r="102" spans="1:8" ht="14.45" customHeight="1" x14ac:dyDescent="0.15">
      <c r="A102" s="26" t="str" cm="1">
        <f t="array" ref="A102">IFERROR(INDEX($B$1:$B$141,SMALL(IF($B$1:$B$141&lt;&gt;"",ROW($B$1:$B$141),4^8),ROW(102:102)))&amp;"","")</f>
        <v>自定义背景1</v>
      </c>
      <c r="B102" s="26" t="str">
        <f>IF(自定义调整栏!$E$10="O","琼达斯海盗","")</f>
        <v>琼达斯海盗</v>
      </c>
      <c r="C102" s="26" t="s">
        <v>9926</v>
      </c>
      <c r="D102" s="26" t="s">
        <v>9927</v>
      </c>
      <c r="E102" s="26" t="s">
        <v>9996</v>
      </c>
      <c r="F102" s="26" t="s">
        <v>7197</v>
      </c>
      <c r="G102" s="26" t="s">
        <v>9928</v>
      </c>
      <c r="H102" s="26" t="s">
        <v>9929</v>
      </c>
    </row>
    <row r="103" spans="1:8" ht="14.45" customHeight="1" x14ac:dyDescent="0.15">
      <c r="A103" s="26" t="str" cm="1">
        <f t="array" ref="A103">IFERROR(INDEX($B$1:$B$141,SMALL(IF($B$1:$B$141&lt;&gt;"",ROW($B$1:$B$141),4^8),ROW(103:103)))&amp;"","")</f>
        <v>自定义背景2</v>
      </c>
      <c r="B103" s="26" t="str">
        <f>IF(自定义调整栏!$E$10="O","死魔法区住民","")</f>
        <v>死魔法区住民</v>
      </c>
      <c r="C103" s="26" t="s">
        <v>9930</v>
      </c>
      <c r="D103" s="26" t="s">
        <v>9931</v>
      </c>
      <c r="E103" s="26" t="s">
        <v>9932</v>
      </c>
      <c r="F103" s="26" t="s">
        <v>9933</v>
      </c>
      <c r="G103" s="26" t="s">
        <v>9934</v>
      </c>
      <c r="H103" s="26" t="s">
        <v>9935</v>
      </c>
    </row>
    <row r="104" spans="1:8" ht="14.45" customHeight="1" x14ac:dyDescent="0.15">
      <c r="A104" s="26" t="str" cm="1">
        <f t="array" ref="A104">IFERROR(INDEX($B$1:$B$141,SMALL(IF($B$1:$B$141&lt;&gt;"",ROW($B$1:$B$141),4^8),ROW(104:104)))&amp;"","")</f>
        <v/>
      </c>
      <c r="B104" s="26" t="str">
        <f>IF(自定义调整栏!$E$10="O","焰拳佣兵","")</f>
        <v>焰拳佣兵</v>
      </c>
      <c r="C104" s="26" t="s">
        <v>9945</v>
      </c>
      <c r="D104" s="26" t="s">
        <v>3150</v>
      </c>
      <c r="E104" s="26" t="s">
        <v>9946</v>
      </c>
      <c r="F104" s="26" t="s">
        <v>7218</v>
      </c>
      <c r="G104" s="26" t="s">
        <v>9947</v>
      </c>
      <c r="H104" s="26" t="s">
        <v>9948</v>
      </c>
    </row>
    <row r="105" spans="1:8" ht="14.45" customHeight="1" x14ac:dyDescent="0.15">
      <c r="A105" s="26" t="str" cm="1">
        <f t="array" ref="A105">IFERROR(INDEX($B$1:$B$141,SMALL(IF($B$1:$B$141&lt;&gt;"",ROW($B$1:$B$141),4^8),ROW(105:105)))&amp;"","")</f>
        <v/>
      </c>
      <c r="B105" s="26" t="str">
        <f>IF(自定义调整栏!$E$10="O","巨灵接触者","")</f>
        <v>巨灵接触者</v>
      </c>
      <c r="C105" s="26" t="s">
        <v>9949</v>
      </c>
      <c r="D105" s="26" t="s">
        <v>9950</v>
      </c>
      <c r="E105" s="26" t="s">
        <v>9951</v>
      </c>
      <c r="F105" s="26" t="s">
        <v>9952</v>
      </c>
      <c r="G105" s="26" t="s">
        <v>9953</v>
      </c>
      <c r="H105" s="26" t="s">
        <v>9954</v>
      </c>
    </row>
    <row r="106" spans="1:8" ht="14.45" customHeight="1" x14ac:dyDescent="0.15">
      <c r="A106" s="26" t="str" cm="1">
        <f t="array" ref="A106">IFERROR(INDEX($B$1:$B$141,SMALL(IF($B$1:$B$141&lt;&gt;"",ROW($B$1:$B$141),4^8),ROW(106:106)))&amp;"","")</f>
        <v/>
      </c>
      <c r="B106" s="26" t="str">
        <f>IF(自定义调整栏!$E$10="O","冰上钓客","")</f>
        <v>冰上钓客</v>
      </c>
      <c r="C106" s="26" t="s">
        <v>9961</v>
      </c>
      <c r="D106" s="26" t="s">
        <v>9962</v>
      </c>
      <c r="E106" s="26" t="s">
        <v>9963</v>
      </c>
      <c r="F106" s="26" t="s">
        <v>9964</v>
      </c>
      <c r="G106" s="26" t="s">
        <v>9965</v>
      </c>
      <c r="H106" s="26" t="s">
        <v>9966</v>
      </c>
    </row>
    <row r="107" spans="1:8" ht="14.45" customHeight="1" x14ac:dyDescent="0.15">
      <c r="A107" s="26" t="str" cm="1">
        <f t="array" ref="A107">IFERROR(INDEX($B$1:$B$141,SMALL(IF($B$1:$B$141&lt;&gt;"",ROW($B$1:$B$141),4^8),ROW(107:107)))&amp;"","")</f>
        <v/>
      </c>
      <c r="B107" s="26" t="str">
        <f>IF(自定义调整栏!$E$10="O","月井朝圣者","")</f>
        <v>月井朝圣者</v>
      </c>
      <c r="C107" s="26" t="s">
        <v>9976</v>
      </c>
      <c r="D107" s="26" t="s">
        <v>9977</v>
      </c>
      <c r="E107" s="26" t="s">
        <v>9978</v>
      </c>
      <c r="F107" s="26" t="s">
        <v>9979</v>
      </c>
      <c r="G107" s="26" t="s">
        <v>9980</v>
      </c>
      <c r="H107" s="26" t="s">
        <v>9981</v>
      </c>
    </row>
    <row r="108" spans="1:8" ht="14.45" customHeight="1" x14ac:dyDescent="0.15">
      <c r="A108" s="26" t="str" cm="1">
        <f t="array" ref="A108">IFERROR(INDEX($B$1:$B$141,SMALL(IF($B$1:$B$141&lt;&gt;"",ROW($B$1:$B$141),4^8),ROW(108:108)))&amp;"","")</f>
        <v/>
      </c>
      <c r="B108" s="26" t="str">
        <f>IF(自定义调整栏!$E$10="O","穆尔霍兰德盗墓者","")</f>
        <v>穆尔霍兰德盗墓者</v>
      </c>
      <c r="C108" s="26" t="s">
        <v>9936</v>
      </c>
      <c r="D108" s="26" t="s">
        <v>9982</v>
      </c>
      <c r="E108" s="26" t="s">
        <v>9983</v>
      </c>
      <c r="F108" s="26" t="s">
        <v>7223</v>
      </c>
      <c r="G108" s="26" t="s">
        <v>9984</v>
      </c>
      <c r="H108" s="26" t="s">
        <v>9985</v>
      </c>
    </row>
    <row r="109" spans="1:8" ht="14.45" customHeight="1" x14ac:dyDescent="0.15">
      <c r="A109" s="26" t="str" cm="1">
        <f t="array" ref="A109">IFERROR(INDEX($B$1:$B$141,SMALL(IF($B$1:$B$141&lt;&gt;"",ROW($B$1:$B$141),4^8),ROW(109:109)))&amp;"","")</f>
        <v/>
      </c>
      <c r="B109" s="26" t="str">
        <f>IF(自定义调整栏!$E$10="O","迷锁守卫者","")</f>
        <v>迷锁守卫者</v>
      </c>
      <c r="C109" s="26" t="s">
        <v>9986</v>
      </c>
      <c r="D109" s="26" t="s">
        <v>9987</v>
      </c>
      <c r="E109" s="26" t="s">
        <v>9988</v>
      </c>
      <c r="F109" s="26" t="s">
        <v>9989</v>
      </c>
      <c r="G109" s="26" t="s">
        <v>9990</v>
      </c>
      <c r="H109" s="26" t="s">
        <v>9991</v>
      </c>
    </row>
    <row r="110" spans="1:8" ht="14.45" customHeight="1" x14ac:dyDescent="0.15">
      <c r="A110" s="26" t="str" cm="1">
        <f t="array" ref="A110">IFERROR(INDEX($B$1:$B$141,SMALL(IF($B$1:$B$141&lt;&gt;"",ROW($B$1:$B$141),4^8),ROW(110:110)))&amp;"","")</f>
        <v/>
      </c>
      <c r="B110" s="26" t="str">
        <f>IF(自定义调整栏!$E$10="O","莱瑟曼流浪者","")</f>
        <v>莱瑟曼流浪者</v>
      </c>
      <c r="C110" s="26" t="s">
        <v>9945</v>
      </c>
      <c r="D110" s="26" t="s">
        <v>3150</v>
      </c>
      <c r="E110" s="26" t="s">
        <v>9946</v>
      </c>
      <c r="F110" s="26" t="s">
        <v>9999</v>
      </c>
      <c r="G110" s="26" t="s">
        <v>10000</v>
      </c>
      <c r="H110" s="26" t="s">
        <v>10001</v>
      </c>
    </row>
    <row r="111" spans="1:8" ht="14.45" customHeight="1" x14ac:dyDescent="0.15">
      <c r="A111" s="26" t="str" cm="1">
        <f t="array" ref="A111">IFERROR(INDEX($B$1:$B$141,SMALL(IF($B$1:$B$141&lt;&gt;"",ROW($B$1:$B$141),4^8),ROW(111:111)))&amp;"","")</f>
        <v/>
      </c>
      <c r="B111" s="26" t="str">
        <f>IF(自定义调整栏!$E$10="O","影宗放逐者","")</f>
        <v>影宗放逐者</v>
      </c>
      <c r="C111" s="26" t="s">
        <v>9955</v>
      </c>
      <c r="D111" s="26" t="s">
        <v>10002</v>
      </c>
      <c r="E111" s="26" t="s">
        <v>10003</v>
      </c>
      <c r="F111" s="26" t="s">
        <v>10004</v>
      </c>
      <c r="G111" s="26" t="s">
        <v>10005</v>
      </c>
      <c r="H111" s="26" t="s">
        <v>10006</v>
      </c>
    </row>
    <row r="112" spans="1:8" ht="14.45" customHeight="1" x14ac:dyDescent="0.15">
      <c r="A112" s="26" t="str" cm="1">
        <f t="array" ref="A112">IFERROR(INDEX($B$1:$B$141,SMALL(IF($B$1:$B$141&lt;&gt;"",ROW($B$1:$B$141),4^8),ROW(112:112)))&amp;"","")</f>
        <v/>
      </c>
      <c r="B112" s="26" t="str">
        <f>IF(自定义调整栏!$E$10="O","咒火学徒","")</f>
        <v>咒火学徒</v>
      </c>
      <c r="C112" s="26" t="s">
        <v>10007</v>
      </c>
      <c r="D112" s="26" t="s">
        <v>10008</v>
      </c>
      <c r="E112" s="26" t="s">
        <v>10009</v>
      </c>
      <c r="F112" s="26" t="s">
        <v>10010</v>
      </c>
      <c r="G112" s="26" t="s">
        <v>10011</v>
      </c>
      <c r="H112" s="26" t="s">
        <v>10012</v>
      </c>
    </row>
    <row r="113" spans="1:8" ht="14.45" customHeight="1" x14ac:dyDescent="0.15">
      <c r="A113" s="26" t="str" cm="1">
        <f t="array" ref="A113">IFERROR(INDEX($B$1:$B$141,SMALL(IF($B$1:$B$141&lt;&gt;"",ROW($B$1:$B$141),4^8),ROW(113:113)))&amp;"","")</f>
        <v/>
      </c>
      <c r="B113" s="26" t="str">
        <f>IF(自定义调整栏!$E$10="O","龙巫教信徒","")</f>
        <v>龙巫教信徒</v>
      </c>
      <c r="C113" s="26" t="s">
        <v>9936</v>
      </c>
      <c r="D113" s="26" t="s">
        <v>9937</v>
      </c>
      <c r="E113" s="26" t="s">
        <v>9938</v>
      </c>
      <c r="F113" s="26" t="s">
        <v>7206</v>
      </c>
      <c r="G113" s="26" t="s">
        <v>9939</v>
      </c>
      <c r="H113" s="26" t="s">
        <v>9940</v>
      </c>
    </row>
    <row r="114" spans="1:8" ht="14.45" customHeight="1" x14ac:dyDescent="0.15">
      <c r="A114" s="26" t="str" cm="1">
        <f t="array" ref="A114">IFERROR(INDEX($B$1:$B$141,SMALL(IF($B$1:$B$141&lt;&gt;"",ROW($B$1:$B$141),4^8),ROW(114:114)))&amp;"","")</f>
        <v/>
      </c>
      <c r="B114" s="26" t="str">
        <f>IF(自定义调整栏!$E$10="O","翠绿闲庭庇护者","")</f>
        <v>翠绿闲庭庇护者</v>
      </c>
      <c r="C114" s="26" t="s">
        <v>9941</v>
      </c>
      <c r="D114" s="26" t="s">
        <v>9942</v>
      </c>
      <c r="E114" s="26" t="s">
        <v>9943</v>
      </c>
      <c r="F114" s="26" t="s">
        <v>3086</v>
      </c>
      <c r="G114" s="26" t="s">
        <v>9959</v>
      </c>
      <c r="H114" s="26" t="s">
        <v>9944</v>
      </c>
    </row>
    <row r="115" spans="1:8" ht="14.45" customHeight="1" x14ac:dyDescent="0.15">
      <c r="A115" s="26" t="str" cm="1">
        <f t="array" ref="A115">IFERROR(INDEX($B$1:$B$141,SMALL(IF($B$1:$B$141&lt;&gt;"",ROW($B$1:$B$141),4^8),ROW(115:115)))&amp;"","")</f>
        <v/>
      </c>
      <c r="B115" s="26" t="str">
        <f>IF(自定义调整栏!$E$10="O","竖琴手","")</f>
        <v>竖琴手</v>
      </c>
      <c r="C115" s="26" t="s">
        <v>9955</v>
      </c>
      <c r="D115" s="26" t="s">
        <v>9956</v>
      </c>
      <c r="E115" s="26" t="s">
        <v>9957</v>
      </c>
      <c r="F115" s="26" t="s">
        <v>3079</v>
      </c>
      <c r="G115" s="26" t="s">
        <v>9958</v>
      </c>
      <c r="H115" s="26" t="s">
        <v>9960</v>
      </c>
    </row>
    <row r="116" spans="1:8" ht="14.45" customHeight="1" x14ac:dyDescent="0.15">
      <c r="A116" s="26" t="str" cm="1">
        <f t="array" ref="A116">IFERROR(INDEX($B$1:$B$141,SMALL(IF($B$1:$B$141&lt;&gt;"",ROW($B$1:$B$141),4^8),ROW(116:116)))&amp;"","")</f>
        <v/>
      </c>
      <c r="B116" s="26" t="str">
        <f>IF(自定义调整栏!$E$10="O","臂铠骑士","")</f>
        <v>臂铠骑士</v>
      </c>
      <c r="C116" s="26" t="s">
        <v>9967</v>
      </c>
      <c r="D116" s="26" t="s">
        <v>9968</v>
      </c>
      <c r="E116" s="26" t="s">
        <v>9969</v>
      </c>
      <c r="F116" s="26" t="s">
        <v>7218</v>
      </c>
      <c r="G116" s="26" t="s">
        <v>9970</v>
      </c>
      <c r="H116" s="26" t="s">
        <v>9971</v>
      </c>
    </row>
    <row r="117" spans="1:8" ht="14.45" customHeight="1" x14ac:dyDescent="0.15">
      <c r="A117" s="26" t="str" cm="1">
        <f t="array" ref="A117">IFERROR(INDEX($B$1:$B$141,SMALL(IF($B$1:$B$141&lt;&gt;"",ROW($B$1:$B$141),4^8),ROW(117:117)))&amp;"","")</f>
        <v/>
      </c>
      <c r="B117" s="26" t="str">
        <f>IF(自定义调整栏!$E$10="O","领主联盟臣属","")</f>
        <v>领主联盟臣属</v>
      </c>
      <c r="C117" s="26" t="s">
        <v>9972</v>
      </c>
      <c r="D117" s="26" t="s">
        <v>9973</v>
      </c>
      <c r="E117" s="26" t="s">
        <v>10747</v>
      </c>
      <c r="F117" s="26" t="s">
        <v>7206</v>
      </c>
      <c r="G117" s="26" t="s">
        <v>9974</v>
      </c>
      <c r="H117" s="26" t="s">
        <v>9975</v>
      </c>
    </row>
    <row r="118" spans="1:8" ht="14.45" customHeight="1" x14ac:dyDescent="0.15">
      <c r="A118" s="26" t="str" cm="1">
        <f t="array" ref="A118">IFERROR(INDEX($B$1:$B$141,SMALL(IF($B$1:$B$141&lt;&gt;"",ROW($B$1:$B$141),4^8),ROW(118:118)))&amp;"","")</f>
        <v/>
      </c>
      <c r="B118" s="26" t="str">
        <f>IF(自定义调整栏!$E$10="O","紫龙骑士侍从","")</f>
        <v>紫龙骑士侍从</v>
      </c>
      <c r="C118" s="26" t="s">
        <v>9992</v>
      </c>
      <c r="D118" s="26" t="s">
        <v>9993</v>
      </c>
      <c r="E118" s="26" t="s">
        <v>9994</v>
      </c>
      <c r="F118" s="26" t="s">
        <v>9995</v>
      </c>
      <c r="G118" s="26" t="s">
        <v>9997</v>
      </c>
      <c r="H118" s="26" t="s">
        <v>9998</v>
      </c>
    </row>
    <row r="119" spans="1:8" ht="14.45" customHeight="1" x14ac:dyDescent="0.15">
      <c r="A119" s="26" t="str" cm="1">
        <f t="array" ref="A119">IFERROR(INDEX($B$1:$B$141,SMALL(IF($B$1:$B$141&lt;&gt;"",ROW($B$1:$B$141),4^8),ROW(119:119)))&amp;"","")</f>
        <v/>
      </c>
      <c r="B119" s="26" t="str">
        <f>IF(自定义调整栏!$E$10="O","散塔林会佣兵","")</f>
        <v>散塔林会佣兵</v>
      </c>
      <c r="C119" s="26" t="s">
        <v>10013</v>
      </c>
      <c r="D119" s="26" t="s">
        <v>10014</v>
      </c>
      <c r="E119" s="26" t="s">
        <v>9946</v>
      </c>
      <c r="F119" s="26" t="s">
        <v>10015</v>
      </c>
      <c r="G119" s="26" t="s">
        <v>10016</v>
      </c>
      <c r="H119" s="26" t="s">
        <v>10017</v>
      </c>
    </row>
    <row r="120" spans="1:8" ht="14.45" customHeight="1" x14ac:dyDescent="0.15">
      <c r="A120" s="26" t="str" cm="1">
        <f t="array" ref="A120">IFERROR(INDEX($B$1:$B$141,SMALL(IF($B$1:$B$141&lt;&gt;"",ROW($B$1:$B$141),4^8),ROW(120:120)))&amp;"","")</f>
        <v/>
      </c>
      <c r="B120" s="141" t="str">
        <f>IF(自定义调整栏!$E$11="O","洛温专家","")</f>
        <v>洛温专家</v>
      </c>
      <c r="C120" s="141" t="s">
        <v>9930</v>
      </c>
      <c r="D120" s="141" t="s">
        <v>10127</v>
      </c>
      <c r="E120" s="141" t="s">
        <v>10128</v>
      </c>
      <c r="F120" s="141" t="s">
        <v>9999</v>
      </c>
      <c r="G120" s="141" t="s">
        <v>10129</v>
      </c>
      <c r="H120" s="141" t="s">
        <v>10130</v>
      </c>
    </row>
    <row r="121" spans="1:8" ht="14.45" customHeight="1" x14ac:dyDescent="0.15">
      <c r="A121" s="26" t="str" cm="1">
        <f t="array" ref="A121">IFERROR(INDEX($B$1:$B$141,SMALL(IF($B$1:$B$141&lt;&gt;"",ROW($B$1:$B$141),4^8),ROW(121:121)))&amp;"","")</f>
        <v/>
      </c>
      <c r="B121" s="141" t="str">
        <f>IF(自定义调整栏!$E$11="O","影原专家","")</f>
        <v>影原专家</v>
      </c>
      <c r="C121" s="141" t="s">
        <v>9955</v>
      </c>
      <c r="D121" s="141" t="s">
        <v>10131</v>
      </c>
      <c r="E121" s="141" t="s">
        <v>10132</v>
      </c>
      <c r="F121" s="141" t="s">
        <v>9952</v>
      </c>
      <c r="G121" s="141" t="s">
        <v>10133</v>
      </c>
      <c r="H121" s="141" t="s">
        <v>10134</v>
      </c>
    </row>
    <row r="122" spans="1:8" ht="14.45" customHeight="1" x14ac:dyDescent="0.15">
      <c r="A122" s="26" t="str" cm="1">
        <f t="array" ref="A122">IFERROR(INDEX($B$1:$B$141,SMALL(IF($B$1:$B$141&lt;&gt;"",ROW($B$1:$B$141),4^8),ROW(122:122)))&amp;"","")</f>
        <v/>
      </c>
      <c r="B122" s="26" t="str">
        <f>IF(自定义调整栏!$E$13="O","考古学家","")</f>
        <v>考古学家</v>
      </c>
      <c r="C122" s="26" t="s">
        <v>909</v>
      </c>
      <c r="D122" s="26" t="s">
        <v>525</v>
      </c>
      <c r="E122" s="26" t="s">
        <v>10339</v>
      </c>
      <c r="F122" s="26" t="s">
        <v>228</v>
      </c>
      <c r="G122" s="26" t="s">
        <v>10340</v>
      </c>
      <c r="H122" s="26" t="s">
        <v>10341</v>
      </c>
    </row>
    <row r="123" spans="1:8" ht="14.45" customHeight="1" x14ac:dyDescent="0.15">
      <c r="A123" s="26" t="str" cm="1">
        <f t="array" ref="A123">IFERROR(INDEX($B$1:$B$141,SMALL(IF($B$1:$B$141&lt;&gt;"",ROW($B$1:$B$141),4^8),ROW(123:123)))&amp;"","")</f>
        <v/>
      </c>
      <c r="B123" s="26" t="str">
        <f>IF(自定义调整栏!$E$13="O","家族代理人","")</f>
        <v>家族代理人</v>
      </c>
      <c r="C123" s="26" t="s">
        <v>893</v>
      </c>
      <c r="D123" s="26" t="s">
        <v>522</v>
      </c>
      <c r="E123" s="26" t="s">
        <v>844</v>
      </c>
      <c r="F123" s="26" t="s">
        <v>845</v>
      </c>
      <c r="G123" s="26" t="s">
        <v>10342</v>
      </c>
      <c r="H123" s="26" t="s">
        <v>10343</v>
      </c>
    </row>
    <row r="124" spans="1:8" ht="14.45" customHeight="1" x14ac:dyDescent="0.15">
      <c r="A124" s="26" t="str" cm="1">
        <f t="array" ref="A124">IFERROR(INDEX($B$1:$B$141,SMALL(IF($B$1:$B$141&lt;&gt;"",ROW($B$1:$B$141),4^8),ROW(124:124)))&amp;"","")</f>
        <v/>
      </c>
      <c r="B124" s="26" t="str">
        <f>IF(自定义调整栏!$E$13="O","探事员","")</f>
        <v>探事员</v>
      </c>
      <c r="C124" s="26" t="s">
        <v>888</v>
      </c>
      <c r="D124" s="26" t="s">
        <v>6641</v>
      </c>
      <c r="E124" s="26" t="s">
        <v>10344</v>
      </c>
      <c r="F124" s="26" t="s">
        <v>408</v>
      </c>
      <c r="G124" s="26" t="s">
        <v>10345</v>
      </c>
      <c r="H124" s="26" t="s">
        <v>10346</v>
      </c>
    </row>
    <row r="125" spans="1:8" ht="14.45" customHeight="1" x14ac:dyDescent="0.15">
      <c r="A125" s="26" t="str" cm="1">
        <f t="array" ref="A125">IFERROR(INDEX($B$1:$B$141,SMALL(IF($B$1:$B$141&lt;&gt;"",ROW($B$1:$B$141),4^8),ROW(125:125)))&amp;"","")</f>
        <v/>
      </c>
      <c r="B125" s="26" t="str">
        <f>IF(自定义调整栏!$E$13="O","异种家族后裔","")</f>
        <v>异种家族后裔</v>
      </c>
      <c r="C125" s="26" t="s">
        <v>10347</v>
      </c>
      <c r="D125" s="26" t="s">
        <v>10390</v>
      </c>
      <c r="E125" s="26" t="s">
        <v>10348</v>
      </c>
      <c r="F125" s="26" t="s">
        <v>320</v>
      </c>
      <c r="G125" s="26" t="s">
        <v>10349</v>
      </c>
      <c r="H125" s="26" t="s">
        <v>10350</v>
      </c>
    </row>
    <row r="126" spans="1:8" ht="14.45" customHeight="1" x14ac:dyDescent="0.15">
      <c r="A126" s="26" t="str" cm="1">
        <f t="array" ref="A126">IFERROR(INDEX($B$1:$B$141,SMALL(IF($B$1:$B$141&lt;&gt;"",ROW($B$1:$B$141),4^8),ROW(126:126)))&amp;"","")</f>
        <v/>
      </c>
      <c r="B126" s="26" t="str">
        <f>IF(自定义调整栏!$E$13="O","梅丹尼家族后裔","")</f>
        <v>梅丹尼家族后裔</v>
      </c>
      <c r="C126" s="26" t="s">
        <v>909</v>
      </c>
      <c r="D126" s="26" t="s">
        <v>10391</v>
      </c>
      <c r="E126" s="26" t="s">
        <v>10344</v>
      </c>
      <c r="F126" s="26" t="s">
        <v>320</v>
      </c>
      <c r="G126" s="26" t="s">
        <v>10351</v>
      </c>
      <c r="H126" s="26" t="s">
        <v>10352</v>
      </c>
    </row>
    <row r="127" spans="1:8" ht="14.45" customHeight="1" x14ac:dyDescent="0.15">
      <c r="A127" s="26" t="str" cm="1">
        <f t="array" ref="A127">IFERROR(INDEX($B$1:$B$141,SMALL(IF($B$1:$B$141&lt;&gt;"",ROW($B$1:$B$141),4^8),ROW(127:127)))&amp;"","")</f>
        <v/>
      </c>
      <c r="B127" s="26" t="str">
        <f>IF(自定义调整栏!$E$13="O","萨拉释克家族后裔","")</f>
        <v>萨拉释克家族后裔</v>
      </c>
      <c r="C127" s="26" t="s">
        <v>898</v>
      </c>
      <c r="D127" s="26" t="s">
        <v>10392</v>
      </c>
      <c r="E127" s="26" t="s">
        <v>10353</v>
      </c>
      <c r="F127" s="26" t="s">
        <v>873</v>
      </c>
      <c r="G127" s="26" t="s">
        <v>10354</v>
      </c>
      <c r="H127" s="26" t="s">
        <v>10355</v>
      </c>
    </row>
    <row r="128" spans="1:8" ht="14.45" customHeight="1" x14ac:dyDescent="0.15">
      <c r="A128" s="26" t="str" cm="1">
        <f t="array" ref="A128">IFERROR(INDEX($B$1:$B$141,SMALL(IF($B$1:$B$141&lt;&gt;"",ROW($B$1:$B$141),4^8),ROW(128:128)))&amp;"","")</f>
        <v/>
      </c>
      <c r="B128" s="26" t="str">
        <f>IF(自定义调整栏!$E$13="O","瓦达利斯家族后裔","")</f>
        <v>瓦达利斯家族后裔</v>
      </c>
      <c r="C128" s="26" t="s">
        <v>883</v>
      </c>
      <c r="D128" s="26" t="s">
        <v>10393</v>
      </c>
      <c r="E128" s="26" t="s">
        <v>10356</v>
      </c>
      <c r="F128" s="26" t="s">
        <v>356</v>
      </c>
      <c r="G128" s="26" t="s">
        <v>10357</v>
      </c>
      <c r="H128" s="26" t="s">
        <v>10358</v>
      </c>
    </row>
    <row r="129" spans="1:8" ht="14.45" customHeight="1" x14ac:dyDescent="0.15">
      <c r="A129" s="26" t="str" cm="1">
        <f t="array" ref="A129">IFERROR(INDEX($B$1:$B$141,SMALL(IF($B$1:$B$141&lt;&gt;"",ROW($B$1:$B$141),4^8),ROW(129:129)))&amp;"","")</f>
        <v/>
      </c>
      <c r="B129" s="26" t="str">
        <f>IF(自定义调整栏!$E$13="O","乔拉斯科家族家族后裔","")</f>
        <v>乔拉斯科家族家族后裔</v>
      </c>
      <c r="C129" s="26" t="s">
        <v>877</v>
      </c>
      <c r="D129" s="26" t="s">
        <v>10394</v>
      </c>
      <c r="E129" s="26" t="s">
        <v>10359</v>
      </c>
      <c r="F129" s="26" t="s">
        <v>356</v>
      </c>
      <c r="G129" s="26" t="s">
        <v>10360</v>
      </c>
      <c r="H129" s="26" t="s">
        <v>10361</v>
      </c>
    </row>
    <row r="130" spans="1:8" ht="14.45" customHeight="1" x14ac:dyDescent="0.15">
      <c r="A130" s="26" t="str" cm="1">
        <f t="array" ref="A130">IFERROR(INDEX($B$1:$B$141,SMALL(IF($B$1:$B$141&lt;&gt;"",ROW($B$1:$B$141),4^8),ROW(130:130)))&amp;"","")</f>
        <v/>
      </c>
      <c r="B130" s="26" t="str">
        <f>IF(自定义调整栏!$E$13="O","伽兰达家族后裔","")</f>
        <v>伽兰达家族后裔</v>
      </c>
      <c r="C130" s="26" t="s">
        <v>919</v>
      </c>
      <c r="D130" s="26" t="s">
        <v>10395</v>
      </c>
      <c r="E130" s="26" t="s">
        <v>10362</v>
      </c>
      <c r="F130" s="26" t="s">
        <v>247</v>
      </c>
      <c r="G130" s="26" t="s">
        <v>10363</v>
      </c>
      <c r="H130" s="26" t="s">
        <v>10364</v>
      </c>
    </row>
    <row r="131" spans="1:8" ht="14.45" customHeight="1" x14ac:dyDescent="0.15">
      <c r="A131" s="26" t="str" cm="1">
        <f t="array" ref="A131">IFERROR(INDEX($B$1:$B$141,SMALL(IF($B$1:$B$141&lt;&gt;"",ROW($B$1:$B$141),4^8),ROW(131:131)))&amp;"","")</f>
        <v/>
      </c>
      <c r="B131" s="26" t="str">
        <f>IF(自定义调整栏!$E$13="O","坎尼斯家族后裔","")</f>
        <v>坎尼斯家族后裔</v>
      </c>
      <c r="C131" s="26" t="s">
        <v>843</v>
      </c>
      <c r="D131" s="26" t="s">
        <v>10396</v>
      </c>
      <c r="E131" s="26" t="s">
        <v>10365</v>
      </c>
      <c r="F131" s="26" t="s">
        <v>845</v>
      </c>
      <c r="G131" s="26" t="s">
        <v>10366</v>
      </c>
      <c r="H131" s="26" t="s">
        <v>10367</v>
      </c>
    </row>
    <row r="132" spans="1:8" ht="14.45" customHeight="1" x14ac:dyDescent="0.15">
      <c r="A132" s="26" t="str" cm="1">
        <f t="array" ref="A132">IFERROR(INDEX($B$1:$B$141,SMALL(IF($B$1:$B$141&lt;&gt;"",ROW($B$1:$B$141),4^8),ROW(132:132)))&amp;"","")</f>
        <v/>
      </c>
      <c r="B132" s="26" t="str">
        <f>IF(自定义调整栏!$E$13="O","欧瑞恩家族后裔","")</f>
        <v>欧瑞恩家族后裔</v>
      </c>
      <c r="C132" s="26" t="s">
        <v>854</v>
      </c>
      <c r="D132" s="26" t="s">
        <v>10397</v>
      </c>
      <c r="E132" s="26" t="s">
        <v>10368</v>
      </c>
      <c r="F132" s="26" t="s">
        <v>228</v>
      </c>
      <c r="G132" s="26" t="s">
        <v>10369</v>
      </c>
      <c r="H132" s="26" t="s">
        <v>10370</v>
      </c>
    </row>
    <row r="133" spans="1:8" ht="14.45" customHeight="1" x14ac:dyDescent="0.15">
      <c r="A133" s="26" t="str" cm="1">
        <f t="array" ref="A133">IFERROR(INDEX($B$1:$B$141,SMALL(IF($B$1:$B$141&lt;&gt;"",ROW($B$1:$B$141),4^8),ROW(133:133)))&amp;"","")</f>
        <v/>
      </c>
      <c r="B133" s="26" t="str">
        <f>IF(自定义调整栏!$E$13="O","西维斯家族后裔","")</f>
        <v>西维斯家族后裔</v>
      </c>
      <c r="C133" s="26" t="s">
        <v>837</v>
      </c>
      <c r="D133" s="26" t="s">
        <v>10398</v>
      </c>
      <c r="E133" s="26" t="s">
        <v>10371</v>
      </c>
      <c r="F133" s="26" t="s">
        <v>208</v>
      </c>
      <c r="G133" s="26" t="s">
        <v>10372</v>
      </c>
      <c r="H133" s="26" t="s">
        <v>10373</v>
      </c>
    </row>
    <row r="134" spans="1:8" ht="14.45" customHeight="1" x14ac:dyDescent="0.15">
      <c r="A134" s="26" t="str" cm="1">
        <f t="array" ref="A134">IFERROR(INDEX($B$1:$B$141,SMALL(IF($B$1:$B$141&lt;&gt;"",ROW($B$1:$B$141),4^8),ROW(134:134)))&amp;"","")</f>
        <v/>
      </c>
      <c r="B134" s="26" t="str">
        <f>IF(自定义调整栏!$E$13="O","邓内斯家族后裔","")</f>
        <v>邓内斯家族后裔</v>
      </c>
      <c r="C134" s="26" t="s">
        <v>866</v>
      </c>
      <c r="D134" s="26" t="s">
        <v>10399</v>
      </c>
      <c r="E134" s="26" t="s">
        <v>10374</v>
      </c>
      <c r="F134" s="26" t="s">
        <v>873</v>
      </c>
      <c r="G134" s="26" t="s">
        <v>10375</v>
      </c>
      <c r="H134" s="26" t="s">
        <v>10376</v>
      </c>
    </row>
    <row r="135" spans="1:8" ht="14.45" customHeight="1" x14ac:dyDescent="0.15">
      <c r="A135" s="26" t="str" cm="1">
        <f t="array" ref="A135">IFERROR(INDEX($B$1:$B$141,SMALL(IF($B$1:$B$141&lt;&gt;"",ROW($B$1:$B$141),4^8),ROW(135:135)))&amp;"","")</f>
        <v/>
      </c>
      <c r="B135" s="26" t="str">
        <f>IF(自定义调整栏!$E$13="O","费亚兰家族后裔","")</f>
        <v>费亚兰家族后裔</v>
      </c>
      <c r="C135" s="26" t="s">
        <v>919</v>
      </c>
      <c r="D135" s="26" t="s">
        <v>10400</v>
      </c>
      <c r="E135" s="26" t="s">
        <v>10377</v>
      </c>
      <c r="F135" s="26" t="s">
        <v>320</v>
      </c>
      <c r="G135" s="26" t="s">
        <v>10351</v>
      </c>
      <c r="H135" s="26" t="s">
        <v>10378</v>
      </c>
    </row>
    <row r="136" spans="1:8" ht="14.45" customHeight="1" x14ac:dyDescent="0.15">
      <c r="A136" s="26" t="str" cm="1">
        <f t="array" ref="A136">IFERROR(INDEX($B$1:$B$141,SMALL(IF($B$1:$B$141&lt;&gt;"",ROW($B$1:$B$141),4^8),ROW(136:136)))&amp;"","")</f>
        <v/>
      </c>
      <c r="B136" s="26" t="str">
        <f>IF(自定义调整栏!$E$13="O","苏兰尼家族后裔","")</f>
        <v>苏兰尼家族后裔</v>
      </c>
      <c r="C136" s="26" t="s">
        <v>10379</v>
      </c>
      <c r="D136" s="26" t="s">
        <v>10400</v>
      </c>
      <c r="E136" s="26" t="s">
        <v>10380</v>
      </c>
      <c r="F136" s="26" t="s">
        <v>862</v>
      </c>
      <c r="G136" s="26" t="s">
        <v>10381</v>
      </c>
      <c r="H136" s="26" t="s">
        <v>10382</v>
      </c>
    </row>
    <row r="137" spans="1:8" ht="14.45" customHeight="1" x14ac:dyDescent="0.15">
      <c r="A137" s="26" t="str" cm="1">
        <f t="array" ref="A137">IFERROR(INDEX($B$1:$B$141,SMALL(IF($B$1:$B$141&lt;&gt;"",ROW($B$1:$B$141),4^8),ROW(137:137)))&amp;"","")</f>
        <v/>
      </c>
      <c r="B137" s="26" t="str">
        <f>IF(自定义调整栏!$E$13="O","黎兰达家族后裔","")</f>
        <v>黎兰达家族后裔</v>
      </c>
      <c r="C137" s="26" t="s">
        <v>860</v>
      </c>
      <c r="D137" s="26" t="s">
        <v>10401</v>
      </c>
      <c r="E137" s="26" t="s">
        <v>10383</v>
      </c>
      <c r="F137" s="26" t="s">
        <v>398</v>
      </c>
      <c r="G137" s="26" t="s">
        <v>10384</v>
      </c>
      <c r="H137" s="26" t="s">
        <v>10385</v>
      </c>
    </row>
    <row r="138" spans="1:8" ht="14.45" customHeight="1" x14ac:dyDescent="0.15">
      <c r="A138" s="26" t="str" cm="1">
        <f t="array" ref="A138">IFERROR(INDEX($B$1:$B$141,SMALL(IF($B$1:$B$141&lt;&gt;"",ROW($B$1:$B$141),4^8),ROW(138:138)))&amp;"","")</f>
        <v/>
      </c>
      <c r="B138" s="26" t="str">
        <f>IF(自定义调整栏!$E$13="O","昆达拉克家族后裔","")</f>
        <v>昆达拉克家族后裔</v>
      </c>
      <c r="C138" s="26" t="s">
        <v>10386</v>
      </c>
      <c r="D138" s="26" t="s">
        <v>10402</v>
      </c>
      <c r="E138" s="26" t="s">
        <v>10387</v>
      </c>
      <c r="F138" s="26" t="s">
        <v>408</v>
      </c>
      <c r="G138" s="26" t="s">
        <v>10388</v>
      </c>
      <c r="H138" s="26" t="s">
        <v>10389</v>
      </c>
    </row>
    <row r="139" spans="1:8" ht="14.45" customHeight="1" x14ac:dyDescent="0.15">
      <c r="A139" s="26" t="str" cm="1">
        <f t="array" ref="A139">IFERROR(INDEX($B$1:$B$141,SMALL(IF($B$1:$B$141&lt;&gt;"",ROW($B$1:$B$141),4^8),ROW(139:139)))&amp;"","")</f>
        <v/>
      </c>
    </row>
    <row r="140" spans="1:8" ht="14.45" customHeight="1" x14ac:dyDescent="0.15">
      <c r="A140" s="26" t="str" cm="1">
        <f t="array" ref="A140">IFERROR(INDEX($B$1:$B$141,SMALL(IF($B$1:$B$141&lt;&gt;"",ROW($B$1:$B$141),4^8),ROW(140:140)))&amp;"","")</f>
        <v/>
      </c>
      <c r="B140" s="229" t="str">
        <f>自定义调整栏!U36</f>
        <v>自定义背景1</v>
      </c>
      <c r="C140" s="230" t="str">
        <f>自定义调整栏!W36</f>
        <v>见注释，或自选至多三项</v>
      </c>
      <c r="D140" s="230" t="str">
        <f>自定义调整栏!Y36</f>
        <v>自选一项起源专长</v>
      </c>
      <c r="E140" s="230" t="str">
        <f>自定义调整栏!AA36</f>
        <v>自选两个适合背景的技能</v>
      </c>
      <c r="F140" s="230" t="str">
        <f>自定义调整栏!U39</f>
        <v>选择一个工具，它与该背景有关，或是经常被该背景的人使用</v>
      </c>
      <c r="G140" s="230" t="str">
        <f>自定义调整栏!W39</f>
        <v>组合一套价值50GP的装备（购买完毕后多余的钱也会包含在其内）。不要将包含军用武器和护甲包含在背景给予的装备中，角色会从其职业中获得这两样装备。</v>
      </c>
      <c r="H140" s="231" t="str">
        <f>自定义调整栏!Y39</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1" spans="1:8" ht="14.45" customHeight="1" x14ac:dyDescent="0.15">
      <c r="A141" s="26" t="str" cm="1">
        <f t="array" ref="A141">IFERROR(INDEX($B$1:$B$141,SMALL(IF($B$1:$B$141&lt;&gt;"",ROW($B$1:$B$141),4^8),ROW(141:141)))&amp;"","")</f>
        <v/>
      </c>
      <c r="B141" s="232" t="str">
        <f>自定义调整栏!U43</f>
        <v>自定义背景2</v>
      </c>
      <c r="C141" s="27" t="str">
        <f>自定义调整栏!W43</f>
        <v>见注释，或自选至多三项</v>
      </c>
      <c r="D141" s="27" t="str">
        <f>自定义调整栏!Y43</f>
        <v>自选一项起源专长</v>
      </c>
      <c r="E141" s="27" t="str">
        <f>自定义调整栏!AA43</f>
        <v>自选两个适合背景的技能</v>
      </c>
      <c r="F141" s="27" t="str">
        <f>自定义调整栏!U46</f>
        <v>选择一个工具，它与该背景有关，或是经常被该背景的人使用</v>
      </c>
      <c r="G141" s="27" t="str">
        <f>自定义调整栏!W46</f>
        <v>组合一套价值50GP的装备（购买完毕后多余的钱也会包含在其内）。不要将包含军用武器和护甲包含在背景给予的装备中，角色会从其职业中获得这两样装备。</v>
      </c>
      <c r="H141" s="28" t="str">
        <f>自定义调整栏!Y46</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2" spans="1:8" ht="14.45" customHeight="1" x14ac:dyDescent="0.15">
      <c r="A142" s="26" t="str" cm="1">
        <f t="array" ref="A142">IFERROR(INDEX($B$1:$B$141,SMALL(IF($B$1:$B$141&lt;&gt;"",ROW($B$1:$B$141),4^8),ROW(143:143)))&amp;"","")</f>
        <v/>
      </c>
    </row>
  </sheetData>
  <phoneticPr fontId="6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7" tint="0.39994506668294322"/>
  </sheetPr>
  <dimension ref="A1:BR49"/>
  <sheetViews>
    <sheetView zoomScale="90" zoomScaleNormal="90" workbookViewId="0">
      <selection activeCell="AE5" sqref="AE5:AO5"/>
    </sheetView>
  </sheetViews>
  <sheetFormatPr defaultColWidth="3.375" defaultRowHeight="16.899999999999999" customHeight="1" x14ac:dyDescent="0.15"/>
  <cols>
    <col min="1" max="33" width="3.375" style="9"/>
    <col min="34" max="34" width="3.375" style="9" customWidth="1"/>
    <col min="35" max="16384" width="3.375" style="9"/>
  </cols>
  <sheetData>
    <row r="1" spans="1:70" ht="16.899999999999999" customHeight="1" x14ac:dyDescent="0.15">
      <c r="A1" s="879" t="s">
        <v>923</v>
      </c>
      <c r="B1" s="879"/>
      <c r="C1" s="879"/>
      <c r="D1" s="879"/>
      <c r="E1" s="879"/>
      <c r="F1" s="879"/>
      <c r="G1" s="879"/>
      <c r="H1" s="879"/>
      <c r="I1" s="879"/>
      <c r="J1" s="879"/>
      <c r="K1" s="879"/>
      <c r="L1" s="879"/>
      <c r="M1" s="879"/>
      <c r="N1" s="879"/>
      <c r="O1" s="879"/>
      <c r="P1" s="879"/>
      <c r="Q1" s="879"/>
      <c r="R1" s="879"/>
      <c r="S1" s="879"/>
      <c r="T1" s="879"/>
      <c r="U1" s="879"/>
      <c r="V1" s="879"/>
      <c r="W1" s="879"/>
      <c r="X1" s="879"/>
      <c r="Y1" s="879"/>
      <c r="Z1" s="879"/>
      <c r="AA1" s="879"/>
      <c r="AB1" s="879"/>
      <c r="AC1" s="879"/>
      <c r="AD1" s="879"/>
      <c r="AE1" s="879"/>
      <c r="AF1" s="879"/>
      <c r="AG1" s="879"/>
      <c r="AH1" s="879"/>
      <c r="AI1" s="879"/>
      <c r="AJ1" s="879"/>
      <c r="AK1" s="879"/>
      <c r="AL1" s="879"/>
      <c r="AM1" s="879"/>
      <c r="AN1" s="879"/>
      <c r="AO1" s="879"/>
      <c r="AP1" s="879"/>
      <c r="AQ1" s="879"/>
      <c r="AR1" s="879"/>
      <c r="AS1" s="879"/>
      <c r="AT1" s="879"/>
      <c r="AU1" s="879"/>
      <c r="AV1" s="879"/>
      <c r="AW1" s="879"/>
      <c r="AX1" s="879"/>
      <c r="AY1" s="879"/>
      <c r="AZ1" s="879"/>
      <c r="BA1" s="879"/>
      <c r="BB1" s="879"/>
      <c r="BC1" s="879"/>
      <c r="BD1" s="879"/>
      <c r="BE1" s="879"/>
      <c r="BF1" s="879"/>
      <c r="BG1" s="879"/>
      <c r="BH1" s="879"/>
      <c r="BI1" s="879"/>
      <c r="BJ1" s="879"/>
      <c r="BK1" s="879"/>
      <c r="BL1" s="879"/>
      <c r="BM1" s="879"/>
      <c r="BN1" s="879"/>
      <c r="BO1" s="879"/>
      <c r="BP1" s="879"/>
      <c r="BQ1" s="879"/>
      <c r="BR1" s="879"/>
    </row>
    <row r="2" spans="1:70" ht="7.9" customHeight="1" x14ac:dyDescent="0.15"/>
    <row r="3" spans="1:70" ht="16.899999999999999" customHeight="1" x14ac:dyDescent="0.15">
      <c r="B3" s="880" t="s">
        <v>924</v>
      </c>
      <c r="C3" s="880"/>
      <c r="D3" s="880"/>
      <c r="E3" s="880"/>
      <c r="F3" s="880"/>
      <c r="G3" s="880"/>
      <c r="H3" s="880"/>
      <c r="I3" s="880"/>
      <c r="J3" s="880"/>
      <c r="K3" s="880"/>
      <c r="L3" s="880"/>
      <c r="M3" s="880"/>
      <c r="N3" s="880"/>
      <c r="O3" s="880"/>
      <c r="P3" s="880"/>
      <c r="Q3" s="880"/>
      <c r="R3" s="880"/>
      <c r="S3" s="880"/>
      <c r="T3" s="880"/>
      <c r="U3" s="880"/>
      <c r="V3" s="880"/>
      <c r="W3" s="880"/>
      <c r="Y3" s="880" t="s">
        <v>129</v>
      </c>
      <c r="Z3" s="880"/>
      <c r="AA3" s="880"/>
      <c r="AB3" s="880"/>
      <c r="AC3" s="880"/>
      <c r="AD3" s="880"/>
      <c r="AE3" s="880"/>
      <c r="AF3" s="880"/>
      <c r="AG3" s="880"/>
      <c r="AH3" s="880"/>
      <c r="AI3" s="880"/>
      <c r="AJ3" s="880"/>
      <c r="AK3" s="880"/>
      <c r="AL3" s="880"/>
      <c r="AM3" s="880"/>
      <c r="AN3" s="880"/>
      <c r="AO3" s="880"/>
      <c r="AP3" s="880"/>
      <c r="AQ3" s="880"/>
      <c r="AR3" s="880"/>
      <c r="AS3" s="881" cm="1">
        <f t="array" ref="AS3">SUM(装备!E14:E23+装备!E25:E34)</f>
        <v>0</v>
      </c>
      <c r="AT3" s="881"/>
      <c r="AV3" s="882" t="s">
        <v>3000</v>
      </c>
      <c r="AW3" s="883"/>
      <c r="AX3" s="883"/>
      <c r="AY3" s="883"/>
      <c r="AZ3" s="883"/>
      <c r="BA3" s="883"/>
      <c r="BB3" s="883"/>
      <c r="BC3" s="883"/>
      <c r="BD3" s="883"/>
      <c r="BE3" s="883"/>
      <c r="BF3" s="883"/>
      <c r="BG3" s="883"/>
      <c r="BH3" s="883"/>
      <c r="BI3" s="883"/>
      <c r="BJ3" s="883"/>
      <c r="BK3" s="883"/>
      <c r="BL3" s="883"/>
      <c r="BM3" s="883"/>
      <c r="BN3" s="883"/>
      <c r="BO3" s="883"/>
      <c r="BP3" s="883"/>
      <c r="BQ3" s="884"/>
    </row>
    <row r="4" spans="1:70" ht="16.899999999999999" customHeight="1" x14ac:dyDescent="0.3">
      <c r="B4" s="537" t="s">
        <v>8562</v>
      </c>
      <c r="C4" s="537"/>
      <c r="D4" s="537"/>
      <c r="E4" s="537"/>
      <c r="F4" s="537" t="s">
        <v>37</v>
      </c>
      <c r="G4" s="537"/>
      <c r="H4" s="537"/>
      <c r="I4" s="537"/>
      <c r="J4" s="537"/>
      <c r="K4" s="537"/>
      <c r="L4" s="537"/>
      <c r="M4" s="537"/>
      <c r="N4" s="537"/>
      <c r="O4" s="537"/>
      <c r="P4" s="537"/>
      <c r="Q4" s="537"/>
      <c r="R4" s="537"/>
      <c r="S4" s="537"/>
      <c r="T4" s="537" t="s">
        <v>925</v>
      </c>
      <c r="U4" s="537"/>
      <c r="V4" s="537" t="s">
        <v>6636</v>
      </c>
      <c r="W4" s="537"/>
      <c r="X4" s="25"/>
      <c r="Y4" s="537" t="s">
        <v>36</v>
      </c>
      <c r="Z4" s="537"/>
      <c r="AA4" s="537"/>
      <c r="AB4" s="537"/>
      <c r="AC4" s="537" t="s">
        <v>10805</v>
      </c>
      <c r="AD4" s="537"/>
      <c r="AE4" s="537" t="s">
        <v>37</v>
      </c>
      <c r="AF4" s="537"/>
      <c r="AG4" s="537"/>
      <c r="AH4" s="537"/>
      <c r="AI4" s="537"/>
      <c r="AJ4" s="537"/>
      <c r="AK4" s="537"/>
      <c r="AL4" s="537"/>
      <c r="AM4" s="537"/>
      <c r="AN4" s="537"/>
      <c r="AO4" s="537"/>
      <c r="AP4" s="537" t="s">
        <v>925</v>
      </c>
      <c r="AQ4" s="537"/>
      <c r="AR4" s="24"/>
      <c r="AS4" s="537" t="s">
        <v>926</v>
      </c>
      <c r="AT4" s="537"/>
      <c r="AV4" s="885" t="s">
        <v>2948</v>
      </c>
      <c r="AW4" s="886"/>
      <c r="AX4" s="886"/>
      <c r="AY4" s="886"/>
      <c r="AZ4" s="886"/>
      <c r="BA4" s="886"/>
      <c r="BB4" s="886"/>
      <c r="BC4" s="886"/>
      <c r="BD4" s="886"/>
      <c r="BE4" s="886"/>
      <c r="BF4" s="886"/>
      <c r="BG4" s="887">
        <f>ROUND(SUM(BA6:BF45)-SUM(BL6:BQ45),2)</f>
        <v>0</v>
      </c>
      <c r="BH4" s="887"/>
      <c r="BI4" s="887"/>
      <c r="BJ4" s="887"/>
      <c r="BK4" s="887"/>
      <c r="BL4" s="887"/>
      <c r="BM4" s="887"/>
      <c r="BN4" s="887"/>
      <c r="BO4" s="887"/>
      <c r="BP4" s="887"/>
      <c r="BQ4" s="888"/>
    </row>
    <row r="5" spans="1:70" ht="16.899999999999999" customHeight="1" x14ac:dyDescent="0.3">
      <c r="B5" s="889"/>
      <c r="C5" s="889"/>
      <c r="D5" s="889"/>
      <c r="E5" s="889"/>
      <c r="F5" s="860"/>
      <c r="G5" s="860"/>
      <c r="H5" s="860"/>
      <c r="I5" s="860"/>
      <c r="J5" s="860"/>
      <c r="K5" s="860"/>
      <c r="L5" s="860"/>
      <c r="M5" s="860"/>
      <c r="N5" s="860"/>
      <c r="O5" s="860"/>
      <c r="P5" s="860"/>
      <c r="Q5" s="860"/>
      <c r="R5" s="860"/>
      <c r="S5" s="860"/>
      <c r="T5" s="890" t="str">
        <f>装备!H2</f>
        <v/>
      </c>
      <c r="U5" s="890"/>
      <c r="V5" s="890" t="str">
        <f>装备!G2</f>
        <v/>
      </c>
      <c r="W5" s="890"/>
      <c r="X5" s="25"/>
      <c r="Y5" s="889"/>
      <c r="Z5" s="889"/>
      <c r="AA5" s="889"/>
      <c r="AB5" s="889"/>
      <c r="AC5" s="556"/>
      <c r="AD5" s="558"/>
      <c r="AE5" s="860"/>
      <c r="AF5" s="860"/>
      <c r="AG5" s="860"/>
      <c r="AH5" s="860"/>
      <c r="AI5" s="860"/>
      <c r="AJ5" s="860"/>
      <c r="AK5" s="860"/>
      <c r="AL5" s="860"/>
      <c r="AM5" s="860"/>
      <c r="AN5" s="860"/>
      <c r="AO5" s="860"/>
      <c r="AP5" s="891"/>
      <c r="AQ5" s="891"/>
      <c r="AR5" s="24" t="s">
        <v>927</v>
      </c>
      <c r="AS5" s="640"/>
      <c r="AT5" s="640"/>
      <c r="AV5" s="874" t="s">
        <v>10977</v>
      </c>
      <c r="AW5" s="875"/>
      <c r="AX5" s="875"/>
      <c r="AY5" s="875"/>
      <c r="AZ5" s="875"/>
      <c r="BA5" s="876" t="s">
        <v>3001</v>
      </c>
      <c r="BB5" s="876"/>
      <c r="BC5" s="876"/>
      <c r="BD5" s="876"/>
      <c r="BE5" s="876"/>
      <c r="BF5" s="876"/>
      <c r="BG5" s="876" t="s">
        <v>10978</v>
      </c>
      <c r="BH5" s="876"/>
      <c r="BI5" s="876"/>
      <c r="BJ5" s="876"/>
      <c r="BK5" s="876"/>
      <c r="BL5" s="876" t="s">
        <v>3001</v>
      </c>
      <c r="BM5" s="876"/>
      <c r="BN5" s="876"/>
      <c r="BO5" s="876"/>
      <c r="BP5" s="876"/>
      <c r="BQ5" s="877"/>
    </row>
    <row r="6" spans="1:70" ht="16.899999999999999" customHeight="1" x14ac:dyDescent="0.15">
      <c r="B6" s="892"/>
      <c r="C6" s="892"/>
      <c r="D6" s="892"/>
      <c r="E6" s="892"/>
      <c r="F6" s="859"/>
      <c r="G6" s="859"/>
      <c r="H6" s="859"/>
      <c r="I6" s="859"/>
      <c r="J6" s="859"/>
      <c r="K6" s="859"/>
      <c r="L6" s="859"/>
      <c r="M6" s="859"/>
      <c r="N6" s="859"/>
      <c r="O6" s="859"/>
      <c r="P6" s="859"/>
      <c r="Q6" s="859"/>
      <c r="R6" s="859"/>
      <c r="S6" s="859"/>
      <c r="T6" s="893" t="str">
        <f>装备!H3</f>
        <v/>
      </c>
      <c r="U6" s="893"/>
      <c r="V6" s="893" t="str">
        <f>装备!G3</f>
        <v/>
      </c>
      <c r="W6" s="893"/>
      <c r="Y6" s="892"/>
      <c r="Z6" s="892"/>
      <c r="AA6" s="892"/>
      <c r="AB6" s="892"/>
      <c r="AC6" s="566"/>
      <c r="AD6" s="568"/>
      <c r="AE6" s="859"/>
      <c r="AF6" s="859"/>
      <c r="AG6" s="859"/>
      <c r="AH6" s="859"/>
      <c r="AI6" s="859"/>
      <c r="AJ6" s="859"/>
      <c r="AK6" s="859"/>
      <c r="AL6" s="859"/>
      <c r="AM6" s="859"/>
      <c r="AN6" s="859"/>
      <c r="AO6" s="859"/>
      <c r="AP6" s="894"/>
      <c r="AQ6" s="894"/>
      <c r="AR6" s="24" t="s">
        <v>927</v>
      </c>
      <c r="AS6" s="669"/>
      <c r="AT6" s="669"/>
      <c r="AV6" s="862" t="s">
        <v>10974</v>
      </c>
      <c r="AW6" s="863"/>
      <c r="AX6" s="863"/>
      <c r="AY6" s="863"/>
      <c r="AZ6" s="864"/>
      <c r="BA6" s="878"/>
      <c r="BB6" s="878"/>
      <c r="BC6" s="878"/>
      <c r="BD6" s="878"/>
      <c r="BE6" s="878"/>
      <c r="BF6" s="878"/>
      <c r="BG6" s="868"/>
      <c r="BH6" s="869"/>
      <c r="BI6" s="869"/>
      <c r="BJ6" s="869"/>
      <c r="BK6" s="870"/>
      <c r="BL6" s="871"/>
      <c r="BM6" s="872"/>
      <c r="BN6" s="872"/>
      <c r="BO6" s="872"/>
      <c r="BP6" s="872"/>
      <c r="BQ6" s="873"/>
    </row>
    <row r="7" spans="1:70" ht="16.899999999999999" customHeight="1" x14ac:dyDescent="0.15">
      <c r="B7" s="889"/>
      <c r="C7" s="889"/>
      <c r="D7" s="889"/>
      <c r="E7" s="889"/>
      <c r="F7" s="860"/>
      <c r="G7" s="860"/>
      <c r="H7" s="860"/>
      <c r="I7" s="860"/>
      <c r="J7" s="860"/>
      <c r="K7" s="860"/>
      <c r="L7" s="860"/>
      <c r="M7" s="860"/>
      <c r="N7" s="860"/>
      <c r="O7" s="860"/>
      <c r="P7" s="860"/>
      <c r="Q7" s="860"/>
      <c r="R7" s="860"/>
      <c r="S7" s="860"/>
      <c r="T7" s="890" t="str">
        <f>装备!H4</f>
        <v/>
      </c>
      <c r="U7" s="890"/>
      <c r="V7" s="890" t="str">
        <f>装备!G4</f>
        <v/>
      </c>
      <c r="W7" s="890"/>
      <c r="Y7" s="889"/>
      <c r="Z7" s="889"/>
      <c r="AA7" s="889"/>
      <c r="AB7" s="889"/>
      <c r="AC7" s="556"/>
      <c r="AD7" s="558"/>
      <c r="AE7" s="860"/>
      <c r="AF7" s="860"/>
      <c r="AG7" s="860"/>
      <c r="AH7" s="860"/>
      <c r="AI7" s="860"/>
      <c r="AJ7" s="860"/>
      <c r="AK7" s="860"/>
      <c r="AL7" s="860"/>
      <c r="AM7" s="860"/>
      <c r="AN7" s="860"/>
      <c r="AO7" s="860"/>
      <c r="AP7" s="891"/>
      <c r="AQ7" s="891"/>
      <c r="AR7" s="24" t="s">
        <v>927</v>
      </c>
      <c r="AS7" s="640"/>
      <c r="AT7" s="640"/>
      <c r="AV7" s="862"/>
      <c r="AW7" s="863"/>
      <c r="AX7" s="863"/>
      <c r="AY7" s="863"/>
      <c r="AZ7" s="864"/>
      <c r="BA7" s="878"/>
      <c r="BB7" s="878"/>
      <c r="BC7" s="878"/>
      <c r="BD7" s="878"/>
      <c r="BE7" s="878"/>
      <c r="BF7" s="878"/>
      <c r="BG7" s="868"/>
      <c r="BH7" s="869"/>
      <c r="BI7" s="869"/>
      <c r="BJ7" s="869"/>
      <c r="BK7" s="870"/>
      <c r="BL7" s="871"/>
      <c r="BM7" s="872"/>
      <c r="BN7" s="872"/>
      <c r="BO7" s="872"/>
      <c r="BP7" s="872"/>
      <c r="BQ7" s="873"/>
    </row>
    <row r="8" spans="1:70" ht="16.899999999999999" customHeight="1" x14ac:dyDescent="0.15">
      <c r="B8" s="892"/>
      <c r="C8" s="892"/>
      <c r="D8" s="892"/>
      <c r="E8" s="892"/>
      <c r="F8" s="859"/>
      <c r="G8" s="859"/>
      <c r="H8" s="859"/>
      <c r="I8" s="859"/>
      <c r="J8" s="859"/>
      <c r="K8" s="859"/>
      <c r="L8" s="859"/>
      <c r="M8" s="859"/>
      <c r="N8" s="859"/>
      <c r="O8" s="859"/>
      <c r="P8" s="859"/>
      <c r="Q8" s="859"/>
      <c r="R8" s="859"/>
      <c r="S8" s="859"/>
      <c r="T8" s="893" t="str">
        <f>装备!H5</f>
        <v/>
      </c>
      <c r="U8" s="893"/>
      <c r="V8" s="893" t="str">
        <f>装备!G5</f>
        <v/>
      </c>
      <c r="W8" s="893"/>
      <c r="Y8" s="892"/>
      <c r="Z8" s="892"/>
      <c r="AA8" s="892"/>
      <c r="AB8" s="892"/>
      <c r="AC8" s="566"/>
      <c r="AD8" s="568"/>
      <c r="AE8" s="859"/>
      <c r="AF8" s="859"/>
      <c r="AG8" s="859"/>
      <c r="AH8" s="859"/>
      <c r="AI8" s="859"/>
      <c r="AJ8" s="859"/>
      <c r="AK8" s="859"/>
      <c r="AL8" s="859"/>
      <c r="AM8" s="859"/>
      <c r="AN8" s="859"/>
      <c r="AO8" s="859"/>
      <c r="AP8" s="894"/>
      <c r="AQ8" s="894"/>
      <c r="AR8" s="24" t="s">
        <v>927</v>
      </c>
      <c r="AS8" s="669"/>
      <c r="AT8" s="669"/>
      <c r="AV8" s="862"/>
      <c r="AW8" s="863"/>
      <c r="AX8" s="863"/>
      <c r="AY8" s="863"/>
      <c r="AZ8" s="864"/>
      <c r="BA8" s="865"/>
      <c r="BB8" s="866"/>
      <c r="BC8" s="866"/>
      <c r="BD8" s="866"/>
      <c r="BE8" s="866"/>
      <c r="BF8" s="867"/>
      <c r="BG8" s="868"/>
      <c r="BH8" s="869"/>
      <c r="BI8" s="869"/>
      <c r="BJ8" s="869"/>
      <c r="BK8" s="870"/>
      <c r="BL8" s="871"/>
      <c r="BM8" s="872"/>
      <c r="BN8" s="872"/>
      <c r="BO8" s="872"/>
      <c r="BP8" s="872"/>
      <c r="BQ8" s="873"/>
    </row>
    <row r="9" spans="1:70" ht="16.899999999999999" customHeight="1" x14ac:dyDescent="0.15">
      <c r="B9" s="889"/>
      <c r="C9" s="889"/>
      <c r="D9" s="889"/>
      <c r="E9" s="889"/>
      <c r="F9" s="860"/>
      <c r="G9" s="860"/>
      <c r="H9" s="860"/>
      <c r="I9" s="860"/>
      <c r="J9" s="860"/>
      <c r="K9" s="860"/>
      <c r="L9" s="860"/>
      <c r="M9" s="860"/>
      <c r="N9" s="860"/>
      <c r="O9" s="860"/>
      <c r="P9" s="860"/>
      <c r="Q9" s="860"/>
      <c r="R9" s="860"/>
      <c r="S9" s="860"/>
      <c r="T9" s="890" t="str">
        <f>装备!H6</f>
        <v/>
      </c>
      <c r="U9" s="890"/>
      <c r="V9" s="890" t="str">
        <f>装备!G6</f>
        <v/>
      </c>
      <c r="W9" s="890"/>
      <c r="Y9" s="889"/>
      <c r="Z9" s="889"/>
      <c r="AA9" s="889"/>
      <c r="AB9" s="889"/>
      <c r="AC9" s="556"/>
      <c r="AD9" s="558"/>
      <c r="AE9" s="860"/>
      <c r="AF9" s="860"/>
      <c r="AG9" s="860"/>
      <c r="AH9" s="860"/>
      <c r="AI9" s="860"/>
      <c r="AJ9" s="860"/>
      <c r="AK9" s="860"/>
      <c r="AL9" s="860"/>
      <c r="AM9" s="860"/>
      <c r="AN9" s="860"/>
      <c r="AO9" s="860"/>
      <c r="AP9" s="891"/>
      <c r="AQ9" s="891"/>
      <c r="AR9" s="24" t="s">
        <v>927</v>
      </c>
      <c r="AS9" s="640"/>
      <c r="AT9" s="640"/>
      <c r="AV9" s="862"/>
      <c r="AW9" s="863"/>
      <c r="AX9" s="863"/>
      <c r="AY9" s="863"/>
      <c r="AZ9" s="864"/>
      <c r="BA9" s="865"/>
      <c r="BB9" s="866"/>
      <c r="BC9" s="866"/>
      <c r="BD9" s="866"/>
      <c r="BE9" s="866"/>
      <c r="BF9" s="867"/>
      <c r="BG9" s="868"/>
      <c r="BH9" s="869"/>
      <c r="BI9" s="869"/>
      <c r="BJ9" s="869"/>
      <c r="BK9" s="870"/>
      <c r="BL9" s="871"/>
      <c r="BM9" s="872"/>
      <c r="BN9" s="872"/>
      <c r="BO9" s="872"/>
      <c r="BP9" s="872"/>
      <c r="BQ9" s="873"/>
    </row>
    <row r="10" spans="1:70" ht="16.899999999999999" customHeight="1" x14ac:dyDescent="0.15">
      <c r="B10" s="892"/>
      <c r="C10" s="892"/>
      <c r="D10" s="892"/>
      <c r="E10" s="892"/>
      <c r="F10" s="859"/>
      <c r="G10" s="859"/>
      <c r="H10" s="859"/>
      <c r="I10" s="859"/>
      <c r="J10" s="859"/>
      <c r="K10" s="859"/>
      <c r="L10" s="859"/>
      <c r="M10" s="859"/>
      <c r="N10" s="859"/>
      <c r="O10" s="859"/>
      <c r="P10" s="859"/>
      <c r="Q10" s="859"/>
      <c r="R10" s="859"/>
      <c r="S10" s="859"/>
      <c r="T10" s="893" t="str">
        <f>装备!H7</f>
        <v/>
      </c>
      <c r="U10" s="893"/>
      <c r="V10" s="893" t="str">
        <f>装备!G7</f>
        <v/>
      </c>
      <c r="W10" s="893"/>
      <c r="Y10" s="892"/>
      <c r="Z10" s="892"/>
      <c r="AA10" s="892"/>
      <c r="AB10" s="892"/>
      <c r="AC10" s="566"/>
      <c r="AD10" s="568"/>
      <c r="AE10" s="861"/>
      <c r="AF10" s="861"/>
      <c r="AG10" s="861"/>
      <c r="AH10" s="861"/>
      <c r="AI10" s="861"/>
      <c r="AJ10" s="861"/>
      <c r="AK10" s="861"/>
      <c r="AL10" s="861"/>
      <c r="AM10" s="861"/>
      <c r="AN10" s="861"/>
      <c r="AO10" s="861"/>
      <c r="AP10" s="894"/>
      <c r="AQ10" s="894"/>
      <c r="AR10" s="24" t="s">
        <v>927</v>
      </c>
      <c r="AS10" s="734"/>
      <c r="AT10" s="734"/>
      <c r="AV10" s="862"/>
      <c r="AW10" s="863"/>
      <c r="AX10" s="863"/>
      <c r="AY10" s="863"/>
      <c r="AZ10" s="864"/>
      <c r="BA10" s="865"/>
      <c r="BB10" s="866"/>
      <c r="BC10" s="866"/>
      <c r="BD10" s="866"/>
      <c r="BE10" s="866"/>
      <c r="BF10" s="867"/>
      <c r="BG10" s="868"/>
      <c r="BH10" s="869"/>
      <c r="BI10" s="869"/>
      <c r="BJ10" s="869"/>
      <c r="BK10" s="870"/>
      <c r="BL10" s="871"/>
      <c r="BM10" s="872"/>
      <c r="BN10" s="872"/>
      <c r="BO10" s="872"/>
      <c r="BP10" s="872"/>
      <c r="BQ10" s="873"/>
    </row>
    <row r="11" spans="1:70" ht="16.899999999999999" customHeight="1" x14ac:dyDescent="0.15">
      <c r="B11" s="889"/>
      <c r="C11" s="889"/>
      <c r="D11" s="889"/>
      <c r="E11" s="889"/>
      <c r="F11" s="860"/>
      <c r="G11" s="860"/>
      <c r="H11" s="860"/>
      <c r="I11" s="860"/>
      <c r="J11" s="860"/>
      <c r="K11" s="860"/>
      <c r="L11" s="860"/>
      <c r="M11" s="860"/>
      <c r="N11" s="860"/>
      <c r="O11" s="860"/>
      <c r="P11" s="860"/>
      <c r="Q11" s="860"/>
      <c r="R11" s="860"/>
      <c r="S11" s="860"/>
      <c r="T11" s="890" t="str">
        <f>装备!H8</f>
        <v/>
      </c>
      <c r="U11" s="890"/>
      <c r="V11" s="890" t="str">
        <f>装备!G8</f>
        <v/>
      </c>
      <c r="W11" s="890"/>
      <c r="Y11" s="889"/>
      <c r="Z11" s="889"/>
      <c r="AA11" s="889"/>
      <c r="AB11" s="889"/>
      <c r="AC11" s="556"/>
      <c r="AD11" s="558"/>
      <c r="AE11" s="860"/>
      <c r="AF11" s="860"/>
      <c r="AG11" s="860"/>
      <c r="AH11" s="860"/>
      <c r="AI11" s="860"/>
      <c r="AJ11" s="860"/>
      <c r="AK11" s="860"/>
      <c r="AL11" s="860"/>
      <c r="AM11" s="860"/>
      <c r="AN11" s="860"/>
      <c r="AO11" s="860"/>
      <c r="AP11" s="891"/>
      <c r="AQ11" s="891"/>
      <c r="AR11" s="24" t="s">
        <v>927</v>
      </c>
      <c r="AS11" s="640"/>
      <c r="AT11" s="640"/>
      <c r="AV11" s="862"/>
      <c r="AW11" s="863"/>
      <c r="AX11" s="863"/>
      <c r="AY11" s="863"/>
      <c r="AZ11" s="864"/>
      <c r="BA11" s="865"/>
      <c r="BB11" s="866"/>
      <c r="BC11" s="866"/>
      <c r="BD11" s="866"/>
      <c r="BE11" s="866"/>
      <c r="BF11" s="867"/>
      <c r="BG11" s="868"/>
      <c r="BH11" s="869"/>
      <c r="BI11" s="869"/>
      <c r="BJ11" s="869"/>
      <c r="BK11" s="870"/>
      <c r="BL11" s="871"/>
      <c r="BM11" s="872"/>
      <c r="BN11" s="872"/>
      <c r="BO11" s="872"/>
      <c r="BP11" s="872"/>
      <c r="BQ11" s="873"/>
    </row>
    <row r="12" spans="1:70" ht="16.899999999999999" customHeight="1" x14ac:dyDescent="0.15">
      <c r="B12" s="892"/>
      <c r="C12" s="892"/>
      <c r="D12" s="892"/>
      <c r="E12" s="892"/>
      <c r="F12" s="859"/>
      <c r="G12" s="859"/>
      <c r="H12" s="859"/>
      <c r="I12" s="859"/>
      <c r="J12" s="859"/>
      <c r="K12" s="859"/>
      <c r="L12" s="859"/>
      <c r="M12" s="859"/>
      <c r="N12" s="859"/>
      <c r="O12" s="859"/>
      <c r="P12" s="859"/>
      <c r="Q12" s="859"/>
      <c r="R12" s="859"/>
      <c r="S12" s="859"/>
      <c r="T12" s="893" t="str">
        <f>装备!H9</f>
        <v/>
      </c>
      <c r="U12" s="893"/>
      <c r="V12" s="893" t="str">
        <f>装备!G9</f>
        <v/>
      </c>
      <c r="W12" s="893"/>
      <c r="Y12" s="892"/>
      <c r="Z12" s="892"/>
      <c r="AA12" s="892"/>
      <c r="AB12" s="892"/>
      <c r="AC12" s="566"/>
      <c r="AD12" s="568"/>
      <c r="AE12" s="859"/>
      <c r="AF12" s="859"/>
      <c r="AG12" s="859"/>
      <c r="AH12" s="859"/>
      <c r="AI12" s="859"/>
      <c r="AJ12" s="859"/>
      <c r="AK12" s="859"/>
      <c r="AL12" s="859"/>
      <c r="AM12" s="859"/>
      <c r="AN12" s="859"/>
      <c r="AO12" s="859"/>
      <c r="AP12" s="894"/>
      <c r="AQ12" s="894"/>
      <c r="AR12" s="24" t="s">
        <v>927</v>
      </c>
      <c r="AS12" s="669"/>
      <c r="AT12" s="669"/>
      <c r="AV12" s="862"/>
      <c r="AW12" s="863"/>
      <c r="AX12" s="863"/>
      <c r="AY12" s="863"/>
      <c r="AZ12" s="864"/>
      <c r="BA12" s="865"/>
      <c r="BB12" s="866"/>
      <c r="BC12" s="866"/>
      <c r="BD12" s="866"/>
      <c r="BE12" s="866"/>
      <c r="BF12" s="867"/>
      <c r="BG12" s="868"/>
      <c r="BH12" s="869"/>
      <c r="BI12" s="869"/>
      <c r="BJ12" s="869"/>
      <c r="BK12" s="870"/>
      <c r="BL12" s="871"/>
      <c r="BM12" s="872"/>
      <c r="BN12" s="872"/>
      <c r="BO12" s="872"/>
      <c r="BP12" s="872"/>
      <c r="BQ12" s="873"/>
    </row>
    <row r="13" spans="1:70" ht="16.899999999999999" customHeight="1" x14ac:dyDescent="0.15">
      <c r="B13" s="889"/>
      <c r="C13" s="889"/>
      <c r="D13" s="889"/>
      <c r="E13" s="889"/>
      <c r="F13" s="860"/>
      <c r="G13" s="860"/>
      <c r="H13" s="860"/>
      <c r="I13" s="860"/>
      <c r="J13" s="860"/>
      <c r="K13" s="860"/>
      <c r="L13" s="860"/>
      <c r="M13" s="860"/>
      <c r="N13" s="860"/>
      <c r="O13" s="860"/>
      <c r="P13" s="860"/>
      <c r="Q13" s="860"/>
      <c r="R13" s="860"/>
      <c r="S13" s="860"/>
      <c r="T13" s="890" t="str">
        <f>装备!H10</f>
        <v/>
      </c>
      <c r="U13" s="890"/>
      <c r="V13" s="890" t="str">
        <f>装备!G10</f>
        <v/>
      </c>
      <c r="W13" s="890"/>
      <c r="Y13" s="889"/>
      <c r="Z13" s="889"/>
      <c r="AA13" s="889"/>
      <c r="AB13" s="889"/>
      <c r="AC13" s="556"/>
      <c r="AD13" s="558"/>
      <c r="AE13" s="860"/>
      <c r="AF13" s="860"/>
      <c r="AG13" s="860"/>
      <c r="AH13" s="860"/>
      <c r="AI13" s="860"/>
      <c r="AJ13" s="860"/>
      <c r="AK13" s="860"/>
      <c r="AL13" s="860"/>
      <c r="AM13" s="860"/>
      <c r="AN13" s="860"/>
      <c r="AO13" s="860"/>
      <c r="AP13" s="891"/>
      <c r="AQ13" s="891"/>
      <c r="AR13" s="24" t="s">
        <v>927</v>
      </c>
      <c r="AS13" s="640"/>
      <c r="AT13" s="640"/>
      <c r="AV13" s="862"/>
      <c r="AW13" s="863"/>
      <c r="AX13" s="863"/>
      <c r="AY13" s="863"/>
      <c r="AZ13" s="864"/>
      <c r="BA13" s="865"/>
      <c r="BB13" s="866"/>
      <c r="BC13" s="866"/>
      <c r="BD13" s="866"/>
      <c r="BE13" s="866"/>
      <c r="BF13" s="867"/>
      <c r="BG13" s="868"/>
      <c r="BH13" s="869"/>
      <c r="BI13" s="869"/>
      <c r="BJ13" s="869"/>
      <c r="BK13" s="870"/>
      <c r="BL13" s="871"/>
      <c r="BM13" s="872"/>
      <c r="BN13" s="872"/>
      <c r="BO13" s="872"/>
      <c r="BP13" s="872"/>
      <c r="BQ13" s="873"/>
    </row>
    <row r="14" spans="1:70" ht="16.899999999999999" customHeight="1" x14ac:dyDescent="0.15">
      <c r="B14" s="892"/>
      <c r="C14" s="892"/>
      <c r="D14" s="892"/>
      <c r="E14" s="892"/>
      <c r="F14" s="859"/>
      <c r="G14" s="859"/>
      <c r="H14" s="859"/>
      <c r="I14" s="859"/>
      <c r="J14" s="859"/>
      <c r="K14" s="859"/>
      <c r="L14" s="859"/>
      <c r="M14" s="859"/>
      <c r="N14" s="859"/>
      <c r="O14" s="859"/>
      <c r="P14" s="859"/>
      <c r="Q14" s="859"/>
      <c r="R14" s="859"/>
      <c r="S14" s="859"/>
      <c r="T14" s="893" t="str">
        <f>装备!H11</f>
        <v/>
      </c>
      <c r="U14" s="893"/>
      <c r="V14" s="893" t="str">
        <f>装备!G11</f>
        <v/>
      </c>
      <c r="W14" s="893"/>
      <c r="Y14" s="892"/>
      <c r="Z14" s="892"/>
      <c r="AA14" s="892"/>
      <c r="AB14" s="892"/>
      <c r="AC14" s="566"/>
      <c r="AD14" s="568"/>
      <c r="AE14" s="859"/>
      <c r="AF14" s="859"/>
      <c r="AG14" s="859"/>
      <c r="AH14" s="859"/>
      <c r="AI14" s="859"/>
      <c r="AJ14" s="859"/>
      <c r="AK14" s="859"/>
      <c r="AL14" s="859"/>
      <c r="AM14" s="859"/>
      <c r="AN14" s="859"/>
      <c r="AO14" s="859"/>
      <c r="AP14" s="894"/>
      <c r="AQ14" s="894"/>
      <c r="AR14" s="24" t="s">
        <v>927</v>
      </c>
      <c r="AS14" s="669"/>
      <c r="AT14" s="669"/>
      <c r="AV14" s="862"/>
      <c r="AW14" s="863"/>
      <c r="AX14" s="863"/>
      <c r="AY14" s="863"/>
      <c r="AZ14" s="864"/>
      <c r="BA14" s="865"/>
      <c r="BB14" s="866"/>
      <c r="BC14" s="866"/>
      <c r="BD14" s="866"/>
      <c r="BE14" s="866"/>
      <c r="BF14" s="867"/>
      <c r="BG14" s="868"/>
      <c r="BH14" s="869"/>
      <c r="BI14" s="869"/>
      <c r="BJ14" s="869"/>
      <c r="BK14" s="870"/>
      <c r="BL14" s="871"/>
      <c r="BM14" s="872"/>
      <c r="BN14" s="872"/>
      <c r="BO14" s="872"/>
      <c r="BP14" s="872"/>
      <c r="BQ14" s="873"/>
    </row>
    <row r="15" spans="1:70" ht="16.899999999999999" customHeight="1" x14ac:dyDescent="0.3">
      <c r="B15" s="537" t="s">
        <v>176</v>
      </c>
      <c r="C15" s="537"/>
      <c r="D15" s="537"/>
      <c r="E15" s="537"/>
      <c r="F15" s="537" t="s">
        <v>67</v>
      </c>
      <c r="G15" s="537"/>
      <c r="H15" s="537" t="s">
        <v>177</v>
      </c>
      <c r="I15" s="537"/>
      <c r="J15" s="537"/>
      <c r="K15" s="537"/>
      <c r="L15" s="537"/>
      <c r="M15" s="537"/>
      <c r="N15" s="537"/>
      <c r="O15" s="537"/>
      <c r="P15" s="537" t="s">
        <v>178</v>
      </c>
      <c r="Q15" s="537"/>
      <c r="R15" s="537"/>
      <c r="S15" s="537"/>
      <c r="T15" s="537" t="s">
        <v>925</v>
      </c>
      <c r="U15" s="537"/>
      <c r="V15" s="537" t="s">
        <v>6636</v>
      </c>
      <c r="W15" s="537"/>
      <c r="Y15" s="537" t="s">
        <v>36</v>
      </c>
      <c r="Z15" s="537"/>
      <c r="AA15" s="537"/>
      <c r="AB15" s="537"/>
      <c r="AC15" s="537" t="s">
        <v>10805</v>
      </c>
      <c r="AD15" s="537"/>
      <c r="AE15" s="537" t="s">
        <v>37</v>
      </c>
      <c r="AF15" s="537"/>
      <c r="AG15" s="537"/>
      <c r="AH15" s="537"/>
      <c r="AI15" s="537"/>
      <c r="AJ15" s="537"/>
      <c r="AK15" s="537"/>
      <c r="AL15" s="537"/>
      <c r="AM15" s="537"/>
      <c r="AN15" s="537"/>
      <c r="AO15" s="537"/>
      <c r="AP15" s="537" t="s">
        <v>925</v>
      </c>
      <c r="AQ15" s="537"/>
      <c r="AR15" s="24"/>
      <c r="AS15" s="537" t="s">
        <v>926</v>
      </c>
      <c r="AT15" s="537"/>
      <c r="AV15" s="862"/>
      <c r="AW15" s="863"/>
      <c r="AX15" s="863"/>
      <c r="AY15" s="863"/>
      <c r="AZ15" s="864"/>
      <c r="BA15" s="865"/>
      <c r="BB15" s="866"/>
      <c r="BC15" s="866"/>
      <c r="BD15" s="866"/>
      <c r="BE15" s="866"/>
      <c r="BF15" s="867"/>
      <c r="BG15" s="868"/>
      <c r="BH15" s="869"/>
      <c r="BI15" s="869"/>
      <c r="BJ15" s="869"/>
      <c r="BK15" s="870"/>
      <c r="BL15" s="871"/>
      <c r="BM15" s="872"/>
      <c r="BN15" s="872"/>
      <c r="BO15" s="872"/>
      <c r="BP15" s="872"/>
      <c r="BQ15" s="873"/>
    </row>
    <row r="16" spans="1:70" ht="16.899999999999999" customHeight="1" x14ac:dyDescent="0.15">
      <c r="B16" s="889"/>
      <c r="C16" s="889"/>
      <c r="D16" s="889"/>
      <c r="E16" s="889"/>
      <c r="F16" s="895" t="str">
        <f>装备!S2</f>
        <v/>
      </c>
      <c r="G16" s="895"/>
      <c r="H16" s="889"/>
      <c r="I16" s="889"/>
      <c r="J16" s="889"/>
      <c r="K16" s="889"/>
      <c r="L16" s="889"/>
      <c r="M16" s="889"/>
      <c r="N16" s="889"/>
      <c r="O16" s="889"/>
      <c r="P16" s="889"/>
      <c r="Q16" s="889"/>
      <c r="R16" s="889"/>
      <c r="S16" s="889"/>
      <c r="T16" s="890" t="str">
        <f>装备!W2</f>
        <v/>
      </c>
      <c r="U16" s="890"/>
      <c r="V16" s="890" t="str">
        <f>装备!V2</f>
        <v/>
      </c>
      <c r="W16" s="890"/>
      <c r="Y16" s="889"/>
      <c r="Z16" s="889"/>
      <c r="AA16" s="889"/>
      <c r="AB16" s="889"/>
      <c r="AC16" s="556"/>
      <c r="AD16" s="558"/>
      <c r="AE16" s="860"/>
      <c r="AF16" s="860"/>
      <c r="AG16" s="860"/>
      <c r="AH16" s="860"/>
      <c r="AI16" s="860"/>
      <c r="AJ16" s="860"/>
      <c r="AK16" s="860"/>
      <c r="AL16" s="860"/>
      <c r="AM16" s="860"/>
      <c r="AN16" s="860"/>
      <c r="AO16" s="860"/>
      <c r="AP16" s="891"/>
      <c r="AQ16" s="891"/>
      <c r="AR16" s="24" t="s">
        <v>927</v>
      </c>
      <c r="AS16" s="640"/>
      <c r="AT16" s="640"/>
      <c r="AV16" s="862"/>
      <c r="AW16" s="863"/>
      <c r="AX16" s="863"/>
      <c r="AY16" s="863"/>
      <c r="AZ16" s="864"/>
      <c r="BA16" s="865"/>
      <c r="BB16" s="866"/>
      <c r="BC16" s="866"/>
      <c r="BD16" s="866"/>
      <c r="BE16" s="866"/>
      <c r="BF16" s="867"/>
      <c r="BG16" s="868"/>
      <c r="BH16" s="869"/>
      <c r="BI16" s="869"/>
      <c r="BJ16" s="869"/>
      <c r="BK16" s="870"/>
      <c r="BL16" s="871"/>
      <c r="BM16" s="872"/>
      <c r="BN16" s="872"/>
      <c r="BO16" s="872"/>
      <c r="BP16" s="872"/>
      <c r="BQ16" s="873"/>
    </row>
    <row r="17" spans="2:69" ht="16.899999999999999" customHeight="1" x14ac:dyDescent="0.15">
      <c r="B17" s="892"/>
      <c r="C17" s="892"/>
      <c r="D17" s="892"/>
      <c r="E17" s="892"/>
      <c r="F17" s="896" t="str">
        <f>装备!S3</f>
        <v/>
      </c>
      <c r="G17" s="896"/>
      <c r="H17" s="892"/>
      <c r="I17" s="892"/>
      <c r="J17" s="892"/>
      <c r="K17" s="892"/>
      <c r="L17" s="892"/>
      <c r="M17" s="892"/>
      <c r="N17" s="892"/>
      <c r="O17" s="892"/>
      <c r="P17" s="892"/>
      <c r="Q17" s="892"/>
      <c r="R17" s="892"/>
      <c r="S17" s="892"/>
      <c r="T17" s="893" t="str">
        <f>装备!W3</f>
        <v/>
      </c>
      <c r="U17" s="893"/>
      <c r="V17" s="893" t="str">
        <f>装备!V3</f>
        <v/>
      </c>
      <c r="W17" s="893"/>
      <c r="Y17" s="892"/>
      <c r="Z17" s="892"/>
      <c r="AA17" s="892"/>
      <c r="AB17" s="892"/>
      <c r="AC17" s="566"/>
      <c r="AD17" s="568"/>
      <c r="AE17" s="859"/>
      <c r="AF17" s="859"/>
      <c r="AG17" s="859"/>
      <c r="AH17" s="859"/>
      <c r="AI17" s="859"/>
      <c r="AJ17" s="859"/>
      <c r="AK17" s="859"/>
      <c r="AL17" s="859"/>
      <c r="AM17" s="859"/>
      <c r="AN17" s="859"/>
      <c r="AO17" s="859"/>
      <c r="AP17" s="894"/>
      <c r="AQ17" s="894"/>
      <c r="AR17" s="24" t="s">
        <v>927</v>
      </c>
      <c r="AS17" s="669"/>
      <c r="AT17" s="669"/>
      <c r="AV17" s="862"/>
      <c r="AW17" s="863"/>
      <c r="AX17" s="863"/>
      <c r="AY17" s="863"/>
      <c r="AZ17" s="864"/>
      <c r="BA17" s="865"/>
      <c r="BB17" s="866"/>
      <c r="BC17" s="866"/>
      <c r="BD17" s="866"/>
      <c r="BE17" s="866"/>
      <c r="BF17" s="867"/>
      <c r="BG17" s="868"/>
      <c r="BH17" s="869"/>
      <c r="BI17" s="869"/>
      <c r="BJ17" s="869"/>
      <c r="BK17" s="870"/>
      <c r="BL17" s="871"/>
      <c r="BM17" s="872"/>
      <c r="BN17" s="872"/>
      <c r="BO17" s="872"/>
      <c r="BP17" s="872"/>
      <c r="BQ17" s="873"/>
    </row>
    <row r="18" spans="2:69" ht="16.899999999999999" customHeight="1" x14ac:dyDescent="0.15">
      <c r="B18" s="889"/>
      <c r="C18" s="889"/>
      <c r="D18" s="889"/>
      <c r="E18" s="889"/>
      <c r="F18" s="895" t="str">
        <f>装备!S4</f>
        <v/>
      </c>
      <c r="G18" s="895"/>
      <c r="H18" s="889"/>
      <c r="I18" s="889"/>
      <c r="J18" s="889"/>
      <c r="K18" s="889"/>
      <c r="L18" s="889"/>
      <c r="M18" s="889"/>
      <c r="N18" s="889"/>
      <c r="O18" s="889"/>
      <c r="P18" s="889"/>
      <c r="Q18" s="889"/>
      <c r="R18" s="889"/>
      <c r="S18" s="889"/>
      <c r="T18" s="890" t="str">
        <f>装备!W4</f>
        <v/>
      </c>
      <c r="U18" s="890"/>
      <c r="V18" s="890" t="str">
        <f>装备!V4</f>
        <v/>
      </c>
      <c r="W18" s="890"/>
      <c r="Y18" s="889"/>
      <c r="Z18" s="889"/>
      <c r="AA18" s="889"/>
      <c r="AB18" s="889"/>
      <c r="AC18" s="556"/>
      <c r="AD18" s="558"/>
      <c r="AE18" s="860"/>
      <c r="AF18" s="860"/>
      <c r="AG18" s="860"/>
      <c r="AH18" s="860"/>
      <c r="AI18" s="860"/>
      <c r="AJ18" s="860"/>
      <c r="AK18" s="860"/>
      <c r="AL18" s="860"/>
      <c r="AM18" s="860"/>
      <c r="AN18" s="860"/>
      <c r="AO18" s="860"/>
      <c r="AP18" s="891"/>
      <c r="AQ18" s="891"/>
      <c r="AR18" s="24" t="s">
        <v>927</v>
      </c>
      <c r="AS18" s="640"/>
      <c r="AT18" s="640"/>
      <c r="AV18" s="862"/>
      <c r="AW18" s="863"/>
      <c r="AX18" s="863"/>
      <c r="AY18" s="863"/>
      <c r="AZ18" s="864"/>
      <c r="BA18" s="865"/>
      <c r="BB18" s="866"/>
      <c r="BC18" s="866"/>
      <c r="BD18" s="866"/>
      <c r="BE18" s="866"/>
      <c r="BF18" s="867"/>
      <c r="BG18" s="868"/>
      <c r="BH18" s="869"/>
      <c r="BI18" s="869"/>
      <c r="BJ18" s="869"/>
      <c r="BK18" s="870"/>
      <c r="BL18" s="871"/>
      <c r="BM18" s="872"/>
      <c r="BN18" s="872"/>
      <c r="BO18" s="872"/>
      <c r="BP18" s="872"/>
      <c r="BQ18" s="873"/>
    </row>
    <row r="19" spans="2:69" ht="16.899999999999999" customHeight="1" x14ac:dyDescent="0.15">
      <c r="B19" s="892"/>
      <c r="C19" s="892"/>
      <c r="D19" s="892"/>
      <c r="E19" s="892"/>
      <c r="F19" s="896" t="str">
        <f>装备!S5</f>
        <v/>
      </c>
      <c r="G19" s="896"/>
      <c r="H19" s="892"/>
      <c r="I19" s="892"/>
      <c r="J19" s="892"/>
      <c r="K19" s="892"/>
      <c r="L19" s="892"/>
      <c r="M19" s="892"/>
      <c r="N19" s="892"/>
      <c r="O19" s="892"/>
      <c r="P19" s="892"/>
      <c r="Q19" s="892"/>
      <c r="R19" s="892"/>
      <c r="S19" s="892"/>
      <c r="T19" s="893" t="str">
        <f>装备!W5</f>
        <v/>
      </c>
      <c r="U19" s="893"/>
      <c r="V19" s="893" t="str">
        <f>装备!V5</f>
        <v/>
      </c>
      <c r="W19" s="893"/>
      <c r="Y19" s="892"/>
      <c r="Z19" s="892"/>
      <c r="AA19" s="892"/>
      <c r="AB19" s="892"/>
      <c r="AC19" s="566"/>
      <c r="AD19" s="568"/>
      <c r="AE19" s="859"/>
      <c r="AF19" s="859"/>
      <c r="AG19" s="859"/>
      <c r="AH19" s="859"/>
      <c r="AI19" s="859"/>
      <c r="AJ19" s="859"/>
      <c r="AK19" s="859"/>
      <c r="AL19" s="859"/>
      <c r="AM19" s="859"/>
      <c r="AN19" s="859"/>
      <c r="AO19" s="859"/>
      <c r="AP19" s="894"/>
      <c r="AQ19" s="894"/>
      <c r="AR19" s="24" t="s">
        <v>927</v>
      </c>
      <c r="AS19" s="669"/>
      <c r="AT19" s="669"/>
      <c r="AV19" s="862"/>
      <c r="AW19" s="863"/>
      <c r="AX19" s="863"/>
      <c r="AY19" s="863"/>
      <c r="AZ19" s="864"/>
      <c r="BA19" s="865"/>
      <c r="BB19" s="866"/>
      <c r="BC19" s="866"/>
      <c r="BD19" s="866"/>
      <c r="BE19" s="866"/>
      <c r="BF19" s="867"/>
      <c r="BG19" s="868"/>
      <c r="BH19" s="869"/>
      <c r="BI19" s="869"/>
      <c r="BJ19" s="869"/>
      <c r="BK19" s="870"/>
      <c r="BL19" s="871"/>
      <c r="BM19" s="872"/>
      <c r="BN19" s="872"/>
      <c r="BO19" s="872"/>
      <c r="BP19" s="872"/>
      <c r="BQ19" s="873"/>
    </row>
    <row r="20" spans="2:69" ht="16.899999999999999" customHeight="1" x14ac:dyDescent="0.15">
      <c r="B20" s="889"/>
      <c r="C20" s="889"/>
      <c r="D20" s="889"/>
      <c r="E20" s="889"/>
      <c r="F20" s="895" t="str">
        <f>装备!S6</f>
        <v/>
      </c>
      <c r="G20" s="895"/>
      <c r="H20" s="889"/>
      <c r="I20" s="889"/>
      <c r="J20" s="889"/>
      <c r="K20" s="889"/>
      <c r="L20" s="889"/>
      <c r="M20" s="889"/>
      <c r="N20" s="889"/>
      <c r="O20" s="889"/>
      <c r="P20" s="889"/>
      <c r="Q20" s="889"/>
      <c r="R20" s="889"/>
      <c r="S20" s="889"/>
      <c r="T20" s="890" t="str">
        <f>装备!W6</f>
        <v/>
      </c>
      <c r="U20" s="890"/>
      <c r="V20" s="890" t="str">
        <f>装备!V6</f>
        <v/>
      </c>
      <c r="W20" s="890"/>
      <c r="Y20" s="889"/>
      <c r="Z20" s="889"/>
      <c r="AA20" s="889"/>
      <c r="AB20" s="889"/>
      <c r="AC20" s="556"/>
      <c r="AD20" s="558"/>
      <c r="AE20" s="860"/>
      <c r="AF20" s="860"/>
      <c r="AG20" s="860"/>
      <c r="AH20" s="860"/>
      <c r="AI20" s="860"/>
      <c r="AJ20" s="860"/>
      <c r="AK20" s="860"/>
      <c r="AL20" s="860"/>
      <c r="AM20" s="860"/>
      <c r="AN20" s="860"/>
      <c r="AO20" s="860"/>
      <c r="AP20" s="891"/>
      <c r="AQ20" s="891"/>
      <c r="AR20" s="24" t="s">
        <v>927</v>
      </c>
      <c r="AS20" s="640"/>
      <c r="AT20" s="640"/>
      <c r="AV20" s="862"/>
      <c r="AW20" s="863"/>
      <c r="AX20" s="863"/>
      <c r="AY20" s="863"/>
      <c r="AZ20" s="864"/>
      <c r="BA20" s="865"/>
      <c r="BB20" s="866"/>
      <c r="BC20" s="866"/>
      <c r="BD20" s="866"/>
      <c r="BE20" s="866"/>
      <c r="BF20" s="867"/>
      <c r="BG20" s="868"/>
      <c r="BH20" s="869"/>
      <c r="BI20" s="869"/>
      <c r="BJ20" s="869"/>
      <c r="BK20" s="870"/>
      <c r="BL20" s="871"/>
      <c r="BM20" s="872"/>
      <c r="BN20" s="872"/>
      <c r="BO20" s="872"/>
      <c r="BP20" s="872"/>
      <c r="BQ20" s="873"/>
    </row>
    <row r="21" spans="2:69" ht="16.899999999999999" customHeight="1" x14ac:dyDescent="0.15">
      <c r="B21" s="892"/>
      <c r="C21" s="892"/>
      <c r="D21" s="892"/>
      <c r="E21" s="892"/>
      <c r="F21" s="896" t="str">
        <f>装备!S7</f>
        <v/>
      </c>
      <c r="G21" s="896"/>
      <c r="H21" s="892"/>
      <c r="I21" s="892"/>
      <c r="J21" s="892"/>
      <c r="K21" s="892"/>
      <c r="L21" s="892"/>
      <c r="M21" s="892"/>
      <c r="N21" s="892"/>
      <c r="O21" s="892"/>
      <c r="P21" s="892"/>
      <c r="Q21" s="892"/>
      <c r="R21" s="892"/>
      <c r="S21" s="892"/>
      <c r="T21" s="893" t="str">
        <f>装备!W7</f>
        <v/>
      </c>
      <c r="U21" s="893"/>
      <c r="V21" s="893" t="str">
        <f>装备!V7</f>
        <v/>
      </c>
      <c r="W21" s="893"/>
      <c r="Y21" s="892"/>
      <c r="Z21" s="892"/>
      <c r="AA21" s="892"/>
      <c r="AB21" s="892"/>
      <c r="AC21" s="566"/>
      <c r="AD21" s="568"/>
      <c r="AE21" s="861"/>
      <c r="AF21" s="861"/>
      <c r="AG21" s="861"/>
      <c r="AH21" s="861"/>
      <c r="AI21" s="861"/>
      <c r="AJ21" s="861"/>
      <c r="AK21" s="861"/>
      <c r="AL21" s="861"/>
      <c r="AM21" s="861"/>
      <c r="AN21" s="861"/>
      <c r="AO21" s="861"/>
      <c r="AP21" s="894"/>
      <c r="AQ21" s="894"/>
      <c r="AR21" s="24" t="s">
        <v>927</v>
      </c>
      <c r="AS21" s="734"/>
      <c r="AT21" s="734"/>
      <c r="AV21" s="862"/>
      <c r="AW21" s="863"/>
      <c r="AX21" s="863"/>
      <c r="AY21" s="863"/>
      <c r="AZ21" s="864"/>
      <c r="BA21" s="865"/>
      <c r="BB21" s="866"/>
      <c r="BC21" s="866"/>
      <c r="BD21" s="866"/>
      <c r="BE21" s="866"/>
      <c r="BF21" s="867"/>
      <c r="BG21" s="868"/>
      <c r="BH21" s="869"/>
      <c r="BI21" s="869"/>
      <c r="BJ21" s="869"/>
      <c r="BK21" s="870"/>
      <c r="BL21" s="871"/>
      <c r="BM21" s="872"/>
      <c r="BN21" s="872"/>
      <c r="BO21" s="872"/>
      <c r="BP21" s="872"/>
      <c r="BQ21" s="873"/>
    </row>
    <row r="22" spans="2:69" ht="16.899999999999999" customHeight="1" x14ac:dyDescent="0.15">
      <c r="B22" s="889"/>
      <c r="C22" s="889"/>
      <c r="D22" s="889"/>
      <c r="E22" s="889"/>
      <c r="F22" s="895" t="str">
        <f>装备!S8</f>
        <v/>
      </c>
      <c r="G22" s="895"/>
      <c r="H22" s="889"/>
      <c r="I22" s="889"/>
      <c r="J22" s="889"/>
      <c r="K22" s="889"/>
      <c r="L22" s="889"/>
      <c r="M22" s="889"/>
      <c r="N22" s="889"/>
      <c r="O22" s="889"/>
      <c r="P22" s="889"/>
      <c r="Q22" s="889"/>
      <c r="R22" s="889"/>
      <c r="S22" s="889"/>
      <c r="T22" s="890" t="str">
        <f>装备!W8</f>
        <v/>
      </c>
      <c r="U22" s="890"/>
      <c r="V22" s="890" t="str">
        <f>装备!V8</f>
        <v/>
      </c>
      <c r="W22" s="890"/>
      <c r="Y22" s="889"/>
      <c r="Z22" s="889"/>
      <c r="AA22" s="889"/>
      <c r="AB22" s="889"/>
      <c r="AC22" s="556"/>
      <c r="AD22" s="558"/>
      <c r="AE22" s="860"/>
      <c r="AF22" s="860"/>
      <c r="AG22" s="860"/>
      <c r="AH22" s="860"/>
      <c r="AI22" s="860"/>
      <c r="AJ22" s="860"/>
      <c r="AK22" s="860"/>
      <c r="AL22" s="860"/>
      <c r="AM22" s="860"/>
      <c r="AN22" s="860"/>
      <c r="AO22" s="860"/>
      <c r="AP22" s="891"/>
      <c r="AQ22" s="891"/>
      <c r="AR22" s="24" t="s">
        <v>927</v>
      </c>
      <c r="AS22" s="640"/>
      <c r="AT22" s="640"/>
      <c r="AV22" s="862"/>
      <c r="AW22" s="863"/>
      <c r="AX22" s="863"/>
      <c r="AY22" s="863"/>
      <c r="AZ22" s="864"/>
      <c r="BA22" s="865"/>
      <c r="BB22" s="866"/>
      <c r="BC22" s="866"/>
      <c r="BD22" s="866"/>
      <c r="BE22" s="866"/>
      <c r="BF22" s="867"/>
      <c r="BG22" s="868"/>
      <c r="BH22" s="869"/>
      <c r="BI22" s="869"/>
      <c r="BJ22" s="869"/>
      <c r="BK22" s="870"/>
      <c r="BL22" s="871"/>
      <c r="BM22" s="872"/>
      <c r="BN22" s="872"/>
      <c r="BO22" s="872"/>
      <c r="BP22" s="872"/>
      <c r="BQ22" s="873"/>
    </row>
    <row r="23" spans="2:69" ht="16.899999999999999" customHeight="1" x14ac:dyDescent="0.15">
      <c r="B23" s="892"/>
      <c r="C23" s="892"/>
      <c r="D23" s="892"/>
      <c r="E23" s="892"/>
      <c r="F23" s="896" t="str">
        <f>装备!S9</f>
        <v/>
      </c>
      <c r="G23" s="896"/>
      <c r="H23" s="892"/>
      <c r="I23" s="892"/>
      <c r="J23" s="892"/>
      <c r="K23" s="892"/>
      <c r="L23" s="892"/>
      <c r="M23" s="892"/>
      <c r="N23" s="892"/>
      <c r="O23" s="892"/>
      <c r="P23" s="892"/>
      <c r="Q23" s="892"/>
      <c r="R23" s="892"/>
      <c r="S23" s="892"/>
      <c r="T23" s="893" t="str">
        <f>装备!W9</f>
        <v/>
      </c>
      <c r="U23" s="893"/>
      <c r="V23" s="893" t="str">
        <f>装备!V9</f>
        <v/>
      </c>
      <c r="W23" s="893"/>
      <c r="Y23" s="892"/>
      <c r="Z23" s="892"/>
      <c r="AA23" s="892"/>
      <c r="AB23" s="892"/>
      <c r="AC23" s="566"/>
      <c r="AD23" s="568"/>
      <c r="AE23" s="859"/>
      <c r="AF23" s="859"/>
      <c r="AG23" s="859"/>
      <c r="AH23" s="859"/>
      <c r="AI23" s="859"/>
      <c r="AJ23" s="859"/>
      <c r="AK23" s="859"/>
      <c r="AL23" s="859"/>
      <c r="AM23" s="859"/>
      <c r="AN23" s="859"/>
      <c r="AO23" s="859"/>
      <c r="AP23" s="894"/>
      <c r="AQ23" s="894"/>
      <c r="AR23" s="24" t="s">
        <v>927</v>
      </c>
      <c r="AS23" s="669"/>
      <c r="AT23" s="669"/>
      <c r="AV23" s="862"/>
      <c r="AW23" s="863"/>
      <c r="AX23" s="863"/>
      <c r="AY23" s="863"/>
      <c r="AZ23" s="864"/>
      <c r="BA23" s="865"/>
      <c r="BB23" s="866"/>
      <c r="BC23" s="866"/>
      <c r="BD23" s="866"/>
      <c r="BE23" s="866"/>
      <c r="BF23" s="867"/>
      <c r="BG23" s="868"/>
      <c r="BH23" s="869"/>
      <c r="BI23" s="869"/>
      <c r="BJ23" s="869"/>
      <c r="BK23" s="870"/>
      <c r="BL23" s="871"/>
      <c r="BM23" s="872"/>
      <c r="BN23" s="872"/>
      <c r="BO23" s="872"/>
      <c r="BP23" s="872"/>
      <c r="BQ23" s="873"/>
    </row>
    <row r="24" spans="2:69" ht="16.899999999999999" customHeight="1" x14ac:dyDescent="0.15">
      <c r="B24" s="889"/>
      <c r="C24" s="889"/>
      <c r="D24" s="889"/>
      <c r="E24" s="889"/>
      <c r="F24" s="895" t="str">
        <f>装备!S10</f>
        <v/>
      </c>
      <c r="G24" s="895"/>
      <c r="H24" s="889"/>
      <c r="I24" s="889"/>
      <c r="J24" s="889"/>
      <c r="K24" s="889"/>
      <c r="L24" s="889"/>
      <c r="M24" s="889"/>
      <c r="N24" s="889"/>
      <c r="O24" s="889"/>
      <c r="P24" s="889"/>
      <c r="Q24" s="889"/>
      <c r="R24" s="889"/>
      <c r="S24" s="889"/>
      <c r="T24" s="890" t="str">
        <f>装备!W10</f>
        <v/>
      </c>
      <c r="U24" s="890"/>
      <c r="V24" s="890" t="str">
        <f>装备!V10</f>
        <v/>
      </c>
      <c r="W24" s="890"/>
      <c r="Y24" s="889"/>
      <c r="Z24" s="889"/>
      <c r="AA24" s="889"/>
      <c r="AB24" s="889"/>
      <c r="AC24" s="556"/>
      <c r="AD24" s="558"/>
      <c r="AE24" s="860"/>
      <c r="AF24" s="860"/>
      <c r="AG24" s="860"/>
      <c r="AH24" s="860"/>
      <c r="AI24" s="860"/>
      <c r="AJ24" s="860"/>
      <c r="AK24" s="860"/>
      <c r="AL24" s="860"/>
      <c r="AM24" s="860"/>
      <c r="AN24" s="860"/>
      <c r="AO24" s="860"/>
      <c r="AP24" s="891"/>
      <c r="AQ24" s="891"/>
      <c r="AR24" s="24" t="s">
        <v>927</v>
      </c>
      <c r="AS24" s="640"/>
      <c r="AT24" s="640"/>
      <c r="AV24" s="862"/>
      <c r="AW24" s="863"/>
      <c r="AX24" s="863"/>
      <c r="AY24" s="863"/>
      <c r="AZ24" s="864"/>
      <c r="BA24" s="865"/>
      <c r="BB24" s="866"/>
      <c r="BC24" s="866"/>
      <c r="BD24" s="866"/>
      <c r="BE24" s="866"/>
      <c r="BF24" s="867"/>
      <c r="BG24" s="868"/>
      <c r="BH24" s="869"/>
      <c r="BI24" s="869"/>
      <c r="BJ24" s="869"/>
      <c r="BK24" s="870"/>
      <c r="BL24" s="871"/>
      <c r="BM24" s="872"/>
      <c r="BN24" s="872"/>
      <c r="BO24" s="872"/>
      <c r="BP24" s="872"/>
      <c r="BQ24" s="873"/>
    </row>
    <row r="25" spans="2:69" ht="16.899999999999999" customHeight="1" x14ac:dyDescent="0.15">
      <c r="B25" s="892"/>
      <c r="C25" s="892"/>
      <c r="D25" s="892"/>
      <c r="E25" s="892"/>
      <c r="F25" s="896" t="str">
        <f>装备!S11</f>
        <v/>
      </c>
      <c r="G25" s="896"/>
      <c r="H25" s="892"/>
      <c r="I25" s="892"/>
      <c r="J25" s="892"/>
      <c r="K25" s="892"/>
      <c r="L25" s="892"/>
      <c r="M25" s="892"/>
      <c r="N25" s="892"/>
      <c r="O25" s="892"/>
      <c r="P25" s="892"/>
      <c r="Q25" s="892"/>
      <c r="R25" s="892"/>
      <c r="S25" s="892"/>
      <c r="T25" s="893" t="str">
        <f>装备!W11</f>
        <v/>
      </c>
      <c r="U25" s="893"/>
      <c r="V25" s="893" t="str">
        <f>装备!V11</f>
        <v/>
      </c>
      <c r="W25" s="893"/>
      <c r="Y25" s="892"/>
      <c r="Z25" s="892"/>
      <c r="AA25" s="892"/>
      <c r="AB25" s="892"/>
      <c r="AC25" s="566"/>
      <c r="AD25" s="568"/>
      <c r="AE25" s="859"/>
      <c r="AF25" s="859"/>
      <c r="AG25" s="859"/>
      <c r="AH25" s="859"/>
      <c r="AI25" s="859"/>
      <c r="AJ25" s="859"/>
      <c r="AK25" s="859"/>
      <c r="AL25" s="859"/>
      <c r="AM25" s="859"/>
      <c r="AN25" s="859"/>
      <c r="AO25" s="859"/>
      <c r="AP25" s="894"/>
      <c r="AQ25" s="894"/>
      <c r="AR25" s="24" t="s">
        <v>927</v>
      </c>
      <c r="AS25" s="669"/>
      <c r="AT25" s="669"/>
      <c r="AV25" s="862"/>
      <c r="AW25" s="863"/>
      <c r="AX25" s="863"/>
      <c r="AY25" s="863"/>
      <c r="AZ25" s="864"/>
      <c r="BA25" s="865"/>
      <c r="BB25" s="866"/>
      <c r="BC25" s="866"/>
      <c r="BD25" s="866"/>
      <c r="BE25" s="866"/>
      <c r="BF25" s="867"/>
      <c r="BG25" s="868"/>
      <c r="BH25" s="869"/>
      <c r="BI25" s="869"/>
      <c r="BJ25" s="869"/>
      <c r="BK25" s="870"/>
      <c r="BL25" s="871"/>
      <c r="BM25" s="872"/>
      <c r="BN25" s="872"/>
      <c r="BO25" s="872"/>
      <c r="BP25" s="872"/>
      <c r="BQ25" s="873"/>
    </row>
    <row r="26" spans="2:69" ht="16.899999999999999" customHeight="1" x14ac:dyDescent="0.15">
      <c r="AV26" s="862"/>
      <c r="AW26" s="863"/>
      <c r="AX26" s="863"/>
      <c r="AY26" s="863"/>
      <c r="AZ26" s="864"/>
      <c r="BA26" s="865"/>
      <c r="BB26" s="866"/>
      <c r="BC26" s="866"/>
      <c r="BD26" s="866"/>
      <c r="BE26" s="866"/>
      <c r="BF26" s="867"/>
      <c r="BG26" s="868"/>
      <c r="BH26" s="869"/>
      <c r="BI26" s="869"/>
      <c r="BJ26" s="869"/>
      <c r="BK26" s="870"/>
      <c r="BL26" s="871"/>
      <c r="BM26" s="872"/>
      <c r="BN26" s="872"/>
      <c r="BO26" s="872"/>
      <c r="BP26" s="872"/>
      <c r="BQ26" s="873"/>
    </row>
    <row r="27" spans="2:69" ht="16.899999999999999" customHeight="1" x14ac:dyDescent="0.15">
      <c r="B27" s="880" t="s">
        <v>130</v>
      </c>
      <c r="C27" s="880"/>
      <c r="D27" s="880"/>
      <c r="E27" s="880"/>
      <c r="F27" s="880"/>
      <c r="G27" s="880"/>
      <c r="H27" s="880"/>
      <c r="I27" s="880"/>
      <c r="J27" s="880"/>
      <c r="K27" s="880"/>
      <c r="L27" s="880"/>
      <c r="M27" s="880"/>
      <c r="N27" s="880"/>
      <c r="O27" s="880"/>
      <c r="P27" s="880"/>
      <c r="Q27" s="880"/>
      <c r="R27" s="880"/>
      <c r="S27" s="880"/>
      <c r="T27" s="880"/>
      <c r="U27" s="880"/>
      <c r="V27" s="881" cm="1">
        <f t="array" ref="V27">SUM(装备!F14:F23+装备!F25:F34)</f>
        <v>0</v>
      </c>
      <c r="W27" s="881"/>
      <c r="Y27" s="880" t="s">
        <v>139</v>
      </c>
      <c r="Z27" s="880"/>
      <c r="AA27" s="880"/>
      <c r="AB27" s="880"/>
      <c r="AC27" s="880"/>
      <c r="AD27" s="880"/>
      <c r="AE27" s="880"/>
      <c r="AF27" s="880"/>
      <c r="AG27" s="880"/>
      <c r="AH27" s="880"/>
      <c r="AI27" s="880"/>
      <c r="AJ27" s="880"/>
      <c r="AK27" s="880"/>
      <c r="AL27" s="880"/>
      <c r="AM27" s="880"/>
      <c r="AN27" s="880"/>
      <c r="AO27" s="880"/>
      <c r="AP27" s="880"/>
      <c r="AQ27" s="880"/>
      <c r="AR27" s="880"/>
      <c r="AS27" s="897" t="s">
        <v>545</v>
      </c>
      <c r="AT27" s="897"/>
      <c r="AV27" s="862"/>
      <c r="AW27" s="863"/>
      <c r="AX27" s="863"/>
      <c r="AY27" s="863"/>
      <c r="AZ27" s="864"/>
      <c r="BA27" s="865"/>
      <c r="BB27" s="866"/>
      <c r="BC27" s="866"/>
      <c r="BD27" s="866"/>
      <c r="BE27" s="866"/>
      <c r="BF27" s="867"/>
      <c r="BG27" s="868"/>
      <c r="BH27" s="869"/>
      <c r="BI27" s="869"/>
      <c r="BJ27" s="869"/>
      <c r="BK27" s="870"/>
      <c r="BL27" s="871"/>
      <c r="BM27" s="872"/>
      <c r="BN27" s="872"/>
      <c r="BO27" s="872"/>
      <c r="BP27" s="872"/>
      <c r="BQ27" s="873"/>
    </row>
    <row r="28" spans="2:69" ht="16.899999999999999" customHeight="1" x14ac:dyDescent="0.3">
      <c r="B28" s="537" t="s">
        <v>36</v>
      </c>
      <c r="C28" s="537"/>
      <c r="D28" s="537"/>
      <c r="E28" s="537"/>
      <c r="F28" s="537" t="s">
        <v>10805</v>
      </c>
      <c r="G28" s="537"/>
      <c r="H28" s="537" t="s">
        <v>37</v>
      </c>
      <c r="I28" s="537"/>
      <c r="J28" s="537"/>
      <c r="K28" s="537"/>
      <c r="L28" s="537"/>
      <c r="M28" s="537"/>
      <c r="N28" s="537"/>
      <c r="O28" s="537"/>
      <c r="P28" s="537"/>
      <c r="Q28" s="537"/>
      <c r="R28" s="537"/>
      <c r="S28" s="537" t="s">
        <v>925</v>
      </c>
      <c r="T28" s="537"/>
      <c r="U28" s="24"/>
      <c r="V28" s="537" t="s">
        <v>926</v>
      </c>
      <c r="W28" s="537"/>
      <c r="Y28" s="537" t="s">
        <v>36</v>
      </c>
      <c r="Z28" s="537"/>
      <c r="AA28" s="537"/>
      <c r="AB28" s="537"/>
      <c r="AC28" s="537" t="s">
        <v>10805</v>
      </c>
      <c r="AD28" s="537"/>
      <c r="AE28" s="537" t="s">
        <v>37</v>
      </c>
      <c r="AF28" s="537"/>
      <c r="AG28" s="537"/>
      <c r="AH28" s="537"/>
      <c r="AI28" s="537"/>
      <c r="AJ28" s="537"/>
      <c r="AK28" s="537"/>
      <c r="AL28" s="537"/>
      <c r="AM28" s="537"/>
      <c r="AN28" s="537"/>
      <c r="AO28" s="537"/>
      <c r="AP28" s="537" t="s">
        <v>925</v>
      </c>
      <c r="AQ28" s="537"/>
      <c r="AR28" s="24"/>
      <c r="AS28" s="537" t="s">
        <v>926</v>
      </c>
      <c r="AT28" s="537"/>
      <c r="AV28" s="862"/>
      <c r="AW28" s="863"/>
      <c r="AX28" s="863"/>
      <c r="AY28" s="863"/>
      <c r="AZ28" s="864"/>
      <c r="BA28" s="865"/>
      <c r="BB28" s="866"/>
      <c r="BC28" s="866"/>
      <c r="BD28" s="866"/>
      <c r="BE28" s="866"/>
      <c r="BF28" s="867"/>
      <c r="BG28" s="868"/>
      <c r="BH28" s="869"/>
      <c r="BI28" s="869"/>
      <c r="BJ28" s="869"/>
      <c r="BK28" s="870"/>
      <c r="BL28" s="871"/>
      <c r="BM28" s="872"/>
      <c r="BN28" s="872"/>
      <c r="BO28" s="872"/>
      <c r="BP28" s="872"/>
      <c r="BQ28" s="873"/>
    </row>
    <row r="29" spans="2:69" ht="16.899999999999999" customHeight="1" x14ac:dyDescent="0.15">
      <c r="B29" s="889"/>
      <c r="C29" s="889"/>
      <c r="D29" s="889"/>
      <c r="E29" s="889"/>
      <c r="F29" s="556"/>
      <c r="G29" s="558"/>
      <c r="H29" s="860"/>
      <c r="I29" s="860"/>
      <c r="J29" s="860"/>
      <c r="K29" s="860"/>
      <c r="L29" s="860"/>
      <c r="M29" s="860"/>
      <c r="N29" s="860"/>
      <c r="O29" s="860"/>
      <c r="P29" s="860"/>
      <c r="Q29" s="860"/>
      <c r="R29" s="860"/>
      <c r="S29" s="891"/>
      <c r="T29" s="891"/>
      <c r="U29" s="24" t="s">
        <v>927</v>
      </c>
      <c r="V29" s="640"/>
      <c r="W29" s="640"/>
      <c r="Y29" s="889"/>
      <c r="Z29" s="889"/>
      <c r="AA29" s="889"/>
      <c r="AB29" s="889"/>
      <c r="AC29" s="556"/>
      <c r="AD29" s="558"/>
      <c r="AE29" s="860"/>
      <c r="AF29" s="860"/>
      <c r="AG29" s="860"/>
      <c r="AH29" s="860"/>
      <c r="AI29" s="860"/>
      <c r="AJ29" s="860"/>
      <c r="AK29" s="860"/>
      <c r="AL29" s="860"/>
      <c r="AM29" s="860"/>
      <c r="AN29" s="860"/>
      <c r="AO29" s="860"/>
      <c r="AP29" s="891"/>
      <c r="AQ29" s="891"/>
      <c r="AR29" s="24" t="s">
        <v>927</v>
      </c>
      <c r="AS29" s="640"/>
      <c r="AT29" s="640"/>
      <c r="AV29" s="862"/>
      <c r="AW29" s="863"/>
      <c r="AX29" s="863"/>
      <c r="AY29" s="863"/>
      <c r="AZ29" s="864"/>
      <c r="BA29" s="865"/>
      <c r="BB29" s="866"/>
      <c r="BC29" s="866"/>
      <c r="BD29" s="866"/>
      <c r="BE29" s="866"/>
      <c r="BF29" s="867"/>
      <c r="BG29" s="868"/>
      <c r="BH29" s="869"/>
      <c r="BI29" s="869"/>
      <c r="BJ29" s="869"/>
      <c r="BK29" s="870"/>
      <c r="BL29" s="871"/>
      <c r="BM29" s="872"/>
      <c r="BN29" s="872"/>
      <c r="BO29" s="872"/>
      <c r="BP29" s="872"/>
      <c r="BQ29" s="873"/>
    </row>
    <row r="30" spans="2:69" ht="16.899999999999999" customHeight="1" x14ac:dyDescent="0.15">
      <c r="B30" s="892"/>
      <c r="C30" s="892"/>
      <c r="D30" s="892"/>
      <c r="E30" s="892"/>
      <c r="F30" s="566"/>
      <c r="G30" s="568"/>
      <c r="H30" s="859"/>
      <c r="I30" s="859"/>
      <c r="J30" s="859"/>
      <c r="K30" s="859"/>
      <c r="L30" s="859"/>
      <c r="M30" s="859"/>
      <c r="N30" s="859"/>
      <c r="O30" s="859"/>
      <c r="P30" s="859"/>
      <c r="Q30" s="859"/>
      <c r="R30" s="859"/>
      <c r="S30" s="894"/>
      <c r="T30" s="894"/>
      <c r="U30" s="24" t="s">
        <v>927</v>
      </c>
      <c r="V30" s="669"/>
      <c r="W30" s="669"/>
      <c r="Y30" s="892"/>
      <c r="Z30" s="892"/>
      <c r="AA30" s="892"/>
      <c r="AB30" s="892"/>
      <c r="AC30" s="566"/>
      <c r="AD30" s="568"/>
      <c r="AE30" s="859"/>
      <c r="AF30" s="859"/>
      <c r="AG30" s="859"/>
      <c r="AH30" s="859"/>
      <c r="AI30" s="859"/>
      <c r="AJ30" s="859"/>
      <c r="AK30" s="859"/>
      <c r="AL30" s="859"/>
      <c r="AM30" s="859"/>
      <c r="AN30" s="859"/>
      <c r="AO30" s="859"/>
      <c r="AP30" s="894"/>
      <c r="AQ30" s="894"/>
      <c r="AR30" s="24" t="s">
        <v>927</v>
      </c>
      <c r="AS30" s="669"/>
      <c r="AT30" s="669"/>
      <c r="AV30" s="862"/>
      <c r="AW30" s="863"/>
      <c r="AX30" s="863"/>
      <c r="AY30" s="863"/>
      <c r="AZ30" s="864"/>
      <c r="BA30" s="865"/>
      <c r="BB30" s="866"/>
      <c r="BC30" s="866"/>
      <c r="BD30" s="866"/>
      <c r="BE30" s="866"/>
      <c r="BF30" s="867"/>
      <c r="BG30" s="868"/>
      <c r="BH30" s="869"/>
      <c r="BI30" s="869"/>
      <c r="BJ30" s="869"/>
      <c r="BK30" s="870"/>
      <c r="BL30" s="871"/>
      <c r="BM30" s="872"/>
      <c r="BN30" s="872"/>
      <c r="BO30" s="872"/>
      <c r="BP30" s="872"/>
      <c r="BQ30" s="873"/>
    </row>
    <row r="31" spans="2:69" ht="16.899999999999999" customHeight="1" x14ac:dyDescent="0.15">
      <c r="B31" s="889"/>
      <c r="C31" s="889"/>
      <c r="D31" s="889"/>
      <c r="E31" s="889"/>
      <c r="F31" s="556"/>
      <c r="G31" s="558"/>
      <c r="H31" s="860"/>
      <c r="I31" s="860"/>
      <c r="J31" s="860"/>
      <c r="K31" s="860"/>
      <c r="L31" s="860"/>
      <c r="M31" s="860"/>
      <c r="N31" s="860"/>
      <c r="O31" s="860"/>
      <c r="P31" s="860"/>
      <c r="Q31" s="860"/>
      <c r="R31" s="860"/>
      <c r="S31" s="891"/>
      <c r="T31" s="891"/>
      <c r="U31" s="24" t="s">
        <v>927</v>
      </c>
      <c r="V31" s="640"/>
      <c r="W31" s="640"/>
      <c r="Y31" s="889"/>
      <c r="Z31" s="889"/>
      <c r="AA31" s="889"/>
      <c r="AB31" s="889"/>
      <c r="AC31" s="556"/>
      <c r="AD31" s="558"/>
      <c r="AE31" s="860"/>
      <c r="AF31" s="860"/>
      <c r="AG31" s="860"/>
      <c r="AH31" s="860"/>
      <c r="AI31" s="860"/>
      <c r="AJ31" s="860"/>
      <c r="AK31" s="860"/>
      <c r="AL31" s="860"/>
      <c r="AM31" s="860"/>
      <c r="AN31" s="860"/>
      <c r="AO31" s="860"/>
      <c r="AP31" s="891"/>
      <c r="AQ31" s="891"/>
      <c r="AR31" s="24" t="s">
        <v>927</v>
      </c>
      <c r="AS31" s="640"/>
      <c r="AT31" s="640"/>
      <c r="AV31" s="862"/>
      <c r="AW31" s="863"/>
      <c r="AX31" s="863"/>
      <c r="AY31" s="863"/>
      <c r="AZ31" s="864"/>
      <c r="BA31" s="865"/>
      <c r="BB31" s="866"/>
      <c r="BC31" s="866"/>
      <c r="BD31" s="866"/>
      <c r="BE31" s="866"/>
      <c r="BF31" s="867"/>
      <c r="BG31" s="868"/>
      <c r="BH31" s="869"/>
      <c r="BI31" s="869"/>
      <c r="BJ31" s="869"/>
      <c r="BK31" s="870"/>
      <c r="BL31" s="871"/>
      <c r="BM31" s="872"/>
      <c r="BN31" s="872"/>
      <c r="BO31" s="872"/>
      <c r="BP31" s="872"/>
      <c r="BQ31" s="873"/>
    </row>
    <row r="32" spans="2:69" ht="16.899999999999999" customHeight="1" x14ac:dyDescent="0.15">
      <c r="B32" s="892"/>
      <c r="C32" s="892"/>
      <c r="D32" s="892"/>
      <c r="E32" s="892"/>
      <c r="F32" s="566"/>
      <c r="G32" s="568"/>
      <c r="H32" s="859"/>
      <c r="I32" s="859"/>
      <c r="J32" s="859"/>
      <c r="K32" s="859"/>
      <c r="L32" s="859"/>
      <c r="M32" s="859"/>
      <c r="N32" s="859"/>
      <c r="O32" s="859"/>
      <c r="P32" s="859"/>
      <c r="Q32" s="859"/>
      <c r="R32" s="859"/>
      <c r="S32" s="894"/>
      <c r="T32" s="894"/>
      <c r="U32" s="24" t="s">
        <v>927</v>
      </c>
      <c r="V32" s="669"/>
      <c r="W32" s="669"/>
      <c r="Y32" s="892"/>
      <c r="Z32" s="892"/>
      <c r="AA32" s="892"/>
      <c r="AB32" s="892"/>
      <c r="AC32" s="566"/>
      <c r="AD32" s="568"/>
      <c r="AE32" s="859"/>
      <c r="AF32" s="859"/>
      <c r="AG32" s="859"/>
      <c r="AH32" s="859"/>
      <c r="AI32" s="859"/>
      <c r="AJ32" s="859"/>
      <c r="AK32" s="859"/>
      <c r="AL32" s="859"/>
      <c r="AM32" s="859"/>
      <c r="AN32" s="859"/>
      <c r="AO32" s="859"/>
      <c r="AP32" s="894"/>
      <c r="AQ32" s="894"/>
      <c r="AR32" s="24" t="s">
        <v>927</v>
      </c>
      <c r="AS32" s="669"/>
      <c r="AT32" s="669"/>
      <c r="AV32" s="862"/>
      <c r="AW32" s="863"/>
      <c r="AX32" s="863"/>
      <c r="AY32" s="863"/>
      <c r="AZ32" s="864"/>
      <c r="BA32" s="865"/>
      <c r="BB32" s="866"/>
      <c r="BC32" s="866"/>
      <c r="BD32" s="866"/>
      <c r="BE32" s="866"/>
      <c r="BF32" s="867"/>
      <c r="BG32" s="868"/>
      <c r="BH32" s="869"/>
      <c r="BI32" s="869"/>
      <c r="BJ32" s="869"/>
      <c r="BK32" s="870"/>
      <c r="BL32" s="871"/>
      <c r="BM32" s="872"/>
      <c r="BN32" s="872"/>
      <c r="BO32" s="872"/>
      <c r="BP32" s="872"/>
      <c r="BQ32" s="873"/>
    </row>
    <row r="33" spans="2:69" ht="16.899999999999999" customHeight="1" x14ac:dyDescent="0.15">
      <c r="B33" s="889"/>
      <c r="C33" s="889"/>
      <c r="D33" s="889"/>
      <c r="E33" s="889"/>
      <c r="F33" s="556"/>
      <c r="G33" s="558"/>
      <c r="H33" s="860"/>
      <c r="I33" s="860"/>
      <c r="J33" s="860"/>
      <c r="K33" s="860"/>
      <c r="L33" s="860"/>
      <c r="M33" s="860"/>
      <c r="N33" s="860"/>
      <c r="O33" s="860"/>
      <c r="P33" s="860"/>
      <c r="Q33" s="860"/>
      <c r="R33" s="860"/>
      <c r="S33" s="891"/>
      <c r="T33" s="891"/>
      <c r="U33" s="24" t="s">
        <v>927</v>
      </c>
      <c r="V33" s="640"/>
      <c r="W33" s="640"/>
      <c r="Y33" s="889"/>
      <c r="Z33" s="889"/>
      <c r="AA33" s="889"/>
      <c r="AB33" s="889"/>
      <c r="AC33" s="556"/>
      <c r="AD33" s="558"/>
      <c r="AE33" s="860"/>
      <c r="AF33" s="860"/>
      <c r="AG33" s="860"/>
      <c r="AH33" s="860"/>
      <c r="AI33" s="860"/>
      <c r="AJ33" s="860"/>
      <c r="AK33" s="860"/>
      <c r="AL33" s="860"/>
      <c r="AM33" s="860"/>
      <c r="AN33" s="860"/>
      <c r="AO33" s="860"/>
      <c r="AP33" s="891"/>
      <c r="AQ33" s="891"/>
      <c r="AR33" s="24" t="s">
        <v>927</v>
      </c>
      <c r="AS33" s="640"/>
      <c r="AT33" s="640"/>
      <c r="AV33" s="862"/>
      <c r="AW33" s="863"/>
      <c r="AX33" s="863"/>
      <c r="AY33" s="863"/>
      <c r="AZ33" s="864"/>
      <c r="BA33" s="865"/>
      <c r="BB33" s="866"/>
      <c r="BC33" s="866"/>
      <c r="BD33" s="866"/>
      <c r="BE33" s="866"/>
      <c r="BF33" s="867"/>
      <c r="BG33" s="868"/>
      <c r="BH33" s="869"/>
      <c r="BI33" s="869"/>
      <c r="BJ33" s="869"/>
      <c r="BK33" s="870"/>
      <c r="BL33" s="871"/>
      <c r="BM33" s="872"/>
      <c r="BN33" s="872"/>
      <c r="BO33" s="872"/>
      <c r="BP33" s="872"/>
      <c r="BQ33" s="873"/>
    </row>
    <row r="34" spans="2:69" ht="16.899999999999999" customHeight="1" x14ac:dyDescent="0.15">
      <c r="B34" s="892"/>
      <c r="C34" s="892"/>
      <c r="D34" s="892"/>
      <c r="E34" s="892"/>
      <c r="F34" s="566"/>
      <c r="G34" s="568"/>
      <c r="H34" s="861"/>
      <c r="I34" s="861"/>
      <c r="J34" s="861"/>
      <c r="K34" s="861"/>
      <c r="L34" s="861"/>
      <c r="M34" s="861"/>
      <c r="N34" s="861"/>
      <c r="O34" s="861"/>
      <c r="P34" s="861"/>
      <c r="Q34" s="861"/>
      <c r="R34" s="861"/>
      <c r="S34" s="894"/>
      <c r="T34" s="894"/>
      <c r="U34" s="24" t="s">
        <v>927</v>
      </c>
      <c r="V34" s="734"/>
      <c r="W34" s="734"/>
      <c r="Y34" s="892"/>
      <c r="Z34" s="892"/>
      <c r="AA34" s="892"/>
      <c r="AB34" s="892"/>
      <c r="AC34" s="566"/>
      <c r="AD34" s="568"/>
      <c r="AE34" s="861"/>
      <c r="AF34" s="861"/>
      <c r="AG34" s="861"/>
      <c r="AH34" s="861"/>
      <c r="AI34" s="861"/>
      <c r="AJ34" s="861"/>
      <c r="AK34" s="861"/>
      <c r="AL34" s="861"/>
      <c r="AM34" s="861"/>
      <c r="AN34" s="861"/>
      <c r="AO34" s="861"/>
      <c r="AP34" s="894"/>
      <c r="AQ34" s="894"/>
      <c r="AR34" s="24" t="s">
        <v>927</v>
      </c>
      <c r="AS34" s="734"/>
      <c r="AT34" s="734"/>
      <c r="AV34" s="862"/>
      <c r="AW34" s="863"/>
      <c r="AX34" s="863"/>
      <c r="AY34" s="863"/>
      <c r="AZ34" s="864"/>
      <c r="BA34" s="865"/>
      <c r="BB34" s="866"/>
      <c r="BC34" s="866"/>
      <c r="BD34" s="866"/>
      <c r="BE34" s="866"/>
      <c r="BF34" s="867"/>
      <c r="BG34" s="868"/>
      <c r="BH34" s="869"/>
      <c r="BI34" s="869"/>
      <c r="BJ34" s="869"/>
      <c r="BK34" s="870"/>
      <c r="BL34" s="871"/>
      <c r="BM34" s="872"/>
      <c r="BN34" s="872"/>
      <c r="BO34" s="872"/>
      <c r="BP34" s="872"/>
      <c r="BQ34" s="873"/>
    </row>
    <row r="35" spans="2:69" ht="16.899999999999999" customHeight="1" x14ac:dyDescent="0.15">
      <c r="B35" s="889"/>
      <c r="C35" s="889"/>
      <c r="D35" s="889"/>
      <c r="E35" s="889"/>
      <c r="F35" s="556"/>
      <c r="G35" s="558"/>
      <c r="H35" s="860"/>
      <c r="I35" s="860"/>
      <c r="J35" s="860"/>
      <c r="K35" s="860"/>
      <c r="L35" s="860"/>
      <c r="M35" s="860"/>
      <c r="N35" s="860"/>
      <c r="O35" s="860"/>
      <c r="P35" s="860"/>
      <c r="Q35" s="860"/>
      <c r="R35" s="860"/>
      <c r="S35" s="891"/>
      <c r="T35" s="891"/>
      <c r="U35" s="24" t="s">
        <v>927</v>
      </c>
      <c r="V35" s="640"/>
      <c r="W35" s="640"/>
      <c r="Y35" s="889"/>
      <c r="Z35" s="889"/>
      <c r="AA35" s="889"/>
      <c r="AB35" s="889"/>
      <c r="AC35" s="556"/>
      <c r="AD35" s="558"/>
      <c r="AE35" s="860"/>
      <c r="AF35" s="860"/>
      <c r="AG35" s="860"/>
      <c r="AH35" s="860"/>
      <c r="AI35" s="860"/>
      <c r="AJ35" s="860"/>
      <c r="AK35" s="860"/>
      <c r="AL35" s="860"/>
      <c r="AM35" s="860"/>
      <c r="AN35" s="860"/>
      <c r="AO35" s="860"/>
      <c r="AP35" s="891"/>
      <c r="AQ35" s="891"/>
      <c r="AR35" s="24" t="s">
        <v>927</v>
      </c>
      <c r="AS35" s="640"/>
      <c r="AT35" s="640"/>
      <c r="AV35" s="862"/>
      <c r="AW35" s="863"/>
      <c r="AX35" s="863"/>
      <c r="AY35" s="863"/>
      <c r="AZ35" s="864"/>
      <c r="BA35" s="865"/>
      <c r="BB35" s="866"/>
      <c r="BC35" s="866"/>
      <c r="BD35" s="866"/>
      <c r="BE35" s="866"/>
      <c r="BF35" s="867"/>
      <c r="BG35" s="868"/>
      <c r="BH35" s="869"/>
      <c r="BI35" s="869"/>
      <c r="BJ35" s="869"/>
      <c r="BK35" s="870"/>
      <c r="BL35" s="871"/>
      <c r="BM35" s="872"/>
      <c r="BN35" s="872"/>
      <c r="BO35" s="872"/>
      <c r="BP35" s="872"/>
      <c r="BQ35" s="873"/>
    </row>
    <row r="36" spans="2:69" ht="16.899999999999999" customHeight="1" x14ac:dyDescent="0.15">
      <c r="B36" s="892"/>
      <c r="C36" s="892"/>
      <c r="D36" s="892"/>
      <c r="E36" s="892"/>
      <c r="F36" s="566"/>
      <c r="G36" s="568"/>
      <c r="H36" s="859"/>
      <c r="I36" s="859"/>
      <c r="J36" s="859"/>
      <c r="K36" s="859"/>
      <c r="L36" s="859"/>
      <c r="M36" s="859"/>
      <c r="N36" s="859"/>
      <c r="O36" s="859"/>
      <c r="P36" s="859"/>
      <c r="Q36" s="859"/>
      <c r="R36" s="859"/>
      <c r="S36" s="894"/>
      <c r="T36" s="894"/>
      <c r="U36" s="24" t="s">
        <v>927</v>
      </c>
      <c r="V36" s="669"/>
      <c r="W36" s="669"/>
      <c r="Y36" s="892"/>
      <c r="Z36" s="892"/>
      <c r="AA36" s="892"/>
      <c r="AB36" s="892"/>
      <c r="AC36" s="566"/>
      <c r="AD36" s="568"/>
      <c r="AE36" s="859"/>
      <c r="AF36" s="859"/>
      <c r="AG36" s="859"/>
      <c r="AH36" s="859"/>
      <c r="AI36" s="859"/>
      <c r="AJ36" s="859"/>
      <c r="AK36" s="859"/>
      <c r="AL36" s="859"/>
      <c r="AM36" s="859"/>
      <c r="AN36" s="859"/>
      <c r="AO36" s="859"/>
      <c r="AP36" s="894"/>
      <c r="AQ36" s="894"/>
      <c r="AR36" s="24" t="s">
        <v>927</v>
      </c>
      <c r="AS36" s="669"/>
      <c r="AT36" s="669"/>
      <c r="AV36" s="862"/>
      <c r="AW36" s="863"/>
      <c r="AX36" s="863"/>
      <c r="AY36" s="863"/>
      <c r="AZ36" s="864"/>
      <c r="BA36" s="865"/>
      <c r="BB36" s="866"/>
      <c r="BC36" s="866"/>
      <c r="BD36" s="866"/>
      <c r="BE36" s="866"/>
      <c r="BF36" s="867"/>
      <c r="BG36" s="868"/>
      <c r="BH36" s="869"/>
      <c r="BI36" s="869"/>
      <c r="BJ36" s="869"/>
      <c r="BK36" s="870"/>
      <c r="BL36" s="871"/>
      <c r="BM36" s="872"/>
      <c r="BN36" s="872"/>
      <c r="BO36" s="872"/>
      <c r="BP36" s="872"/>
      <c r="BQ36" s="873"/>
    </row>
    <row r="37" spans="2:69" ht="16.899999999999999" customHeight="1" x14ac:dyDescent="0.15">
      <c r="B37" s="889"/>
      <c r="C37" s="889"/>
      <c r="D37" s="889"/>
      <c r="E37" s="889"/>
      <c r="F37" s="556"/>
      <c r="G37" s="558"/>
      <c r="H37" s="860"/>
      <c r="I37" s="860"/>
      <c r="J37" s="860"/>
      <c r="K37" s="860"/>
      <c r="L37" s="860"/>
      <c r="M37" s="860"/>
      <c r="N37" s="860"/>
      <c r="O37" s="860"/>
      <c r="P37" s="860"/>
      <c r="Q37" s="860"/>
      <c r="R37" s="860"/>
      <c r="S37" s="891"/>
      <c r="T37" s="891"/>
      <c r="U37" s="24" t="s">
        <v>927</v>
      </c>
      <c r="V37" s="640"/>
      <c r="W37" s="640"/>
      <c r="Y37" s="889"/>
      <c r="Z37" s="889"/>
      <c r="AA37" s="889"/>
      <c r="AB37" s="889"/>
      <c r="AC37" s="556"/>
      <c r="AD37" s="558"/>
      <c r="AE37" s="860"/>
      <c r="AF37" s="860"/>
      <c r="AG37" s="860"/>
      <c r="AH37" s="860"/>
      <c r="AI37" s="860"/>
      <c r="AJ37" s="860"/>
      <c r="AK37" s="860"/>
      <c r="AL37" s="860"/>
      <c r="AM37" s="860"/>
      <c r="AN37" s="860"/>
      <c r="AO37" s="860"/>
      <c r="AP37" s="891"/>
      <c r="AQ37" s="891"/>
      <c r="AR37" s="24" t="s">
        <v>927</v>
      </c>
      <c r="AS37" s="640"/>
      <c r="AT37" s="640"/>
      <c r="AV37" s="862"/>
      <c r="AW37" s="863"/>
      <c r="AX37" s="863"/>
      <c r="AY37" s="863"/>
      <c r="AZ37" s="864"/>
      <c r="BA37" s="865"/>
      <c r="BB37" s="866"/>
      <c r="BC37" s="866"/>
      <c r="BD37" s="866"/>
      <c r="BE37" s="866"/>
      <c r="BF37" s="867"/>
      <c r="BG37" s="868"/>
      <c r="BH37" s="869"/>
      <c r="BI37" s="869"/>
      <c r="BJ37" s="869"/>
      <c r="BK37" s="870"/>
      <c r="BL37" s="871"/>
      <c r="BM37" s="872"/>
      <c r="BN37" s="872"/>
      <c r="BO37" s="872"/>
      <c r="BP37" s="872"/>
      <c r="BQ37" s="873"/>
    </row>
    <row r="38" spans="2:69" ht="16.899999999999999" customHeight="1" x14ac:dyDescent="0.15">
      <c r="B38" s="892"/>
      <c r="C38" s="892"/>
      <c r="D38" s="892"/>
      <c r="E38" s="892"/>
      <c r="F38" s="566"/>
      <c r="G38" s="568"/>
      <c r="H38" s="859"/>
      <c r="I38" s="859"/>
      <c r="J38" s="859"/>
      <c r="K38" s="859"/>
      <c r="L38" s="859"/>
      <c r="M38" s="859"/>
      <c r="N38" s="859"/>
      <c r="O38" s="859"/>
      <c r="P38" s="859"/>
      <c r="Q38" s="859"/>
      <c r="R38" s="859"/>
      <c r="S38" s="894"/>
      <c r="T38" s="894"/>
      <c r="U38" s="24" t="s">
        <v>927</v>
      </c>
      <c r="V38" s="669"/>
      <c r="W38" s="669"/>
      <c r="Y38" s="892"/>
      <c r="Z38" s="892"/>
      <c r="AA38" s="892"/>
      <c r="AB38" s="892"/>
      <c r="AC38" s="566"/>
      <c r="AD38" s="568"/>
      <c r="AE38" s="859"/>
      <c r="AF38" s="859"/>
      <c r="AG38" s="859"/>
      <c r="AH38" s="859"/>
      <c r="AI38" s="859"/>
      <c r="AJ38" s="859"/>
      <c r="AK38" s="859"/>
      <c r="AL38" s="859"/>
      <c r="AM38" s="859"/>
      <c r="AN38" s="859"/>
      <c r="AO38" s="859"/>
      <c r="AP38" s="894"/>
      <c r="AQ38" s="894"/>
      <c r="AR38" s="24" t="s">
        <v>927</v>
      </c>
      <c r="AS38" s="669"/>
      <c r="AT38" s="669"/>
      <c r="AV38" s="862"/>
      <c r="AW38" s="863"/>
      <c r="AX38" s="863"/>
      <c r="AY38" s="863"/>
      <c r="AZ38" s="864"/>
      <c r="BA38" s="865"/>
      <c r="BB38" s="866"/>
      <c r="BC38" s="866"/>
      <c r="BD38" s="866"/>
      <c r="BE38" s="866"/>
      <c r="BF38" s="867"/>
      <c r="BG38" s="868"/>
      <c r="BH38" s="869"/>
      <c r="BI38" s="869"/>
      <c r="BJ38" s="869"/>
      <c r="BK38" s="870"/>
      <c r="BL38" s="871"/>
      <c r="BM38" s="872"/>
      <c r="BN38" s="872"/>
      <c r="BO38" s="872"/>
      <c r="BP38" s="872"/>
      <c r="BQ38" s="873"/>
    </row>
    <row r="39" spans="2:69" ht="16.899999999999999" customHeight="1" x14ac:dyDescent="0.3">
      <c r="B39" s="537" t="s">
        <v>36</v>
      </c>
      <c r="C39" s="537"/>
      <c r="D39" s="537"/>
      <c r="E39" s="537"/>
      <c r="F39" s="537" t="s">
        <v>10805</v>
      </c>
      <c r="G39" s="537"/>
      <c r="H39" s="537" t="s">
        <v>37</v>
      </c>
      <c r="I39" s="537"/>
      <c r="J39" s="537"/>
      <c r="K39" s="537"/>
      <c r="L39" s="537"/>
      <c r="M39" s="537"/>
      <c r="N39" s="537"/>
      <c r="O39" s="537"/>
      <c r="P39" s="537"/>
      <c r="Q39" s="537"/>
      <c r="R39" s="537"/>
      <c r="S39" s="537" t="s">
        <v>925</v>
      </c>
      <c r="T39" s="537"/>
      <c r="U39" s="24"/>
      <c r="V39" s="537" t="s">
        <v>926</v>
      </c>
      <c r="W39" s="537"/>
      <c r="Y39" s="537" t="s">
        <v>36</v>
      </c>
      <c r="Z39" s="537"/>
      <c r="AA39" s="537"/>
      <c r="AB39" s="537"/>
      <c r="AC39" s="537" t="s">
        <v>10805</v>
      </c>
      <c r="AD39" s="537"/>
      <c r="AE39" s="537" t="s">
        <v>37</v>
      </c>
      <c r="AF39" s="537"/>
      <c r="AG39" s="537"/>
      <c r="AH39" s="537"/>
      <c r="AI39" s="537"/>
      <c r="AJ39" s="537"/>
      <c r="AK39" s="537"/>
      <c r="AL39" s="537"/>
      <c r="AM39" s="537"/>
      <c r="AN39" s="537"/>
      <c r="AO39" s="537"/>
      <c r="AP39" s="537" t="s">
        <v>925</v>
      </c>
      <c r="AQ39" s="537"/>
      <c r="AR39" s="24"/>
      <c r="AS39" s="537" t="s">
        <v>926</v>
      </c>
      <c r="AT39" s="537"/>
      <c r="AV39" s="862"/>
      <c r="AW39" s="863"/>
      <c r="AX39" s="863"/>
      <c r="AY39" s="863"/>
      <c r="AZ39" s="864"/>
      <c r="BA39" s="865"/>
      <c r="BB39" s="866"/>
      <c r="BC39" s="866"/>
      <c r="BD39" s="866"/>
      <c r="BE39" s="866"/>
      <c r="BF39" s="867"/>
      <c r="BG39" s="868"/>
      <c r="BH39" s="869"/>
      <c r="BI39" s="869"/>
      <c r="BJ39" s="869"/>
      <c r="BK39" s="870"/>
      <c r="BL39" s="871"/>
      <c r="BM39" s="872"/>
      <c r="BN39" s="872"/>
      <c r="BO39" s="872"/>
      <c r="BP39" s="872"/>
      <c r="BQ39" s="873"/>
    </row>
    <row r="40" spans="2:69" ht="16.899999999999999" customHeight="1" x14ac:dyDescent="0.15">
      <c r="B40" s="889"/>
      <c r="C40" s="889"/>
      <c r="D40" s="889"/>
      <c r="E40" s="889"/>
      <c r="F40" s="556"/>
      <c r="G40" s="558"/>
      <c r="H40" s="860"/>
      <c r="I40" s="860"/>
      <c r="J40" s="860"/>
      <c r="K40" s="860"/>
      <c r="L40" s="860"/>
      <c r="M40" s="860"/>
      <c r="N40" s="860"/>
      <c r="O40" s="860"/>
      <c r="P40" s="860"/>
      <c r="Q40" s="860"/>
      <c r="R40" s="860"/>
      <c r="S40" s="891"/>
      <c r="T40" s="891"/>
      <c r="U40" s="24" t="s">
        <v>927</v>
      </c>
      <c r="V40" s="640"/>
      <c r="W40" s="640"/>
      <c r="Y40" s="889"/>
      <c r="Z40" s="889"/>
      <c r="AA40" s="889"/>
      <c r="AB40" s="889"/>
      <c r="AC40" s="556"/>
      <c r="AD40" s="558"/>
      <c r="AE40" s="860"/>
      <c r="AF40" s="860"/>
      <c r="AG40" s="860"/>
      <c r="AH40" s="860"/>
      <c r="AI40" s="860"/>
      <c r="AJ40" s="860"/>
      <c r="AK40" s="860"/>
      <c r="AL40" s="860"/>
      <c r="AM40" s="860"/>
      <c r="AN40" s="860"/>
      <c r="AO40" s="860"/>
      <c r="AP40" s="891"/>
      <c r="AQ40" s="891"/>
      <c r="AR40" s="24" t="s">
        <v>927</v>
      </c>
      <c r="AS40" s="640"/>
      <c r="AT40" s="640"/>
      <c r="AV40" s="862"/>
      <c r="AW40" s="863"/>
      <c r="AX40" s="863"/>
      <c r="AY40" s="863"/>
      <c r="AZ40" s="864"/>
      <c r="BA40" s="865"/>
      <c r="BB40" s="866"/>
      <c r="BC40" s="866"/>
      <c r="BD40" s="866"/>
      <c r="BE40" s="866"/>
      <c r="BF40" s="867"/>
      <c r="BG40" s="868"/>
      <c r="BH40" s="869"/>
      <c r="BI40" s="869"/>
      <c r="BJ40" s="869"/>
      <c r="BK40" s="870"/>
      <c r="BL40" s="871"/>
      <c r="BM40" s="872"/>
      <c r="BN40" s="872"/>
      <c r="BO40" s="872"/>
      <c r="BP40" s="872"/>
      <c r="BQ40" s="873"/>
    </row>
    <row r="41" spans="2:69" ht="16.899999999999999" customHeight="1" x14ac:dyDescent="0.15">
      <c r="B41" s="892"/>
      <c r="C41" s="892"/>
      <c r="D41" s="892"/>
      <c r="E41" s="892"/>
      <c r="F41" s="566"/>
      <c r="G41" s="568"/>
      <c r="H41" s="859"/>
      <c r="I41" s="859"/>
      <c r="J41" s="859"/>
      <c r="K41" s="859"/>
      <c r="L41" s="859"/>
      <c r="M41" s="859"/>
      <c r="N41" s="859"/>
      <c r="O41" s="859"/>
      <c r="P41" s="859"/>
      <c r="Q41" s="859"/>
      <c r="R41" s="859"/>
      <c r="S41" s="894"/>
      <c r="T41" s="894"/>
      <c r="U41" s="24" t="s">
        <v>927</v>
      </c>
      <c r="V41" s="669"/>
      <c r="W41" s="669"/>
      <c r="Y41" s="892"/>
      <c r="Z41" s="892"/>
      <c r="AA41" s="892"/>
      <c r="AB41" s="892"/>
      <c r="AC41" s="566"/>
      <c r="AD41" s="568"/>
      <c r="AE41" s="859"/>
      <c r="AF41" s="859"/>
      <c r="AG41" s="859"/>
      <c r="AH41" s="859"/>
      <c r="AI41" s="859"/>
      <c r="AJ41" s="859"/>
      <c r="AK41" s="859"/>
      <c r="AL41" s="859"/>
      <c r="AM41" s="859"/>
      <c r="AN41" s="859"/>
      <c r="AO41" s="859"/>
      <c r="AP41" s="894"/>
      <c r="AQ41" s="894"/>
      <c r="AR41" s="24" t="s">
        <v>927</v>
      </c>
      <c r="AS41" s="669"/>
      <c r="AT41" s="669"/>
      <c r="AV41" s="862"/>
      <c r="AW41" s="863"/>
      <c r="AX41" s="863"/>
      <c r="AY41" s="863"/>
      <c r="AZ41" s="864"/>
      <c r="BA41" s="865"/>
      <c r="BB41" s="866"/>
      <c r="BC41" s="866"/>
      <c r="BD41" s="866"/>
      <c r="BE41" s="866"/>
      <c r="BF41" s="867"/>
      <c r="BG41" s="868"/>
      <c r="BH41" s="869"/>
      <c r="BI41" s="869"/>
      <c r="BJ41" s="869"/>
      <c r="BK41" s="870"/>
      <c r="BL41" s="871"/>
      <c r="BM41" s="872"/>
      <c r="BN41" s="872"/>
      <c r="BO41" s="872"/>
      <c r="BP41" s="872"/>
      <c r="BQ41" s="873"/>
    </row>
    <row r="42" spans="2:69" ht="16.899999999999999" customHeight="1" x14ac:dyDescent="0.15">
      <c r="B42" s="889"/>
      <c r="C42" s="889"/>
      <c r="D42" s="889"/>
      <c r="E42" s="889"/>
      <c r="F42" s="556"/>
      <c r="G42" s="558"/>
      <c r="H42" s="860"/>
      <c r="I42" s="860"/>
      <c r="J42" s="860"/>
      <c r="K42" s="860"/>
      <c r="L42" s="860"/>
      <c r="M42" s="860"/>
      <c r="N42" s="860"/>
      <c r="O42" s="860"/>
      <c r="P42" s="860"/>
      <c r="Q42" s="860"/>
      <c r="R42" s="860"/>
      <c r="S42" s="891"/>
      <c r="T42" s="891"/>
      <c r="U42" s="24" t="s">
        <v>927</v>
      </c>
      <c r="V42" s="640"/>
      <c r="W42" s="640"/>
      <c r="Y42" s="889"/>
      <c r="Z42" s="889"/>
      <c r="AA42" s="889"/>
      <c r="AB42" s="889"/>
      <c r="AC42" s="556"/>
      <c r="AD42" s="558"/>
      <c r="AE42" s="860"/>
      <c r="AF42" s="860"/>
      <c r="AG42" s="860"/>
      <c r="AH42" s="860"/>
      <c r="AI42" s="860"/>
      <c r="AJ42" s="860"/>
      <c r="AK42" s="860"/>
      <c r="AL42" s="860"/>
      <c r="AM42" s="860"/>
      <c r="AN42" s="860"/>
      <c r="AO42" s="860"/>
      <c r="AP42" s="891"/>
      <c r="AQ42" s="891"/>
      <c r="AR42" s="24" t="s">
        <v>927</v>
      </c>
      <c r="AS42" s="640"/>
      <c r="AT42" s="640"/>
      <c r="AV42" s="862"/>
      <c r="AW42" s="863"/>
      <c r="AX42" s="863"/>
      <c r="AY42" s="863"/>
      <c r="AZ42" s="864"/>
      <c r="BA42" s="865"/>
      <c r="BB42" s="866"/>
      <c r="BC42" s="866"/>
      <c r="BD42" s="866"/>
      <c r="BE42" s="866"/>
      <c r="BF42" s="867"/>
      <c r="BG42" s="868"/>
      <c r="BH42" s="869"/>
      <c r="BI42" s="869"/>
      <c r="BJ42" s="869"/>
      <c r="BK42" s="870"/>
      <c r="BL42" s="871"/>
      <c r="BM42" s="872"/>
      <c r="BN42" s="872"/>
      <c r="BO42" s="872"/>
      <c r="BP42" s="872"/>
      <c r="BQ42" s="873"/>
    </row>
    <row r="43" spans="2:69" ht="16.899999999999999" customHeight="1" x14ac:dyDescent="0.15">
      <c r="B43" s="892"/>
      <c r="C43" s="892"/>
      <c r="D43" s="892"/>
      <c r="E43" s="892"/>
      <c r="F43" s="566"/>
      <c r="G43" s="568"/>
      <c r="H43" s="859"/>
      <c r="I43" s="859"/>
      <c r="J43" s="859"/>
      <c r="K43" s="859"/>
      <c r="L43" s="859"/>
      <c r="M43" s="859"/>
      <c r="N43" s="859"/>
      <c r="O43" s="859"/>
      <c r="P43" s="859"/>
      <c r="Q43" s="859"/>
      <c r="R43" s="859"/>
      <c r="S43" s="894"/>
      <c r="T43" s="894"/>
      <c r="U43" s="24" t="s">
        <v>927</v>
      </c>
      <c r="V43" s="669"/>
      <c r="W43" s="669"/>
      <c r="Y43" s="892"/>
      <c r="Z43" s="892"/>
      <c r="AA43" s="892"/>
      <c r="AB43" s="892"/>
      <c r="AC43" s="566"/>
      <c r="AD43" s="568"/>
      <c r="AE43" s="859"/>
      <c r="AF43" s="859"/>
      <c r="AG43" s="859"/>
      <c r="AH43" s="859"/>
      <c r="AI43" s="859"/>
      <c r="AJ43" s="859"/>
      <c r="AK43" s="859"/>
      <c r="AL43" s="859"/>
      <c r="AM43" s="859"/>
      <c r="AN43" s="859"/>
      <c r="AO43" s="859"/>
      <c r="AP43" s="894"/>
      <c r="AQ43" s="894"/>
      <c r="AR43" s="24" t="s">
        <v>927</v>
      </c>
      <c r="AS43" s="669"/>
      <c r="AT43" s="669"/>
      <c r="AV43" s="862"/>
      <c r="AW43" s="863"/>
      <c r="AX43" s="863"/>
      <c r="AY43" s="863"/>
      <c r="AZ43" s="864"/>
      <c r="BA43" s="865"/>
      <c r="BB43" s="866"/>
      <c r="BC43" s="866"/>
      <c r="BD43" s="866"/>
      <c r="BE43" s="866"/>
      <c r="BF43" s="867"/>
      <c r="BG43" s="868"/>
      <c r="BH43" s="869"/>
      <c r="BI43" s="869"/>
      <c r="BJ43" s="869"/>
      <c r="BK43" s="870"/>
      <c r="BL43" s="871"/>
      <c r="BM43" s="872"/>
      <c r="BN43" s="872"/>
      <c r="BO43" s="872"/>
      <c r="BP43" s="872"/>
      <c r="BQ43" s="873"/>
    </row>
    <row r="44" spans="2:69" ht="16.899999999999999" customHeight="1" x14ac:dyDescent="0.15">
      <c r="B44" s="889"/>
      <c r="C44" s="889"/>
      <c r="D44" s="889"/>
      <c r="E44" s="889"/>
      <c r="F44" s="556"/>
      <c r="G44" s="558"/>
      <c r="H44" s="860"/>
      <c r="I44" s="860"/>
      <c r="J44" s="860"/>
      <c r="K44" s="860"/>
      <c r="L44" s="860"/>
      <c r="M44" s="860"/>
      <c r="N44" s="860"/>
      <c r="O44" s="860"/>
      <c r="P44" s="860"/>
      <c r="Q44" s="860"/>
      <c r="R44" s="860"/>
      <c r="S44" s="891"/>
      <c r="T44" s="891"/>
      <c r="U44" s="24" t="s">
        <v>927</v>
      </c>
      <c r="V44" s="640"/>
      <c r="W44" s="640"/>
      <c r="Y44" s="889"/>
      <c r="Z44" s="889"/>
      <c r="AA44" s="889"/>
      <c r="AB44" s="889"/>
      <c r="AC44" s="556"/>
      <c r="AD44" s="558"/>
      <c r="AE44" s="860"/>
      <c r="AF44" s="860"/>
      <c r="AG44" s="860"/>
      <c r="AH44" s="860"/>
      <c r="AI44" s="860"/>
      <c r="AJ44" s="860"/>
      <c r="AK44" s="860"/>
      <c r="AL44" s="860"/>
      <c r="AM44" s="860"/>
      <c r="AN44" s="860"/>
      <c r="AO44" s="860"/>
      <c r="AP44" s="891"/>
      <c r="AQ44" s="891"/>
      <c r="AR44" s="24" t="s">
        <v>927</v>
      </c>
      <c r="AS44" s="640"/>
      <c r="AT44" s="640"/>
      <c r="AV44" s="862"/>
      <c r="AW44" s="863"/>
      <c r="AX44" s="863"/>
      <c r="AY44" s="863"/>
      <c r="AZ44" s="864"/>
      <c r="BA44" s="865"/>
      <c r="BB44" s="866"/>
      <c r="BC44" s="866"/>
      <c r="BD44" s="866"/>
      <c r="BE44" s="866"/>
      <c r="BF44" s="867"/>
      <c r="BG44" s="868"/>
      <c r="BH44" s="869"/>
      <c r="BI44" s="869"/>
      <c r="BJ44" s="869"/>
      <c r="BK44" s="870"/>
      <c r="BL44" s="871"/>
      <c r="BM44" s="872"/>
      <c r="BN44" s="872"/>
      <c r="BO44" s="872"/>
      <c r="BP44" s="872"/>
      <c r="BQ44" s="873"/>
    </row>
    <row r="45" spans="2:69" ht="16.899999999999999" customHeight="1" x14ac:dyDescent="0.15">
      <c r="B45" s="892"/>
      <c r="C45" s="892"/>
      <c r="D45" s="892"/>
      <c r="E45" s="892"/>
      <c r="F45" s="566"/>
      <c r="G45" s="568"/>
      <c r="H45" s="861"/>
      <c r="I45" s="861"/>
      <c r="J45" s="861"/>
      <c r="K45" s="861"/>
      <c r="L45" s="861"/>
      <c r="M45" s="861"/>
      <c r="N45" s="861"/>
      <c r="O45" s="861"/>
      <c r="P45" s="861"/>
      <c r="Q45" s="861"/>
      <c r="R45" s="861"/>
      <c r="S45" s="894"/>
      <c r="T45" s="894"/>
      <c r="U45" s="24" t="s">
        <v>927</v>
      </c>
      <c r="V45" s="734"/>
      <c r="W45" s="734"/>
      <c r="Y45" s="892"/>
      <c r="Z45" s="892"/>
      <c r="AA45" s="892"/>
      <c r="AB45" s="892"/>
      <c r="AC45" s="566"/>
      <c r="AD45" s="568"/>
      <c r="AE45" s="861"/>
      <c r="AF45" s="861"/>
      <c r="AG45" s="861"/>
      <c r="AH45" s="861"/>
      <c r="AI45" s="861"/>
      <c r="AJ45" s="861"/>
      <c r="AK45" s="861"/>
      <c r="AL45" s="861"/>
      <c r="AM45" s="861"/>
      <c r="AN45" s="861"/>
      <c r="AO45" s="861"/>
      <c r="AP45" s="894"/>
      <c r="AQ45" s="894"/>
      <c r="AR45" s="24" t="s">
        <v>927</v>
      </c>
      <c r="AS45" s="734"/>
      <c r="AT45" s="734"/>
      <c r="AV45" s="862"/>
      <c r="AW45" s="863"/>
      <c r="AX45" s="863"/>
      <c r="AY45" s="863"/>
      <c r="AZ45" s="864"/>
      <c r="BA45" s="865"/>
      <c r="BB45" s="866"/>
      <c r="BC45" s="866"/>
      <c r="BD45" s="866"/>
      <c r="BE45" s="866"/>
      <c r="BF45" s="867"/>
      <c r="BG45" s="868"/>
      <c r="BH45" s="869"/>
      <c r="BI45" s="869"/>
      <c r="BJ45" s="869"/>
      <c r="BK45" s="870"/>
      <c r="BL45" s="871"/>
      <c r="BM45" s="872"/>
      <c r="BN45" s="872"/>
      <c r="BO45" s="872"/>
      <c r="BP45" s="872"/>
      <c r="BQ45" s="873"/>
    </row>
    <row r="46" spans="2:69" ht="16.899999999999999" customHeight="1" x14ac:dyDescent="0.15">
      <c r="B46" s="889"/>
      <c r="C46" s="889"/>
      <c r="D46" s="889"/>
      <c r="E46" s="889"/>
      <c r="F46" s="556"/>
      <c r="G46" s="558"/>
      <c r="H46" s="860"/>
      <c r="I46" s="860"/>
      <c r="J46" s="860"/>
      <c r="K46" s="860"/>
      <c r="L46" s="860"/>
      <c r="M46" s="860"/>
      <c r="N46" s="860"/>
      <c r="O46" s="860"/>
      <c r="P46" s="860"/>
      <c r="Q46" s="860"/>
      <c r="R46" s="860"/>
      <c r="S46" s="891"/>
      <c r="T46" s="891"/>
      <c r="U46" s="24" t="s">
        <v>927</v>
      </c>
      <c r="V46" s="640"/>
      <c r="W46" s="640"/>
      <c r="Y46" s="889"/>
      <c r="Z46" s="889"/>
      <c r="AA46" s="889"/>
      <c r="AB46" s="889"/>
      <c r="AC46" s="556"/>
      <c r="AD46" s="558"/>
      <c r="AE46" s="860"/>
      <c r="AF46" s="860"/>
      <c r="AG46" s="860"/>
      <c r="AH46" s="860"/>
      <c r="AI46" s="860"/>
      <c r="AJ46" s="860"/>
      <c r="AK46" s="860"/>
      <c r="AL46" s="860"/>
      <c r="AM46" s="860"/>
      <c r="AN46" s="860"/>
      <c r="AO46" s="860"/>
      <c r="AP46" s="891"/>
      <c r="AQ46" s="891"/>
      <c r="AR46" s="24" t="s">
        <v>927</v>
      </c>
      <c r="AS46" s="640"/>
      <c r="AT46" s="640"/>
    </row>
    <row r="47" spans="2:69" ht="16.899999999999999" customHeight="1" x14ac:dyDescent="0.15">
      <c r="B47" s="892"/>
      <c r="C47" s="892"/>
      <c r="D47" s="892"/>
      <c r="E47" s="892"/>
      <c r="F47" s="566"/>
      <c r="G47" s="568"/>
      <c r="H47" s="859"/>
      <c r="I47" s="859"/>
      <c r="J47" s="859"/>
      <c r="K47" s="859"/>
      <c r="L47" s="859"/>
      <c r="M47" s="859"/>
      <c r="N47" s="859"/>
      <c r="O47" s="859"/>
      <c r="P47" s="859"/>
      <c r="Q47" s="859"/>
      <c r="R47" s="859"/>
      <c r="S47" s="894"/>
      <c r="T47" s="894"/>
      <c r="U47" s="24" t="s">
        <v>927</v>
      </c>
      <c r="V47" s="669"/>
      <c r="W47" s="669"/>
      <c r="Y47" s="892"/>
      <c r="Z47" s="892"/>
      <c r="AA47" s="892"/>
      <c r="AB47" s="892"/>
      <c r="AC47" s="566"/>
      <c r="AD47" s="568"/>
      <c r="AE47" s="859"/>
      <c r="AF47" s="859"/>
      <c r="AG47" s="859"/>
      <c r="AH47" s="859"/>
      <c r="AI47" s="859"/>
      <c r="AJ47" s="859"/>
      <c r="AK47" s="859"/>
      <c r="AL47" s="859"/>
      <c r="AM47" s="859"/>
      <c r="AN47" s="859"/>
      <c r="AO47" s="859"/>
      <c r="AP47" s="894"/>
      <c r="AQ47" s="894"/>
      <c r="AR47" s="24" t="s">
        <v>927</v>
      </c>
      <c r="AS47" s="669"/>
      <c r="AT47" s="669"/>
      <c r="AV47" s="898" t="s">
        <v>928</v>
      </c>
      <c r="AW47" s="898"/>
      <c r="AX47" s="898"/>
      <c r="AY47" s="898"/>
      <c r="AZ47" s="898"/>
      <c r="BA47" s="898"/>
      <c r="BB47" s="898"/>
      <c r="BC47" s="898"/>
      <c r="BD47" s="552">
        <v>15</v>
      </c>
      <c r="BE47" s="552"/>
    </row>
    <row r="48" spans="2:69" ht="16.899999999999999" customHeight="1" x14ac:dyDescent="0.15">
      <c r="B48" s="889"/>
      <c r="C48" s="889"/>
      <c r="D48" s="889"/>
      <c r="E48" s="889"/>
      <c r="F48" s="556"/>
      <c r="G48" s="558"/>
      <c r="H48" s="860"/>
      <c r="I48" s="860"/>
      <c r="J48" s="860"/>
      <c r="K48" s="860"/>
      <c r="L48" s="860"/>
      <c r="M48" s="860"/>
      <c r="N48" s="860"/>
      <c r="O48" s="860"/>
      <c r="P48" s="860"/>
      <c r="Q48" s="860"/>
      <c r="R48" s="860"/>
      <c r="S48" s="891"/>
      <c r="T48" s="891"/>
      <c r="U48" s="24" t="s">
        <v>927</v>
      </c>
      <c r="V48" s="640"/>
      <c r="W48" s="640"/>
      <c r="Y48" s="889"/>
      <c r="Z48" s="889"/>
      <c r="AA48" s="889"/>
      <c r="AB48" s="889"/>
      <c r="AC48" s="556"/>
      <c r="AD48" s="558"/>
      <c r="AE48" s="860"/>
      <c r="AF48" s="860"/>
      <c r="AG48" s="860"/>
      <c r="AH48" s="860"/>
      <c r="AI48" s="860"/>
      <c r="AJ48" s="860"/>
      <c r="AK48" s="860"/>
      <c r="AL48" s="860"/>
      <c r="AM48" s="860"/>
      <c r="AN48" s="860"/>
      <c r="AO48" s="860"/>
      <c r="AP48" s="891"/>
      <c r="AQ48" s="891"/>
      <c r="AR48" s="24" t="s">
        <v>927</v>
      </c>
      <c r="AS48" s="640"/>
      <c r="AT48" s="640"/>
      <c r="AV48" s="901" t="s">
        <v>929</v>
      </c>
      <c r="AW48" s="901"/>
      <c r="AX48" s="901"/>
      <c r="AY48" s="901"/>
      <c r="AZ48" s="901"/>
      <c r="BA48" s="901"/>
      <c r="BB48" s="901"/>
      <c r="BC48" s="901"/>
      <c r="BD48" s="899" cm="1">
        <f t="array" ref="BD48">SUM(装备!G14:G23+装备!G25:G34)</f>
        <v>0</v>
      </c>
      <c r="BE48" s="899"/>
    </row>
    <row r="49" spans="2:57" ht="16.899999999999999" customHeight="1" x14ac:dyDescent="0.15">
      <c r="B49" s="892"/>
      <c r="C49" s="892"/>
      <c r="D49" s="892"/>
      <c r="E49" s="892"/>
      <c r="F49" s="566"/>
      <c r="G49" s="568"/>
      <c r="H49" s="859"/>
      <c r="I49" s="859"/>
      <c r="J49" s="859"/>
      <c r="K49" s="859"/>
      <c r="L49" s="859"/>
      <c r="M49" s="859"/>
      <c r="N49" s="859"/>
      <c r="O49" s="859"/>
      <c r="P49" s="859"/>
      <c r="Q49" s="859"/>
      <c r="R49" s="859"/>
      <c r="S49" s="894"/>
      <c r="T49" s="894"/>
      <c r="U49" s="24" t="s">
        <v>927</v>
      </c>
      <c r="V49" s="669"/>
      <c r="W49" s="669"/>
      <c r="Y49" s="892"/>
      <c r="Z49" s="892"/>
      <c r="AA49" s="892"/>
      <c r="AB49" s="892"/>
      <c r="AC49" s="566"/>
      <c r="AD49" s="568"/>
      <c r="AE49" s="859"/>
      <c r="AF49" s="859"/>
      <c r="AG49" s="859"/>
      <c r="AH49" s="859"/>
      <c r="AI49" s="859"/>
      <c r="AJ49" s="859"/>
      <c r="AK49" s="859"/>
      <c r="AL49" s="859"/>
      <c r="AM49" s="859"/>
      <c r="AN49" s="859"/>
      <c r="AO49" s="859"/>
      <c r="AP49" s="894"/>
      <c r="AQ49" s="894"/>
      <c r="AR49" s="24" t="s">
        <v>927</v>
      </c>
      <c r="AS49" s="669"/>
      <c r="AT49" s="669"/>
      <c r="AV49" s="900" t="s">
        <v>930</v>
      </c>
      <c r="AW49" s="900"/>
      <c r="AX49" s="900"/>
      <c r="AY49" s="900"/>
      <c r="AZ49" s="900"/>
      <c r="BA49" s="900"/>
      <c r="BB49" s="900"/>
      <c r="BC49" s="900"/>
      <c r="BD49" s="552">
        <v>500</v>
      </c>
      <c r="BE49" s="552"/>
    </row>
  </sheetData>
  <sheetProtection sheet="1"/>
  <mergeCells count="621">
    <mergeCell ref="AP46:AQ46"/>
    <mergeCell ref="AS46:AT46"/>
    <mergeCell ref="Y44:AB44"/>
    <mergeCell ref="AP44:AQ44"/>
    <mergeCell ref="AS44:AT44"/>
    <mergeCell ref="Y49:AB49"/>
    <mergeCell ref="AP49:AQ49"/>
    <mergeCell ref="AS49:AT49"/>
    <mergeCell ref="Y47:AB47"/>
    <mergeCell ref="AP47:AQ47"/>
    <mergeCell ref="AS47:AT47"/>
    <mergeCell ref="Y48:AB48"/>
    <mergeCell ref="AP48:AQ48"/>
    <mergeCell ref="AS48:AT48"/>
    <mergeCell ref="AP45:AQ45"/>
    <mergeCell ref="AS45:AT45"/>
    <mergeCell ref="AC48:AD48"/>
    <mergeCell ref="AE48:AO48"/>
    <mergeCell ref="AC49:AD49"/>
    <mergeCell ref="AE49:AO49"/>
    <mergeCell ref="S48:T48"/>
    <mergeCell ref="V48:W48"/>
    <mergeCell ref="Y40:AB40"/>
    <mergeCell ref="B45:E45"/>
    <mergeCell ref="S45:T45"/>
    <mergeCell ref="V45:W45"/>
    <mergeCell ref="Y45:AB45"/>
    <mergeCell ref="Y41:AB41"/>
    <mergeCell ref="B42:E42"/>
    <mergeCell ref="S42:T42"/>
    <mergeCell ref="V42:W42"/>
    <mergeCell ref="Y42:AB42"/>
    <mergeCell ref="Y43:AB43"/>
    <mergeCell ref="B43:E43"/>
    <mergeCell ref="S43:T43"/>
    <mergeCell ref="Y46:AB46"/>
    <mergeCell ref="S40:T40"/>
    <mergeCell ref="V40:W40"/>
    <mergeCell ref="V43:W43"/>
    <mergeCell ref="F43:G43"/>
    <mergeCell ref="H43:R43"/>
    <mergeCell ref="F44:G44"/>
    <mergeCell ref="H44:R44"/>
    <mergeCell ref="F45:G45"/>
    <mergeCell ref="Y39:AB39"/>
    <mergeCell ref="AP39:AQ39"/>
    <mergeCell ref="AS39:AT39"/>
    <mergeCell ref="AP40:AQ40"/>
    <mergeCell ref="AS40:AT40"/>
    <mergeCell ref="AP41:AQ41"/>
    <mergeCell ref="AS41:AT41"/>
    <mergeCell ref="AP42:AQ42"/>
    <mergeCell ref="AS42:AT42"/>
    <mergeCell ref="AP43:AQ43"/>
    <mergeCell ref="AS43:AT43"/>
    <mergeCell ref="AP36:AQ36"/>
    <mergeCell ref="AS36:AT36"/>
    <mergeCell ref="B49:E49"/>
    <mergeCell ref="S49:T49"/>
    <mergeCell ref="V49:W49"/>
    <mergeCell ref="S37:T37"/>
    <mergeCell ref="V37:W37"/>
    <mergeCell ref="B38:E38"/>
    <mergeCell ref="S38:T38"/>
    <mergeCell ref="V38:W38"/>
    <mergeCell ref="B41:E41"/>
    <mergeCell ref="S41:T41"/>
    <mergeCell ref="V41:W41"/>
    <mergeCell ref="B46:E46"/>
    <mergeCell ref="S46:T46"/>
    <mergeCell ref="V46:W46"/>
    <mergeCell ref="B47:E47"/>
    <mergeCell ref="S47:T47"/>
    <mergeCell ref="V47:W47"/>
    <mergeCell ref="B48:E48"/>
    <mergeCell ref="Y38:AB38"/>
    <mergeCell ref="AP38:AQ38"/>
    <mergeCell ref="AS38:AT38"/>
    <mergeCell ref="B40:E40"/>
    <mergeCell ref="BD49:BE49"/>
    <mergeCell ref="B30:E30"/>
    <mergeCell ref="S30:T30"/>
    <mergeCell ref="V30:W30"/>
    <mergeCell ref="Y30:AB30"/>
    <mergeCell ref="AP30:AQ30"/>
    <mergeCell ref="AS30:AT30"/>
    <mergeCell ref="B33:E33"/>
    <mergeCell ref="S33:T33"/>
    <mergeCell ref="V33:W33"/>
    <mergeCell ref="Y33:AB33"/>
    <mergeCell ref="AP33:AQ33"/>
    <mergeCell ref="AS33:AT33"/>
    <mergeCell ref="B34:E34"/>
    <mergeCell ref="S34:T34"/>
    <mergeCell ref="V34:W34"/>
    <mergeCell ref="Y34:AB34"/>
    <mergeCell ref="B35:E35"/>
    <mergeCell ref="S35:T35"/>
    <mergeCell ref="V35:W35"/>
    <mergeCell ref="B36:E36"/>
    <mergeCell ref="S36:T36"/>
    <mergeCell ref="V36:W36"/>
    <mergeCell ref="BD48:BE48"/>
    <mergeCell ref="AV49:BC49"/>
    <mergeCell ref="B31:E31"/>
    <mergeCell ref="S31:T31"/>
    <mergeCell ref="V31:W31"/>
    <mergeCell ref="Y31:AB31"/>
    <mergeCell ref="AP31:AQ31"/>
    <mergeCell ref="AS31:AT31"/>
    <mergeCell ref="AP32:AQ32"/>
    <mergeCell ref="AS32:AT32"/>
    <mergeCell ref="B37:E37"/>
    <mergeCell ref="AV48:BC48"/>
    <mergeCell ref="AP34:AQ34"/>
    <mergeCell ref="AS34:AT34"/>
    <mergeCell ref="B39:E39"/>
    <mergeCell ref="S39:T39"/>
    <mergeCell ref="V39:W39"/>
    <mergeCell ref="Y35:AB35"/>
    <mergeCell ref="AP35:AQ35"/>
    <mergeCell ref="AS35:AT35"/>
    <mergeCell ref="B44:E44"/>
    <mergeCell ref="S44:T44"/>
    <mergeCell ref="V44:W44"/>
    <mergeCell ref="Y37:AB37"/>
    <mergeCell ref="AP37:AQ37"/>
    <mergeCell ref="B27:U27"/>
    <mergeCell ref="V27:W27"/>
    <mergeCell ref="Y27:AR27"/>
    <mergeCell ref="AS27:AT27"/>
    <mergeCell ref="AV47:BC47"/>
    <mergeCell ref="BD47:BE47"/>
    <mergeCell ref="B28:E28"/>
    <mergeCell ref="S28:T28"/>
    <mergeCell ref="V28:W28"/>
    <mergeCell ref="Y28:AB28"/>
    <mergeCell ref="AP28:AQ28"/>
    <mergeCell ref="AS28:AT28"/>
    <mergeCell ref="B29:E29"/>
    <mergeCell ref="S29:T29"/>
    <mergeCell ref="V29:W29"/>
    <mergeCell ref="B32:E32"/>
    <mergeCell ref="S32:T32"/>
    <mergeCell ref="V32:W32"/>
    <mergeCell ref="Y32:AB32"/>
    <mergeCell ref="Y29:AB29"/>
    <mergeCell ref="AP29:AQ29"/>
    <mergeCell ref="AS29:AT29"/>
    <mergeCell ref="AS37:AT37"/>
    <mergeCell ref="Y36:AB36"/>
    <mergeCell ref="B25:E25"/>
    <mergeCell ref="F25:G25"/>
    <mergeCell ref="H25:O25"/>
    <mergeCell ref="P25:S25"/>
    <mergeCell ref="T25:U25"/>
    <mergeCell ref="Y25:AB25"/>
    <mergeCell ref="AP25:AQ25"/>
    <mergeCell ref="AS25:AT25"/>
    <mergeCell ref="V25:W25"/>
    <mergeCell ref="AC25:AD25"/>
    <mergeCell ref="AE25:AO25"/>
    <mergeCell ref="F28:G28"/>
    <mergeCell ref="H28:R28"/>
    <mergeCell ref="F29:G29"/>
    <mergeCell ref="H29:R29"/>
    <mergeCell ref="F30:G30"/>
    <mergeCell ref="H30:R30"/>
    <mergeCell ref="F31:G31"/>
    <mergeCell ref="H31:R31"/>
    <mergeCell ref="F32:G32"/>
    <mergeCell ref="H32:R32"/>
    <mergeCell ref="F33:G33"/>
    <mergeCell ref="B24:E24"/>
    <mergeCell ref="F24:G24"/>
    <mergeCell ref="H24:O24"/>
    <mergeCell ref="P24:S24"/>
    <mergeCell ref="T24:U24"/>
    <mergeCell ref="Y24:AB24"/>
    <mergeCell ref="AP24:AQ24"/>
    <mergeCell ref="AS24:AT24"/>
    <mergeCell ref="V24:W24"/>
    <mergeCell ref="AC24:AD24"/>
    <mergeCell ref="AE24:AO24"/>
    <mergeCell ref="B23:E23"/>
    <mergeCell ref="F23:G23"/>
    <mergeCell ref="H23:O23"/>
    <mergeCell ref="P23:S23"/>
    <mergeCell ref="T23:U23"/>
    <mergeCell ref="Y23:AB23"/>
    <mergeCell ref="AP23:AQ23"/>
    <mergeCell ref="AS23:AT23"/>
    <mergeCell ref="V23:W23"/>
    <mergeCell ref="AC23:AD23"/>
    <mergeCell ref="AE23:AO23"/>
    <mergeCell ref="B22:E22"/>
    <mergeCell ref="F22:G22"/>
    <mergeCell ref="H22:O22"/>
    <mergeCell ref="P22:S22"/>
    <mergeCell ref="T22:U22"/>
    <mergeCell ref="Y22:AB22"/>
    <mergeCell ref="AP22:AQ22"/>
    <mergeCell ref="AS22:AT22"/>
    <mergeCell ref="V22:W22"/>
    <mergeCell ref="AC22:AD22"/>
    <mergeCell ref="AE22:AO22"/>
    <mergeCell ref="B21:E21"/>
    <mergeCell ref="F21:G21"/>
    <mergeCell ref="H21:O21"/>
    <mergeCell ref="P21:S21"/>
    <mergeCell ref="T21:U21"/>
    <mergeCell ref="Y21:AB21"/>
    <mergeCell ref="AP21:AQ21"/>
    <mergeCell ref="AS21:AT21"/>
    <mergeCell ref="V21:W21"/>
    <mergeCell ref="AC21:AD21"/>
    <mergeCell ref="AE21:AO21"/>
    <mergeCell ref="B20:E20"/>
    <mergeCell ref="F20:G20"/>
    <mergeCell ref="H20:O20"/>
    <mergeCell ref="P20:S20"/>
    <mergeCell ref="T20:U20"/>
    <mergeCell ref="Y20:AB20"/>
    <mergeCell ref="AP20:AQ20"/>
    <mergeCell ref="AS20:AT20"/>
    <mergeCell ref="V20:W20"/>
    <mergeCell ref="AC20:AD20"/>
    <mergeCell ref="AE20:AO20"/>
    <mergeCell ref="B19:E19"/>
    <mergeCell ref="F19:G19"/>
    <mergeCell ref="H19:O19"/>
    <mergeCell ref="P19:S19"/>
    <mergeCell ref="T19:U19"/>
    <mergeCell ref="Y19:AB19"/>
    <mergeCell ref="AP19:AQ19"/>
    <mergeCell ref="AS19:AT19"/>
    <mergeCell ref="V19:W19"/>
    <mergeCell ref="AC19:AD19"/>
    <mergeCell ref="AE19:AO19"/>
    <mergeCell ref="B18:E18"/>
    <mergeCell ref="F18:G18"/>
    <mergeCell ref="H18:O18"/>
    <mergeCell ref="P18:S18"/>
    <mergeCell ref="T18:U18"/>
    <mergeCell ref="Y18:AB18"/>
    <mergeCell ref="AP18:AQ18"/>
    <mergeCell ref="AS18:AT18"/>
    <mergeCell ref="V18:W18"/>
    <mergeCell ref="AC18:AD18"/>
    <mergeCell ref="AE18:AO18"/>
    <mergeCell ref="B17:E17"/>
    <mergeCell ref="F17:G17"/>
    <mergeCell ref="H17:O17"/>
    <mergeCell ref="P17:S17"/>
    <mergeCell ref="T17:U17"/>
    <mergeCell ref="Y17:AB17"/>
    <mergeCell ref="AP17:AQ17"/>
    <mergeCell ref="AS17:AT17"/>
    <mergeCell ref="V17:W17"/>
    <mergeCell ref="AC17:AD17"/>
    <mergeCell ref="AE17:AO17"/>
    <mergeCell ref="B16:E16"/>
    <mergeCell ref="F16:G16"/>
    <mergeCell ref="H16:O16"/>
    <mergeCell ref="P16:S16"/>
    <mergeCell ref="T16:U16"/>
    <mergeCell ref="Y16:AB16"/>
    <mergeCell ref="AP16:AQ16"/>
    <mergeCell ref="AS16:AT16"/>
    <mergeCell ref="V16:W16"/>
    <mergeCell ref="AC16:AD16"/>
    <mergeCell ref="AE16:AO16"/>
    <mergeCell ref="B15:E15"/>
    <mergeCell ref="F15:G15"/>
    <mergeCell ref="H15:O15"/>
    <mergeCell ref="P15:S15"/>
    <mergeCell ref="T15:U15"/>
    <mergeCell ref="Y15:AB15"/>
    <mergeCell ref="AP15:AQ15"/>
    <mergeCell ref="AS15:AT15"/>
    <mergeCell ref="V15:W15"/>
    <mergeCell ref="AC15:AD15"/>
    <mergeCell ref="AE15:AO15"/>
    <mergeCell ref="B13:E13"/>
    <mergeCell ref="F13:S13"/>
    <mergeCell ref="T13:U13"/>
    <mergeCell ref="Y13:AB13"/>
    <mergeCell ref="AE13:AO13"/>
    <mergeCell ref="AP13:AQ13"/>
    <mergeCell ref="AS13:AT13"/>
    <mergeCell ref="B14:E14"/>
    <mergeCell ref="F14:S14"/>
    <mergeCell ref="T14:U14"/>
    <mergeCell ref="Y14:AB14"/>
    <mergeCell ref="AE14:AO14"/>
    <mergeCell ref="AP14:AQ14"/>
    <mergeCell ref="AS14:AT14"/>
    <mergeCell ref="V13:W13"/>
    <mergeCell ref="V14:W14"/>
    <mergeCell ref="AC13:AD13"/>
    <mergeCell ref="AC14:AD14"/>
    <mergeCell ref="B11:E11"/>
    <mergeCell ref="F11:S11"/>
    <mergeCell ref="T11:U11"/>
    <mergeCell ref="Y11:AB11"/>
    <mergeCell ref="AE11:AO11"/>
    <mergeCell ref="AP11:AQ11"/>
    <mergeCell ref="AS11:AT11"/>
    <mergeCell ref="B12:E12"/>
    <mergeCell ref="F12:S12"/>
    <mergeCell ref="T12:U12"/>
    <mergeCell ref="Y12:AB12"/>
    <mergeCell ref="AE12:AO12"/>
    <mergeCell ref="AP12:AQ12"/>
    <mergeCell ref="AS12:AT12"/>
    <mergeCell ref="V11:W11"/>
    <mergeCell ref="V12:W12"/>
    <mergeCell ref="AC11:AD11"/>
    <mergeCell ref="AC12:AD12"/>
    <mergeCell ref="Y9:AB9"/>
    <mergeCell ref="AE9:AO9"/>
    <mergeCell ref="AP9:AQ9"/>
    <mergeCell ref="AS9:AT9"/>
    <mergeCell ref="B10:E10"/>
    <mergeCell ref="F10:S10"/>
    <mergeCell ref="T10:U10"/>
    <mergeCell ref="Y10:AB10"/>
    <mergeCell ref="AE10:AO10"/>
    <mergeCell ref="AP10:AQ10"/>
    <mergeCell ref="AS10:AT10"/>
    <mergeCell ref="V9:W9"/>
    <mergeCell ref="V10:W10"/>
    <mergeCell ref="B9:E9"/>
    <mergeCell ref="F9:S9"/>
    <mergeCell ref="T9:U9"/>
    <mergeCell ref="AC9:AD9"/>
    <mergeCell ref="AC10:AD10"/>
    <mergeCell ref="Y7:AB7"/>
    <mergeCell ref="AE7:AO7"/>
    <mergeCell ref="AP7:AQ7"/>
    <mergeCell ref="AS7:AT7"/>
    <mergeCell ref="B8:E8"/>
    <mergeCell ref="F8:S8"/>
    <mergeCell ref="T8:U8"/>
    <mergeCell ref="Y8:AB8"/>
    <mergeCell ref="AE8:AO8"/>
    <mergeCell ref="AP8:AQ8"/>
    <mergeCell ref="AS8:AT8"/>
    <mergeCell ref="V7:W7"/>
    <mergeCell ref="V8:W8"/>
    <mergeCell ref="B7:E7"/>
    <mergeCell ref="F7:S7"/>
    <mergeCell ref="T7:U7"/>
    <mergeCell ref="AC7:AD7"/>
    <mergeCell ref="AC8:AD8"/>
    <mergeCell ref="B5:E5"/>
    <mergeCell ref="F5:S5"/>
    <mergeCell ref="T5:U5"/>
    <mergeCell ref="Y5:AB5"/>
    <mergeCell ref="AE5:AO5"/>
    <mergeCell ref="AP5:AQ5"/>
    <mergeCell ref="AS5:AT5"/>
    <mergeCell ref="B6:E6"/>
    <mergeCell ref="F6:S6"/>
    <mergeCell ref="T6:U6"/>
    <mergeCell ref="Y6:AB6"/>
    <mergeCell ref="AE6:AO6"/>
    <mergeCell ref="AP6:AQ6"/>
    <mergeCell ref="AS6:AT6"/>
    <mergeCell ref="V5:W5"/>
    <mergeCell ref="V6:W6"/>
    <mergeCell ref="AC5:AD5"/>
    <mergeCell ref="AC6:AD6"/>
    <mergeCell ref="A1:BR1"/>
    <mergeCell ref="Y3:AR3"/>
    <mergeCell ref="AS3:AT3"/>
    <mergeCell ref="B4:E4"/>
    <mergeCell ref="F4:S4"/>
    <mergeCell ref="T4:U4"/>
    <mergeCell ref="Y4:AB4"/>
    <mergeCell ref="AE4:AO4"/>
    <mergeCell ref="AP4:AQ4"/>
    <mergeCell ref="AS4:AT4"/>
    <mergeCell ref="B3:W3"/>
    <mergeCell ref="V4:W4"/>
    <mergeCell ref="AV3:BQ3"/>
    <mergeCell ref="AV4:BF4"/>
    <mergeCell ref="BG4:BQ4"/>
    <mergeCell ref="AC4:AD4"/>
    <mergeCell ref="AV5:AZ5"/>
    <mergeCell ref="BA5:BF5"/>
    <mergeCell ref="BG5:BK5"/>
    <mergeCell ref="BL5:BQ5"/>
    <mergeCell ref="AV6:AZ6"/>
    <mergeCell ref="BA6:BF6"/>
    <mergeCell ref="BG6:BK6"/>
    <mergeCell ref="BL6:BQ6"/>
    <mergeCell ref="AV7:AZ7"/>
    <mergeCell ref="BA7:BF7"/>
    <mergeCell ref="BG7:BK7"/>
    <mergeCell ref="BL7:BQ7"/>
    <mergeCell ref="AV8:AZ8"/>
    <mergeCell ref="BA8:BF8"/>
    <mergeCell ref="BG8:BK8"/>
    <mergeCell ref="BL8:BQ8"/>
    <mergeCell ref="AV9:AZ9"/>
    <mergeCell ref="BA9:BF9"/>
    <mergeCell ref="BG9:BK9"/>
    <mergeCell ref="BL9:BQ9"/>
    <mergeCell ref="AV10:AZ10"/>
    <mergeCell ref="BA10:BF10"/>
    <mergeCell ref="BG10:BK10"/>
    <mergeCell ref="BL10:BQ10"/>
    <mergeCell ref="AV11:AZ11"/>
    <mergeCell ref="BA11:BF11"/>
    <mergeCell ref="BG11:BK11"/>
    <mergeCell ref="BL11:BQ11"/>
    <mergeCell ref="AV12:AZ12"/>
    <mergeCell ref="BA12:BF12"/>
    <mergeCell ref="BG12:BK12"/>
    <mergeCell ref="BL12:BQ12"/>
    <mergeCell ref="AV16:AZ16"/>
    <mergeCell ref="BA16:BF16"/>
    <mergeCell ref="BG16:BK16"/>
    <mergeCell ref="BL16:BQ16"/>
    <mergeCell ref="AV17:AZ17"/>
    <mergeCell ref="BA17:BF17"/>
    <mergeCell ref="BG17:BK17"/>
    <mergeCell ref="BL17:BQ17"/>
    <mergeCell ref="AV13:AZ13"/>
    <mergeCell ref="BA13:BF13"/>
    <mergeCell ref="BG13:BK13"/>
    <mergeCell ref="BL13:BQ13"/>
    <mergeCell ref="AV14:AZ14"/>
    <mergeCell ref="BA14:BF14"/>
    <mergeCell ref="BG14:BK14"/>
    <mergeCell ref="BL14:BQ14"/>
    <mergeCell ref="AV15:AZ15"/>
    <mergeCell ref="BA15:BF15"/>
    <mergeCell ref="BG15:BK15"/>
    <mergeCell ref="BL15:BQ15"/>
    <mergeCell ref="AV18:AZ18"/>
    <mergeCell ref="BA18:BF18"/>
    <mergeCell ref="BG18:BK18"/>
    <mergeCell ref="BL18:BQ18"/>
    <mergeCell ref="AV19:AZ19"/>
    <mergeCell ref="BA19:BF19"/>
    <mergeCell ref="BG19:BK19"/>
    <mergeCell ref="BL19:BQ19"/>
    <mergeCell ref="AV20:AZ20"/>
    <mergeCell ref="BA20:BF20"/>
    <mergeCell ref="BG20:BK20"/>
    <mergeCell ref="BL20:BQ20"/>
    <mergeCell ref="AV21:AZ21"/>
    <mergeCell ref="BA21:BF21"/>
    <mergeCell ref="BG21:BK21"/>
    <mergeCell ref="BL21:BQ21"/>
    <mergeCell ref="AV22:AZ22"/>
    <mergeCell ref="BA22:BF22"/>
    <mergeCell ref="BG22:BK22"/>
    <mergeCell ref="BL22:BQ22"/>
    <mergeCell ref="AV23:AZ23"/>
    <mergeCell ref="BA23:BF23"/>
    <mergeCell ref="BG23:BK23"/>
    <mergeCell ref="BL23:BQ23"/>
    <mergeCell ref="AV24:AZ24"/>
    <mergeCell ref="BA24:BF24"/>
    <mergeCell ref="BG24:BK24"/>
    <mergeCell ref="BL24:BQ24"/>
    <mergeCell ref="AV25:AZ25"/>
    <mergeCell ref="BA25:BF25"/>
    <mergeCell ref="BG25:BK25"/>
    <mergeCell ref="BL25:BQ25"/>
    <mergeCell ref="AV26:AZ26"/>
    <mergeCell ref="BA26:BF26"/>
    <mergeCell ref="BG26:BK26"/>
    <mergeCell ref="BL26:BQ26"/>
    <mergeCell ref="AV27:AZ27"/>
    <mergeCell ref="BA27:BF27"/>
    <mergeCell ref="BG27:BK27"/>
    <mergeCell ref="BL27:BQ27"/>
    <mergeCell ref="AV28:AZ28"/>
    <mergeCell ref="BA28:BF28"/>
    <mergeCell ref="BG28:BK28"/>
    <mergeCell ref="BL28:BQ28"/>
    <mergeCell ref="AV29:AZ29"/>
    <mergeCell ref="BA29:BF29"/>
    <mergeCell ref="BG29:BK29"/>
    <mergeCell ref="BL29:BQ29"/>
    <mergeCell ref="AV30:AZ30"/>
    <mergeCell ref="BA30:BF30"/>
    <mergeCell ref="BG30:BK30"/>
    <mergeCell ref="BL30:BQ30"/>
    <mergeCell ref="AV31:AZ31"/>
    <mergeCell ref="BA31:BF31"/>
    <mergeCell ref="BG31:BK31"/>
    <mergeCell ref="BL31:BQ31"/>
    <mergeCell ref="AV32:AZ32"/>
    <mergeCell ref="BA32:BF32"/>
    <mergeCell ref="BG32:BK32"/>
    <mergeCell ref="BL32:BQ32"/>
    <mergeCell ref="AV33:AZ33"/>
    <mergeCell ref="BA33:BF33"/>
    <mergeCell ref="BG33:BK33"/>
    <mergeCell ref="BL33:BQ33"/>
    <mergeCell ref="AV34:AZ34"/>
    <mergeCell ref="BA34:BF34"/>
    <mergeCell ref="BG34:BK34"/>
    <mergeCell ref="BL34:BQ34"/>
    <mergeCell ref="AV35:AZ35"/>
    <mergeCell ref="BA35:BF35"/>
    <mergeCell ref="BG35:BK35"/>
    <mergeCell ref="BL35:BQ35"/>
    <mergeCell ref="AV36:AZ36"/>
    <mergeCell ref="BA36:BF36"/>
    <mergeCell ref="BG36:BK36"/>
    <mergeCell ref="BL36:BQ36"/>
    <mergeCell ref="AV37:AZ37"/>
    <mergeCell ref="BA37:BF37"/>
    <mergeCell ref="BG37:BK37"/>
    <mergeCell ref="BL37:BQ37"/>
    <mergeCell ref="AV38:AZ38"/>
    <mergeCell ref="BA38:BF38"/>
    <mergeCell ref="BG38:BK38"/>
    <mergeCell ref="BL38:BQ38"/>
    <mergeCell ref="AV39:AZ39"/>
    <mergeCell ref="BA39:BF39"/>
    <mergeCell ref="BG39:BK39"/>
    <mergeCell ref="BL39:BQ39"/>
    <mergeCell ref="AV40:AZ40"/>
    <mergeCell ref="BA40:BF40"/>
    <mergeCell ref="BG40:BK40"/>
    <mergeCell ref="BL40:BQ40"/>
    <mergeCell ref="AV41:AZ41"/>
    <mergeCell ref="BA41:BF41"/>
    <mergeCell ref="BG41:BK41"/>
    <mergeCell ref="BL41:BQ41"/>
    <mergeCell ref="AV45:AZ45"/>
    <mergeCell ref="BA45:BF45"/>
    <mergeCell ref="BG45:BK45"/>
    <mergeCell ref="BL45:BQ45"/>
    <mergeCell ref="AV42:AZ42"/>
    <mergeCell ref="BA42:BF42"/>
    <mergeCell ref="BG42:BK42"/>
    <mergeCell ref="BL42:BQ42"/>
    <mergeCell ref="AV43:AZ43"/>
    <mergeCell ref="BA43:BF43"/>
    <mergeCell ref="BG43:BK43"/>
    <mergeCell ref="BL43:BQ43"/>
    <mergeCell ref="AV44:AZ44"/>
    <mergeCell ref="BA44:BF44"/>
    <mergeCell ref="BG44:BK44"/>
    <mergeCell ref="BL44:BQ44"/>
    <mergeCell ref="H33:R33"/>
    <mergeCell ref="F34:G34"/>
    <mergeCell ref="H34:R34"/>
    <mergeCell ref="F35:G35"/>
    <mergeCell ref="H35:R35"/>
    <mergeCell ref="F36:G36"/>
    <mergeCell ref="H36:R36"/>
    <mergeCell ref="F37:G37"/>
    <mergeCell ref="H37:R37"/>
    <mergeCell ref="F38:G38"/>
    <mergeCell ref="H38:R38"/>
    <mergeCell ref="F39:G39"/>
    <mergeCell ref="H39:R39"/>
    <mergeCell ref="F40:G40"/>
    <mergeCell ref="H40:R40"/>
    <mergeCell ref="F41:G41"/>
    <mergeCell ref="H41:R41"/>
    <mergeCell ref="F42:G42"/>
    <mergeCell ref="H42:R42"/>
    <mergeCell ref="H45:R45"/>
    <mergeCell ref="F46:G46"/>
    <mergeCell ref="H46:R46"/>
    <mergeCell ref="F47:G47"/>
    <mergeCell ref="H47:R47"/>
    <mergeCell ref="F48:G48"/>
    <mergeCell ref="H48:R48"/>
    <mergeCell ref="F49:G49"/>
    <mergeCell ref="H49:R49"/>
    <mergeCell ref="AC28:AD28"/>
    <mergeCell ref="AE28:AO28"/>
    <mergeCell ref="AC29:AD29"/>
    <mergeCell ref="AE29:AO29"/>
    <mergeCell ref="AC30:AD30"/>
    <mergeCell ref="AE30:AO30"/>
    <mergeCell ref="AC31:AD31"/>
    <mergeCell ref="AE31:AO31"/>
    <mergeCell ref="AC32:AD32"/>
    <mergeCell ref="AE32:AO32"/>
    <mergeCell ref="AC33:AD33"/>
    <mergeCell ref="AE33:AO33"/>
    <mergeCell ref="AC34:AD34"/>
    <mergeCell ref="AE34:AO34"/>
    <mergeCell ref="AC35:AD35"/>
    <mergeCell ref="AE35:AO35"/>
    <mergeCell ref="AC36:AD36"/>
    <mergeCell ref="AE36:AO36"/>
    <mergeCell ref="AC37:AD37"/>
    <mergeCell ref="AE37:AO37"/>
    <mergeCell ref="AC38:AD38"/>
    <mergeCell ref="AE38:AO38"/>
    <mergeCell ref="AC39:AD39"/>
    <mergeCell ref="AE39:AO39"/>
    <mergeCell ref="AC40:AD40"/>
    <mergeCell ref="AE40:AO40"/>
    <mergeCell ref="AC41:AD41"/>
    <mergeCell ref="AE41:AO41"/>
    <mergeCell ref="AC42:AD42"/>
    <mergeCell ref="AE42:AO42"/>
    <mergeCell ref="AC43:AD43"/>
    <mergeCell ref="AE43:AO43"/>
    <mergeCell ref="AC44:AD44"/>
    <mergeCell ref="AE44:AO44"/>
    <mergeCell ref="AC45:AD45"/>
    <mergeCell ref="AE45:AO45"/>
    <mergeCell ref="AC46:AD46"/>
    <mergeCell ref="AE46:AO46"/>
    <mergeCell ref="AC47:AD47"/>
    <mergeCell ref="AE47:AO47"/>
  </mergeCells>
  <phoneticPr fontId="68" type="noConversion"/>
  <dataValidations count="5">
    <dataValidation type="list" allowBlank="1" showInputMessage="1" showErrorMessage="1" sqref="AS27:AT27" xr:uid="{00000000-0002-0000-0800-00001E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D2548A7B-8A57-4B8F-8862-F4CA421F1F63}">
      <formula1>0</formula1>
      <formula2>9.9999E+307</formula2>
    </dataValidation>
    <dataValidation allowBlank="1" showErrorMessage="1" sqref="BG4:BM4" xr:uid="{0CE8699C-0CD1-4494-9ED6-ED784DDFADB2}"/>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2AA4BAB8-AE48-4D65-B7AE-AE0B39415019}"/>
    <dataValidation type="list" allowBlank="1" showInputMessage="1" sqref="AC5:AD14 AC16:AD25 F29:G38 F40:G49 AC29:AD38 AC40:AD49" xr:uid="{BC0D00EC-D495-4DCF-B85B-309A3FF287A3}">
      <formula1>"普通,非普通,珍稀,极珍稀,传说,神器"</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32">
        <x14:dataValidation type="list" allowBlank="1" showInputMessage="1" xr:uid="{00000000-0002-0000-0800-00001F000000}">
          <x14:formula1>
            <xm:f>OFFSET(装备!$K$1:$K$50,,,SUMPRODUCT(N(LEN(装备!$K$1:$K$50)&gt;0)),)</xm:f>
          </x14:formula1>
          <xm:sqref>B16:E25</xm:sqref>
        </x14:dataValidation>
        <x14:dataValidation type="list" allowBlank="1" showInputMessage="1" xr:uid="{00000000-0002-0000-0800-000020000000}">
          <x14:formula1>
            <xm:f>装备!$A$2:$A$95</xm:f>
          </x14:formula1>
          <xm:sqref>Y16:AB25 Y40:AB49 Y5:AB14 B29:E38 Y29:AB38 B40:E49 B5:E14</xm:sqref>
        </x14:dataValidation>
        <x14:dataValidation type="list" allowBlank="1" showInputMessage="1" xr:uid="{00000000-0002-0000-0800-00000B000000}">
          <x14:formula1>
            <xm:f>装备!$U$2</xm:f>
          </x14:formula1>
          <xm:sqref>P16:S16</xm:sqref>
        </x14:dataValidation>
        <x14:dataValidation type="list" allowBlank="1" showInputMessage="1" xr:uid="{00000000-0002-0000-0800-00000D000000}">
          <x14:formula1>
            <xm:f>装备!$U$3</xm:f>
          </x14:formula1>
          <xm:sqref>P17:S17</xm:sqref>
        </x14:dataValidation>
        <x14:dataValidation type="list" allowBlank="1" showInputMessage="1" xr:uid="{00000000-0002-0000-0800-00000F000000}">
          <x14:formula1>
            <xm:f>装备!$U$4</xm:f>
          </x14:formula1>
          <xm:sqref>P18:S18</xm:sqref>
        </x14:dataValidation>
        <x14:dataValidation type="list" allowBlank="1" showInputMessage="1" xr:uid="{00000000-0002-0000-0800-000011000000}">
          <x14:formula1>
            <xm:f>装备!$U$5</xm:f>
          </x14:formula1>
          <xm:sqref>P19:S19</xm:sqref>
        </x14:dataValidation>
        <x14:dataValidation type="list" allowBlank="1" showInputMessage="1" xr:uid="{00000000-0002-0000-0800-000013000000}">
          <x14:formula1>
            <xm:f>装备!$U$6</xm:f>
          </x14:formula1>
          <xm:sqref>P20:S20</xm:sqref>
        </x14:dataValidation>
        <x14:dataValidation type="list" allowBlank="1" showInputMessage="1" xr:uid="{00000000-0002-0000-0800-000015000000}">
          <x14:formula1>
            <xm:f>装备!$U$7</xm:f>
          </x14:formula1>
          <xm:sqref>P21:S21</xm:sqref>
        </x14:dataValidation>
        <x14:dataValidation type="list" allowBlank="1" showInputMessage="1" xr:uid="{00000000-0002-0000-0800-000017000000}">
          <x14:formula1>
            <xm:f>装备!$U$8</xm:f>
          </x14:formula1>
          <xm:sqref>P22:S22</xm:sqref>
        </x14:dataValidation>
        <x14:dataValidation type="list" allowBlank="1" showInputMessage="1" xr:uid="{00000000-0002-0000-0800-000019000000}">
          <x14:formula1>
            <xm:f>装备!$U$9</xm:f>
          </x14:formula1>
          <xm:sqref>P23:S23</xm:sqref>
        </x14:dataValidation>
        <x14:dataValidation type="list" allowBlank="1" showInputMessage="1" xr:uid="{00000000-0002-0000-0800-00001B000000}">
          <x14:formula1>
            <xm:f>装备!$U$10</xm:f>
          </x14:formula1>
          <xm:sqref>P24:S24</xm:sqref>
        </x14:dataValidation>
        <x14:dataValidation type="list" allowBlank="1" showInputMessage="1" xr:uid="{00000000-0002-0000-0800-00001D000000}">
          <x14:formula1>
            <xm:f>装备!$U$11</xm:f>
          </x14:formula1>
          <xm:sqref>P25:S25</xm:sqref>
        </x14:dataValidation>
        <x14:dataValidation type="list" allowBlank="1" showInputMessage="1" xr:uid="{00000000-0002-0000-0800-00000A000000}">
          <x14:formula1>
            <xm:f>装备!$T$2</xm:f>
          </x14:formula1>
          <xm:sqref>H16:O16</xm:sqref>
        </x14:dataValidation>
        <x14:dataValidation type="list" allowBlank="1" showInputMessage="1" xr:uid="{00000000-0002-0000-0800-00000C000000}">
          <x14:formula1>
            <xm:f>装备!$T$3</xm:f>
          </x14:formula1>
          <xm:sqref>H17:O17</xm:sqref>
        </x14:dataValidation>
        <x14:dataValidation type="list" allowBlank="1" showInputMessage="1" xr:uid="{00000000-0002-0000-0800-00000E000000}">
          <x14:formula1>
            <xm:f>装备!$T$4</xm:f>
          </x14:formula1>
          <xm:sqref>H18:O18</xm:sqref>
        </x14:dataValidation>
        <x14:dataValidation type="list" allowBlank="1" showInputMessage="1" xr:uid="{00000000-0002-0000-0800-000010000000}">
          <x14:formula1>
            <xm:f>装备!$T$5</xm:f>
          </x14:formula1>
          <xm:sqref>H19:O19</xm:sqref>
        </x14:dataValidation>
        <x14:dataValidation type="list" allowBlank="1" showInputMessage="1" xr:uid="{00000000-0002-0000-0800-000012000000}">
          <x14:formula1>
            <xm:f>装备!$T$6</xm:f>
          </x14:formula1>
          <xm:sqref>H20:O20</xm:sqref>
        </x14:dataValidation>
        <x14:dataValidation type="list" allowBlank="1" showInputMessage="1" xr:uid="{00000000-0002-0000-0800-000014000000}">
          <x14:formula1>
            <xm:f>装备!$T$7</xm:f>
          </x14:formula1>
          <xm:sqref>H21:O21</xm:sqref>
        </x14:dataValidation>
        <x14:dataValidation type="list" allowBlank="1" showInputMessage="1" xr:uid="{00000000-0002-0000-0800-000016000000}">
          <x14:formula1>
            <xm:f>装备!$T$8</xm:f>
          </x14:formula1>
          <xm:sqref>H22:O22</xm:sqref>
        </x14:dataValidation>
        <x14:dataValidation type="list" allowBlank="1" showInputMessage="1" xr:uid="{00000000-0002-0000-0800-000018000000}">
          <x14:formula1>
            <xm:f>装备!$T$9</xm:f>
          </x14:formula1>
          <xm:sqref>H23:O23</xm:sqref>
        </x14:dataValidation>
        <x14:dataValidation type="list" allowBlank="1" showInputMessage="1" xr:uid="{00000000-0002-0000-0800-00001A000000}">
          <x14:formula1>
            <xm:f>装备!$T$10</xm:f>
          </x14:formula1>
          <xm:sqref>H24:O24</xm:sqref>
        </x14:dataValidation>
        <x14:dataValidation type="list" allowBlank="1" showInputMessage="1" xr:uid="{00000000-0002-0000-0800-00001C000000}">
          <x14:formula1>
            <xm:f>装备!$T$11</xm:f>
          </x14:formula1>
          <xm:sqref>H25:O25</xm:sqref>
        </x14:dataValidation>
        <x14:dataValidation type="list" allowBlank="1" showInputMessage="1" xr:uid="{00000000-0002-0000-0800-000000000000}">
          <x14:formula1>
            <xm:f>装备!$F$2</xm:f>
          </x14:formula1>
          <xm:sqref>F5:S5</xm:sqref>
        </x14:dataValidation>
        <x14:dataValidation type="list" allowBlank="1" showInputMessage="1" xr:uid="{00000000-0002-0000-0800-000001000000}">
          <x14:formula1>
            <xm:f>装备!$F$3</xm:f>
          </x14:formula1>
          <xm:sqref>F6:S6</xm:sqref>
        </x14:dataValidation>
        <x14:dataValidation type="list" allowBlank="1" showInputMessage="1" xr:uid="{00000000-0002-0000-0800-000002000000}">
          <x14:formula1>
            <xm:f>装备!$F$4</xm:f>
          </x14:formula1>
          <xm:sqref>F7:S7</xm:sqref>
        </x14:dataValidation>
        <x14:dataValidation type="list" allowBlank="1" showInputMessage="1" xr:uid="{00000000-0002-0000-0800-000003000000}">
          <x14:formula1>
            <xm:f>装备!$F$5</xm:f>
          </x14:formula1>
          <xm:sqref>F8:S8</xm:sqref>
        </x14:dataValidation>
        <x14:dataValidation type="list" allowBlank="1" showInputMessage="1" xr:uid="{00000000-0002-0000-0800-000004000000}">
          <x14:formula1>
            <xm:f>装备!$F$6</xm:f>
          </x14:formula1>
          <xm:sqref>F9:S9</xm:sqref>
        </x14:dataValidation>
        <x14:dataValidation type="list" allowBlank="1" showInputMessage="1" xr:uid="{00000000-0002-0000-0800-000005000000}">
          <x14:formula1>
            <xm:f>装备!$F$7</xm:f>
          </x14:formula1>
          <xm:sqref>F10:S10</xm:sqref>
        </x14:dataValidation>
        <x14:dataValidation type="list" allowBlank="1" showInputMessage="1" xr:uid="{00000000-0002-0000-0800-000006000000}">
          <x14:formula1>
            <xm:f>装备!$F$8</xm:f>
          </x14:formula1>
          <xm:sqref>F11:S11</xm:sqref>
        </x14:dataValidation>
        <x14:dataValidation type="list" allowBlank="1" showInputMessage="1" xr:uid="{00000000-0002-0000-0800-000007000000}">
          <x14:formula1>
            <xm:f>装备!$F$9</xm:f>
          </x14:formula1>
          <xm:sqref>F12:S12</xm:sqref>
        </x14:dataValidation>
        <x14:dataValidation type="list" allowBlank="1" showInputMessage="1" xr:uid="{00000000-0002-0000-0800-000008000000}">
          <x14:formula1>
            <xm:f>装备!$F$10</xm:f>
          </x14:formula1>
          <xm:sqref>F13:S13</xm:sqref>
        </x14:dataValidation>
        <x14:dataValidation type="list" allowBlank="1" showInputMessage="1" xr:uid="{00000000-0002-0000-0800-000009000000}">
          <x14:formula1>
            <xm:f>装备!$F$11</xm:f>
          </x14:formula1>
          <xm:sqref>F14:S14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5" tint="-0.249977111117893"/>
  </sheetPr>
  <dimension ref="A1:CJ52"/>
  <sheetViews>
    <sheetView zoomScale="90" zoomScaleNormal="90" workbookViewId="0">
      <selection activeCell="E3" sqref="E3:R3"/>
    </sheetView>
  </sheetViews>
  <sheetFormatPr defaultColWidth="2.375" defaultRowHeight="13.5" x14ac:dyDescent="0.15"/>
  <cols>
    <col min="1" max="1" width="2.375" style="13" customWidth="1"/>
    <col min="2" max="16384" width="2.375" style="13"/>
  </cols>
  <sheetData>
    <row r="1" spans="1:88" ht="16.899999999999999" customHeight="1" x14ac:dyDescent="0.15">
      <c r="A1" s="902" t="s">
        <v>931</v>
      </c>
      <c r="B1" s="902"/>
      <c r="C1" s="902"/>
      <c r="D1" s="902"/>
      <c r="E1" s="902"/>
      <c r="F1" s="902"/>
      <c r="G1" s="902"/>
      <c r="H1" s="902"/>
      <c r="I1" s="902"/>
      <c r="J1" s="902"/>
      <c r="K1" s="902"/>
      <c r="L1" s="902"/>
      <c r="M1" s="902"/>
      <c r="N1" s="902"/>
      <c r="O1" s="902"/>
      <c r="P1" s="902"/>
      <c r="Q1" s="902"/>
      <c r="R1" s="902"/>
      <c r="S1" s="902"/>
      <c r="T1" s="902"/>
      <c r="U1" s="902"/>
      <c r="V1" s="902"/>
      <c r="W1" s="902"/>
      <c r="X1" s="902"/>
      <c r="Y1" s="902"/>
      <c r="Z1" s="902"/>
      <c r="AA1" s="902"/>
      <c r="AB1" s="902"/>
      <c r="AC1" s="902"/>
      <c r="AD1" s="902"/>
      <c r="AE1" s="902"/>
      <c r="AF1" s="902"/>
      <c r="AG1" s="902"/>
      <c r="AH1" s="902"/>
      <c r="AI1" s="902"/>
      <c r="AJ1" s="902"/>
      <c r="AK1" s="902"/>
      <c r="AL1" s="902"/>
      <c r="AM1" s="902"/>
      <c r="AN1" s="902"/>
      <c r="AO1" s="902"/>
      <c r="AP1" s="902"/>
      <c r="AQ1" s="902"/>
      <c r="AR1" s="902"/>
      <c r="AT1" s="903" t="s">
        <v>932</v>
      </c>
      <c r="AU1" s="903"/>
      <c r="AV1" s="903"/>
      <c r="AW1" s="903"/>
      <c r="AX1" s="903"/>
      <c r="AY1" s="903"/>
      <c r="AZ1" s="903"/>
      <c r="BA1" s="903"/>
      <c r="BB1" s="903"/>
      <c r="BC1" s="903"/>
      <c r="BD1" s="903"/>
      <c r="BE1" s="903"/>
      <c r="BF1" s="903"/>
      <c r="BG1" s="903"/>
      <c r="BH1" s="903"/>
      <c r="BI1" s="903"/>
      <c r="BJ1" s="903"/>
      <c r="BK1" s="903"/>
      <c r="BL1" s="903"/>
      <c r="BM1" s="903"/>
      <c r="BN1" s="903"/>
      <c r="BO1" s="903"/>
      <c r="BP1" s="903"/>
      <c r="BQ1" s="903"/>
      <c r="BR1" s="903"/>
      <c r="BS1" s="903"/>
      <c r="BT1" s="903"/>
      <c r="BU1" s="903"/>
      <c r="BV1" s="903"/>
      <c r="BW1" s="903"/>
      <c r="BX1" s="903"/>
      <c r="BY1" s="903"/>
      <c r="BZ1" s="903"/>
      <c r="CA1" s="903"/>
      <c r="CB1" s="903"/>
      <c r="CC1" s="903"/>
      <c r="CD1" s="903"/>
      <c r="CE1" s="903"/>
      <c r="CF1" s="903"/>
      <c r="CG1" s="903"/>
      <c r="CH1" s="903"/>
      <c r="CI1" s="903"/>
      <c r="CJ1" s="903"/>
    </row>
    <row r="2" spans="1:88" ht="16.899999999999999" customHeight="1" x14ac:dyDescent="0.3">
      <c r="AE2" s="15" t="s">
        <v>38</v>
      </c>
      <c r="AF2" s="16"/>
      <c r="AG2" s="16"/>
      <c r="AH2" s="904" t="s">
        <v>68</v>
      </c>
      <c r="AI2" s="904"/>
      <c r="AJ2" s="16"/>
      <c r="AK2" s="904" t="s">
        <v>71</v>
      </c>
      <c r="AL2" s="904"/>
      <c r="AM2" s="904" t="s">
        <v>72</v>
      </c>
      <c r="AN2" s="904"/>
      <c r="AO2" s="21"/>
      <c r="AP2" s="904" t="s">
        <v>39</v>
      </c>
      <c r="AQ2" s="904"/>
      <c r="AU2" s="22"/>
      <c r="AV2" s="22"/>
      <c r="AW2" s="22"/>
      <c r="AX2" s="22"/>
      <c r="AY2" s="22"/>
      <c r="AZ2" s="22"/>
      <c r="BA2" s="22"/>
      <c r="BB2" s="7"/>
      <c r="BC2" s="7"/>
      <c r="BD2" s="7"/>
      <c r="BE2" s="7"/>
      <c r="BF2" s="7"/>
      <c r="BG2" s="7"/>
      <c r="BH2" s="7"/>
      <c r="BI2" s="7"/>
      <c r="BJ2" s="7"/>
      <c r="BK2" s="7"/>
      <c r="BL2" s="7"/>
      <c r="BM2" s="7"/>
      <c r="BN2" s="22"/>
    </row>
    <row r="3" spans="1:88" ht="16.899999999999999" customHeight="1" x14ac:dyDescent="0.15">
      <c r="B3" s="905" t="s">
        <v>933</v>
      </c>
      <c r="C3" s="906"/>
      <c r="D3" s="907"/>
      <c r="E3" s="908"/>
      <c r="F3" s="909"/>
      <c r="G3" s="909"/>
      <c r="H3" s="909"/>
      <c r="I3" s="909"/>
      <c r="J3" s="909"/>
      <c r="K3" s="909"/>
      <c r="L3" s="909"/>
      <c r="M3" s="909"/>
      <c r="N3" s="909"/>
      <c r="O3" s="909"/>
      <c r="P3" s="909"/>
      <c r="Q3" s="909"/>
      <c r="R3" s="910"/>
      <c r="U3" s="905" t="s">
        <v>89</v>
      </c>
      <c r="V3" s="907"/>
      <c r="W3" s="911"/>
      <c r="X3" s="911"/>
      <c r="Y3" s="911"/>
      <c r="Z3" s="912" t="s">
        <v>38</v>
      </c>
      <c r="AA3" s="912"/>
      <c r="AB3" s="913">
        <v>2</v>
      </c>
      <c r="AC3" s="913"/>
      <c r="AE3" s="17" t="s">
        <v>73</v>
      </c>
      <c r="AF3" s="914" t="s">
        <v>74</v>
      </c>
      <c r="AG3" s="915"/>
      <c r="AH3" s="916">
        <v>10</v>
      </c>
      <c r="AI3" s="916"/>
      <c r="AJ3" s="20" t="s">
        <v>75</v>
      </c>
      <c r="AK3" s="917">
        <f t="shared" ref="AK3:AK8" si="0">INT(AH3/2-5)</f>
        <v>0</v>
      </c>
      <c r="AL3" s="917"/>
      <c r="AM3" s="918">
        <f>INT(AH3/2-5)+IF(AE3="O",AB3,0)+AP3</f>
        <v>0</v>
      </c>
      <c r="AN3" s="918"/>
      <c r="AO3" s="23" t="s">
        <v>40</v>
      </c>
      <c r="AP3" s="919"/>
      <c r="AQ3" s="919"/>
      <c r="AU3" s="905" t="s">
        <v>934</v>
      </c>
      <c r="AV3" s="906"/>
      <c r="AW3" s="907"/>
      <c r="AX3" s="908"/>
      <c r="AY3" s="909"/>
      <c r="AZ3" s="909"/>
      <c r="BA3" s="909"/>
      <c r="BB3" s="910"/>
      <c r="BD3" s="920" t="s">
        <v>55</v>
      </c>
      <c r="BE3" s="920"/>
      <c r="BF3" s="920"/>
      <c r="BG3" s="911"/>
      <c r="BH3" s="911"/>
      <c r="BI3" s="911"/>
      <c r="BJ3" s="911"/>
      <c r="BK3" s="911"/>
      <c r="BM3" s="921" t="s">
        <v>87</v>
      </c>
      <c r="BN3" s="922"/>
      <c r="BO3" s="923"/>
      <c r="BP3" s="924"/>
      <c r="BQ3" s="924"/>
      <c r="BR3" s="18" t="s">
        <v>88</v>
      </c>
      <c r="BS3" s="924"/>
      <c r="BT3" s="924"/>
      <c r="BU3" s="925"/>
      <c r="BW3" s="905" t="s">
        <v>89</v>
      </c>
      <c r="BX3" s="907"/>
      <c r="BY3" s="911"/>
      <c r="BZ3" s="911"/>
      <c r="CA3" s="911"/>
      <c r="CB3" s="912" t="s">
        <v>180</v>
      </c>
      <c r="CC3" s="912"/>
      <c r="CD3" s="916"/>
      <c r="CE3" s="926"/>
      <c r="CF3" s="912" t="s">
        <v>38</v>
      </c>
      <c r="CG3" s="912"/>
      <c r="CH3" s="945">
        <f>IFERROR(VLOOKUP(CD3,数据表!CO2:CP35,2,FALSE),0)</f>
        <v>2</v>
      </c>
      <c r="CI3" s="945"/>
      <c r="CJ3" s="945"/>
    </row>
    <row r="4" spans="1:88" ht="16.899999999999999" customHeight="1" x14ac:dyDescent="0.15">
      <c r="B4" s="905" t="s">
        <v>935</v>
      </c>
      <c r="C4" s="906"/>
      <c r="D4" s="907"/>
      <c r="E4" s="927"/>
      <c r="F4" s="928"/>
      <c r="G4" s="928"/>
      <c r="H4" s="928"/>
      <c r="I4" s="928"/>
      <c r="J4" s="928"/>
      <c r="K4" s="928"/>
      <c r="L4" s="928"/>
      <c r="M4" s="928"/>
      <c r="N4" s="928"/>
      <c r="O4" s="928"/>
      <c r="P4" s="928"/>
      <c r="Q4" s="928"/>
      <c r="R4" s="929"/>
      <c r="U4" s="905" t="s">
        <v>96</v>
      </c>
      <c r="V4" s="907"/>
      <c r="W4" s="930"/>
      <c r="X4" s="931"/>
      <c r="Y4" s="931"/>
      <c r="Z4" s="931"/>
      <c r="AA4" s="931"/>
      <c r="AB4" s="931"/>
      <c r="AC4" s="932"/>
      <c r="AE4" s="17" t="s">
        <v>73</v>
      </c>
      <c r="AF4" s="914" t="s">
        <v>76</v>
      </c>
      <c r="AG4" s="915"/>
      <c r="AH4" s="916">
        <v>10</v>
      </c>
      <c r="AI4" s="916"/>
      <c r="AJ4" s="20" t="s">
        <v>75</v>
      </c>
      <c r="AK4" s="917">
        <f t="shared" si="0"/>
        <v>0</v>
      </c>
      <c r="AL4" s="917"/>
      <c r="AM4" s="918">
        <f>INT(AH4/2-5)+IF(AE4="O",AB3,0)+AP4</f>
        <v>0</v>
      </c>
      <c r="AN4" s="918"/>
      <c r="AO4" s="23" t="s">
        <v>40</v>
      </c>
      <c r="AP4" s="919"/>
      <c r="AQ4" s="919"/>
      <c r="AU4" s="905" t="s">
        <v>9</v>
      </c>
      <c r="AV4" s="906"/>
      <c r="AW4" s="907"/>
      <c r="AX4" s="927"/>
      <c r="AY4" s="928"/>
      <c r="AZ4" s="928"/>
      <c r="BA4" s="928"/>
      <c r="BB4" s="929"/>
      <c r="BD4" s="920" t="s">
        <v>94</v>
      </c>
      <c r="BE4" s="920"/>
      <c r="BF4" s="920"/>
      <c r="BG4" s="933"/>
      <c r="BH4" s="933"/>
      <c r="BI4" s="933"/>
      <c r="BJ4" s="933"/>
      <c r="BK4" s="933"/>
      <c r="BL4" s="7"/>
      <c r="BM4" s="921" t="s">
        <v>90</v>
      </c>
      <c r="BN4" s="922"/>
      <c r="BO4" s="926"/>
      <c r="BP4" s="934"/>
      <c r="BQ4" s="18" t="s">
        <v>88</v>
      </c>
      <c r="BR4" s="934"/>
      <c r="BS4" s="934"/>
      <c r="BT4" s="935"/>
      <c r="BU4" s="936"/>
      <c r="BW4" s="905" t="s">
        <v>96</v>
      </c>
      <c r="BX4" s="907"/>
      <c r="BY4" s="930"/>
      <c r="BZ4" s="931"/>
      <c r="CA4" s="931"/>
      <c r="CB4" s="931"/>
      <c r="CC4" s="931"/>
      <c r="CD4" s="931"/>
      <c r="CE4" s="931"/>
      <c r="CF4" s="912"/>
      <c r="CG4" s="912"/>
      <c r="CH4" s="945"/>
      <c r="CI4" s="945"/>
      <c r="CJ4" s="945"/>
    </row>
    <row r="5" spans="1:88" ht="16.899999999999999" customHeight="1" x14ac:dyDescent="0.15">
      <c r="B5" s="905" t="s">
        <v>936</v>
      </c>
      <c r="C5" s="906"/>
      <c r="D5" s="907"/>
      <c r="E5" s="908"/>
      <c r="F5" s="909"/>
      <c r="G5" s="909"/>
      <c r="H5" s="909"/>
      <c r="I5" s="909"/>
      <c r="J5" s="909"/>
      <c r="K5" s="909"/>
      <c r="L5" s="909"/>
      <c r="M5" s="909"/>
      <c r="N5" s="909"/>
      <c r="O5" s="909"/>
      <c r="P5" s="909"/>
      <c r="Q5" s="909"/>
      <c r="R5" s="910"/>
      <c r="AE5" s="17" t="s">
        <v>73</v>
      </c>
      <c r="AF5" s="914" t="s">
        <v>77</v>
      </c>
      <c r="AG5" s="915"/>
      <c r="AH5" s="916">
        <v>10</v>
      </c>
      <c r="AI5" s="916"/>
      <c r="AJ5" s="20" t="s">
        <v>75</v>
      </c>
      <c r="AK5" s="917">
        <f t="shared" si="0"/>
        <v>0</v>
      </c>
      <c r="AL5" s="917"/>
      <c r="AM5" s="918">
        <f>INT(AH5/2-5)+IF(AE5="O",AB3,0)+AP5</f>
        <v>0</v>
      </c>
      <c r="AN5" s="918"/>
      <c r="AO5" s="23" t="s">
        <v>40</v>
      </c>
      <c r="AP5" s="919"/>
      <c r="AQ5" s="919"/>
      <c r="AU5" s="905" t="s">
        <v>62</v>
      </c>
      <c r="AV5" s="906"/>
      <c r="AW5" s="907"/>
      <c r="AX5" s="939"/>
      <c r="AY5" s="940"/>
      <c r="AZ5" s="940"/>
      <c r="BA5" s="940"/>
      <c r="BB5" s="941"/>
      <c r="BD5" s="920" t="s">
        <v>937</v>
      </c>
      <c r="BE5" s="920"/>
      <c r="BF5" s="920"/>
      <c r="BG5" s="937"/>
      <c r="BH5" s="937"/>
      <c r="BI5" s="937"/>
      <c r="BJ5" s="937"/>
      <c r="BK5" s="937"/>
      <c r="BM5" s="912" t="s">
        <v>938</v>
      </c>
      <c r="BN5" s="912"/>
      <c r="BO5" s="912"/>
      <c r="BP5" s="912"/>
      <c r="BQ5" s="938"/>
      <c r="BR5" s="938"/>
      <c r="BS5" s="938"/>
      <c r="BT5" s="938"/>
      <c r="BU5" s="938"/>
      <c r="BY5" s="7"/>
      <c r="BZ5" s="7"/>
    </row>
    <row r="6" spans="1:88" ht="16.899999999999999" customHeight="1" x14ac:dyDescent="0.3">
      <c r="U6" s="921" t="s">
        <v>87</v>
      </c>
      <c r="V6" s="922"/>
      <c r="W6" s="923"/>
      <c r="X6" s="924"/>
      <c r="Y6" s="924"/>
      <c r="Z6" s="18" t="s">
        <v>88</v>
      </c>
      <c r="AA6" s="924"/>
      <c r="AB6" s="924"/>
      <c r="AC6" s="925"/>
      <c r="AE6" s="17" t="s">
        <v>73</v>
      </c>
      <c r="AF6" s="914" t="s">
        <v>78</v>
      </c>
      <c r="AG6" s="915"/>
      <c r="AH6" s="916">
        <v>10</v>
      </c>
      <c r="AI6" s="916"/>
      <c r="AJ6" s="20" t="s">
        <v>75</v>
      </c>
      <c r="AK6" s="917">
        <f t="shared" si="0"/>
        <v>0</v>
      </c>
      <c r="AL6" s="917"/>
      <c r="AM6" s="918">
        <f>INT(AH6/2-5)+IF(AE6="O",AB3,0)+AP6</f>
        <v>0</v>
      </c>
      <c r="AN6" s="918"/>
      <c r="AO6" s="23" t="s">
        <v>40</v>
      </c>
      <c r="AP6" s="919"/>
      <c r="AQ6" s="919"/>
      <c r="AU6" s="15" t="s">
        <v>38</v>
      </c>
      <c r="AV6" s="16"/>
      <c r="AW6" s="16"/>
      <c r="AX6" s="904" t="s">
        <v>68</v>
      </c>
      <c r="AY6" s="904"/>
      <c r="AZ6" s="16"/>
      <c r="BA6" s="904" t="s">
        <v>71</v>
      </c>
      <c r="BB6" s="904"/>
      <c r="BC6" s="904" t="s">
        <v>72</v>
      </c>
      <c r="BD6" s="904"/>
      <c r="BE6" s="16"/>
      <c r="BY6" s="7"/>
      <c r="BZ6" s="7"/>
      <c r="CA6" s="942" t="s">
        <v>91</v>
      </c>
      <c r="CB6" s="942"/>
      <c r="CC6" s="942"/>
      <c r="CD6" s="942"/>
      <c r="CE6" s="942"/>
      <c r="CF6" s="942"/>
      <c r="CG6" s="942"/>
      <c r="CH6" s="942"/>
      <c r="CI6" s="942"/>
    </row>
    <row r="7" spans="1:88" ht="16.899999999999999" customHeight="1" x14ac:dyDescent="0.15">
      <c r="B7" s="905" t="s">
        <v>530</v>
      </c>
      <c r="C7" s="906"/>
      <c r="D7" s="907"/>
      <c r="E7" s="908"/>
      <c r="F7" s="909"/>
      <c r="G7" s="909"/>
      <c r="H7" s="909"/>
      <c r="I7" s="910"/>
      <c r="J7" s="14"/>
      <c r="K7" s="920" t="s">
        <v>55</v>
      </c>
      <c r="L7" s="920"/>
      <c r="M7" s="920"/>
      <c r="N7" s="911"/>
      <c r="O7" s="911"/>
      <c r="P7" s="911"/>
      <c r="Q7" s="911"/>
      <c r="R7" s="911"/>
      <c r="U7" s="921" t="s">
        <v>90</v>
      </c>
      <c r="V7" s="922"/>
      <c r="W7" s="926"/>
      <c r="X7" s="934"/>
      <c r="Y7" s="18" t="s">
        <v>88</v>
      </c>
      <c r="Z7" s="934"/>
      <c r="AA7" s="934"/>
      <c r="AB7" s="943"/>
      <c r="AC7" s="944"/>
      <c r="AE7" s="17" t="s">
        <v>73</v>
      </c>
      <c r="AF7" s="914" t="s">
        <v>79</v>
      </c>
      <c r="AG7" s="915"/>
      <c r="AH7" s="916">
        <v>10</v>
      </c>
      <c r="AI7" s="916"/>
      <c r="AJ7" s="20" t="s">
        <v>75</v>
      </c>
      <c r="AK7" s="917">
        <f t="shared" si="0"/>
        <v>0</v>
      </c>
      <c r="AL7" s="917"/>
      <c r="AM7" s="918">
        <f>INT(AH7/2-5)+IF(AE7="O",AB3,0)+AP7</f>
        <v>0</v>
      </c>
      <c r="AN7" s="918"/>
      <c r="AO7" s="23" t="s">
        <v>40</v>
      </c>
      <c r="AP7" s="919"/>
      <c r="AQ7" s="919"/>
      <c r="AU7" s="17" t="s">
        <v>73</v>
      </c>
      <c r="AV7" s="914" t="s">
        <v>74</v>
      </c>
      <c r="AW7" s="915"/>
      <c r="AX7" s="916">
        <v>10</v>
      </c>
      <c r="AY7" s="916"/>
      <c r="AZ7" s="20" t="s">
        <v>75</v>
      </c>
      <c r="BA7" s="917">
        <f t="shared" ref="BA7:BA12" si="1">INT(AX7/2-5)</f>
        <v>0</v>
      </c>
      <c r="BB7" s="917"/>
      <c r="BC7" s="918">
        <f t="shared" ref="BC7:BC12" si="2">INT(AX7/2-5)+IF(AU7="O",$CH$3,0)</f>
        <v>0</v>
      </c>
      <c r="BD7" s="918"/>
      <c r="BE7" s="16"/>
      <c r="BF7" s="905" t="s">
        <v>100</v>
      </c>
      <c r="BG7" s="907"/>
      <c r="BH7" s="908"/>
      <c r="BI7" s="909"/>
      <c r="BJ7" s="909"/>
      <c r="BK7" s="909"/>
      <c r="BL7" s="909"/>
      <c r="BM7" s="909"/>
      <c r="BN7" s="909"/>
      <c r="BO7" s="909"/>
      <c r="BP7" s="909"/>
      <c r="BQ7" s="909"/>
      <c r="BR7" s="909"/>
      <c r="BS7" s="909"/>
      <c r="BT7" s="909"/>
      <c r="BU7" s="909"/>
      <c r="BV7" s="909"/>
      <c r="BW7" s="909"/>
      <c r="BX7" s="909"/>
      <c r="BY7" s="910"/>
      <c r="CA7" s="946"/>
      <c r="CB7" s="947"/>
      <c r="CC7" s="947"/>
      <c r="CD7" s="947"/>
      <c r="CE7" s="947"/>
      <c r="CF7" s="947"/>
      <c r="CG7" s="947"/>
      <c r="CH7" s="947"/>
      <c r="CI7" s="948"/>
    </row>
    <row r="8" spans="1:88" ht="16.899999999999999" customHeight="1" x14ac:dyDescent="0.15">
      <c r="B8" s="905" t="s">
        <v>9</v>
      </c>
      <c r="C8" s="906"/>
      <c r="D8" s="907"/>
      <c r="E8" s="927"/>
      <c r="F8" s="928"/>
      <c r="G8" s="928"/>
      <c r="H8" s="928"/>
      <c r="I8" s="929"/>
      <c r="K8" s="920" t="s">
        <v>94</v>
      </c>
      <c r="L8" s="920"/>
      <c r="M8" s="920"/>
      <c r="N8" s="933"/>
      <c r="O8" s="933"/>
      <c r="P8" s="933"/>
      <c r="Q8" s="933"/>
      <c r="R8" s="933"/>
      <c r="U8" s="912" t="s">
        <v>938</v>
      </c>
      <c r="V8" s="912"/>
      <c r="W8" s="912"/>
      <c r="X8" s="912"/>
      <c r="Y8" s="938"/>
      <c r="Z8" s="938"/>
      <c r="AA8" s="938"/>
      <c r="AB8" s="938"/>
      <c r="AC8" s="938"/>
      <c r="AE8" s="17" t="s">
        <v>73</v>
      </c>
      <c r="AF8" s="914" t="s">
        <v>80</v>
      </c>
      <c r="AG8" s="915"/>
      <c r="AH8" s="916">
        <v>10</v>
      </c>
      <c r="AI8" s="916"/>
      <c r="AJ8" s="20" t="s">
        <v>75</v>
      </c>
      <c r="AK8" s="917">
        <f t="shared" si="0"/>
        <v>0</v>
      </c>
      <c r="AL8" s="917"/>
      <c r="AM8" s="918">
        <f>INT(AH8/2-5)+IF(AE8="O",AB3,0)+AP8</f>
        <v>0</v>
      </c>
      <c r="AN8" s="918"/>
      <c r="AO8" s="23" t="s">
        <v>40</v>
      </c>
      <c r="AP8" s="919"/>
      <c r="AQ8" s="919"/>
      <c r="AU8" s="17" t="s">
        <v>73</v>
      </c>
      <c r="AV8" s="914" t="s">
        <v>76</v>
      </c>
      <c r="AW8" s="915"/>
      <c r="AX8" s="916">
        <v>10</v>
      </c>
      <c r="AY8" s="916"/>
      <c r="AZ8" s="20" t="s">
        <v>75</v>
      </c>
      <c r="BA8" s="917">
        <f t="shared" si="1"/>
        <v>0</v>
      </c>
      <c r="BB8" s="917"/>
      <c r="BC8" s="918">
        <f t="shared" si="2"/>
        <v>0</v>
      </c>
      <c r="BD8" s="918"/>
      <c r="BE8" s="16"/>
      <c r="BF8" s="905" t="s">
        <v>10165</v>
      </c>
      <c r="BG8" s="907"/>
      <c r="BH8" s="908"/>
      <c r="BI8" s="909"/>
      <c r="BJ8" s="909"/>
      <c r="BK8" s="909"/>
      <c r="BL8" s="909"/>
      <c r="BM8" s="909"/>
      <c r="BN8" s="909"/>
      <c r="BO8" s="909"/>
      <c r="BP8" s="909"/>
      <c r="BQ8" s="909"/>
      <c r="BR8" s="909"/>
      <c r="BS8" s="909"/>
      <c r="BT8" s="909"/>
      <c r="BU8" s="909"/>
      <c r="BV8" s="909"/>
      <c r="BW8" s="909"/>
      <c r="BX8" s="909"/>
      <c r="BY8" s="910"/>
      <c r="CA8" s="949"/>
      <c r="CB8" s="651"/>
      <c r="CC8" s="651"/>
      <c r="CD8" s="651"/>
      <c r="CE8" s="651"/>
      <c r="CF8" s="651"/>
      <c r="CG8" s="651"/>
      <c r="CH8" s="651"/>
      <c r="CI8" s="950"/>
    </row>
    <row r="9" spans="1:88" ht="16.899999999999999" customHeight="1" x14ac:dyDescent="0.15">
      <c r="B9" s="905" t="s">
        <v>62</v>
      </c>
      <c r="C9" s="906"/>
      <c r="D9" s="907"/>
      <c r="E9" s="939"/>
      <c r="F9" s="940"/>
      <c r="G9" s="940"/>
      <c r="H9" s="940"/>
      <c r="I9" s="941"/>
      <c r="K9" s="920" t="s">
        <v>937</v>
      </c>
      <c r="L9" s="920"/>
      <c r="M9" s="920"/>
      <c r="N9" s="937"/>
      <c r="O9" s="937"/>
      <c r="P9" s="937"/>
      <c r="Q9" s="937"/>
      <c r="R9" s="937"/>
      <c r="AU9" s="17" t="s">
        <v>73</v>
      </c>
      <c r="AV9" s="914" t="s">
        <v>77</v>
      </c>
      <c r="AW9" s="915"/>
      <c r="AX9" s="916">
        <v>10</v>
      </c>
      <c r="AY9" s="916"/>
      <c r="AZ9" s="20" t="s">
        <v>75</v>
      </c>
      <c r="BA9" s="917">
        <f t="shared" si="1"/>
        <v>0</v>
      </c>
      <c r="BB9" s="917"/>
      <c r="BC9" s="918">
        <f t="shared" si="2"/>
        <v>0</v>
      </c>
      <c r="BD9" s="918"/>
      <c r="BE9" s="16"/>
      <c r="BF9" s="905" t="s">
        <v>93</v>
      </c>
      <c r="BG9" s="907"/>
      <c r="BH9" s="908"/>
      <c r="BI9" s="909"/>
      <c r="BJ9" s="909"/>
      <c r="BK9" s="909"/>
      <c r="BL9" s="909"/>
      <c r="BM9" s="909"/>
      <c r="BN9" s="909"/>
      <c r="BO9" s="909"/>
      <c r="BP9" s="909"/>
      <c r="BQ9" s="909"/>
      <c r="BR9" s="909"/>
      <c r="BS9" s="909"/>
      <c r="BT9" s="909"/>
      <c r="BU9" s="909"/>
      <c r="BV9" s="909"/>
      <c r="BW9" s="909"/>
      <c r="BX9" s="909"/>
      <c r="BY9" s="910"/>
      <c r="CA9" s="949"/>
      <c r="CB9" s="651"/>
      <c r="CC9" s="651"/>
      <c r="CD9" s="651"/>
      <c r="CE9" s="651"/>
      <c r="CF9" s="651"/>
      <c r="CG9" s="651"/>
      <c r="CH9" s="651"/>
      <c r="CI9" s="950"/>
    </row>
    <row r="10" spans="1:88" ht="16.899999999999999" customHeight="1" x14ac:dyDescent="0.15">
      <c r="U10" s="905" t="s">
        <v>100</v>
      </c>
      <c r="V10" s="907"/>
      <c r="W10" s="955"/>
      <c r="X10" s="955"/>
      <c r="Y10" s="955"/>
      <c r="Z10" s="955"/>
      <c r="AA10" s="955"/>
      <c r="AB10" s="955"/>
      <c r="AC10" s="955"/>
      <c r="AD10" s="955"/>
      <c r="AE10" s="955"/>
      <c r="AF10" s="955"/>
      <c r="AG10" s="955"/>
      <c r="AH10" s="955"/>
      <c r="AI10" s="955"/>
      <c r="AJ10" s="955"/>
      <c r="AK10" s="955"/>
      <c r="AL10" s="955"/>
      <c r="AM10" s="955"/>
      <c r="AN10" s="955"/>
      <c r="AO10" s="955"/>
      <c r="AP10" s="955"/>
      <c r="AQ10" s="955"/>
      <c r="AU10" s="17" t="s">
        <v>73</v>
      </c>
      <c r="AV10" s="914" t="s">
        <v>78</v>
      </c>
      <c r="AW10" s="915"/>
      <c r="AX10" s="916">
        <v>10</v>
      </c>
      <c r="AY10" s="916"/>
      <c r="AZ10" s="20" t="s">
        <v>75</v>
      </c>
      <c r="BA10" s="917">
        <f t="shared" si="1"/>
        <v>0</v>
      </c>
      <c r="BB10" s="917"/>
      <c r="BC10" s="918">
        <f t="shared" si="2"/>
        <v>0</v>
      </c>
      <c r="BD10" s="918"/>
      <c r="BE10" s="16"/>
      <c r="BF10" s="905" t="s">
        <v>97</v>
      </c>
      <c r="BG10" s="907"/>
      <c r="BH10" s="908"/>
      <c r="BI10" s="909"/>
      <c r="BJ10" s="909"/>
      <c r="BK10" s="909"/>
      <c r="BL10" s="909"/>
      <c r="BM10" s="909"/>
      <c r="BN10" s="909"/>
      <c r="BO10" s="909"/>
      <c r="BP10" s="909"/>
      <c r="BQ10" s="909"/>
      <c r="BR10" s="909"/>
      <c r="BS10" s="909"/>
      <c r="BT10" s="909"/>
      <c r="BU10" s="909"/>
      <c r="BV10" s="909"/>
      <c r="BW10" s="909"/>
      <c r="BX10" s="909"/>
      <c r="BY10" s="910"/>
      <c r="CA10" s="949"/>
      <c r="CB10" s="651"/>
      <c r="CC10" s="651"/>
      <c r="CD10" s="651"/>
      <c r="CE10" s="651"/>
      <c r="CF10" s="651"/>
      <c r="CG10" s="651"/>
      <c r="CH10" s="651"/>
      <c r="CI10" s="950"/>
    </row>
    <row r="11" spans="1:88" ht="16.899999999999999" customHeight="1" x14ac:dyDescent="0.15">
      <c r="B11" s="964" t="s">
        <v>942</v>
      </c>
      <c r="C11" s="964"/>
      <c r="D11" s="964"/>
      <c r="E11" s="964"/>
      <c r="F11" s="964"/>
      <c r="G11" s="964"/>
      <c r="H11" s="964"/>
      <c r="I11" s="964"/>
      <c r="J11" s="964"/>
      <c r="K11" s="964"/>
      <c r="L11" s="964"/>
      <c r="M11" s="964"/>
      <c r="N11" s="964"/>
      <c r="O11" s="964"/>
      <c r="P11" s="964"/>
      <c r="Q11" s="964"/>
      <c r="R11" s="964"/>
      <c r="U11" s="905" t="s">
        <v>93</v>
      </c>
      <c r="V11" s="907"/>
      <c r="W11" s="955"/>
      <c r="X11" s="955"/>
      <c r="Y11" s="955"/>
      <c r="Z11" s="955"/>
      <c r="AA11" s="955"/>
      <c r="AB11" s="955"/>
      <c r="AC11" s="955"/>
      <c r="AD11" s="955"/>
      <c r="AE11" s="955"/>
      <c r="AF11" s="955"/>
      <c r="AG11" s="955"/>
      <c r="AH11" s="955"/>
      <c r="AI11" s="955"/>
      <c r="AJ11" s="955"/>
      <c r="AK11" s="955"/>
      <c r="AL11" s="955"/>
      <c r="AM11" s="955"/>
      <c r="AN11" s="955"/>
      <c r="AO11" s="955"/>
      <c r="AP11" s="955"/>
      <c r="AQ11" s="955"/>
      <c r="AU11" s="17" t="s">
        <v>73</v>
      </c>
      <c r="AV11" s="914" t="s">
        <v>79</v>
      </c>
      <c r="AW11" s="915"/>
      <c r="AX11" s="916">
        <v>10</v>
      </c>
      <c r="AY11" s="916"/>
      <c r="AZ11" s="20" t="s">
        <v>75</v>
      </c>
      <c r="BA11" s="917">
        <f t="shared" si="1"/>
        <v>0</v>
      </c>
      <c r="BB11" s="917"/>
      <c r="BC11" s="918">
        <f t="shared" si="2"/>
        <v>0</v>
      </c>
      <c r="BD11" s="918"/>
      <c r="BE11" s="16"/>
      <c r="BF11" s="905" t="s">
        <v>940</v>
      </c>
      <c r="BG11" s="907"/>
      <c r="BH11" s="908"/>
      <c r="BI11" s="909"/>
      <c r="BJ11" s="909"/>
      <c r="BK11" s="909"/>
      <c r="BL11" s="909"/>
      <c r="BM11" s="909"/>
      <c r="BN11" s="909"/>
      <c r="BO11" s="909"/>
      <c r="BP11" s="909"/>
      <c r="BQ11" s="909"/>
      <c r="BR11" s="909"/>
      <c r="BS11" s="909"/>
      <c r="BT11" s="909"/>
      <c r="BU11" s="909"/>
      <c r="BV11" s="909"/>
      <c r="BW11" s="909"/>
      <c r="BX11" s="909"/>
      <c r="BY11" s="910"/>
      <c r="CA11" s="949"/>
      <c r="CB11" s="651"/>
      <c r="CC11" s="651"/>
      <c r="CD11" s="651"/>
      <c r="CE11" s="651"/>
      <c r="CF11" s="651"/>
      <c r="CG11" s="651"/>
      <c r="CH11" s="651"/>
      <c r="CI11" s="950"/>
    </row>
    <row r="12" spans="1:88" ht="16.899999999999999" customHeight="1" x14ac:dyDescent="0.15">
      <c r="B12" s="959"/>
      <c r="C12" s="959"/>
      <c r="D12" s="959"/>
      <c r="E12" s="959"/>
      <c r="F12" s="959"/>
      <c r="G12" s="959"/>
      <c r="H12" s="959"/>
      <c r="I12" s="959"/>
      <c r="J12" s="959"/>
      <c r="K12" s="959"/>
      <c r="L12" s="959"/>
      <c r="M12" s="959"/>
      <c r="N12" s="959"/>
      <c r="O12" s="959"/>
      <c r="P12" s="959"/>
      <c r="Q12" s="959"/>
      <c r="R12" s="959"/>
      <c r="U12" s="905" t="s">
        <v>97</v>
      </c>
      <c r="V12" s="907"/>
      <c r="W12" s="955"/>
      <c r="X12" s="955"/>
      <c r="Y12" s="955"/>
      <c r="Z12" s="955"/>
      <c r="AA12" s="955"/>
      <c r="AB12" s="955"/>
      <c r="AC12" s="955"/>
      <c r="AD12" s="955"/>
      <c r="AE12" s="955"/>
      <c r="AF12" s="955"/>
      <c r="AG12" s="955"/>
      <c r="AH12" s="955"/>
      <c r="AI12" s="955"/>
      <c r="AJ12" s="955"/>
      <c r="AK12" s="955"/>
      <c r="AL12" s="955"/>
      <c r="AM12" s="955"/>
      <c r="AN12" s="955"/>
      <c r="AO12" s="955"/>
      <c r="AP12" s="955"/>
      <c r="AQ12" s="955"/>
      <c r="AU12" s="17" t="s">
        <v>73</v>
      </c>
      <c r="AV12" s="914" t="s">
        <v>80</v>
      </c>
      <c r="AW12" s="915"/>
      <c r="AX12" s="916">
        <v>10</v>
      </c>
      <c r="AY12" s="916"/>
      <c r="AZ12" s="20" t="s">
        <v>75</v>
      </c>
      <c r="BA12" s="917">
        <f t="shared" si="1"/>
        <v>0</v>
      </c>
      <c r="BB12" s="917"/>
      <c r="BC12" s="918">
        <f t="shared" si="2"/>
        <v>0</v>
      </c>
      <c r="BD12" s="918"/>
      <c r="BE12" s="16"/>
      <c r="BF12" s="956" t="s">
        <v>173</v>
      </c>
      <c r="BG12" s="957"/>
      <c r="BH12" s="908"/>
      <c r="BI12" s="909"/>
      <c r="BJ12" s="909"/>
      <c r="BK12" s="909"/>
      <c r="BL12" s="909"/>
      <c r="BM12" s="909"/>
      <c r="BN12" s="909"/>
      <c r="BO12" s="909"/>
      <c r="BP12" s="909"/>
      <c r="BQ12" s="909"/>
      <c r="BR12" s="909"/>
      <c r="BS12" s="909"/>
      <c r="BT12" s="909"/>
      <c r="BU12" s="909"/>
      <c r="BV12" s="909"/>
      <c r="BW12" s="909"/>
      <c r="BX12" s="909"/>
      <c r="BY12" s="910"/>
      <c r="CA12" s="951"/>
      <c r="CB12" s="952"/>
      <c r="CC12" s="952"/>
      <c r="CD12" s="952"/>
      <c r="CE12" s="952"/>
      <c r="CF12" s="952"/>
      <c r="CG12" s="952"/>
      <c r="CH12" s="952"/>
      <c r="CI12" s="953"/>
    </row>
    <row r="13" spans="1:88" ht="16.899999999999999" customHeight="1" x14ac:dyDescent="0.3">
      <c r="B13" s="959"/>
      <c r="C13" s="959"/>
      <c r="D13" s="959"/>
      <c r="E13" s="959"/>
      <c r="F13" s="959"/>
      <c r="G13" s="959"/>
      <c r="H13" s="959"/>
      <c r="I13" s="959"/>
      <c r="J13" s="959"/>
      <c r="K13" s="959"/>
      <c r="L13" s="959"/>
      <c r="M13" s="959"/>
      <c r="N13" s="959"/>
      <c r="O13" s="959"/>
      <c r="P13" s="959"/>
      <c r="Q13" s="959"/>
      <c r="R13" s="959"/>
      <c r="U13" s="905" t="s">
        <v>940</v>
      </c>
      <c r="V13" s="907"/>
      <c r="W13" s="955"/>
      <c r="X13" s="955"/>
      <c r="Y13" s="955"/>
      <c r="Z13" s="955"/>
      <c r="AA13" s="955"/>
      <c r="AB13" s="955"/>
      <c r="AC13" s="955"/>
      <c r="AD13" s="955"/>
      <c r="AE13" s="955"/>
      <c r="AF13" s="955"/>
      <c r="AG13" s="955"/>
      <c r="AH13" s="955"/>
      <c r="AI13" s="955"/>
      <c r="AJ13" s="955"/>
      <c r="AK13" s="955"/>
      <c r="AL13" s="955"/>
      <c r="AM13" s="955"/>
      <c r="AN13" s="955"/>
      <c r="AO13" s="955"/>
      <c r="AP13" s="955"/>
      <c r="AQ13" s="955"/>
      <c r="AU13" s="958" t="s">
        <v>106</v>
      </c>
      <c r="AV13" s="958"/>
      <c r="AW13" s="958"/>
      <c r="AX13" s="958"/>
      <c r="AY13" s="958"/>
      <c r="AZ13" s="958"/>
      <c r="BA13" s="958"/>
      <c r="BB13" s="958"/>
      <c r="BC13" s="958"/>
      <c r="BD13" s="958"/>
      <c r="BE13" s="958"/>
      <c r="BF13" s="958"/>
      <c r="BG13" s="958"/>
      <c r="BH13" s="958"/>
      <c r="BI13" s="958"/>
      <c r="BJ13" s="958"/>
      <c r="BK13" s="958"/>
      <c r="BL13" s="958"/>
      <c r="BM13" s="958"/>
      <c r="BN13" s="958"/>
      <c r="BP13" s="958" t="s">
        <v>941</v>
      </c>
      <c r="BQ13" s="958"/>
      <c r="BR13" s="958"/>
      <c r="BS13" s="958"/>
      <c r="BT13" s="958"/>
      <c r="BU13" s="958"/>
      <c r="BV13" s="958"/>
      <c r="BW13" s="958"/>
      <c r="BX13" s="958"/>
      <c r="BY13" s="958"/>
      <c r="BZ13" s="958"/>
      <c r="CA13" s="958"/>
      <c r="CB13" s="958"/>
      <c r="CC13" s="958"/>
      <c r="CD13" s="958"/>
      <c r="CE13" s="958"/>
      <c r="CF13" s="958"/>
      <c r="CG13" s="958"/>
      <c r="CH13" s="958"/>
      <c r="CI13" s="958"/>
    </row>
    <row r="14" spans="1:88" ht="16.899999999999999" customHeight="1" x14ac:dyDescent="0.15">
      <c r="B14" s="959"/>
      <c r="C14" s="959"/>
      <c r="D14" s="959"/>
      <c r="E14" s="959"/>
      <c r="F14" s="959"/>
      <c r="G14" s="959"/>
      <c r="H14" s="959"/>
      <c r="I14" s="959"/>
      <c r="J14" s="959"/>
      <c r="K14" s="959"/>
      <c r="L14" s="959"/>
      <c r="M14" s="959"/>
      <c r="N14" s="959"/>
      <c r="O14" s="959"/>
      <c r="P14" s="959"/>
      <c r="Q14" s="959"/>
      <c r="R14" s="959"/>
      <c r="U14" s="956" t="s">
        <v>173</v>
      </c>
      <c r="V14" s="957"/>
      <c r="W14" s="955"/>
      <c r="X14" s="955"/>
      <c r="Y14" s="955"/>
      <c r="Z14" s="955"/>
      <c r="AA14" s="955"/>
      <c r="AB14" s="955"/>
      <c r="AC14" s="955"/>
      <c r="AD14" s="955"/>
      <c r="AE14" s="955"/>
      <c r="AF14" s="955"/>
      <c r="AG14" s="955"/>
      <c r="AH14" s="955"/>
      <c r="AI14" s="955"/>
      <c r="AJ14" s="955"/>
      <c r="AK14" s="955"/>
      <c r="AL14" s="955"/>
      <c r="AM14" s="955"/>
      <c r="AN14" s="955"/>
      <c r="AO14" s="955"/>
      <c r="AP14" s="955"/>
      <c r="AQ14" s="955"/>
      <c r="AU14" s="961"/>
      <c r="AV14" s="961"/>
      <c r="AW14" s="961"/>
      <c r="AX14" s="961"/>
      <c r="AY14" s="961"/>
      <c r="AZ14" s="961"/>
      <c r="BA14" s="961"/>
      <c r="BB14" s="961"/>
      <c r="BC14" s="961"/>
      <c r="BD14" s="961"/>
      <c r="BE14" s="961"/>
      <c r="BF14" s="961"/>
      <c r="BG14" s="961"/>
      <c r="BH14" s="961"/>
      <c r="BI14" s="961"/>
      <c r="BJ14" s="961"/>
      <c r="BK14" s="961"/>
      <c r="BL14" s="961"/>
      <c r="BM14" s="961"/>
      <c r="BN14" s="961"/>
      <c r="BP14" s="961"/>
      <c r="BQ14" s="961"/>
      <c r="BR14" s="961"/>
      <c r="BS14" s="961"/>
      <c r="BT14" s="961"/>
      <c r="BU14" s="961"/>
      <c r="BV14" s="961"/>
      <c r="BW14" s="961"/>
      <c r="BX14" s="961"/>
      <c r="BY14" s="961"/>
      <c r="BZ14" s="961"/>
      <c r="CA14" s="961"/>
      <c r="CB14" s="961"/>
      <c r="CC14" s="961"/>
      <c r="CD14" s="961"/>
      <c r="CE14" s="961"/>
      <c r="CF14" s="961"/>
      <c r="CG14" s="961"/>
      <c r="CH14" s="961"/>
      <c r="CI14" s="961"/>
    </row>
    <row r="15" spans="1:88" ht="16.899999999999999" customHeight="1" x14ac:dyDescent="0.3">
      <c r="B15" s="959"/>
      <c r="C15" s="959"/>
      <c r="D15" s="959"/>
      <c r="E15" s="959"/>
      <c r="F15" s="959"/>
      <c r="G15" s="959"/>
      <c r="H15" s="959"/>
      <c r="I15" s="959"/>
      <c r="J15" s="959"/>
      <c r="K15" s="959"/>
      <c r="L15" s="959"/>
      <c r="M15" s="959"/>
      <c r="N15" s="959"/>
      <c r="O15" s="959"/>
      <c r="P15" s="959"/>
      <c r="Q15" s="959"/>
      <c r="R15" s="959"/>
      <c r="U15" s="963" t="s">
        <v>941</v>
      </c>
      <c r="V15" s="963"/>
      <c r="W15" s="963"/>
      <c r="X15" s="963"/>
      <c r="Y15" s="963"/>
      <c r="Z15" s="963"/>
      <c r="AA15" s="963"/>
      <c r="AB15" s="963"/>
      <c r="AC15" s="963"/>
      <c r="AD15" s="963"/>
      <c r="AE15" s="963"/>
      <c r="AF15" s="963"/>
      <c r="AG15" s="963"/>
      <c r="AH15" s="963"/>
      <c r="AI15" s="963"/>
      <c r="AJ15" s="963"/>
      <c r="AK15" s="963"/>
      <c r="AL15" s="963"/>
      <c r="AM15" s="963"/>
      <c r="AN15" s="963"/>
      <c r="AO15" s="963"/>
      <c r="AP15" s="963"/>
      <c r="AQ15" s="963"/>
      <c r="AU15" s="961"/>
      <c r="AV15" s="961"/>
      <c r="AW15" s="961"/>
      <c r="AX15" s="961"/>
      <c r="AY15" s="961"/>
      <c r="AZ15" s="961"/>
      <c r="BA15" s="961"/>
      <c r="BB15" s="961"/>
      <c r="BC15" s="961"/>
      <c r="BD15" s="961"/>
      <c r="BE15" s="961"/>
      <c r="BF15" s="961"/>
      <c r="BG15" s="961"/>
      <c r="BH15" s="961"/>
      <c r="BI15" s="961"/>
      <c r="BJ15" s="961"/>
      <c r="BK15" s="961"/>
      <c r="BL15" s="961"/>
      <c r="BM15" s="961"/>
      <c r="BN15" s="961"/>
      <c r="BP15" s="961"/>
      <c r="BQ15" s="961"/>
      <c r="BR15" s="961"/>
      <c r="BS15" s="961"/>
      <c r="BT15" s="961"/>
      <c r="BU15" s="961"/>
      <c r="BV15" s="961"/>
      <c r="BW15" s="961"/>
      <c r="BX15" s="961"/>
      <c r="BY15" s="961"/>
      <c r="BZ15" s="961"/>
      <c r="CA15" s="961"/>
      <c r="CB15" s="961"/>
      <c r="CC15" s="961"/>
      <c r="CD15" s="961"/>
      <c r="CE15" s="961"/>
      <c r="CF15" s="961"/>
      <c r="CG15" s="961"/>
      <c r="CH15" s="961"/>
      <c r="CI15" s="961"/>
    </row>
    <row r="16" spans="1:88" ht="16.899999999999999" customHeight="1" x14ac:dyDescent="0.15">
      <c r="B16" s="959"/>
      <c r="C16" s="959"/>
      <c r="D16" s="959"/>
      <c r="E16" s="959"/>
      <c r="F16" s="959"/>
      <c r="G16" s="959"/>
      <c r="H16" s="959"/>
      <c r="I16" s="959"/>
      <c r="J16" s="959"/>
      <c r="K16" s="959"/>
      <c r="L16" s="959"/>
      <c r="M16" s="959"/>
      <c r="N16" s="959"/>
      <c r="O16" s="959"/>
      <c r="P16" s="959"/>
      <c r="Q16" s="959"/>
      <c r="R16" s="959"/>
      <c r="U16" s="954"/>
      <c r="V16" s="954"/>
      <c r="W16" s="954"/>
      <c r="X16" s="954"/>
      <c r="Y16" s="954"/>
      <c r="Z16" s="954"/>
      <c r="AA16" s="954"/>
      <c r="AB16" s="954"/>
      <c r="AC16" s="954"/>
      <c r="AD16" s="954"/>
      <c r="AE16" s="954"/>
      <c r="AF16" s="954"/>
      <c r="AG16" s="954"/>
      <c r="AH16" s="954"/>
      <c r="AI16" s="954"/>
      <c r="AJ16" s="954"/>
      <c r="AK16" s="954"/>
      <c r="AL16" s="954"/>
      <c r="AM16" s="954"/>
      <c r="AN16" s="954"/>
      <c r="AO16" s="954"/>
      <c r="AP16" s="954"/>
      <c r="AQ16" s="954"/>
      <c r="AU16" s="961"/>
      <c r="AV16" s="961"/>
      <c r="AW16" s="961"/>
      <c r="AX16" s="961"/>
      <c r="AY16" s="961"/>
      <c r="AZ16" s="961"/>
      <c r="BA16" s="961"/>
      <c r="BB16" s="961"/>
      <c r="BC16" s="961"/>
      <c r="BD16" s="961"/>
      <c r="BE16" s="961"/>
      <c r="BF16" s="961"/>
      <c r="BG16" s="961"/>
      <c r="BH16" s="961"/>
      <c r="BI16" s="961"/>
      <c r="BJ16" s="961"/>
      <c r="BK16" s="961"/>
      <c r="BL16" s="961"/>
      <c r="BM16" s="961"/>
      <c r="BN16" s="961"/>
      <c r="BP16" s="961"/>
      <c r="BQ16" s="961"/>
      <c r="BR16" s="961"/>
      <c r="BS16" s="961"/>
      <c r="BT16" s="961"/>
      <c r="BU16" s="961"/>
      <c r="BV16" s="961"/>
      <c r="BW16" s="961"/>
      <c r="BX16" s="961"/>
      <c r="BY16" s="961"/>
      <c r="BZ16" s="961"/>
      <c r="CA16" s="961"/>
      <c r="CB16" s="961"/>
      <c r="CC16" s="961"/>
      <c r="CD16" s="961"/>
      <c r="CE16" s="961"/>
      <c r="CF16" s="961"/>
      <c r="CG16" s="961"/>
      <c r="CH16" s="961"/>
      <c r="CI16" s="961"/>
    </row>
    <row r="17" spans="2:87" ht="16.899999999999999" customHeight="1" x14ac:dyDescent="0.15">
      <c r="B17" s="959"/>
      <c r="C17" s="959"/>
      <c r="D17" s="959"/>
      <c r="E17" s="959"/>
      <c r="F17" s="959"/>
      <c r="G17" s="959"/>
      <c r="H17" s="959"/>
      <c r="I17" s="959"/>
      <c r="J17" s="959"/>
      <c r="K17" s="959"/>
      <c r="L17" s="959"/>
      <c r="M17" s="959"/>
      <c r="N17" s="959"/>
      <c r="O17" s="959"/>
      <c r="P17" s="959"/>
      <c r="Q17" s="959"/>
      <c r="R17" s="959"/>
      <c r="U17" s="954"/>
      <c r="V17" s="954"/>
      <c r="W17" s="954"/>
      <c r="X17" s="954"/>
      <c r="Y17" s="954"/>
      <c r="Z17" s="954"/>
      <c r="AA17" s="954"/>
      <c r="AB17" s="954"/>
      <c r="AC17" s="954"/>
      <c r="AD17" s="954"/>
      <c r="AE17" s="954"/>
      <c r="AF17" s="954"/>
      <c r="AG17" s="954"/>
      <c r="AH17" s="954"/>
      <c r="AI17" s="954"/>
      <c r="AJ17" s="954"/>
      <c r="AK17" s="954"/>
      <c r="AL17" s="954"/>
      <c r="AM17" s="954"/>
      <c r="AN17" s="954"/>
      <c r="AO17" s="954"/>
      <c r="AP17" s="954"/>
      <c r="AQ17" s="954"/>
      <c r="AU17" s="961"/>
      <c r="AV17" s="961"/>
      <c r="AW17" s="961"/>
      <c r="AX17" s="961"/>
      <c r="AY17" s="961"/>
      <c r="AZ17" s="961"/>
      <c r="BA17" s="961"/>
      <c r="BB17" s="961"/>
      <c r="BC17" s="961"/>
      <c r="BD17" s="961"/>
      <c r="BE17" s="961"/>
      <c r="BF17" s="961"/>
      <c r="BG17" s="961"/>
      <c r="BH17" s="961"/>
      <c r="BI17" s="961"/>
      <c r="BJ17" s="961"/>
      <c r="BK17" s="961"/>
      <c r="BL17" s="961"/>
      <c r="BM17" s="961"/>
      <c r="BN17" s="961"/>
      <c r="BP17" s="961"/>
      <c r="BQ17" s="961"/>
      <c r="BR17" s="961"/>
      <c r="BS17" s="961"/>
      <c r="BT17" s="961"/>
      <c r="BU17" s="961"/>
      <c r="BV17" s="961"/>
      <c r="BW17" s="961"/>
      <c r="BX17" s="961"/>
      <c r="BY17" s="961"/>
      <c r="BZ17" s="961"/>
      <c r="CA17" s="961"/>
      <c r="CB17" s="961"/>
      <c r="CC17" s="961"/>
      <c r="CD17" s="961"/>
      <c r="CE17" s="961"/>
      <c r="CF17" s="961"/>
      <c r="CG17" s="961"/>
      <c r="CH17" s="961"/>
      <c r="CI17" s="961"/>
    </row>
    <row r="18" spans="2:87" ht="16.899999999999999" customHeight="1" x14ac:dyDescent="0.15">
      <c r="B18" s="959"/>
      <c r="C18" s="959"/>
      <c r="D18" s="959"/>
      <c r="E18" s="959"/>
      <c r="F18" s="959"/>
      <c r="G18" s="959"/>
      <c r="H18" s="959"/>
      <c r="I18" s="959"/>
      <c r="J18" s="959"/>
      <c r="K18" s="959"/>
      <c r="L18" s="959"/>
      <c r="M18" s="959"/>
      <c r="N18" s="959"/>
      <c r="O18" s="959"/>
      <c r="P18" s="959"/>
      <c r="Q18" s="959"/>
      <c r="R18" s="959"/>
      <c r="U18" s="954"/>
      <c r="V18" s="954"/>
      <c r="W18" s="954"/>
      <c r="X18" s="954"/>
      <c r="Y18" s="954"/>
      <c r="Z18" s="954"/>
      <c r="AA18" s="954"/>
      <c r="AB18" s="954"/>
      <c r="AC18" s="954"/>
      <c r="AD18" s="954"/>
      <c r="AE18" s="954"/>
      <c r="AF18" s="954"/>
      <c r="AG18" s="954"/>
      <c r="AH18" s="954"/>
      <c r="AI18" s="954"/>
      <c r="AJ18" s="954"/>
      <c r="AK18" s="954"/>
      <c r="AL18" s="954"/>
      <c r="AM18" s="954"/>
      <c r="AN18" s="954"/>
      <c r="AO18" s="954"/>
      <c r="AP18" s="954"/>
      <c r="AQ18" s="954"/>
      <c r="AU18" s="961"/>
      <c r="AV18" s="961"/>
      <c r="AW18" s="961"/>
      <c r="AX18" s="961"/>
      <c r="AY18" s="961"/>
      <c r="AZ18" s="961"/>
      <c r="BA18" s="961"/>
      <c r="BB18" s="961"/>
      <c r="BC18" s="961"/>
      <c r="BD18" s="961"/>
      <c r="BE18" s="961"/>
      <c r="BF18" s="961"/>
      <c r="BG18" s="961"/>
      <c r="BH18" s="961"/>
      <c r="BI18" s="961"/>
      <c r="BJ18" s="961"/>
      <c r="BK18" s="961"/>
      <c r="BL18" s="961"/>
      <c r="BM18" s="961"/>
      <c r="BN18" s="961"/>
      <c r="BP18" s="961"/>
      <c r="BQ18" s="961"/>
      <c r="BR18" s="961"/>
      <c r="BS18" s="961"/>
      <c r="BT18" s="961"/>
      <c r="BU18" s="961"/>
      <c r="BV18" s="961"/>
      <c r="BW18" s="961"/>
      <c r="BX18" s="961"/>
      <c r="BY18" s="961"/>
      <c r="BZ18" s="961"/>
      <c r="CA18" s="961"/>
      <c r="CB18" s="961"/>
      <c r="CC18" s="961"/>
      <c r="CD18" s="961"/>
      <c r="CE18" s="961"/>
      <c r="CF18" s="961"/>
      <c r="CG18" s="961"/>
      <c r="CH18" s="961"/>
      <c r="CI18" s="961"/>
    </row>
    <row r="19" spans="2:87" ht="16.899999999999999" customHeight="1" x14ac:dyDescent="0.15">
      <c r="B19" s="959"/>
      <c r="C19" s="959"/>
      <c r="D19" s="959"/>
      <c r="E19" s="959"/>
      <c r="F19" s="959"/>
      <c r="G19" s="959"/>
      <c r="H19" s="959"/>
      <c r="I19" s="959"/>
      <c r="J19" s="959"/>
      <c r="K19" s="959"/>
      <c r="L19" s="959"/>
      <c r="M19" s="959"/>
      <c r="N19" s="959"/>
      <c r="O19" s="959"/>
      <c r="P19" s="959"/>
      <c r="Q19" s="959"/>
      <c r="R19" s="959"/>
      <c r="U19" s="954"/>
      <c r="V19" s="954"/>
      <c r="W19" s="954"/>
      <c r="X19" s="954"/>
      <c r="Y19" s="954"/>
      <c r="Z19" s="954"/>
      <c r="AA19" s="954"/>
      <c r="AB19" s="954"/>
      <c r="AC19" s="954"/>
      <c r="AD19" s="954"/>
      <c r="AE19" s="954"/>
      <c r="AF19" s="954"/>
      <c r="AG19" s="954"/>
      <c r="AH19" s="954"/>
      <c r="AI19" s="954"/>
      <c r="AJ19" s="954"/>
      <c r="AK19" s="954"/>
      <c r="AL19" s="954"/>
      <c r="AM19" s="954"/>
      <c r="AN19" s="954"/>
      <c r="AO19" s="954"/>
      <c r="AP19" s="954"/>
      <c r="AQ19" s="954"/>
      <c r="AU19" s="961"/>
      <c r="AV19" s="961"/>
      <c r="AW19" s="961"/>
      <c r="AX19" s="961"/>
      <c r="AY19" s="961"/>
      <c r="AZ19" s="961"/>
      <c r="BA19" s="961"/>
      <c r="BB19" s="961"/>
      <c r="BC19" s="961"/>
      <c r="BD19" s="961"/>
      <c r="BE19" s="961"/>
      <c r="BF19" s="961"/>
      <c r="BG19" s="961"/>
      <c r="BH19" s="961"/>
      <c r="BI19" s="961"/>
      <c r="BJ19" s="961"/>
      <c r="BK19" s="961"/>
      <c r="BL19" s="961"/>
      <c r="BM19" s="961"/>
      <c r="BN19" s="961"/>
      <c r="BP19" s="961"/>
      <c r="BQ19" s="961"/>
      <c r="BR19" s="961"/>
      <c r="BS19" s="961"/>
      <c r="BT19" s="961"/>
      <c r="BU19" s="961"/>
      <c r="BV19" s="961"/>
      <c r="BW19" s="961"/>
      <c r="BX19" s="961"/>
      <c r="BY19" s="961"/>
      <c r="BZ19" s="961"/>
      <c r="CA19" s="961"/>
      <c r="CB19" s="961"/>
      <c r="CC19" s="961"/>
      <c r="CD19" s="961"/>
      <c r="CE19" s="961"/>
      <c r="CF19" s="961"/>
      <c r="CG19" s="961"/>
      <c r="CH19" s="961"/>
      <c r="CI19" s="961"/>
    </row>
    <row r="20" spans="2:87" ht="16.899999999999999" customHeight="1" x14ac:dyDescent="0.15">
      <c r="B20" s="959"/>
      <c r="C20" s="959"/>
      <c r="D20" s="959"/>
      <c r="E20" s="959"/>
      <c r="F20" s="959"/>
      <c r="G20" s="959"/>
      <c r="H20" s="959"/>
      <c r="I20" s="959"/>
      <c r="J20" s="959"/>
      <c r="K20" s="959"/>
      <c r="L20" s="959"/>
      <c r="M20" s="959"/>
      <c r="N20" s="959"/>
      <c r="O20" s="959"/>
      <c r="P20" s="959"/>
      <c r="Q20" s="959"/>
      <c r="R20" s="959"/>
      <c r="U20" s="954"/>
      <c r="V20" s="954"/>
      <c r="W20" s="954"/>
      <c r="X20" s="954"/>
      <c r="Y20" s="954"/>
      <c r="Z20" s="954"/>
      <c r="AA20" s="954"/>
      <c r="AB20" s="954"/>
      <c r="AC20" s="954"/>
      <c r="AD20" s="954"/>
      <c r="AE20" s="954"/>
      <c r="AF20" s="954"/>
      <c r="AG20" s="954"/>
      <c r="AH20" s="954"/>
      <c r="AI20" s="954"/>
      <c r="AJ20" s="954"/>
      <c r="AK20" s="954"/>
      <c r="AL20" s="954"/>
      <c r="AM20" s="954"/>
      <c r="AN20" s="954"/>
      <c r="AO20" s="954"/>
      <c r="AP20" s="954"/>
      <c r="AQ20" s="954"/>
      <c r="AU20" s="961"/>
      <c r="AV20" s="961"/>
      <c r="AW20" s="961"/>
      <c r="AX20" s="961"/>
      <c r="AY20" s="961"/>
      <c r="AZ20" s="961"/>
      <c r="BA20" s="961"/>
      <c r="BB20" s="961"/>
      <c r="BC20" s="961"/>
      <c r="BD20" s="961"/>
      <c r="BE20" s="961"/>
      <c r="BF20" s="961"/>
      <c r="BG20" s="961"/>
      <c r="BH20" s="961"/>
      <c r="BI20" s="961"/>
      <c r="BJ20" s="961"/>
      <c r="BK20" s="961"/>
      <c r="BL20" s="961"/>
      <c r="BM20" s="961"/>
      <c r="BN20" s="961"/>
      <c r="BP20" s="961"/>
      <c r="BQ20" s="961"/>
      <c r="BR20" s="961"/>
      <c r="BS20" s="961"/>
      <c r="BT20" s="961"/>
      <c r="BU20" s="961"/>
      <c r="BV20" s="961"/>
      <c r="BW20" s="961"/>
      <c r="BX20" s="961"/>
      <c r="BY20" s="961"/>
      <c r="BZ20" s="961"/>
      <c r="CA20" s="961"/>
      <c r="CB20" s="961"/>
      <c r="CC20" s="961"/>
      <c r="CD20" s="961"/>
      <c r="CE20" s="961"/>
      <c r="CF20" s="961"/>
      <c r="CG20" s="961"/>
      <c r="CH20" s="961"/>
      <c r="CI20" s="961"/>
    </row>
    <row r="21" spans="2:87" ht="16.899999999999999" customHeight="1" x14ac:dyDescent="0.15">
      <c r="B21" s="959"/>
      <c r="C21" s="959"/>
      <c r="D21" s="959"/>
      <c r="E21" s="959"/>
      <c r="F21" s="959"/>
      <c r="G21" s="959"/>
      <c r="H21" s="959"/>
      <c r="I21" s="959"/>
      <c r="J21" s="959"/>
      <c r="K21" s="959"/>
      <c r="L21" s="959"/>
      <c r="M21" s="959"/>
      <c r="N21" s="959"/>
      <c r="O21" s="959"/>
      <c r="P21" s="959"/>
      <c r="Q21" s="959"/>
      <c r="R21" s="959"/>
      <c r="U21" s="954"/>
      <c r="V21" s="954"/>
      <c r="W21" s="954"/>
      <c r="X21" s="954"/>
      <c r="Y21" s="954"/>
      <c r="Z21" s="954"/>
      <c r="AA21" s="954"/>
      <c r="AB21" s="954"/>
      <c r="AC21" s="954"/>
      <c r="AD21" s="954"/>
      <c r="AE21" s="954"/>
      <c r="AF21" s="954"/>
      <c r="AG21" s="954"/>
      <c r="AH21" s="954"/>
      <c r="AI21" s="954"/>
      <c r="AJ21" s="954"/>
      <c r="AK21" s="954"/>
      <c r="AL21" s="954"/>
      <c r="AM21" s="954"/>
      <c r="AN21" s="954"/>
      <c r="AO21" s="954"/>
      <c r="AP21" s="954"/>
      <c r="AQ21" s="954"/>
      <c r="AU21" s="961"/>
      <c r="AV21" s="961"/>
      <c r="AW21" s="961"/>
      <c r="AX21" s="961"/>
      <c r="AY21" s="961"/>
      <c r="AZ21" s="961"/>
      <c r="BA21" s="961"/>
      <c r="BB21" s="961"/>
      <c r="BC21" s="961"/>
      <c r="BD21" s="961"/>
      <c r="BE21" s="961"/>
      <c r="BF21" s="961"/>
      <c r="BG21" s="961"/>
      <c r="BH21" s="961"/>
      <c r="BI21" s="961"/>
      <c r="BJ21" s="961"/>
      <c r="BK21" s="961"/>
      <c r="BL21" s="961"/>
      <c r="BM21" s="961"/>
      <c r="BN21" s="961"/>
      <c r="BP21" s="961"/>
      <c r="BQ21" s="961"/>
      <c r="BR21" s="961"/>
      <c r="BS21" s="961"/>
      <c r="BT21" s="961"/>
      <c r="BU21" s="961"/>
      <c r="BV21" s="961"/>
      <c r="BW21" s="961"/>
      <c r="BX21" s="961"/>
      <c r="BY21" s="961"/>
      <c r="BZ21" s="961"/>
      <c r="CA21" s="961"/>
      <c r="CB21" s="961"/>
      <c r="CC21" s="961"/>
      <c r="CD21" s="961"/>
      <c r="CE21" s="961"/>
      <c r="CF21" s="961"/>
      <c r="CG21" s="961"/>
      <c r="CH21" s="961"/>
      <c r="CI21" s="961"/>
    </row>
    <row r="22" spans="2:87" ht="16.899999999999999" customHeight="1" x14ac:dyDescent="0.15">
      <c r="B22" s="959"/>
      <c r="C22" s="959"/>
      <c r="D22" s="959"/>
      <c r="E22" s="959"/>
      <c r="F22" s="959"/>
      <c r="G22" s="959"/>
      <c r="H22" s="959"/>
      <c r="I22" s="959"/>
      <c r="J22" s="959"/>
      <c r="K22" s="959"/>
      <c r="L22" s="959"/>
      <c r="M22" s="959"/>
      <c r="N22" s="959"/>
      <c r="O22" s="959"/>
      <c r="P22" s="959"/>
      <c r="Q22" s="959"/>
      <c r="R22" s="959"/>
      <c r="U22" s="954"/>
      <c r="V22" s="954"/>
      <c r="W22" s="954"/>
      <c r="X22" s="954"/>
      <c r="Y22" s="954"/>
      <c r="Z22" s="954"/>
      <c r="AA22" s="954"/>
      <c r="AB22" s="954"/>
      <c r="AC22" s="954"/>
      <c r="AD22" s="954"/>
      <c r="AE22" s="954"/>
      <c r="AF22" s="954"/>
      <c r="AG22" s="954"/>
      <c r="AH22" s="954"/>
      <c r="AI22" s="954"/>
      <c r="AJ22" s="954"/>
      <c r="AK22" s="954"/>
      <c r="AL22" s="954"/>
      <c r="AM22" s="954"/>
      <c r="AN22" s="954"/>
      <c r="AO22" s="954"/>
      <c r="AP22" s="954"/>
      <c r="AQ22" s="954"/>
      <c r="AU22" s="961"/>
      <c r="AV22" s="961"/>
      <c r="AW22" s="961"/>
      <c r="AX22" s="961"/>
      <c r="AY22" s="961"/>
      <c r="AZ22" s="961"/>
      <c r="BA22" s="961"/>
      <c r="BB22" s="961"/>
      <c r="BC22" s="961"/>
      <c r="BD22" s="961"/>
      <c r="BE22" s="961"/>
      <c r="BF22" s="961"/>
      <c r="BG22" s="961"/>
      <c r="BH22" s="961"/>
      <c r="BI22" s="961"/>
      <c r="BJ22" s="961"/>
      <c r="BK22" s="961"/>
      <c r="BL22" s="961"/>
      <c r="BM22" s="961"/>
      <c r="BN22" s="961"/>
      <c r="BP22" s="961"/>
      <c r="BQ22" s="961"/>
      <c r="BR22" s="961"/>
      <c r="BS22" s="961"/>
      <c r="BT22" s="961"/>
      <c r="BU22" s="961"/>
      <c r="BV22" s="961"/>
      <c r="BW22" s="961"/>
      <c r="BX22" s="961"/>
      <c r="BY22" s="961"/>
      <c r="BZ22" s="961"/>
      <c r="CA22" s="961"/>
      <c r="CB22" s="961"/>
      <c r="CC22" s="961"/>
      <c r="CD22" s="961"/>
      <c r="CE22" s="961"/>
      <c r="CF22" s="961"/>
      <c r="CG22" s="961"/>
      <c r="CH22" s="961"/>
      <c r="CI22" s="961"/>
    </row>
    <row r="23" spans="2:87" ht="16.899999999999999" customHeight="1" x14ac:dyDescent="0.15">
      <c r="B23" s="959"/>
      <c r="C23" s="959"/>
      <c r="D23" s="959"/>
      <c r="E23" s="959"/>
      <c r="F23" s="959"/>
      <c r="G23" s="959"/>
      <c r="H23" s="959"/>
      <c r="I23" s="959"/>
      <c r="J23" s="959"/>
      <c r="K23" s="959"/>
      <c r="L23" s="959"/>
      <c r="M23" s="959"/>
      <c r="N23" s="959"/>
      <c r="O23" s="959"/>
      <c r="P23" s="959"/>
      <c r="Q23" s="959"/>
      <c r="R23" s="959"/>
      <c r="U23" s="954"/>
      <c r="V23" s="954"/>
      <c r="W23" s="954"/>
      <c r="X23" s="954"/>
      <c r="Y23" s="954"/>
      <c r="Z23" s="954"/>
      <c r="AA23" s="954"/>
      <c r="AB23" s="954"/>
      <c r="AC23" s="954"/>
      <c r="AD23" s="954"/>
      <c r="AE23" s="954"/>
      <c r="AF23" s="954"/>
      <c r="AG23" s="954"/>
      <c r="AH23" s="954"/>
      <c r="AI23" s="954"/>
      <c r="AJ23" s="954"/>
      <c r="AK23" s="954"/>
      <c r="AL23" s="954"/>
      <c r="AM23" s="954"/>
      <c r="AN23" s="954"/>
      <c r="AO23" s="954"/>
      <c r="AP23" s="954"/>
      <c r="AQ23" s="954"/>
      <c r="AU23" s="961"/>
      <c r="AV23" s="961"/>
      <c r="AW23" s="961"/>
      <c r="AX23" s="961"/>
      <c r="AY23" s="961"/>
      <c r="AZ23" s="961"/>
      <c r="BA23" s="961"/>
      <c r="BB23" s="961"/>
      <c r="BC23" s="961"/>
      <c r="BD23" s="961"/>
      <c r="BE23" s="961"/>
      <c r="BF23" s="961"/>
      <c r="BG23" s="961"/>
      <c r="BH23" s="961"/>
      <c r="BI23" s="961"/>
      <c r="BJ23" s="961"/>
      <c r="BK23" s="961"/>
      <c r="BL23" s="961"/>
      <c r="BM23" s="961"/>
      <c r="BN23" s="961"/>
      <c r="BP23" s="961"/>
      <c r="BQ23" s="961"/>
      <c r="BR23" s="961"/>
      <c r="BS23" s="961"/>
      <c r="BT23" s="961"/>
      <c r="BU23" s="961"/>
      <c r="BV23" s="961"/>
      <c r="BW23" s="961"/>
      <c r="BX23" s="961"/>
      <c r="BY23" s="961"/>
      <c r="BZ23" s="961"/>
      <c r="CA23" s="961"/>
      <c r="CB23" s="961"/>
      <c r="CC23" s="961"/>
      <c r="CD23" s="961"/>
      <c r="CE23" s="961"/>
      <c r="CF23" s="961"/>
      <c r="CG23" s="961"/>
      <c r="CH23" s="961"/>
      <c r="CI23" s="961"/>
    </row>
    <row r="24" spans="2:87" ht="16.899999999999999" customHeight="1" x14ac:dyDescent="0.15">
      <c r="B24" s="959"/>
      <c r="C24" s="959"/>
      <c r="D24" s="959"/>
      <c r="E24" s="959"/>
      <c r="F24" s="959"/>
      <c r="G24" s="959"/>
      <c r="H24" s="959"/>
      <c r="I24" s="959"/>
      <c r="J24" s="959"/>
      <c r="K24" s="959"/>
      <c r="L24" s="959"/>
      <c r="M24" s="959"/>
      <c r="N24" s="959"/>
      <c r="O24" s="959"/>
      <c r="P24" s="959"/>
      <c r="Q24" s="959"/>
      <c r="R24" s="959"/>
      <c r="U24" s="954"/>
      <c r="V24" s="954"/>
      <c r="W24" s="954"/>
      <c r="X24" s="954"/>
      <c r="Y24" s="954"/>
      <c r="Z24" s="954"/>
      <c r="AA24" s="954"/>
      <c r="AB24" s="954"/>
      <c r="AC24" s="954"/>
      <c r="AD24" s="954"/>
      <c r="AE24" s="954"/>
      <c r="AF24" s="954"/>
      <c r="AG24" s="954"/>
      <c r="AH24" s="954"/>
      <c r="AI24" s="954"/>
      <c r="AJ24" s="954"/>
      <c r="AK24" s="954"/>
      <c r="AL24" s="954"/>
      <c r="AM24" s="954"/>
      <c r="AN24" s="954"/>
      <c r="AO24" s="954"/>
      <c r="AP24" s="954"/>
      <c r="AQ24" s="954"/>
      <c r="AU24" s="961"/>
      <c r="AV24" s="961"/>
      <c r="AW24" s="961"/>
      <c r="AX24" s="961"/>
      <c r="AY24" s="961"/>
      <c r="AZ24" s="961"/>
      <c r="BA24" s="961"/>
      <c r="BB24" s="961"/>
      <c r="BC24" s="961"/>
      <c r="BD24" s="961"/>
      <c r="BE24" s="961"/>
      <c r="BF24" s="961"/>
      <c r="BG24" s="961"/>
      <c r="BH24" s="961"/>
      <c r="BI24" s="961"/>
      <c r="BJ24" s="961"/>
      <c r="BK24" s="961"/>
      <c r="BL24" s="961"/>
      <c r="BM24" s="961"/>
      <c r="BN24" s="961"/>
      <c r="BP24" s="961"/>
      <c r="BQ24" s="961"/>
      <c r="BR24" s="961"/>
      <c r="BS24" s="961"/>
      <c r="BT24" s="961"/>
      <c r="BU24" s="961"/>
      <c r="BV24" s="961"/>
      <c r="BW24" s="961"/>
      <c r="BX24" s="961"/>
      <c r="BY24" s="961"/>
      <c r="BZ24" s="961"/>
      <c r="CA24" s="961"/>
      <c r="CB24" s="961"/>
      <c r="CC24" s="961"/>
      <c r="CD24" s="961"/>
      <c r="CE24" s="961"/>
      <c r="CF24" s="961"/>
      <c r="CG24" s="961"/>
      <c r="CH24" s="961"/>
      <c r="CI24" s="961"/>
    </row>
    <row r="25" spans="2:87" ht="16.899999999999999" customHeight="1" x14ac:dyDescent="0.15">
      <c r="B25" s="959"/>
      <c r="C25" s="959"/>
      <c r="D25" s="959"/>
      <c r="E25" s="959"/>
      <c r="F25" s="959"/>
      <c r="G25" s="959"/>
      <c r="H25" s="959"/>
      <c r="I25" s="959"/>
      <c r="J25" s="959"/>
      <c r="K25" s="959"/>
      <c r="L25" s="959"/>
      <c r="M25" s="959"/>
      <c r="N25" s="959"/>
      <c r="O25" s="959"/>
      <c r="P25" s="959"/>
      <c r="Q25" s="959"/>
      <c r="R25" s="959"/>
      <c r="U25" s="954"/>
      <c r="V25" s="954"/>
      <c r="W25" s="954"/>
      <c r="X25" s="954"/>
      <c r="Y25" s="954"/>
      <c r="Z25" s="954"/>
      <c r="AA25" s="954"/>
      <c r="AB25" s="954"/>
      <c r="AC25" s="954"/>
      <c r="AD25" s="954"/>
      <c r="AE25" s="954"/>
      <c r="AF25" s="954"/>
      <c r="AG25" s="954"/>
      <c r="AH25" s="954"/>
      <c r="AI25" s="954"/>
      <c r="AJ25" s="954"/>
      <c r="AK25" s="954"/>
      <c r="AL25" s="954"/>
      <c r="AM25" s="954"/>
      <c r="AN25" s="954"/>
      <c r="AO25" s="954"/>
      <c r="AP25" s="954"/>
      <c r="AQ25" s="954"/>
      <c r="AU25" s="961"/>
      <c r="AV25" s="961"/>
      <c r="AW25" s="961"/>
      <c r="AX25" s="961"/>
      <c r="AY25" s="961"/>
      <c r="AZ25" s="961"/>
      <c r="BA25" s="961"/>
      <c r="BB25" s="961"/>
      <c r="BC25" s="961"/>
      <c r="BD25" s="961"/>
      <c r="BE25" s="961"/>
      <c r="BF25" s="961"/>
      <c r="BG25" s="961"/>
      <c r="BH25" s="961"/>
      <c r="BI25" s="961"/>
      <c r="BJ25" s="961"/>
      <c r="BK25" s="961"/>
      <c r="BL25" s="961"/>
      <c r="BM25" s="961"/>
      <c r="BN25" s="961"/>
      <c r="BP25" s="961"/>
      <c r="BQ25" s="961"/>
      <c r="BR25" s="961"/>
      <c r="BS25" s="961"/>
      <c r="BT25" s="961"/>
      <c r="BU25" s="961"/>
      <c r="BV25" s="961"/>
      <c r="BW25" s="961"/>
      <c r="BX25" s="961"/>
      <c r="BY25" s="961"/>
      <c r="BZ25" s="961"/>
      <c r="CA25" s="961"/>
      <c r="CB25" s="961"/>
      <c r="CC25" s="961"/>
      <c r="CD25" s="961"/>
      <c r="CE25" s="961"/>
      <c r="CF25" s="961"/>
      <c r="CG25" s="961"/>
      <c r="CH25" s="961"/>
      <c r="CI25" s="961"/>
    </row>
    <row r="26" spans="2:87" ht="16.899999999999999" customHeight="1" x14ac:dyDescent="0.15">
      <c r="B26" s="959"/>
      <c r="C26" s="959"/>
      <c r="D26" s="959"/>
      <c r="E26" s="959"/>
      <c r="F26" s="959"/>
      <c r="G26" s="959"/>
      <c r="H26" s="959"/>
      <c r="I26" s="959"/>
      <c r="J26" s="959"/>
      <c r="K26" s="959"/>
      <c r="L26" s="959"/>
      <c r="M26" s="959"/>
      <c r="N26" s="959"/>
      <c r="O26" s="959"/>
      <c r="P26" s="959"/>
      <c r="Q26" s="959"/>
      <c r="R26" s="959"/>
      <c r="U26" s="954"/>
      <c r="V26" s="954"/>
      <c r="W26" s="954"/>
      <c r="X26" s="954"/>
      <c r="Y26" s="954"/>
      <c r="Z26" s="954"/>
      <c r="AA26" s="954"/>
      <c r="AB26" s="954"/>
      <c r="AC26" s="954"/>
      <c r="AD26" s="954"/>
      <c r="AE26" s="954"/>
      <c r="AF26" s="954"/>
      <c r="AG26" s="954"/>
      <c r="AH26" s="954"/>
      <c r="AI26" s="954"/>
      <c r="AJ26" s="954"/>
      <c r="AK26" s="954"/>
      <c r="AL26" s="954"/>
      <c r="AM26" s="954"/>
      <c r="AN26" s="954"/>
      <c r="AO26" s="954"/>
      <c r="AP26" s="954"/>
      <c r="AQ26" s="954"/>
      <c r="AU26" s="961"/>
      <c r="AV26" s="961"/>
      <c r="AW26" s="961"/>
      <c r="AX26" s="961"/>
      <c r="AY26" s="961"/>
      <c r="AZ26" s="961"/>
      <c r="BA26" s="961"/>
      <c r="BB26" s="961"/>
      <c r="BC26" s="961"/>
      <c r="BD26" s="961"/>
      <c r="BE26" s="961"/>
      <c r="BF26" s="961"/>
      <c r="BG26" s="961"/>
      <c r="BH26" s="961"/>
      <c r="BI26" s="961"/>
      <c r="BJ26" s="961"/>
      <c r="BK26" s="961"/>
      <c r="BL26" s="961"/>
      <c r="BM26" s="961"/>
      <c r="BN26" s="961"/>
      <c r="BP26" s="961"/>
      <c r="BQ26" s="961"/>
      <c r="BR26" s="961"/>
      <c r="BS26" s="961"/>
      <c r="BT26" s="961"/>
      <c r="BU26" s="961"/>
      <c r="BV26" s="961"/>
      <c r="BW26" s="961"/>
      <c r="BX26" s="961"/>
      <c r="BY26" s="961"/>
      <c r="BZ26" s="961"/>
      <c r="CA26" s="961"/>
      <c r="CB26" s="961"/>
      <c r="CC26" s="961"/>
      <c r="CD26" s="961"/>
      <c r="CE26" s="961"/>
      <c r="CF26" s="961"/>
      <c r="CG26" s="961"/>
      <c r="CH26" s="961"/>
      <c r="CI26" s="961"/>
    </row>
    <row r="27" spans="2:87" ht="16.899999999999999" customHeight="1" x14ac:dyDescent="0.15">
      <c r="B27" s="959"/>
      <c r="C27" s="959"/>
      <c r="D27" s="959"/>
      <c r="E27" s="959"/>
      <c r="F27" s="959"/>
      <c r="G27" s="959"/>
      <c r="H27" s="959"/>
      <c r="I27" s="959"/>
      <c r="J27" s="959"/>
      <c r="K27" s="959"/>
      <c r="L27" s="959"/>
      <c r="M27" s="959"/>
      <c r="N27" s="959"/>
      <c r="O27" s="959"/>
      <c r="P27" s="959"/>
      <c r="Q27" s="959"/>
      <c r="R27" s="959"/>
      <c r="U27" s="954"/>
      <c r="V27" s="954"/>
      <c r="W27" s="954"/>
      <c r="X27" s="954"/>
      <c r="Y27" s="954"/>
      <c r="Z27" s="954"/>
      <c r="AA27" s="954"/>
      <c r="AB27" s="954"/>
      <c r="AC27" s="954"/>
      <c r="AD27" s="954"/>
      <c r="AE27" s="954"/>
      <c r="AF27" s="954"/>
      <c r="AG27" s="954"/>
      <c r="AH27" s="954"/>
      <c r="AI27" s="954"/>
      <c r="AJ27" s="954"/>
      <c r="AK27" s="954"/>
      <c r="AL27" s="954"/>
      <c r="AM27" s="954"/>
      <c r="AN27" s="954"/>
      <c r="AO27" s="954"/>
      <c r="AP27" s="954"/>
      <c r="AQ27" s="954"/>
      <c r="AU27" s="961"/>
      <c r="AV27" s="961"/>
      <c r="AW27" s="961"/>
      <c r="AX27" s="961"/>
      <c r="AY27" s="961"/>
      <c r="AZ27" s="961"/>
      <c r="BA27" s="961"/>
      <c r="BB27" s="961"/>
      <c r="BC27" s="961"/>
      <c r="BD27" s="961"/>
      <c r="BE27" s="961"/>
      <c r="BF27" s="961"/>
      <c r="BG27" s="961"/>
      <c r="BH27" s="961"/>
      <c r="BI27" s="961"/>
      <c r="BJ27" s="961"/>
      <c r="BK27" s="961"/>
      <c r="BL27" s="961"/>
      <c r="BM27" s="961"/>
      <c r="BN27" s="961"/>
      <c r="BP27" s="961"/>
      <c r="BQ27" s="961"/>
      <c r="BR27" s="961"/>
      <c r="BS27" s="961"/>
      <c r="BT27" s="961"/>
      <c r="BU27" s="961"/>
      <c r="BV27" s="961"/>
      <c r="BW27" s="961"/>
      <c r="BX27" s="961"/>
      <c r="BY27" s="961"/>
      <c r="BZ27" s="961"/>
      <c r="CA27" s="961"/>
      <c r="CB27" s="961"/>
      <c r="CC27" s="961"/>
      <c r="CD27" s="961"/>
      <c r="CE27" s="961"/>
      <c r="CF27" s="961"/>
      <c r="CG27" s="961"/>
      <c r="CH27" s="961"/>
      <c r="CI27" s="961"/>
    </row>
    <row r="28" spans="2:87" ht="16.899999999999999" customHeight="1" x14ac:dyDescent="0.15">
      <c r="B28" s="959"/>
      <c r="C28" s="959"/>
      <c r="D28" s="959"/>
      <c r="E28" s="959"/>
      <c r="F28" s="959"/>
      <c r="G28" s="959"/>
      <c r="H28" s="959"/>
      <c r="I28" s="959"/>
      <c r="J28" s="959"/>
      <c r="K28" s="959"/>
      <c r="L28" s="959"/>
      <c r="M28" s="959"/>
      <c r="N28" s="959"/>
      <c r="O28" s="959"/>
      <c r="P28" s="959"/>
      <c r="Q28" s="959"/>
      <c r="R28" s="959"/>
      <c r="U28" s="954"/>
      <c r="V28" s="954"/>
      <c r="W28" s="954"/>
      <c r="X28" s="954"/>
      <c r="Y28" s="954"/>
      <c r="Z28" s="954"/>
      <c r="AA28" s="954"/>
      <c r="AB28" s="954"/>
      <c r="AC28" s="954"/>
      <c r="AD28" s="954"/>
      <c r="AE28" s="954"/>
      <c r="AF28" s="954"/>
      <c r="AG28" s="954"/>
      <c r="AH28" s="954"/>
      <c r="AI28" s="954"/>
      <c r="AJ28" s="954"/>
      <c r="AK28" s="954"/>
      <c r="AL28" s="954"/>
      <c r="AM28" s="954"/>
      <c r="AN28" s="954"/>
      <c r="AO28" s="954"/>
      <c r="AP28" s="954"/>
      <c r="AQ28" s="954"/>
      <c r="AU28" s="961"/>
      <c r="AV28" s="961"/>
      <c r="AW28" s="961"/>
      <c r="AX28" s="961"/>
      <c r="AY28" s="961"/>
      <c r="AZ28" s="961"/>
      <c r="BA28" s="961"/>
      <c r="BB28" s="961"/>
      <c r="BC28" s="961"/>
      <c r="BD28" s="961"/>
      <c r="BE28" s="961"/>
      <c r="BF28" s="961"/>
      <c r="BG28" s="961"/>
      <c r="BH28" s="961"/>
      <c r="BI28" s="961"/>
      <c r="BJ28" s="961"/>
      <c r="BK28" s="961"/>
      <c r="BL28" s="961"/>
      <c r="BM28" s="961"/>
      <c r="BN28" s="961"/>
      <c r="BP28" s="961"/>
      <c r="BQ28" s="961"/>
      <c r="BR28" s="961"/>
      <c r="BS28" s="961"/>
      <c r="BT28" s="961"/>
      <c r="BU28" s="961"/>
      <c r="BV28" s="961"/>
      <c r="BW28" s="961"/>
      <c r="BX28" s="961"/>
      <c r="BY28" s="961"/>
      <c r="BZ28" s="961"/>
      <c r="CA28" s="961"/>
      <c r="CB28" s="961"/>
      <c r="CC28" s="961"/>
      <c r="CD28" s="961"/>
      <c r="CE28" s="961"/>
      <c r="CF28" s="961"/>
      <c r="CG28" s="961"/>
      <c r="CH28" s="961"/>
      <c r="CI28" s="961"/>
    </row>
    <row r="29" spans="2:87" ht="16.899999999999999" customHeight="1" x14ac:dyDescent="0.15">
      <c r="B29" s="959"/>
      <c r="C29" s="959"/>
      <c r="D29" s="959"/>
      <c r="E29" s="959"/>
      <c r="F29" s="959"/>
      <c r="G29" s="959"/>
      <c r="H29" s="959"/>
      <c r="I29" s="959"/>
      <c r="J29" s="959"/>
      <c r="K29" s="959"/>
      <c r="L29" s="959"/>
      <c r="M29" s="959"/>
      <c r="N29" s="959"/>
      <c r="O29" s="959"/>
      <c r="P29" s="959"/>
      <c r="Q29" s="959"/>
      <c r="R29" s="959"/>
      <c r="U29" s="954"/>
      <c r="V29" s="954"/>
      <c r="W29" s="954"/>
      <c r="X29" s="954"/>
      <c r="Y29" s="954"/>
      <c r="Z29" s="954"/>
      <c r="AA29" s="954"/>
      <c r="AB29" s="954"/>
      <c r="AC29" s="954"/>
      <c r="AD29" s="954"/>
      <c r="AE29" s="954"/>
      <c r="AF29" s="954"/>
      <c r="AG29" s="954"/>
      <c r="AH29" s="954"/>
      <c r="AI29" s="954"/>
      <c r="AJ29" s="954"/>
      <c r="AK29" s="954"/>
      <c r="AL29" s="954"/>
      <c r="AM29" s="954"/>
      <c r="AN29" s="954"/>
      <c r="AO29" s="954"/>
      <c r="AP29" s="954"/>
      <c r="AQ29" s="954"/>
      <c r="AU29" s="961"/>
      <c r="AV29" s="961"/>
      <c r="AW29" s="961"/>
      <c r="AX29" s="961"/>
      <c r="AY29" s="961"/>
      <c r="AZ29" s="961"/>
      <c r="BA29" s="961"/>
      <c r="BB29" s="961"/>
      <c r="BC29" s="961"/>
      <c r="BD29" s="961"/>
      <c r="BE29" s="961"/>
      <c r="BF29" s="961"/>
      <c r="BG29" s="961"/>
      <c r="BH29" s="961"/>
      <c r="BI29" s="961"/>
      <c r="BJ29" s="961"/>
      <c r="BK29" s="961"/>
      <c r="BL29" s="961"/>
      <c r="BM29" s="961"/>
      <c r="BN29" s="961"/>
      <c r="BP29" s="961"/>
      <c r="BQ29" s="961"/>
      <c r="BR29" s="961"/>
      <c r="BS29" s="961"/>
      <c r="BT29" s="961"/>
      <c r="BU29" s="961"/>
      <c r="BV29" s="961"/>
      <c r="BW29" s="961"/>
      <c r="BX29" s="961"/>
      <c r="BY29" s="961"/>
      <c r="BZ29" s="961"/>
      <c r="CA29" s="961"/>
      <c r="CB29" s="961"/>
      <c r="CC29" s="961"/>
      <c r="CD29" s="961"/>
      <c r="CE29" s="961"/>
      <c r="CF29" s="961"/>
      <c r="CG29" s="961"/>
      <c r="CH29" s="961"/>
      <c r="CI29" s="961"/>
    </row>
    <row r="30" spans="2:87" ht="16.899999999999999" customHeight="1" x14ac:dyDescent="0.15">
      <c r="B30" s="959"/>
      <c r="C30" s="959"/>
      <c r="D30" s="959"/>
      <c r="E30" s="959"/>
      <c r="F30" s="959"/>
      <c r="G30" s="959"/>
      <c r="H30" s="959"/>
      <c r="I30" s="959"/>
      <c r="J30" s="959"/>
      <c r="K30" s="959"/>
      <c r="L30" s="959"/>
      <c r="M30" s="959"/>
      <c r="N30" s="959"/>
      <c r="O30" s="959"/>
      <c r="P30" s="959"/>
      <c r="Q30" s="959"/>
      <c r="R30" s="959"/>
      <c r="U30" s="954"/>
      <c r="V30" s="954"/>
      <c r="W30" s="954"/>
      <c r="X30" s="954"/>
      <c r="Y30" s="954"/>
      <c r="Z30" s="954"/>
      <c r="AA30" s="954"/>
      <c r="AB30" s="954"/>
      <c r="AC30" s="954"/>
      <c r="AD30" s="954"/>
      <c r="AE30" s="954"/>
      <c r="AF30" s="954"/>
      <c r="AG30" s="954"/>
      <c r="AH30" s="954"/>
      <c r="AI30" s="954"/>
      <c r="AJ30" s="954"/>
      <c r="AK30" s="954"/>
      <c r="AL30" s="954"/>
      <c r="AM30" s="954"/>
      <c r="AN30" s="954"/>
      <c r="AO30" s="954"/>
      <c r="AP30" s="954"/>
      <c r="AQ30" s="954"/>
    </row>
    <row r="31" spans="2:87" ht="16.899999999999999" customHeight="1" x14ac:dyDescent="0.3">
      <c r="B31" s="959"/>
      <c r="C31" s="959"/>
      <c r="D31" s="959"/>
      <c r="E31" s="959"/>
      <c r="F31" s="959"/>
      <c r="G31" s="959"/>
      <c r="H31" s="959"/>
      <c r="I31" s="959"/>
      <c r="J31" s="959"/>
      <c r="K31" s="959"/>
      <c r="L31" s="959"/>
      <c r="M31" s="959"/>
      <c r="N31" s="959"/>
      <c r="O31" s="959"/>
      <c r="P31" s="959"/>
      <c r="Q31" s="959"/>
      <c r="R31" s="959"/>
      <c r="U31" s="963" t="s">
        <v>106</v>
      </c>
      <c r="V31" s="963"/>
      <c r="W31" s="963"/>
      <c r="X31" s="963"/>
      <c r="Y31" s="963"/>
      <c r="Z31" s="963"/>
      <c r="AA31" s="963"/>
      <c r="AB31" s="963"/>
      <c r="AC31" s="963"/>
      <c r="AD31" s="963"/>
      <c r="AE31" s="963"/>
      <c r="AF31" s="963"/>
      <c r="AG31" s="963"/>
      <c r="AH31" s="963"/>
      <c r="AI31" s="963"/>
      <c r="AJ31" s="963"/>
      <c r="AK31" s="963"/>
      <c r="AL31" s="963"/>
      <c r="AM31" s="963"/>
      <c r="AN31" s="963"/>
      <c r="AO31" s="963"/>
      <c r="AP31" s="963"/>
      <c r="AQ31" s="963"/>
    </row>
    <row r="32" spans="2:87" ht="16.899999999999999" customHeight="1" x14ac:dyDescent="0.15">
      <c r="B32" s="959"/>
      <c r="C32" s="959"/>
      <c r="D32" s="959"/>
      <c r="E32" s="959"/>
      <c r="F32" s="959"/>
      <c r="G32" s="959"/>
      <c r="H32" s="959"/>
      <c r="I32" s="959"/>
      <c r="J32" s="959"/>
      <c r="K32" s="959"/>
      <c r="L32" s="959"/>
      <c r="M32" s="959"/>
      <c r="N32" s="959"/>
      <c r="O32" s="959"/>
      <c r="P32" s="959"/>
      <c r="Q32" s="959"/>
      <c r="R32" s="959"/>
      <c r="U32" s="954"/>
      <c r="V32" s="954"/>
      <c r="W32" s="954"/>
      <c r="X32" s="954"/>
      <c r="Y32" s="954"/>
      <c r="Z32" s="954"/>
      <c r="AA32" s="954"/>
      <c r="AB32" s="954"/>
      <c r="AC32" s="954"/>
      <c r="AD32" s="954"/>
      <c r="AE32" s="954"/>
      <c r="AF32" s="954"/>
      <c r="AG32" s="954"/>
      <c r="AH32" s="954"/>
      <c r="AI32" s="954"/>
      <c r="AJ32" s="954"/>
      <c r="AK32" s="954"/>
      <c r="AL32" s="954"/>
      <c r="AM32" s="954"/>
      <c r="AN32" s="954"/>
      <c r="AO32" s="954"/>
      <c r="AP32" s="954"/>
      <c r="AQ32" s="954"/>
    </row>
    <row r="33" spans="2:43" ht="16.899999999999999" customHeight="1" x14ac:dyDescent="0.15">
      <c r="B33" s="959"/>
      <c r="C33" s="959"/>
      <c r="D33" s="959"/>
      <c r="E33" s="959"/>
      <c r="F33" s="959"/>
      <c r="G33" s="959"/>
      <c r="H33" s="959"/>
      <c r="I33" s="959"/>
      <c r="J33" s="959"/>
      <c r="K33" s="959"/>
      <c r="L33" s="959"/>
      <c r="M33" s="959"/>
      <c r="N33" s="959"/>
      <c r="O33" s="959"/>
      <c r="P33" s="959"/>
      <c r="Q33" s="959"/>
      <c r="R33" s="959"/>
      <c r="U33" s="954"/>
      <c r="V33" s="954"/>
      <c r="W33" s="954"/>
      <c r="X33" s="954"/>
      <c r="Y33" s="954"/>
      <c r="Z33" s="954"/>
      <c r="AA33" s="954"/>
      <c r="AB33" s="954"/>
      <c r="AC33" s="954"/>
      <c r="AD33" s="954"/>
      <c r="AE33" s="954"/>
      <c r="AF33" s="954"/>
      <c r="AG33" s="954"/>
      <c r="AH33" s="954"/>
      <c r="AI33" s="954"/>
      <c r="AJ33" s="954"/>
      <c r="AK33" s="954"/>
      <c r="AL33" s="954"/>
      <c r="AM33" s="954"/>
      <c r="AN33" s="954"/>
      <c r="AO33" s="954"/>
      <c r="AP33" s="954"/>
      <c r="AQ33" s="954"/>
    </row>
    <row r="34" spans="2:43" ht="16.899999999999999" customHeight="1" x14ac:dyDescent="0.15">
      <c r="B34" s="959"/>
      <c r="C34" s="959"/>
      <c r="D34" s="959"/>
      <c r="E34" s="959"/>
      <c r="F34" s="959"/>
      <c r="G34" s="959"/>
      <c r="H34" s="959"/>
      <c r="I34" s="959"/>
      <c r="J34" s="959"/>
      <c r="K34" s="959"/>
      <c r="L34" s="959"/>
      <c r="M34" s="959"/>
      <c r="N34" s="959"/>
      <c r="O34" s="959"/>
      <c r="P34" s="959"/>
      <c r="Q34" s="959"/>
      <c r="R34" s="959"/>
      <c r="U34" s="954"/>
      <c r="V34" s="954"/>
      <c r="W34" s="954"/>
      <c r="X34" s="954"/>
      <c r="Y34" s="954"/>
      <c r="Z34" s="954"/>
      <c r="AA34" s="954"/>
      <c r="AB34" s="954"/>
      <c r="AC34" s="954"/>
      <c r="AD34" s="954"/>
      <c r="AE34" s="954"/>
      <c r="AF34" s="954"/>
      <c r="AG34" s="954"/>
      <c r="AH34" s="954"/>
      <c r="AI34" s="954"/>
      <c r="AJ34" s="954"/>
      <c r="AK34" s="954"/>
      <c r="AL34" s="954"/>
      <c r="AM34" s="954"/>
      <c r="AN34" s="954"/>
      <c r="AO34" s="954"/>
      <c r="AP34" s="954"/>
      <c r="AQ34" s="954"/>
    </row>
    <row r="35" spans="2:43" ht="16.899999999999999" customHeight="1" x14ac:dyDescent="0.15">
      <c r="B35" s="959"/>
      <c r="C35" s="959"/>
      <c r="D35" s="959"/>
      <c r="E35" s="959"/>
      <c r="F35" s="959"/>
      <c r="G35" s="959"/>
      <c r="H35" s="959"/>
      <c r="I35" s="959"/>
      <c r="J35" s="959"/>
      <c r="K35" s="959"/>
      <c r="L35" s="959"/>
      <c r="M35" s="959"/>
      <c r="N35" s="959"/>
      <c r="O35" s="959"/>
      <c r="P35" s="959"/>
      <c r="Q35" s="959"/>
      <c r="R35" s="959"/>
      <c r="U35" s="954"/>
      <c r="V35" s="954"/>
      <c r="W35" s="954"/>
      <c r="X35" s="954"/>
      <c r="Y35" s="954"/>
      <c r="Z35" s="954"/>
      <c r="AA35" s="954"/>
      <c r="AB35" s="954"/>
      <c r="AC35" s="954"/>
      <c r="AD35" s="954"/>
      <c r="AE35" s="954"/>
      <c r="AF35" s="954"/>
      <c r="AG35" s="954"/>
      <c r="AH35" s="954"/>
      <c r="AI35" s="954"/>
      <c r="AJ35" s="954"/>
      <c r="AK35" s="954"/>
      <c r="AL35" s="954"/>
      <c r="AM35" s="954"/>
      <c r="AN35" s="954"/>
      <c r="AO35" s="954"/>
      <c r="AP35" s="954"/>
      <c r="AQ35" s="954"/>
    </row>
    <row r="36" spans="2:43" ht="16.899999999999999" customHeight="1" x14ac:dyDescent="0.15">
      <c r="B36" s="960"/>
      <c r="C36" s="960"/>
      <c r="D36" s="960"/>
      <c r="E36" s="960"/>
      <c r="F36" s="960"/>
      <c r="G36" s="960"/>
      <c r="H36" s="960"/>
      <c r="I36" s="960"/>
      <c r="J36" s="960"/>
      <c r="K36" s="960"/>
      <c r="L36" s="960"/>
      <c r="M36" s="960"/>
      <c r="N36" s="960"/>
      <c r="O36" s="960"/>
      <c r="P36" s="960"/>
      <c r="Q36" s="960"/>
      <c r="R36" s="960"/>
      <c r="U36" s="954"/>
      <c r="V36" s="954"/>
      <c r="W36" s="954"/>
      <c r="X36" s="954"/>
      <c r="Y36" s="954"/>
      <c r="Z36" s="954"/>
      <c r="AA36" s="954"/>
      <c r="AB36" s="954"/>
      <c r="AC36" s="954"/>
      <c r="AD36" s="954"/>
      <c r="AE36" s="954"/>
      <c r="AF36" s="954"/>
      <c r="AG36" s="954"/>
      <c r="AH36" s="954"/>
      <c r="AI36" s="954"/>
      <c r="AJ36" s="954"/>
      <c r="AK36" s="954"/>
      <c r="AL36" s="954"/>
      <c r="AM36" s="954"/>
      <c r="AN36" s="954"/>
      <c r="AO36" s="954"/>
      <c r="AP36" s="954"/>
      <c r="AQ36" s="954"/>
    </row>
    <row r="37" spans="2:43" ht="16.899999999999999" customHeight="1" x14ac:dyDescent="0.15">
      <c r="B37" s="964" t="s">
        <v>939</v>
      </c>
      <c r="C37" s="964"/>
      <c r="D37" s="964"/>
      <c r="E37" s="964"/>
      <c r="F37" s="964"/>
      <c r="G37" s="964"/>
      <c r="H37" s="964"/>
      <c r="I37" s="964"/>
      <c r="J37" s="964"/>
      <c r="K37" s="964"/>
      <c r="L37" s="964"/>
      <c r="M37" s="964"/>
      <c r="N37" s="964"/>
      <c r="O37" s="964"/>
      <c r="P37" s="964"/>
      <c r="Q37" s="964"/>
      <c r="R37" s="964"/>
      <c r="U37" s="954"/>
      <c r="V37" s="954"/>
      <c r="W37" s="954"/>
      <c r="X37" s="954"/>
      <c r="Y37" s="954"/>
      <c r="Z37" s="954"/>
      <c r="AA37" s="954"/>
      <c r="AB37" s="954"/>
      <c r="AC37" s="954"/>
      <c r="AD37" s="954"/>
      <c r="AE37" s="954"/>
      <c r="AF37" s="954"/>
      <c r="AG37" s="954"/>
      <c r="AH37" s="954"/>
      <c r="AI37" s="954"/>
      <c r="AJ37" s="954"/>
      <c r="AK37" s="954"/>
      <c r="AL37" s="954"/>
      <c r="AM37" s="954"/>
      <c r="AN37" s="954"/>
      <c r="AO37" s="954"/>
      <c r="AP37" s="954"/>
      <c r="AQ37" s="954"/>
    </row>
    <row r="38" spans="2:43" ht="16.899999999999999" customHeight="1" x14ac:dyDescent="0.15">
      <c r="B38" s="962"/>
      <c r="C38" s="962"/>
      <c r="D38" s="962"/>
      <c r="E38" s="962"/>
      <c r="F38" s="962"/>
      <c r="G38" s="962"/>
      <c r="H38" s="962"/>
      <c r="I38" s="962"/>
      <c r="J38" s="962"/>
      <c r="K38" s="962"/>
      <c r="L38" s="962"/>
      <c r="M38" s="962"/>
      <c r="N38" s="962"/>
      <c r="O38" s="962"/>
      <c r="P38" s="962"/>
      <c r="Q38" s="962"/>
      <c r="R38" s="962"/>
      <c r="U38" s="954"/>
      <c r="V38" s="954"/>
      <c r="W38" s="954"/>
      <c r="X38" s="954"/>
      <c r="Y38" s="954"/>
      <c r="Z38" s="954"/>
      <c r="AA38" s="954"/>
      <c r="AB38" s="954"/>
      <c r="AC38" s="954"/>
      <c r="AD38" s="954"/>
      <c r="AE38" s="954"/>
      <c r="AF38" s="954"/>
      <c r="AG38" s="954"/>
      <c r="AH38" s="954"/>
      <c r="AI38" s="954"/>
      <c r="AJ38" s="954"/>
      <c r="AK38" s="954"/>
      <c r="AL38" s="954"/>
      <c r="AM38" s="954"/>
      <c r="AN38" s="954"/>
      <c r="AO38" s="954"/>
      <c r="AP38" s="954"/>
      <c r="AQ38" s="954"/>
    </row>
    <row r="39" spans="2:43" ht="16.899999999999999" customHeight="1" x14ac:dyDescent="0.15">
      <c r="B39" s="962"/>
      <c r="C39" s="962"/>
      <c r="D39" s="962"/>
      <c r="E39" s="962"/>
      <c r="F39" s="962"/>
      <c r="G39" s="962"/>
      <c r="H39" s="962"/>
      <c r="I39" s="962"/>
      <c r="J39" s="962"/>
      <c r="K39" s="962"/>
      <c r="L39" s="962"/>
      <c r="M39" s="962"/>
      <c r="N39" s="962"/>
      <c r="O39" s="962"/>
      <c r="P39" s="962"/>
      <c r="Q39" s="962"/>
      <c r="R39" s="962"/>
      <c r="U39" s="954"/>
      <c r="V39" s="954"/>
      <c r="W39" s="954"/>
      <c r="X39" s="954"/>
      <c r="Y39" s="954"/>
      <c r="Z39" s="954"/>
      <c r="AA39" s="954"/>
      <c r="AB39" s="954"/>
      <c r="AC39" s="954"/>
      <c r="AD39" s="954"/>
      <c r="AE39" s="954"/>
      <c r="AF39" s="954"/>
      <c r="AG39" s="954"/>
      <c r="AH39" s="954"/>
      <c r="AI39" s="954"/>
      <c r="AJ39" s="954"/>
      <c r="AK39" s="954"/>
      <c r="AL39" s="954"/>
      <c r="AM39" s="954"/>
      <c r="AN39" s="954"/>
      <c r="AO39" s="954"/>
      <c r="AP39" s="954"/>
      <c r="AQ39" s="954"/>
    </row>
    <row r="40" spans="2:43" ht="16.899999999999999" customHeight="1" x14ac:dyDescent="0.15">
      <c r="B40" s="962"/>
      <c r="C40" s="962"/>
      <c r="D40" s="962"/>
      <c r="E40" s="962"/>
      <c r="F40" s="962"/>
      <c r="G40" s="962"/>
      <c r="H40" s="962"/>
      <c r="I40" s="962"/>
      <c r="J40" s="962"/>
      <c r="K40" s="962"/>
      <c r="L40" s="962"/>
      <c r="M40" s="962"/>
      <c r="N40" s="962"/>
      <c r="O40" s="962"/>
      <c r="P40" s="962"/>
      <c r="Q40" s="962"/>
      <c r="R40" s="962"/>
      <c r="U40" s="954"/>
      <c r="V40" s="954"/>
      <c r="W40" s="954"/>
      <c r="X40" s="954"/>
      <c r="Y40" s="954"/>
      <c r="Z40" s="954"/>
      <c r="AA40" s="954"/>
      <c r="AB40" s="954"/>
      <c r="AC40" s="954"/>
      <c r="AD40" s="954"/>
      <c r="AE40" s="954"/>
      <c r="AF40" s="954"/>
      <c r="AG40" s="954"/>
      <c r="AH40" s="954"/>
      <c r="AI40" s="954"/>
      <c r="AJ40" s="954"/>
      <c r="AK40" s="954"/>
      <c r="AL40" s="954"/>
      <c r="AM40" s="954"/>
      <c r="AN40" s="954"/>
      <c r="AO40" s="954"/>
      <c r="AP40" s="954"/>
      <c r="AQ40" s="954"/>
    </row>
    <row r="41" spans="2:43" ht="16.899999999999999" customHeight="1" x14ac:dyDescent="0.15">
      <c r="B41" s="962"/>
      <c r="C41" s="962"/>
      <c r="D41" s="962"/>
      <c r="E41" s="962"/>
      <c r="F41" s="962"/>
      <c r="G41" s="962"/>
      <c r="H41" s="962"/>
      <c r="I41" s="962"/>
      <c r="J41" s="962"/>
      <c r="K41" s="962"/>
      <c r="L41" s="962"/>
      <c r="M41" s="962"/>
      <c r="N41" s="962"/>
      <c r="O41" s="962"/>
      <c r="P41" s="962"/>
      <c r="Q41" s="962"/>
      <c r="R41" s="962"/>
      <c r="U41" s="954"/>
      <c r="V41" s="954"/>
      <c r="W41" s="954"/>
      <c r="X41" s="954"/>
      <c r="Y41" s="954"/>
      <c r="Z41" s="954"/>
      <c r="AA41" s="954"/>
      <c r="AB41" s="954"/>
      <c r="AC41" s="954"/>
      <c r="AD41" s="954"/>
      <c r="AE41" s="954"/>
      <c r="AF41" s="954"/>
      <c r="AG41" s="954"/>
      <c r="AH41" s="954"/>
      <c r="AI41" s="954"/>
      <c r="AJ41" s="954"/>
      <c r="AK41" s="954"/>
      <c r="AL41" s="954"/>
      <c r="AM41" s="954"/>
      <c r="AN41" s="954"/>
      <c r="AO41" s="954"/>
      <c r="AP41" s="954"/>
      <c r="AQ41" s="954"/>
    </row>
    <row r="42" spans="2:43" ht="16.899999999999999" customHeight="1" x14ac:dyDescent="0.15">
      <c r="B42" s="962"/>
      <c r="C42" s="962"/>
      <c r="D42" s="962"/>
      <c r="E42" s="962"/>
      <c r="F42" s="962"/>
      <c r="G42" s="962"/>
      <c r="H42" s="962"/>
      <c r="I42" s="962"/>
      <c r="J42" s="962"/>
      <c r="K42" s="962"/>
      <c r="L42" s="962"/>
      <c r="M42" s="962"/>
      <c r="N42" s="962"/>
      <c r="O42" s="962"/>
      <c r="P42" s="962"/>
      <c r="Q42" s="962"/>
      <c r="R42" s="962"/>
      <c r="U42" s="954"/>
      <c r="V42" s="954"/>
      <c r="W42" s="954"/>
      <c r="X42" s="954"/>
      <c r="Y42" s="954"/>
      <c r="Z42" s="954"/>
      <c r="AA42" s="954"/>
      <c r="AB42" s="954"/>
      <c r="AC42" s="954"/>
      <c r="AD42" s="954"/>
      <c r="AE42" s="954"/>
      <c r="AF42" s="954"/>
      <c r="AG42" s="954"/>
      <c r="AH42" s="954"/>
      <c r="AI42" s="954"/>
      <c r="AJ42" s="954"/>
      <c r="AK42" s="954"/>
      <c r="AL42" s="954"/>
      <c r="AM42" s="954"/>
      <c r="AN42" s="954"/>
      <c r="AO42" s="954"/>
      <c r="AP42" s="954"/>
      <c r="AQ42" s="954"/>
    </row>
    <row r="43" spans="2:43" ht="16.899999999999999" customHeight="1" x14ac:dyDescent="0.15">
      <c r="B43" s="962"/>
      <c r="C43" s="962"/>
      <c r="D43" s="962"/>
      <c r="E43" s="962"/>
      <c r="F43" s="962"/>
      <c r="G43" s="962"/>
      <c r="H43" s="962"/>
      <c r="I43" s="962"/>
      <c r="J43" s="962"/>
      <c r="K43" s="962"/>
      <c r="L43" s="962"/>
      <c r="M43" s="962"/>
      <c r="N43" s="962"/>
      <c r="O43" s="962"/>
      <c r="P43" s="962"/>
      <c r="Q43" s="962"/>
      <c r="R43" s="962"/>
      <c r="U43" s="954"/>
      <c r="V43" s="954"/>
      <c r="W43" s="954"/>
      <c r="X43" s="954"/>
      <c r="Y43" s="954"/>
      <c r="Z43" s="954"/>
      <c r="AA43" s="954"/>
      <c r="AB43" s="954"/>
      <c r="AC43" s="954"/>
      <c r="AD43" s="954"/>
      <c r="AE43" s="954"/>
      <c r="AF43" s="954"/>
      <c r="AG43" s="954"/>
      <c r="AH43" s="954"/>
      <c r="AI43" s="954"/>
      <c r="AJ43" s="954"/>
      <c r="AK43" s="954"/>
      <c r="AL43" s="954"/>
      <c r="AM43" s="954"/>
      <c r="AN43" s="954"/>
      <c r="AO43" s="954"/>
      <c r="AP43" s="954"/>
      <c r="AQ43" s="954"/>
    </row>
    <row r="44" spans="2:43" ht="16.899999999999999" customHeight="1" x14ac:dyDescent="0.15">
      <c r="B44" s="962"/>
      <c r="C44" s="962"/>
      <c r="D44" s="962"/>
      <c r="E44" s="962"/>
      <c r="F44" s="962"/>
      <c r="G44" s="962"/>
      <c r="H44" s="962"/>
      <c r="I44" s="962"/>
      <c r="J44" s="962"/>
      <c r="K44" s="962"/>
      <c r="L44" s="962"/>
      <c r="M44" s="962"/>
      <c r="N44" s="962"/>
      <c r="O44" s="962"/>
      <c r="P44" s="962"/>
      <c r="Q44" s="962"/>
      <c r="R44" s="962"/>
      <c r="U44" s="954"/>
      <c r="V44" s="954"/>
      <c r="W44" s="954"/>
      <c r="X44" s="954"/>
      <c r="Y44" s="954"/>
      <c r="Z44" s="954"/>
      <c r="AA44" s="954"/>
      <c r="AB44" s="954"/>
      <c r="AC44" s="954"/>
      <c r="AD44" s="954"/>
      <c r="AE44" s="954"/>
      <c r="AF44" s="954"/>
      <c r="AG44" s="954"/>
      <c r="AH44" s="954"/>
      <c r="AI44" s="954"/>
      <c r="AJ44" s="954"/>
      <c r="AK44" s="954"/>
      <c r="AL44" s="954"/>
      <c r="AM44" s="954"/>
      <c r="AN44" s="954"/>
      <c r="AO44" s="954"/>
      <c r="AP44" s="954"/>
      <c r="AQ44" s="954"/>
    </row>
    <row r="45" spans="2:43" ht="16.899999999999999" customHeight="1" x14ac:dyDescent="0.15">
      <c r="B45" s="962"/>
      <c r="C45" s="962"/>
      <c r="D45" s="962"/>
      <c r="E45" s="962"/>
      <c r="F45" s="962"/>
      <c r="G45" s="962"/>
      <c r="H45" s="962"/>
      <c r="I45" s="962"/>
      <c r="J45" s="962"/>
      <c r="K45" s="962"/>
      <c r="L45" s="962"/>
      <c r="M45" s="962"/>
      <c r="N45" s="962"/>
      <c r="O45" s="962"/>
      <c r="P45" s="962"/>
      <c r="Q45" s="962"/>
      <c r="R45" s="962"/>
      <c r="U45" s="954"/>
      <c r="V45" s="954"/>
      <c r="W45" s="954"/>
      <c r="X45" s="954"/>
      <c r="Y45" s="954"/>
      <c r="Z45" s="954"/>
      <c r="AA45" s="954"/>
      <c r="AB45" s="954"/>
      <c r="AC45" s="954"/>
      <c r="AD45" s="954"/>
      <c r="AE45" s="954"/>
      <c r="AF45" s="954"/>
      <c r="AG45" s="954"/>
      <c r="AH45" s="954"/>
      <c r="AI45" s="954"/>
      <c r="AJ45" s="954"/>
      <c r="AK45" s="954"/>
      <c r="AL45" s="954"/>
      <c r="AM45" s="954"/>
      <c r="AN45" s="954"/>
      <c r="AO45" s="954"/>
      <c r="AP45" s="954"/>
      <c r="AQ45" s="954"/>
    </row>
    <row r="46" spans="2:43" ht="16.899999999999999" customHeight="1" x14ac:dyDescent="0.15">
      <c r="B46" s="962"/>
      <c r="C46" s="962"/>
      <c r="D46" s="962"/>
      <c r="E46" s="962"/>
      <c r="F46" s="962"/>
      <c r="G46" s="962"/>
      <c r="H46" s="962"/>
      <c r="I46" s="962"/>
      <c r="J46" s="962"/>
      <c r="K46" s="962"/>
      <c r="L46" s="962"/>
      <c r="M46" s="962"/>
      <c r="N46" s="962"/>
      <c r="O46" s="962"/>
      <c r="P46" s="962"/>
      <c r="Q46" s="962"/>
      <c r="R46" s="962"/>
      <c r="U46" s="954"/>
      <c r="V46" s="954"/>
      <c r="W46" s="954"/>
      <c r="X46" s="954"/>
      <c r="Y46" s="954"/>
      <c r="Z46" s="954"/>
      <c r="AA46" s="954"/>
      <c r="AB46" s="954"/>
      <c r="AC46" s="954"/>
      <c r="AD46" s="954"/>
      <c r="AE46" s="954"/>
      <c r="AF46" s="954"/>
      <c r="AG46" s="954"/>
      <c r="AH46" s="954"/>
      <c r="AI46" s="954"/>
      <c r="AJ46" s="954"/>
      <c r="AK46" s="954"/>
      <c r="AL46" s="954"/>
      <c r="AM46" s="954"/>
      <c r="AN46" s="954"/>
      <c r="AO46" s="954"/>
      <c r="AP46" s="954"/>
      <c r="AQ46" s="954"/>
    </row>
    <row r="47" spans="2:43" ht="16.899999999999999" customHeight="1" x14ac:dyDescent="0.15">
      <c r="B47" s="962"/>
      <c r="C47" s="962"/>
      <c r="D47" s="962"/>
      <c r="E47" s="962"/>
      <c r="F47" s="962"/>
      <c r="G47" s="962"/>
      <c r="H47" s="962"/>
      <c r="I47" s="962"/>
      <c r="J47" s="962"/>
      <c r="K47" s="962"/>
      <c r="L47" s="962"/>
      <c r="M47" s="962"/>
      <c r="N47" s="962"/>
      <c r="O47" s="962"/>
      <c r="P47" s="962"/>
      <c r="Q47" s="962"/>
      <c r="R47" s="962"/>
      <c r="U47" s="954"/>
      <c r="V47" s="954"/>
      <c r="W47" s="954"/>
      <c r="X47" s="954"/>
      <c r="Y47" s="954"/>
      <c r="Z47" s="954"/>
      <c r="AA47" s="954"/>
      <c r="AB47" s="954"/>
      <c r="AC47" s="954"/>
      <c r="AD47" s="954"/>
      <c r="AE47" s="954"/>
      <c r="AF47" s="954"/>
      <c r="AG47" s="954"/>
      <c r="AH47" s="954"/>
      <c r="AI47" s="954"/>
      <c r="AJ47" s="954"/>
      <c r="AK47" s="954"/>
      <c r="AL47" s="954"/>
      <c r="AM47" s="954"/>
      <c r="AN47" s="954"/>
      <c r="AO47" s="954"/>
      <c r="AP47" s="954"/>
      <c r="AQ47" s="954"/>
    </row>
    <row r="48" spans="2:43" ht="16.899999999999999" customHeight="1" x14ac:dyDescent="0.15">
      <c r="B48" s="962"/>
      <c r="C48" s="962"/>
      <c r="D48" s="962"/>
      <c r="E48" s="962"/>
      <c r="F48" s="962"/>
      <c r="G48" s="962"/>
      <c r="H48" s="962"/>
      <c r="I48" s="962"/>
      <c r="J48" s="962"/>
      <c r="K48" s="962"/>
      <c r="L48" s="962"/>
      <c r="M48" s="962"/>
      <c r="N48" s="962"/>
      <c r="O48" s="962"/>
      <c r="P48" s="962"/>
      <c r="Q48" s="962"/>
      <c r="R48" s="962"/>
    </row>
    <row r="49" ht="16.899999999999999" customHeight="1" x14ac:dyDescent="0.15"/>
    <row r="50" ht="16.899999999999999" customHeight="1" x14ac:dyDescent="0.15"/>
    <row r="51" ht="16.899999999999999" customHeight="1" x14ac:dyDescent="0.15"/>
    <row r="52" ht="16.899999999999999" customHeight="1" x14ac:dyDescent="0.15"/>
  </sheetData>
  <sheetProtection selectLockedCells="1"/>
  <mergeCells count="161">
    <mergeCell ref="BH8:BY8"/>
    <mergeCell ref="U32:AQ47"/>
    <mergeCell ref="B12:R36"/>
    <mergeCell ref="AU14:BN29"/>
    <mergeCell ref="BP14:CI29"/>
    <mergeCell ref="B38:R48"/>
    <mergeCell ref="U14:V14"/>
    <mergeCell ref="W14:AQ14"/>
    <mergeCell ref="U15:AQ15"/>
    <mergeCell ref="B11:R11"/>
    <mergeCell ref="U31:AQ31"/>
    <mergeCell ref="B37:R37"/>
    <mergeCell ref="U11:V11"/>
    <mergeCell ref="W11:AQ11"/>
    <mergeCell ref="AV11:AW11"/>
    <mergeCell ref="AX11:AY11"/>
    <mergeCell ref="BA11:BB11"/>
    <mergeCell ref="BC11:BD11"/>
    <mergeCell ref="BF11:BG11"/>
    <mergeCell ref="BH11:BY11"/>
    <mergeCell ref="BH9:BY9"/>
    <mergeCell ref="B8:D8"/>
    <mergeCell ref="E8:I8"/>
    <mergeCell ref="K8:M8"/>
    <mergeCell ref="CH3:CJ4"/>
    <mergeCell ref="CF3:CG4"/>
    <mergeCell ref="CA7:CI12"/>
    <mergeCell ref="U16:AQ30"/>
    <mergeCell ref="U12:V12"/>
    <mergeCell ref="W12:AQ12"/>
    <mergeCell ref="AV12:AW12"/>
    <mergeCell ref="AX12:AY12"/>
    <mergeCell ref="BA12:BB12"/>
    <mergeCell ref="BC12:BD12"/>
    <mergeCell ref="BF12:BG12"/>
    <mergeCell ref="BH12:BY12"/>
    <mergeCell ref="U13:V13"/>
    <mergeCell ref="W13:AQ13"/>
    <mergeCell ref="AU13:BN13"/>
    <mergeCell ref="BP13:CI13"/>
    <mergeCell ref="U10:V10"/>
    <mergeCell ref="W10:AQ10"/>
    <mergeCell ref="AV10:AW10"/>
    <mergeCell ref="AX10:AY10"/>
    <mergeCell ref="BA10:BB10"/>
    <mergeCell ref="BC10:BD10"/>
    <mergeCell ref="BF10:BG10"/>
    <mergeCell ref="BH10:BY10"/>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C8:BD8"/>
    <mergeCell ref="BF8:BG8"/>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s>
  <phoneticPr fontId="68" type="noConversion"/>
  <dataValidations count="4">
    <dataValidation type="list" allowBlank="1" showInputMessage="1" sqref="BG5:BK5 N9:R9" xr:uid="{00000000-0002-0000-0900-000001000000}">
      <formula1>"异怪,野兽,天界,构装,龙类,元素,精类,邪魔,巨人,类人,怪兽,泥怪,植物,不死"</formula1>
    </dataValidation>
    <dataValidation type="list" allowBlank="1" showInputMessage="1" sqref="E7:I7" xr:uid="{00000000-0002-0000-0900-000002000000}">
      <formula1>"无,野蛮人,吟游诗人,牧师,德鲁伊,战士,武僧,圣武士,游侠,游荡者,术士,魔契师,法师,施法者,武者,专家"</formula1>
    </dataValidation>
    <dataValidation type="list" allowBlank="1" showInputMessage="1" showErrorMessage="1" sqref="AE3:AE8 AU7:AU12" xr:uid="{00000000-0002-0000-0900-000003000000}">
      <formula1>"X,O"</formula1>
    </dataValidation>
    <dataValidation type="list" allowBlank="1" showInputMessage="1" sqref="E9:I9 AX5:BB5" xr:uid="{A018E22B-8552-4217-9646-217291C6ECD0}">
      <formula1>"守序善良,中立善良,混乱善良,守序中立,绝对中立,混乱中立,守序邪恶,中立邪恶,混乱邪恶,无阵营"</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数据表!$CO$2:$CO$35</xm:f>
          </x14:formula1>
          <xm:sqref>CD3:CE3</xm:sqref>
        </x14:dataValidation>
        <x14:dataValidation type="list" allowBlank="1" showInputMessage="1" xr:uid="{41619FF5-8604-40DD-B3B7-B584AAD0CD1A}">
          <x14:formula1>
            <xm:f>数据表!$CL$16:$CL$21</xm:f>
          </x14:formula1>
          <xm:sqref>N8:R8 BG4:BK4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9" tint="-0.249977111117893"/>
  </sheetPr>
  <dimension ref="A1:CN51"/>
  <sheetViews>
    <sheetView zoomScale="85" zoomScaleNormal="85" workbookViewId="0">
      <selection activeCell="AW5" sqref="AW5:BA6"/>
    </sheetView>
  </sheetViews>
  <sheetFormatPr defaultColWidth="2.375" defaultRowHeight="17.100000000000001" customHeight="1" x14ac:dyDescent="0.15"/>
  <cols>
    <col min="1" max="109" width="2.375" style="12"/>
    <col min="110" max="110" width="2.375" style="12" customWidth="1"/>
    <col min="111" max="16384" width="2.375" style="12"/>
  </cols>
  <sheetData>
    <row r="1" spans="1:92" ht="17.100000000000001" customHeight="1" x14ac:dyDescent="0.15">
      <c r="A1" s="978" t="s">
        <v>8563</v>
      </c>
      <c r="B1" s="978"/>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c r="AI1" s="978"/>
      <c r="AJ1" s="978"/>
      <c r="AK1" s="978"/>
      <c r="AL1" s="978"/>
      <c r="AM1" s="978"/>
      <c r="AN1" s="978"/>
      <c r="AO1" s="978"/>
      <c r="AP1" s="978"/>
      <c r="AQ1" s="978"/>
      <c r="AR1" s="978"/>
      <c r="AS1" s="978"/>
      <c r="AT1" s="978"/>
      <c r="AU1" s="978"/>
      <c r="AV1" s="978"/>
      <c r="AW1" s="978"/>
      <c r="AX1" s="978"/>
      <c r="AY1" s="978"/>
      <c r="AZ1" s="978"/>
      <c r="BA1" s="978"/>
      <c r="BB1" s="978"/>
      <c r="BC1" s="978"/>
      <c r="BD1" s="978"/>
      <c r="BE1" s="978"/>
      <c r="BF1" s="978"/>
      <c r="BG1" s="978"/>
      <c r="BH1" s="978"/>
      <c r="BI1" s="978"/>
      <c r="BJ1" s="978"/>
      <c r="BK1" s="978"/>
      <c r="BL1" s="978"/>
      <c r="BM1" s="978"/>
      <c r="BN1" s="978"/>
      <c r="BO1" s="978"/>
      <c r="BP1" s="978"/>
      <c r="BQ1" s="978"/>
      <c r="BR1" s="978"/>
      <c r="BS1" s="978"/>
      <c r="BT1" s="978"/>
      <c r="BU1" s="978"/>
      <c r="BV1" s="978"/>
      <c r="BW1" s="978"/>
      <c r="BX1" s="978"/>
      <c r="BY1" s="978"/>
      <c r="BZ1" s="978"/>
      <c r="CA1" s="978"/>
      <c r="CB1" s="978"/>
      <c r="CC1" s="978"/>
      <c r="CD1" s="978"/>
      <c r="CE1" s="978"/>
      <c r="CF1" s="978"/>
      <c r="CG1" s="978"/>
      <c r="CH1" s="978"/>
      <c r="CI1" s="978"/>
      <c r="CJ1" s="978"/>
      <c r="CK1" s="978"/>
      <c r="CL1" s="978"/>
      <c r="CM1" s="978"/>
      <c r="CN1" s="978"/>
    </row>
    <row r="2" spans="1:92" ht="7.9" customHeight="1" x14ac:dyDescent="0.15"/>
    <row r="3" spans="1:92" ht="17.100000000000001" customHeight="1" x14ac:dyDescent="0.15">
      <c r="B3" s="987" t="s">
        <v>8560</v>
      </c>
      <c r="C3" s="987"/>
      <c r="D3" s="987"/>
      <c r="E3" s="987"/>
      <c r="F3" s="987"/>
      <c r="G3" s="987"/>
      <c r="H3" s="987"/>
      <c r="I3" s="987"/>
      <c r="J3" s="987"/>
      <c r="K3" s="987"/>
      <c r="L3" s="987"/>
      <c r="M3" s="987"/>
      <c r="N3" s="987"/>
      <c r="O3" s="987"/>
      <c r="P3" s="987"/>
      <c r="Q3" s="987"/>
      <c r="R3" s="987"/>
      <c r="S3" s="987"/>
      <c r="T3" s="987"/>
      <c r="U3" s="987"/>
      <c r="V3" s="987"/>
      <c r="W3" s="987"/>
      <c r="X3" s="987"/>
      <c r="Y3" s="987"/>
      <c r="Z3" s="987"/>
      <c r="AA3" s="987"/>
      <c r="AB3" s="987"/>
      <c r="AC3" s="987"/>
      <c r="AD3" s="987"/>
      <c r="AE3" s="987"/>
      <c r="AF3" s="987"/>
      <c r="AG3" s="987"/>
      <c r="AH3" s="987"/>
      <c r="AI3" s="987"/>
      <c r="AJ3" s="987"/>
      <c r="AK3" s="987"/>
      <c r="AL3" s="987"/>
      <c r="AM3" s="987"/>
      <c r="AN3" s="987"/>
      <c r="AO3" s="987"/>
      <c r="AP3" s="987"/>
      <c r="AQ3" s="987"/>
      <c r="AR3" s="987"/>
      <c r="AS3" s="987"/>
      <c r="AT3" s="987"/>
      <c r="AW3" s="987" t="s">
        <v>8559</v>
      </c>
      <c r="AX3" s="987"/>
      <c r="AY3" s="987"/>
      <c r="AZ3" s="987"/>
      <c r="BA3" s="987"/>
      <c r="BB3" s="987"/>
      <c r="BC3" s="987"/>
      <c r="BD3" s="987"/>
      <c r="BE3" s="987"/>
      <c r="BF3" s="987"/>
      <c r="BG3" s="987"/>
      <c r="BH3" s="987"/>
      <c r="BI3" s="987"/>
      <c r="BJ3" s="987"/>
      <c r="BK3" s="987"/>
      <c r="BL3" s="987"/>
      <c r="BM3" s="987"/>
      <c r="BN3" s="987"/>
      <c r="BO3" s="987"/>
      <c r="BP3" s="987"/>
      <c r="BQ3" s="987"/>
      <c r="BR3" s="987"/>
      <c r="BS3" s="987"/>
      <c r="BT3" s="987"/>
      <c r="BU3" s="987"/>
      <c r="BV3" s="987"/>
      <c r="BW3" s="987"/>
      <c r="BX3" s="987"/>
      <c r="BY3" s="987"/>
      <c r="BZ3" s="987"/>
      <c r="CA3" s="987"/>
      <c r="CB3" s="987"/>
      <c r="CC3" s="987"/>
      <c r="CD3" s="987"/>
      <c r="CE3" s="987"/>
      <c r="CF3" s="987"/>
      <c r="CG3" s="987"/>
      <c r="CH3" s="987"/>
      <c r="CI3" s="987"/>
      <c r="CJ3" s="987"/>
      <c r="CK3" s="987"/>
      <c r="CL3" s="987"/>
      <c r="CM3" s="987"/>
    </row>
    <row r="4" spans="1:92" ht="17.100000000000001" customHeight="1" x14ac:dyDescent="0.3">
      <c r="B4" s="985" t="s">
        <v>8538</v>
      </c>
      <c r="C4" s="985"/>
      <c r="D4" s="985"/>
      <c r="E4" s="985"/>
      <c r="F4" s="985"/>
      <c r="G4" s="985"/>
      <c r="H4" s="985"/>
      <c r="I4" s="985" t="s">
        <v>8540</v>
      </c>
      <c r="J4" s="985"/>
      <c r="K4" s="985"/>
      <c r="L4" s="985"/>
      <c r="M4" s="985"/>
      <c r="N4" s="985"/>
      <c r="O4" s="985"/>
      <c r="P4" s="985"/>
      <c r="Q4" s="985"/>
      <c r="R4" s="985"/>
      <c r="S4" s="985"/>
      <c r="T4" s="985"/>
      <c r="U4" s="985"/>
      <c r="V4" s="985"/>
      <c r="W4" s="985"/>
      <c r="X4" s="985"/>
      <c r="Y4" s="985"/>
      <c r="Z4" s="985"/>
      <c r="AA4" s="985"/>
      <c r="AB4" s="985"/>
      <c r="AC4" s="985"/>
      <c r="AD4" s="985"/>
      <c r="AE4" s="985"/>
      <c r="AF4" s="985"/>
      <c r="AG4" s="985"/>
      <c r="AH4" s="985"/>
      <c r="AI4" s="985" t="s">
        <v>8541</v>
      </c>
      <c r="AJ4" s="985"/>
      <c r="AK4" s="985"/>
      <c r="AL4" s="985" t="s">
        <v>8542</v>
      </c>
      <c r="AM4" s="985"/>
      <c r="AN4" s="985"/>
      <c r="AO4" s="985"/>
      <c r="AP4" s="985"/>
      <c r="AQ4" s="985"/>
      <c r="AR4" s="985" t="s">
        <v>8543</v>
      </c>
      <c r="AS4" s="985"/>
      <c r="AT4" s="985"/>
      <c r="AW4" s="985" t="s">
        <v>943</v>
      </c>
      <c r="AX4" s="985"/>
      <c r="AY4" s="985"/>
      <c r="AZ4" s="985"/>
      <c r="BA4" s="985"/>
      <c r="BB4" s="985" t="s">
        <v>944</v>
      </c>
      <c r="BC4" s="985"/>
      <c r="BD4" s="985"/>
      <c r="BE4" s="985"/>
      <c r="BF4" s="985"/>
      <c r="BG4" s="985"/>
      <c r="BH4" s="985" t="s">
        <v>945</v>
      </c>
      <c r="BI4" s="985"/>
      <c r="BJ4" s="985"/>
      <c r="BK4" s="985"/>
      <c r="BL4" s="985"/>
      <c r="BM4" s="985"/>
      <c r="BN4" s="985"/>
      <c r="BO4" s="985"/>
      <c r="BP4" s="985"/>
      <c r="BQ4" s="985"/>
      <c r="BR4" s="985"/>
      <c r="BS4" s="985"/>
      <c r="BT4" s="985"/>
      <c r="BU4" s="985"/>
      <c r="BV4" s="985"/>
      <c r="BW4" s="985"/>
      <c r="BX4" s="985"/>
      <c r="BY4" s="985"/>
      <c r="BZ4" s="985"/>
      <c r="CA4" s="985"/>
      <c r="CB4" s="985"/>
      <c r="CC4" s="985"/>
      <c r="CD4" s="985"/>
      <c r="CE4" s="985"/>
      <c r="CF4" s="985"/>
      <c r="CG4" s="985"/>
      <c r="CH4" s="985"/>
      <c r="CI4" s="985"/>
      <c r="CJ4" s="985"/>
      <c r="CK4" s="985"/>
      <c r="CL4" s="985"/>
      <c r="CM4" s="985"/>
    </row>
    <row r="5" spans="1:92" ht="17.100000000000001" customHeight="1" x14ac:dyDescent="0.15">
      <c r="B5" s="976" t="s">
        <v>8545</v>
      </c>
      <c r="C5" s="976"/>
      <c r="D5" s="976"/>
      <c r="E5" s="976"/>
      <c r="F5" s="976"/>
      <c r="G5" s="976"/>
      <c r="H5" s="976"/>
      <c r="I5" s="986" t="str">
        <f>专长与据点!L4</f>
        <v>可以使用奥术法器或可以将工具作为施法法器</v>
      </c>
      <c r="J5" s="986"/>
      <c r="K5" s="986"/>
      <c r="L5" s="986"/>
      <c r="M5" s="986"/>
      <c r="N5" s="986"/>
      <c r="O5" s="986"/>
      <c r="P5" s="986"/>
      <c r="Q5" s="986"/>
      <c r="R5" s="986"/>
      <c r="S5" s="986"/>
      <c r="T5" s="986"/>
      <c r="U5" s="986"/>
      <c r="V5" s="986"/>
      <c r="W5" s="986"/>
      <c r="X5" s="986"/>
      <c r="Y5" s="986"/>
      <c r="Z5" s="986"/>
      <c r="AA5" s="986"/>
      <c r="AB5" s="986"/>
      <c r="AC5" s="986"/>
      <c r="AD5" s="986"/>
      <c r="AE5" s="986"/>
      <c r="AF5" s="986"/>
      <c r="AG5" s="986"/>
      <c r="AH5" s="986"/>
      <c r="AI5" s="986" t="str">
        <f>专长与据点!M4</f>
        <v>宽敞</v>
      </c>
      <c r="AJ5" s="986"/>
      <c r="AK5" s="986"/>
      <c r="AL5" s="986">
        <f>专长与据点!N4</f>
        <v>1</v>
      </c>
      <c r="AM5" s="986"/>
      <c r="AN5" s="986"/>
      <c r="AO5" s="986"/>
      <c r="AP5" s="986"/>
      <c r="AQ5" s="986"/>
      <c r="AR5" s="986" t="str">
        <f>专长与据点!O4</f>
        <v>制造</v>
      </c>
      <c r="AS5" s="986"/>
      <c r="AT5" s="986"/>
      <c r="AW5" s="997"/>
      <c r="AX5" s="997"/>
      <c r="AY5" s="997"/>
      <c r="AZ5" s="997"/>
      <c r="BA5" s="997"/>
      <c r="BB5" s="997"/>
      <c r="BC5" s="997"/>
      <c r="BD5" s="997"/>
      <c r="BE5" s="997"/>
      <c r="BF5" s="997"/>
      <c r="BG5" s="997"/>
      <c r="BH5" s="999"/>
      <c r="BI5" s="999"/>
      <c r="BJ5" s="999"/>
      <c r="BK5" s="999"/>
      <c r="BL5" s="999"/>
      <c r="BM5" s="999"/>
      <c r="BN5" s="999"/>
      <c r="BO5" s="999"/>
      <c r="BP5" s="999"/>
      <c r="BQ5" s="999"/>
      <c r="BR5" s="999"/>
      <c r="BS5" s="999"/>
      <c r="BT5" s="999"/>
      <c r="BU5" s="999"/>
      <c r="BV5" s="999"/>
      <c r="BW5" s="999"/>
      <c r="BX5" s="999"/>
      <c r="BY5" s="999"/>
      <c r="BZ5" s="999"/>
      <c r="CA5" s="999"/>
      <c r="CB5" s="999"/>
      <c r="CC5" s="999"/>
      <c r="CD5" s="999"/>
      <c r="CE5" s="999"/>
      <c r="CF5" s="999"/>
      <c r="CG5" s="999"/>
      <c r="CH5" s="999"/>
      <c r="CI5" s="999"/>
      <c r="CJ5" s="999"/>
      <c r="CK5" s="999"/>
      <c r="CL5" s="999"/>
      <c r="CM5" s="999"/>
    </row>
    <row r="6" spans="1:92" ht="17.100000000000001" customHeight="1" x14ac:dyDescent="0.3">
      <c r="B6" s="985" t="s">
        <v>6474</v>
      </c>
      <c r="C6" s="985"/>
      <c r="D6" s="985"/>
      <c r="E6" s="985"/>
      <c r="F6" s="985"/>
      <c r="G6" s="985"/>
      <c r="H6" s="985"/>
      <c r="I6" s="985"/>
      <c r="J6" s="985"/>
      <c r="K6" s="985"/>
      <c r="L6" s="985"/>
      <c r="M6" s="985"/>
      <c r="N6" s="985"/>
      <c r="O6" s="985"/>
      <c r="P6" s="985"/>
      <c r="Q6" s="985"/>
      <c r="R6" s="985"/>
      <c r="S6" s="985"/>
      <c r="T6" s="985"/>
      <c r="U6" s="985"/>
      <c r="V6" s="985"/>
      <c r="W6" s="985"/>
      <c r="X6" s="985"/>
      <c r="Y6" s="985"/>
      <c r="Z6" s="985"/>
      <c r="AA6" s="985"/>
      <c r="AB6" s="985"/>
      <c r="AC6" s="985"/>
      <c r="AD6" s="985"/>
      <c r="AE6" s="985"/>
      <c r="AF6" s="985"/>
      <c r="AG6" s="985"/>
      <c r="AH6" s="985"/>
      <c r="AI6" s="985"/>
      <c r="AJ6" s="985"/>
      <c r="AK6" s="985"/>
      <c r="AL6" s="985"/>
      <c r="AM6" s="985"/>
      <c r="AN6" s="985"/>
      <c r="AO6" s="985"/>
      <c r="AP6" s="985"/>
      <c r="AQ6" s="985"/>
      <c r="AR6" s="985"/>
      <c r="AS6" s="985"/>
      <c r="AT6" s="985"/>
      <c r="AW6" s="998"/>
      <c r="AX6" s="998"/>
      <c r="AY6" s="998"/>
      <c r="AZ6" s="998"/>
      <c r="BA6" s="998"/>
      <c r="BB6" s="998"/>
      <c r="BC6" s="998"/>
      <c r="BD6" s="998"/>
      <c r="BE6" s="998"/>
      <c r="BF6" s="998"/>
      <c r="BG6" s="998"/>
      <c r="BH6" s="1000"/>
      <c r="BI6" s="1000"/>
      <c r="BJ6" s="1000"/>
      <c r="BK6" s="1000"/>
      <c r="BL6" s="1000"/>
      <c r="BM6" s="1000"/>
      <c r="BN6" s="1000"/>
      <c r="BO6" s="1000"/>
      <c r="BP6" s="1000"/>
      <c r="BQ6" s="1000"/>
      <c r="BR6" s="1000"/>
      <c r="BS6" s="1000"/>
      <c r="BT6" s="1000"/>
      <c r="BU6" s="1000"/>
      <c r="BV6" s="1000"/>
      <c r="BW6" s="1000"/>
      <c r="BX6" s="1000"/>
      <c r="BY6" s="1000"/>
      <c r="BZ6" s="1000"/>
      <c r="CA6" s="1000"/>
      <c r="CB6" s="1000"/>
      <c r="CC6" s="1000"/>
      <c r="CD6" s="1000"/>
      <c r="CE6" s="1000"/>
      <c r="CF6" s="1000"/>
      <c r="CG6" s="1000"/>
      <c r="CH6" s="1000"/>
      <c r="CI6" s="1000"/>
      <c r="CJ6" s="1000"/>
      <c r="CK6" s="1000"/>
      <c r="CL6" s="1000"/>
      <c r="CM6" s="1000"/>
    </row>
    <row r="7" spans="1:92" ht="17.100000000000001" customHeight="1" x14ac:dyDescent="0.3">
      <c r="B7" s="988" t="str">
        <f>专长与据点!P4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989"/>
      <c r="D7" s="989"/>
      <c r="E7" s="989"/>
      <c r="F7" s="989"/>
      <c r="G7" s="989"/>
      <c r="H7" s="989"/>
      <c r="I7" s="989"/>
      <c r="J7" s="989"/>
      <c r="K7" s="989"/>
      <c r="L7" s="989"/>
      <c r="M7" s="989"/>
      <c r="N7" s="989"/>
      <c r="O7" s="989"/>
      <c r="P7" s="989"/>
      <c r="Q7" s="989"/>
      <c r="R7" s="989"/>
      <c r="S7" s="989"/>
      <c r="T7" s="989"/>
      <c r="U7" s="989"/>
      <c r="V7" s="989"/>
      <c r="W7" s="989"/>
      <c r="X7" s="989"/>
      <c r="Y7" s="989"/>
      <c r="Z7" s="989"/>
      <c r="AA7" s="989"/>
      <c r="AB7" s="989"/>
      <c r="AC7" s="989"/>
      <c r="AD7" s="989"/>
      <c r="AE7" s="989"/>
      <c r="AF7" s="989"/>
      <c r="AG7" s="989"/>
      <c r="AH7" s="989"/>
      <c r="AI7" s="989"/>
      <c r="AJ7" s="989"/>
      <c r="AK7" s="989"/>
      <c r="AL7" s="989"/>
      <c r="AM7" s="989"/>
      <c r="AN7" s="989"/>
      <c r="AO7" s="989"/>
      <c r="AP7" s="989"/>
      <c r="AQ7" s="989"/>
      <c r="AR7" s="989"/>
      <c r="AS7" s="989"/>
      <c r="AT7" s="990"/>
      <c r="AW7" s="985" t="s">
        <v>8538</v>
      </c>
      <c r="AX7" s="985"/>
      <c r="AY7" s="985"/>
      <c r="AZ7" s="985"/>
      <c r="BA7" s="985"/>
      <c r="BB7" s="985"/>
      <c r="BC7" s="985"/>
      <c r="BD7" s="985" t="s">
        <v>8541</v>
      </c>
      <c r="BE7" s="985"/>
      <c r="BF7" s="985"/>
      <c r="BG7" s="977" t="s">
        <v>8542</v>
      </c>
      <c r="BH7" s="977"/>
      <c r="BI7" s="977"/>
      <c r="BJ7" s="977"/>
      <c r="BK7" s="977"/>
      <c r="BL7" s="977"/>
      <c r="BM7" s="968" t="s">
        <v>8566</v>
      </c>
      <c r="BN7" s="968"/>
      <c r="BO7" s="968"/>
      <c r="BP7" s="968"/>
      <c r="BQ7" s="968"/>
      <c r="BR7" s="968"/>
      <c r="BS7" s="968"/>
      <c r="BT7" s="968"/>
      <c r="BU7" s="968"/>
      <c r="BV7" s="968"/>
      <c r="BW7" s="968"/>
      <c r="BX7" s="968"/>
    </row>
    <row r="8" spans="1:92" ht="17.100000000000001" customHeight="1" x14ac:dyDescent="0.15">
      <c r="B8" s="991"/>
      <c r="C8" s="992"/>
      <c r="D8" s="992"/>
      <c r="E8" s="992"/>
      <c r="F8" s="992"/>
      <c r="G8" s="992"/>
      <c r="H8" s="992"/>
      <c r="I8" s="992"/>
      <c r="J8" s="992"/>
      <c r="K8" s="992"/>
      <c r="L8" s="992"/>
      <c r="M8" s="992"/>
      <c r="N8" s="992"/>
      <c r="O8" s="992"/>
      <c r="P8" s="992"/>
      <c r="Q8" s="992"/>
      <c r="R8" s="992"/>
      <c r="S8" s="992"/>
      <c r="T8" s="992"/>
      <c r="U8" s="992"/>
      <c r="V8" s="992"/>
      <c r="W8" s="992"/>
      <c r="X8" s="992"/>
      <c r="Y8" s="992"/>
      <c r="Z8" s="992"/>
      <c r="AA8" s="992"/>
      <c r="AB8" s="992"/>
      <c r="AC8" s="992"/>
      <c r="AD8" s="992"/>
      <c r="AE8" s="992"/>
      <c r="AF8" s="992"/>
      <c r="AG8" s="992"/>
      <c r="AH8" s="992"/>
      <c r="AI8" s="992"/>
      <c r="AJ8" s="992"/>
      <c r="AK8" s="992"/>
      <c r="AL8" s="992"/>
      <c r="AM8" s="992"/>
      <c r="AN8" s="992"/>
      <c r="AO8" s="992"/>
      <c r="AP8" s="992"/>
      <c r="AQ8" s="992"/>
      <c r="AR8" s="992"/>
      <c r="AS8" s="992"/>
      <c r="AT8" s="993"/>
      <c r="AW8" s="976"/>
      <c r="AX8" s="976"/>
      <c r="AY8" s="976"/>
      <c r="AZ8" s="976"/>
      <c r="BA8" s="976"/>
      <c r="BB8" s="976"/>
      <c r="BC8" s="976"/>
      <c r="BD8" s="976"/>
      <c r="BE8" s="976"/>
      <c r="BF8" s="976"/>
      <c r="BG8" s="969"/>
      <c r="BH8" s="970"/>
      <c r="BI8" s="970"/>
      <c r="BJ8" s="970"/>
      <c r="BK8" s="970"/>
      <c r="BL8" s="971"/>
      <c r="BM8" s="969"/>
      <c r="BN8" s="970"/>
      <c r="BO8" s="970"/>
      <c r="BP8" s="970"/>
      <c r="BQ8" s="970"/>
      <c r="BR8" s="970"/>
      <c r="BS8" s="970"/>
      <c r="BT8" s="970"/>
      <c r="BU8" s="970"/>
      <c r="BV8" s="970"/>
      <c r="BW8" s="970"/>
      <c r="BX8" s="971"/>
    </row>
    <row r="9" spans="1:92" ht="17.100000000000001" customHeight="1" x14ac:dyDescent="0.3">
      <c r="B9" s="991"/>
      <c r="C9" s="992"/>
      <c r="D9" s="992"/>
      <c r="E9" s="992"/>
      <c r="F9" s="992"/>
      <c r="G9" s="992"/>
      <c r="H9" s="992"/>
      <c r="I9" s="992"/>
      <c r="J9" s="992"/>
      <c r="K9" s="992"/>
      <c r="L9" s="992"/>
      <c r="M9" s="992"/>
      <c r="N9" s="992"/>
      <c r="O9" s="992"/>
      <c r="P9" s="992"/>
      <c r="Q9" s="992"/>
      <c r="R9" s="992"/>
      <c r="S9" s="992"/>
      <c r="T9" s="992"/>
      <c r="U9" s="992"/>
      <c r="V9" s="992"/>
      <c r="W9" s="992"/>
      <c r="X9" s="992"/>
      <c r="Y9" s="992"/>
      <c r="Z9" s="992"/>
      <c r="AA9" s="992"/>
      <c r="AB9" s="992"/>
      <c r="AC9" s="992"/>
      <c r="AD9" s="992"/>
      <c r="AE9" s="992"/>
      <c r="AF9" s="992"/>
      <c r="AG9" s="992"/>
      <c r="AH9" s="992"/>
      <c r="AI9" s="992"/>
      <c r="AJ9" s="992"/>
      <c r="AK9" s="992"/>
      <c r="AL9" s="992"/>
      <c r="AM9" s="992"/>
      <c r="AN9" s="992"/>
      <c r="AO9" s="992"/>
      <c r="AP9" s="992"/>
      <c r="AQ9" s="992"/>
      <c r="AR9" s="992"/>
      <c r="AS9" s="992"/>
      <c r="AT9" s="993"/>
      <c r="AW9" s="975"/>
      <c r="AX9" s="975"/>
      <c r="AY9" s="975"/>
      <c r="AZ9" s="975"/>
      <c r="BA9" s="975"/>
      <c r="BB9" s="975"/>
      <c r="BC9" s="975"/>
      <c r="BD9" s="975"/>
      <c r="BE9" s="975"/>
      <c r="BF9" s="975"/>
      <c r="BG9" s="972"/>
      <c r="BH9" s="973"/>
      <c r="BI9" s="973"/>
      <c r="BJ9" s="973"/>
      <c r="BK9" s="973"/>
      <c r="BL9" s="974"/>
      <c r="BM9" s="972"/>
      <c r="BN9" s="973"/>
      <c r="BO9" s="973"/>
      <c r="BP9" s="973"/>
      <c r="BQ9" s="973"/>
      <c r="BR9" s="973"/>
      <c r="BS9" s="973"/>
      <c r="BT9" s="973"/>
      <c r="BU9" s="973"/>
      <c r="BV9" s="973"/>
      <c r="BW9" s="973"/>
      <c r="BX9" s="974"/>
      <c r="BZ9" s="537" t="s">
        <v>8561</v>
      </c>
      <c r="CA9" s="537"/>
      <c r="CB9" s="537"/>
      <c r="CC9" s="537"/>
      <c r="CD9" s="537"/>
      <c r="CE9" s="537"/>
      <c r="CF9" s="537"/>
      <c r="CG9" s="537"/>
      <c r="CH9" s="537"/>
      <c r="CI9" s="537"/>
      <c r="CJ9" s="537"/>
      <c r="CK9" s="537"/>
      <c r="CL9" s="537"/>
      <c r="CM9" s="537"/>
    </row>
    <row r="10" spans="1:92" ht="17.100000000000001" customHeight="1" x14ac:dyDescent="0.15">
      <c r="B10" s="991"/>
      <c r="C10" s="992"/>
      <c r="D10" s="992"/>
      <c r="E10" s="992"/>
      <c r="F10" s="992"/>
      <c r="G10" s="992"/>
      <c r="H10" s="992"/>
      <c r="I10" s="992"/>
      <c r="J10" s="992"/>
      <c r="K10" s="992"/>
      <c r="L10" s="992"/>
      <c r="M10" s="992"/>
      <c r="N10" s="992"/>
      <c r="O10" s="992"/>
      <c r="P10" s="992"/>
      <c r="Q10" s="992"/>
      <c r="R10" s="992"/>
      <c r="S10" s="992"/>
      <c r="T10" s="992"/>
      <c r="U10" s="992"/>
      <c r="V10" s="992"/>
      <c r="W10" s="992"/>
      <c r="X10" s="992"/>
      <c r="Y10" s="992"/>
      <c r="Z10" s="992"/>
      <c r="AA10" s="992"/>
      <c r="AB10" s="992"/>
      <c r="AC10" s="992"/>
      <c r="AD10" s="992"/>
      <c r="AE10" s="992"/>
      <c r="AF10" s="992"/>
      <c r="AG10" s="992"/>
      <c r="AH10" s="992"/>
      <c r="AI10" s="992"/>
      <c r="AJ10" s="992"/>
      <c r="AK10" s="992"/>
      <c r="AL10" s="992"/>
      <c r="AM10" s="992"/>
      <c r="AN10" s="992"/>
      <c r="AO10" s="992"/>
      <c r="AP10" s="992"/>
      <c r="AQ10" s="992"/>
      <c r="AR10" s="992"/>
      <c r="AS10" s="992"/>
      <c r="AT10" s="993"/>
      <c r="AW10" s="976"/>
      <c r="AX10" s="976"/>
      <c r="AY10" s="976"/>
      <c r="AZ10" s="976"/>
      <c r="BA10" s="976"/>
      <c r="BB10" s="976"/>
      <c r="BC10" s="976"/>
      <c r="BD10" s="976"/>
      <c r="BE10" s="976"/>
      <c r="BF10" s="976"/>
      <c r="BG10" s="969"/>
      <c r="BH10" s="970"/>
      <c r="BI10" s="970"/>
      <c r="BJ10" s="970"/>
      <c r="BK10" s="970"/>
      <c r="BL10" s="971"/>
      <c r="BM10" s="969"/>
      <c r="BN10" s="970"/>
      <c r="BO10" s="970"/>
      <c r="BP10" s="970"/>
      <c r="BQ10" s="970"/>
      <c r="BR10" s="970"/>
      <c r="BS10" s="970"/>
      <c r="BT10" s="970"/>
      <c r="BU10" s="970"/>
      <c r="BV10" s="970"/>
      <c r="BW10" s="970"/>
      <c r="BX10" s="971"/>
      <c r="BZ10" s="543" t="s">
        <v>133</v>
      </c>
      <c r="CA10" s="543"/>
      <c r="CB10" s="542"/>
      <c r="CC10" s="542"/>
      <c r="CD10" s="542"/>
      <c r="CE10" s="542"/>
      <c r="CF10" s="542"/>
      <c r="CG10" s="702" t="s">
        <v>134</v>
      </c>
      <c r="CH10" s="702"/>
      <c r="CI10" s="701"/>
      <c r="CJ10" s="701"/>
      <c r="CK10" s="701"/>
      <c r="CL10" s="701"/>
      <c r="CM10" s="701"/>
    </row>
    <row r="11" spans="1:92" ht="17.100000000000001" customHeight="1" x14ac:dyDescent="0.15">
      <c r="B11" s="991"/>
      <c r="C11" s="992"/>
      <c r="D11" s="992"/>
      <c r="E11" s="992"/>
      <c r="F11" s="992"/>
      <c r="G11" s="992"/>
      <c r="H11" s="992"/>
      <c r="I11" s="992"/>
      <c r="J11" s="992"/>
      <c r="K11" s="992"/>
      <c r="L11" s="992"/>
      <c r="M11" s="992"/>
      <c r="N11" s="992"/>
      <c r="O11" s="992"/>
      <c r="P11" s="992"/>
      <c r="Q11" s="992"/>
      <c r="R11" s="992"/>
      <c r="S11" s="992"/>
      <c r="T11" s="992"/>
      <c r="U11" s="992"/>
      <c r="V11" s="992"/>
      <c r="W11" s="992"/>
      <c r="X11" s="992"/>
      <c r="Y11" s="992"/>
      <c r="Z11" s="992"/>
      <c r="AA11" s="992"/>
      <c r="AB11" s="992"/>
      <c r="AC11" s="992"/>
      <c r="AD11" s="992"/>
      <c r="AE11" s="992"/>
      <c r="AF11" s="992"/>
      <c r="AG11" s="992"/>
      <c r="AH11" s="992"/>
      <c r="AI11" s="992"/>
      <c r="AJ11" s="992"/>
      <c r="AK11" s="992"/>
      <c r="AL11" s="992"/>
      <c r="AM11" s="992"/>
      <c r="AN11" s="992"/>
      <c r="AO11" s="992"/>
      <c r="AP11" s="992"/>
      <c r="AQ11" s="992"/>
      <c r="AR11" s="992"/>
      <c r="AS11" s="992"/>
      <c r="AT11" s="993"/>
      <c r="AW11" s="975"/>
      <c r="AX11" s="975"/>
      <c r="AY11" s="975"/>
      <c r="AZ11" s="975"/>
      <c r="BA11" s="975"/>
      <c r="BB11" s="975"/>
      <c r="BC11" s="975"/>
      <c r="BD11" s="975"/>
      <c r="BE11" s="975"/>
      <c r="BF11" s="975"/>
      <c r="BG11" s="972"/>
      <c r="BH11" s="973"/>
      <c r="BI11" s="973"/>
      <c r="BJ11" s="973"/>
      <c r="BK11" s="973"/>
      <c r="BL11" s="974"/>
      <c r="BM11" s="972"/>
      <c r="BN11" s="973"/>
      <c r="BO11" s="973"/>
      <c r="BP11" s="973"/>
      <c r="BQ11" s="973"/>
      <c r="BR11" s="973"/>
      <c r="BS11" s="973"/>
      <c r="BT11" s="973"/>
      <c r="BU11" s="973"/>
      <c r="BV11" s="973"/>
      <c r="BW11" s="973"/>
      <c r="BX11" s="974"/>
      <c r="BZ11" s="541" t="s">
        <v>135</v>
      </c>
      <c r="CA11" s="541"/>
      <c r="CB11" s="708"/>
      <c r="CC11" s="708"/>
      <c r="CD11" s="708"/>
      <c r="CE11" s="708"/>
      <c r="CF11" s="708"/>
      <c r="CG11" s="532" t="s">
        <v>136</v>
      </c>
      <c r="CH11" s="532"/>
      <c r="CI11" s="532"/>
      <c r="CJ11" s="532"/>
      <c r="CK11" s="532"/>
      <c r="CL11" s="532"/>
      <c r="CM11" s="532"/>
    </row>
    <row r="12" spans="1:92" ht="17.100000000000001" customHeight="1" x14ac:dyDescent="0.15">
      <c r="B12" s="991"/>
      <c r="C12" s="992"/>
      <c r="D12" s="992"/>
      <c r="E12" s="992"/>
      <c r="F12" s="992"/>
      <c r="G12" s="992"/>
      <c r="H12" s="992"/>
      <c r="I12" s="992"/>
      <c r="J12" s="992"/>
      <c r="K12" s="992"/>
      <c r="L12" s="992"/>
      <c r="M12" s="992"/>
      <c r="N12" s="992"/>
      <c r="O12" s="992"/>
      <c r="P12" s="992"/>
      <c r="Q12" s="992"/>
      <c r="R12" s="992"/>
      <c r="S12" s="992"/>
      <c r="T12" s="992"/>
      <c r="U12" s="992"/>
      <c r="V12" s="992"/>
      <c r="W12" s="992"/>
      <c r="X12" s="992"/>
      <c r="Y12" s="992"/>
      <c r="Z12" s="992"/>
      <c r="AA12" s="992"/>
      <c r="AB12" s="992"/>
      <c r="AC12" s="992"/>
      <c r="AD12" s="992"/>
      <c r="AE12" s="992"/>
      <c r="AF12" s="992"/>
      <c r="AG12" s="992"/>
      <c r="AH12" s="992"/>
      <c r="AI12" s="992"/>
      <c r="AJ12" s="992"/>
      <c r="AK12" s="992"/>
      <c r="AL12" s="992"/>
      <c r="AM12" s="992"/>
      <c r="AN12" s="992"/>
      <c r="AO12" s="992"/>
      <c r="AP12" s="992"/>
      <c r="AQ12" s="992"/>
      <c r="AR12" s="992"/>
      <c r="AS12" s="992"/>
      <c r="AT12" s="993"/>
      <c r="AW12" s="976"/>
      <c r="AX12" s="976"/>
      <c r="AY12" s="976"/>
      <c r="AZ12" s="976"/>
      <c r="BA12" s="976"/>
      <c r="BB12" s="976"/>
      <c r="BC12" s="976"/>
      <c r="BD12" s="976"/>
      <c r="BE12" s="976"/>
      <c r="BF12" s="976"/>
      <c r="BG12" s="969"/>
      <c r="BH12" s="970"/>
      <c r="BI12" s="970"/>
      <c r="BJ12" s="970"/>
      <c r="BK12" s="970"/>
      <c r="BL12" s="971"/>
      <c r="BM12" s="969"/>
      <c r="BN12" s="970"/>
      <c r="BO12" s="970"/>
      <c r="BP12" s="970"/>
      <c r="BQ12" s="970"/>
      <c r="BR12" s="970"/>
      <c r="BS12" s="970"/>
      <c r="BT12" s="970"/>
      <c r="BU12" s="970"/>
      <c r="BV12" s="970"/>
      <c r="BW12" s="970"/>
      <c r="BX12" s="971"/>
      <c r="BZ12" s="757" t="s">
        <v>140</v>
      </c>
      <c r="CA12" s="757"/>
      <c r="CB12" s="758"/>
      <c r="CC12" s="758"/>
      <c r="CD12" s="758"/>
      <c r="CE12" s="758"/>
      <c r="CF12" s="758"/>
      <c r="CG12" s="533" t="str">
        <f>CONCATENATE(SUM(CI10*10+CB11/2+CB10+CB12/10+CB13/100),"GP")</f>
        <v>0GP</v>
      </c>
      <c r="CH12" s="533"/>
      <c r="CI12" s="533"/>
      <c r="CJ12" s="533"/>
      <c r="CK12" s="533"/>
      <c r="CL12" s="533"/>
      <c r="CM12" s="533"/>
    </row>
    <row r="13" spans="1:92" ht="17.100000000000001" customHeight="1" x14ac:dyDescent="0.15">
      <c r="B13" s="991"/>
      <c r="C13" s="992"/>
      <c r="D13" s="992"/>
      <c r="E13" s="992"/>
      <c r="F13" s="992"/>
      <c r="G13" s="992"/>
      <c r="H13" s="992"/>
      <c r="I13" s="992"/>
      <c r="J13" s="992"/>
      <c r="K13" s="992"/>
      <c r="L13" s="992"/>
      <c r="M13" s="992"/>
      <c r="N13" s="992"/>
      <c r="O13" s="992"/>
      <c r="P13" s="992"/>
      <c r="Q13" s="992"/>
      <c r="R13" s="992"/>
      <c r="S13" s="992"/>
      <c r="T13" s="992"/>
      <c r="U13" s="992"/>
      <c r="V13" s="992"/>
      <c r="W13" s="992"/>
      <c r="X13" s="992"/>
      <c r="Y13" s="992"/>
      <c r="Z13" s="992"/>
      <c r="AA13" s="992"/>
      <c r="AB13" s="992"/>
      <c r="AC13" s="992"/>
      <c r="AD13" s="992"/>
      <c r="AE13" s="992"/>
      <c r="AF13" s="992"/>
      <c r="AG13" s="992"/>
      <c r="AH13" s="992"/>
      <c r="AI13" s="992"/>
      <c r="AJ13" s="992"/>
      <c r="AK13" s="992"/>
      <c r="AL13" s="992"/>
      <c r="AM13" s="992"/>
      <c r="AN13" s="992"/>
      <c r="AO13" s="992"/>
      <c r="AP13" s="992"/>
      <c r="AQ13" s="992"/>
      <c r="AR13" s="992"/>
      <c r="AS13" s="992"/>
      <c r="AT13" s="993"/>
      <c r="AW13" s="975"/>
      <c r="AX13" s="975"/>
      <c r="AY13" s="975"/>
      <c r="AZ13" s="975"/>
      <c r="BA13" s="975"/>
      <c r="BB13" s="975"/>
      <c r="BC13" s="975"/>
      <c r="BD13" s="975"/>
      <c r="BE13" s="975"/>
      <c r="BF13" s="975"/>
      <c r="BG13" s="972"/>
      <c r="BH13" s="973"/>
      <c r="BI13" s="973"/>
      <c r="BJ13" s="973"/>
      <c r="BK13" s="973"/>
      <c r="BL13" s="974"/>
      <c r="BM13" s="972"/>
      <c r="BN13" s="973"/>
      <c r="BO13" s="973"/>
      <c r="BP13" s="973"/>
      <c r="BQ13" s="973"/>
      <c r="BR13" s="973"/>
      <c r="BS13" s="973"/>
      <c r="BT13" s="973"/>
      <c r="BU13" s="973"/>
      <c r="BV13" s="973"/>
      <c r="BW13" s="973"/>
      <c r="BX13" s="974"/>
      <c r="BZ13" s="545" t="s">
        <v>142</v>
      </c>
      <c r="CA13" s="545"/>
      <c r="CB13" s="544"/>
      <c r="CC13" s="544"/>
      <c r="CD13" s="544"/>
      <c r="CE13" s="544"/>
      <c r="CF13" s="544"/>
      <c r="CG13" s="533"/>
      <c r="CH13" s="533"/>
      <c r="CI13" s="533"/>
      <c r="CJ13" s="533"/>
      <c r="CK13" s="533"/>
      <c r="CL13" s="533"/>
      <c r="CM13" s="533"/>
    </row>
    <row r="14" spans="1:92" ht="17.100000000000001" customHeight="1" x14ac:dyDescent="0.3">
      <c r="B14" s="991"/>
      <c r="C14" s="992"/>
      <c r="D14" s="992"/>
      <c r="E14" s="992"/>
      <c r="F14" s="992"/>
      <c r="G14" s="992"/>
      <c r="H14" s="992"/>
      <c r="I14" s="992"/>
      <c r="J14" s="992"/>
      <c r="K14" s="992"/>
      <c r="L14" s="992"/>
      <c r="M14" s="992"/>
      <c r="N14" s="992"/>
      <c r="O14" s="992"/>
      <c r="P14" s="992"/>
      <c r="Q14" s="992"/>
      <c r="R14" s="992"/>
      <c r="S14" s="992"/>
      <c r="T14" s="992"/>
      <c r="U14" s="992"/>
      <c r="V14" s="992"/>
      <c r="W14" s="992"/>
      <c r="X14" s="992"/>
      <c r="Y14" s="992"/>
      <c r="Z14" s="992"/>
      <c r="AA14" s="992"/>
      <c r="AB14" s="992"/>
      <c r="AC14" s="992"/>
      <c r="AD14" s="992"/>
      <c r="AE14" s="992"/>
      <c r="AF14" s="992"/>
      <c r="AG14" s="992"/>
      <c r="AH14" s="992"/>
      <c r="AI14" s="992"/>
      <c r="AJ14" s="992"/>
      <c r="AK14" s="992"/>
      <c r="AL14" s="992"/>
      <c r="AM14" s="992"/>
      <c r="AN14" s="992"/>
      <c r="AO14" s="992"/>
      <c r="AP14" s="992"/>
      <c r="AQ14" s="992"/>
      <c r="AR14" s="992"/>
      <c r="AS14" s="992"/>
      <c r="AT14" s="993"/>
      <c r="AW14" s="537" t="s">
        <v>2998</v>
      </c>
      <c r="AX14" s="537"/>
      <c r="AY14" s="537"/>
      <c r="AZ14" s="537"/>
      <c r="BA14" s="537"/>
      <c r="BB14" s="537" t="s">
        <v>37</v>
      </c>
      <c r="BC14" s="537"/>
      <c r="BD14" s="537"/>
      <c r="BE14" s="537"/>
      <c r="BF14" s="537"/>
      <c r="BG14" s="537"/>
      <c r="BH14" s="537"/>
      <c r="BI14" s="537"/>
      <c r="BJ14" s="537"/>
      <c r="BK14" s="537"/>
      <c r="BL14" s="537"/>
      <c r="BM14" s="537"/>
      <c r="BN14" s="537"/>
      <c r="BO14" s="537"/>
      <c r="BP14" s="537"/>
      <c r="BQ14" s="537"/>
      <c r="BS14" s="537" t="s">
        <v>2998</v>
      </c>
      <c r="BT14" s="537"/>
      <c r="BU14" s="537"/>
      <c r="BV14" s="537"/>
      <c r="BW14" s="537"/>
      <c r="BX14" s="537" t="s">
        <v>37</v>
      </c>
      <c r="BY14" s="537"/>
      <c r="BZ14" s="537"/>
      <c r="CA14" s="537"/>
      <c r="CB14" s="537"/>
      <c r="CC14" s="537"/>
      <c r="CD14" s="537"/>
      <c r="CE14" s="537"/>
      <c r="CF14" s="537"/>
      <c r="CG14" s="537"/>
      <c r="CH14" s="537"/>
      <c r="CI14" s="537"/>
      <c r="CJ14" s="537"/>
      <c r="CK14" s="537"/>
      <c r="CL14" s="537" t="s">
        <v>2999</v>
      </c>
      <c r="CM14" s="537"/>
    </row>
    <row r="15" spans="1:92" ht="17.100000000000001" customHeight="1" x14ac:dyDescent="0.15">
      <c r="B15" s="991"/>
      <c r="C15" s="992"/>
      <c r="D15" s="992"/>
      <c r="E15" s="992"/>
      <c r="F15" s="992"/>
      <c r="G15" s="992"/>
      <c r="H15" s="992"/>
      <c r="I15" s="992"/>
      <c r="J15" s="992"/>
      <c r="K15" s="992"/>
      <c r="L15" s="992"/>
      <c r="M15" s="992"/>
      <c r="N15" s="992"/>
      <c r="O15" s="992"/>
      <c r="P15" s="992"/>
      <c r="Q15" s="992"/>
      <c r="R15" s="992"/>
      <c r="S15" s="992"/>
      <c r="T15" s="992"/>
      <c r="U15" s="992"/>
      <c r="V15" s="992"/>
      <c r="W15" s="992"/>
      <c r="X15" s="992"/>
      <c r="Y15" s="992"/>
      <c r="Z15" s="992"/>
      <c r="AA15" s="992"/>
      <c r="AB15" s="992"/>
      <c r="AC15" s="992"/>
      <c r="AD15" s="992"/>
      <c r="AE15" s="992"/>
      <c r="AF15" s="992"/>
      <c r="AG15" s="992"/>
      <c r="AH15" s="992"/>
      <c r="AI15" s="992"/>
      <c r="AJ15" s="992"/>
      <c r="AK15" s="992"/>
      <c r="AL15" s="992"/>
      <c r="AM15" s="992"/>
      <c r="AN15" s="992"/>
      <c r="AO15" s="992"/>
      <c r="AP15" s="992"/>
      <c r="AQ15" s="992"/>
      <c r="AR15" s="992"/>
      <c r="AS15" s="992"/>
      <c r="AT15" s="993"/>
      <c r="AW15" s="966"/>
      <c r="AX15" s="966"/>
      <c r="AY15" s="966"/>
      <c r="AZ15" s="966"/>
      <c r="BA15" s="966"/>
      <c r="BB15" s="860"/>
      <c r="BC15" s="860"/>
      <c r="BD15" s="860"/>
      <c r="BE15" s="860"/>
      <c r="BF15" s="860"/>
      <c r="BG15" s="860"/>
      <c r="BH15" s="860"/>
      <c r="BI15" s="860"/>
      <c r="BJ15" s="860"/>
      <c r="BK15" s="860"/>
      <c r="BL15" s="860"/>
      <c r="BM15" s="860"/>
      <c r="BN15" s="860"/>
      <c r="BO15" s="860"/>
      <c r="BP15" s="860"/>
      <c r="BQ15" s="860"/>
      <c r="BS15" s="967"/>
      <c r="BT15" s="966"/>
      <c r="BU15" s="966"/>
      <c r="BV15" s="966"/>
      <c r="BW15" s="966"/>
      <c r="BX15" s="860"/>
      <c r="BY15" s="860"/>
      <c r="BZ15" s="860"/>
      <c r="CA15" s="860"/>
      <c r="CB15" s="860"/>
      <c r="CC15" s="860"/>
      <c r="CD15" s="860"/>
      <c r="CE15" s="860"/>
      <c r="CF15" s="860"/>
      <c r="CG15" s="860"/>
      <c r="CH15" s="860"/>
      <c r="CI15" s="860"/>
      <c r="CJ15" s="860"/>
      <c r="CK15" s="860"/>
      <c r="CL15" s="640"/>
      <c r="CM15" s="640"/>
    </row>
    <row r="16" spans="1:92" ht="17.100000000000001" customHeight="1" x14ac:dyDescent="0.15">
      <c r="B16" s="991"/>
      <c r="C16" s="992"/>
      <c r="D16" s="992"/>
      <c r="E16" s="992"/>
      <c r="F16" s="992"/>
      <c r="G16" s="992"/>
      <c r="H16" s="992"/>
      <c r="I16" s="992"/>
      <c r="J16" s="992"/>
      <c r="K16" s="992"/>
      <c r="L16" s="992"/>
      <c r="M16" s="992"/>
      <c r="N16" s="992"/>
      <c r="O16" s="992"/>
      <c r="P16" s="992"/>
      <c r="Q16" s="992"/>
      <c r="R16" s="992"/>
      <c r="S16" s="992"/>
      <c r="T16" s="992"/>
      <c r="U16" s="992"/>
      <c r="V16" s="992"/>
      <c r="W16" s="992"/>
      <c r="X16" s="992"/>
      <c r="Y16" s="992"/>
      <c r="Z16" s="992"/>
      <c r="AA16" s="992"/>
      <c r="AB16" s="992"/>
      <c r="AC16" s="992"/>
      <c r="AD16" s="992"/>
      <c r="AE16" s="992"/>
      <c r="AF16" s="992"/>
      <c r="AG16" s="992"/>
      <c r="AH16" s="992"/>
      <c r="AI16" s="992"/>
      <c r="AJ16" s="992"/>
      <c r="AK16" s="992"/>
      <c r="AL16" s="992"/>
      <c r="AM16" s="992"/>
      <c r="AN16" s="992"/>
      <c r="AO16" s="992"/>
      <c r="AP16" s="992"/>
      <c r="AQ16" s="992"/>
      <c r="AR16" s="992"/>
      <c r="AS16" s="992"/>
      <c r="AT16" s="993"/>
      <c r="AW16" s="965"/>
      <c r="AX16" s="965"/>
      <c r="AY16" s="965"/>
      <c r="AZ16" s="965"/>
      <c r="BA16" s="965"/>
      <c r="BB16" s="859"/>
      <c r="BC16" s="859"/>
      <c r="BD16" s="859"/>
      <c r="BE16" s="859"/>
      <c r="BF16" s="859"/>
      <c r="BG16" s="859"/>
      <c r="BH16" s="859"/>
      <c r="BI16" s="859"/>
      <c r="BJ16" s="859"/>
      <c r="BK16" s="859"/>
      <c r="BL16" s="859"/>
      <c r="BM16" s="859"/>
      <c r="BN16" s="859"/>
      <c r="BO16" s="859"/>
      <c r="BP16" s="859"/>
      <c r="BQ16" s="859"/>
      <c r="BS16" s="965"/>
      <c r="BT16" s="965"/>
      <c r="BU16" s="965"/>
      <c r="BV16" s="965"/>
      <c r="BW16" s="965"/>
      <c r="BX16" s="859"/>
      <c r="BY16" s="859"/>
      <c r="BZ16" s="859"/>
      <c r="CA16" s="859"/>
      <c r="CB16" s="859"/>
      <c r="CC16" s="859"/>
      <c r="CD16" s="859"/>
      <c r="CE16" s="859"/>
      <c r="CF16" s="859"/>
      <c r="CG16" s="859"/>
      <c r="CH16" s="859"/>
      <c r="CI16" s="859"/>
      <c r="CJ16" s="859"/>
      <c r="CK16" s="859"/>
      <c r="CL16" s="669"/>
      <c r="CM16" s="669"/>
    </row>
    <row r="17" spans="2:91" ht="17.100000000000001" customHeight="1" x14ac:dyDescent="0.15">
      <c r="B17" s="991"/>
      <c r="C17" s="992"/>
      <c r="D17" s="992"/>
      <c r="E17" s="992"/>
      <c r="F17" s="992"/>
      <c r="G17" s="992"/>
      <c r="H17" s="992"/>
      <c r="I17" s="992"/>
      <c r="J17" s="992"/>
      <c r="K17" s="992"/>
      <c r="L17" s="992"/>
      <c r="M17" s="992"/>
      <c r="N17" s="992"/>
      <c r="O17" s="992"/>
      <c r="P17" s="992"/>
      <c r="Q17" s="992"/>
      <c r="R17" s="992"/>
      <c r="S17" s="992"/>
      <c r="T17" s="992"/>
      <c r="U17" s="992"/>
      <c r="V17" s="992"/>
      <c r="W17" s="992"/>
      <c r="X17" s="992"/>
      <c r="Y17" s="992"/>
      <c r="Z17" s="992"/>
      <c r="AA17" s="992"/>
      <c r="AB17" s="992"/>
      <c r="AC17" s="992"/>
      <c r="AD17" s="992"/>
      <c r="AE17" s="992"/>
      <c r="AF17" s="992"/>
      <c r="AG17" s="992"/>
      <c r="AH17" s="992"/>
      <c r="AI17" s="992"/>
      <c r="AJ17" s="992"/>
      <c r="AK17" s="992"/>
      <c r="AL17" s="992"/>
      <c r="AM17" s="992"/>
      <c r="AN17" s="992"/>
      <c r="AO17" s="992"/>
      <c r="AP17" s="992"/>
      <c r="AQ17" s="992"/>
      <c r="AR17" s="992"/>
      <c r="AS17" s="992"/>
      <c r="AT17" s="993"/>
      <c r="AW17" s="966"/>
      <c r="AX17" s="966"/>
      <c r="AY17" s="966"/>
      <c r="AZ17" s="966"/>
      <c r="BA17" s="966"/>
      <c r="BB17" s="860"/>
      <c r="BC17" s="860"/>
      <c r="BD17" s="860"/>
      <c r="BE17" s="860"/>
      <c r="BF17" s="860"/>
      <c r="BG17" s="860"/>
      <c r="BH17" s="860"/>
      <c r="BI17" s="860"/>
      <c r="BJ17" s="860"/>
      <c r="BK17" s="860"/>
      <c r="BL17" s="860"/>
      <c r="BM17" s="860"/>
      <c r="BN17" s="860"/>
      <c r="BO17" s="860"/>
      <c r="BP17" s="860"/>
      <c r="BQ17" s="860"/>
      <c r="BS17" s="966"/>
      <c r="BT17" s="966"/>
      <c r="BU17" s="966"/>
      <c r="BV17" s="966"/>
      <c r="BW17" s="966"/>
      <c r="BX17" s="860"/>
      <c r="BY17" s="860"/>
      <c r="BZ17" s="860"/>
      <c r="CA17" s="860"/>
      <c r="CB17" s="860"/>
      <c r="CC17" s="860"/>
      <c r="CD17" s="860"/>
      <c r="CE17" s="860"/>
      <c r="CF17" s="860"/>
      <c r="CG17" s="860"/>
      <c r="CH17" s="860"/>
      <c r="CI17" s="860"/>
      <c r="CJ17" s="860"/>
      <c r="CK17" s="860"/>
      <c r="CL17" s="640"/>
      <c r="CM17" s="640"/>
    </row>
    <row r="18" spans="2:91" ht="17.100000000000001" customHeight="1" x14ac:dyDescent="0.15">
      <c r="B18" s="991"/>
      <c r="C18" s="992"/>
      <c r="D18" s="992"/>
      <c r="E18" s="992"/>
      <c r="F18" s="992"/>
      <c r="G18" s="992"/>
      <c r="H18" s="992"/>
      <c r="I18" s="992"/>
      <c r="J18" s="992"/>
      <c r="K18" s="992"/>
      <c r="L18" s="992"/>
      <c r="M18" s="992"/>
      <c r="N18" s="992"/>
      <c r="O18" s="992"/>
      <c r="P18" s="992"/>
      <c r="Q18" s="992"/>
      <c r="R18" s="992"/>
      <c r="S18" s="992"/>
      <c r="T18" s="992"/>
      <c r="U18" s="992"/>
      <c r="V18" s="992"/>
      <c r="W18" s="992"/>
      <c r="X18" s="992"/>
      <c r="Y18" s="992"/>
      <c r="Z18" s="992"/>
      <c r="AA18" s="992"/>
      <c r="AB18" s="992"/>
      <c r="AC18" s="992"/>
      <c r="AD18" s="992"/>
      <c r="AE18" s="992"/>
      <c r="AF18" s="992"/>
      <c r="AG18" s="992"/>
      <c r="AH18" s="992"/>
      <c r="AI18" s="992"/>
      <c r="AJ18" s="992"/>
      <c r="AK18" s="992"/>
      <c r="AL18" s="992"/>
      <c r="AM18" s="992"/>
      <c r="AN18" s="992"/>
      <c r="AO18" s="992"/>
      <c r="AP18" s="992"/>
      <c r="AQ18" s="992"/>
      <c r="AR18" s="992"/>
      <c r="AS18" s="992"/>
      <c r="AT18" s="993"/>
      <c r="AW18" s="965"/>
      <c r="AX18" s="965"/>
      <c r="AY18" s="965"/>
      <c r="AZ18" s="965"/>
      <c r="BA18" s="965"/>
      <c r="BB18" s="859"/>
      <c r="BC18" s="859"/>
      <c r="BD18" s="859"/>
      <c r="BE18" s="859"/>
      <c r="BF18" s="859"/>
      <c r="BG18" s="859"/>
      <c r="BH18" s="859"/>
      <c r="BI18" s="859"/>
      <c r="BJ18" s="859"/>
      <c r="BK18" s="859"/>
      <c r="BL18" s="859"/>
      <c r="BM18" s="859"/>
      <c r="BN18" s="859"/>
      <c r="BO18" s="859"/>
      <c r="BP18" s="859"/>
      <c r="BQ18" s="859"/>
      <c r="BS18" s="965"/>
      <c r="BT18" s="965"/>
      <c r="BU18" s="965"/>
      <c r="BV18" s="965"/>
      <c r="BW18" s="965"/>
      <c r="BX18" s="859"/>
      <c r="BY18" s="859"/>
      <c r="BZ18" s="859"/>
      <c r="CA18" s="859"/>
      <c r="CB18" s="859"/>
      <c r="CC18" s="859"/>
      <c r="CD18" s="859"/>
      <c r="CE18" s="859"/>
      <c r="CF18" s="859"/>
      <c r="CG18" s="859"/>
      <c r="CH18" s="859"/>
      <c r="CI18" s="859"/>
      <c r="CJ18" s="859"/>
      <c r="CK18" s="859"/>
      <c r="CL18" s="669"/>
      <c r="CM18" s="669"/>
    </row>
    <row r="19" spans="2:91" ht="17.100000000000001" customHeight="1" x14ac:dyDescent="0.15">
      <c r="B19" s="991"/>
      <c r="C19" s="992"/>
      <c r="D19" s="992"/>
      <c r="E19" s="992"/>
      <c r="F19" s="992"/>
      <c r="G19" s="992"/>
      <c r="H19" s="992"/>
      <c r="I19" s="992"/>
      <c r="J19" s="992"/>
      <c r="K19" s="992"/>
      <c r="L19" s="992"/>
      <c r="M19" s="992"/>
      <c r="N19" s="992"/>
      <c r="O19" s="992"/>
      <c r="P19" s="992"/>
      <c r="Q19" s="992"/>
      <c r="R19" s="992"/>
      <c r="S19" s="992"/>
      <c r="T19" s="992"/>
      <c r="U19" s="992"/>
      <c r="V19" s="992"/>
      <c r="W19" s="992"/>
      <c r="X19" s="992"/>
      <c r="Y19" s="992"/>
      <c r="Z19" s="992"/>
      <c r="AA19" s="992"/>
      <c r="AB19" s="992"/>
      <c r="AC19" s="992"/>
      <c r="AD19" s="992"/>
      <c r="AE19" s="992"/>
      <c r="AF19" s="992"/>
      <c r="AG19" s="992"/>
      <c r="AH19" s="992"/>
      <c r="AI19" s="992"/>
      <c r="AJ19" s="992"/>
      <c r="AK19" s="992"/>
      <c r="AL19" s="992"/>
      <c r="AM19" s="992"/>
      <c r="AN19" s="992"/>
      <c r="AO19" s="992"/>
      <c r="AP19" s="992"/>
      <c r="AQ19" s="992"/>
      <c r="AR19" s="992"/>
      <c r="AS19" s="992"/>
      <c r="AT19" s="993"/>
      <c r="AW19" s="966"/>
      <c r="AX19" s="966"/>
      <c r="AY19" s="966"/>
      <c r="AZ19" s="966"/>
      <c r="BA19" s="966"/>
      <c r="BB19" s="860"/>
      <c r="BC19" s="860"/>
      <c r="BD19" s="860"/>
      <c r="BE19" s="860"/>
      <c r="BF19" s="860"/>
      <c r="BG19" s="860"/>
      <c r="BH19" s="860"/>
      <c r="BI19" s="860"/>
      <c r="BJ19" s="860"/>
      <c r="BK19" s="860"/>
      <c r="BL19" s="860"/>
      <c r="BM19" s="860"/>
      <c r="BN19" s="860"/>
      <c r="BO19" s="860"/>
      <c r="BP19" s="860"/>
      <c r="BQ19" s="860"/>
      <c r="BS19" s="966"/>
      <c r="BT19" s="966"/>
      <c r="BU19" s="966"/>
      <c r="BV19" s="966"/>
      <c r="BW19" s="966"/>
      <c r="BX19" s="860"/>
      <c r="BY19" s="860"/>
      <c r="BZ19" s="860"/>
      <c r="CA19" s="860"/>
      <c r="CB19" s="860"/>
      <c r="CC19" s="860"/>
      <c r="CD19" s="860"/>
      <c r="CE19" s="860"/>
      <c r="CF19" s="860"/>
      <c r="CG19" s="860"/>
      <c r="CH19" s="860"/>
      <c r="CI19" s="860"/>
      <c r="CJ19" s="860"/>
      <c r="CK19" s="860"/>
      <c r="CL19" s="640"/>
      <c r="CM19" s="640"/>
    </row>
    <row r="20" spans="2:91" ht="17.100000000000001" customHeight="1" x14ac:dyDescent="0.3">
      <c r="B20" s="991"/>
      <c r="C20" s="992"/>
      <c r="D20" s="992"/>
      <c r="E20" s="992"/>
      <c r="F20" s="992"/>
      <c r="G20" s="992"/>
      <c r="H20" s="992"/>
      <c r="I20" s="992"/>
      <c r="J20" s="992"/>
      <c r="K20" s="992"/>
      <c r="L20" s="992"/>
      <c r="M20" s="992"/>
      <c r="N20" s="992"/>
      <c r="O20" s="992"/>
      <c r="P20" s="992"/>
      <c r="Q20" s="992"/>
      <c r="R20" s="992"/>
      <c r="S20" s="992"/>
      <c r="T20" s="992"/>
      <c r="U20" s="992"/>
      <c r="V20" s="992"/>
      <c r="W20" s="992"/>
      <c r="X20" s="992"/>
      <c r="Y20" s="992"/>
      <c r="Z20" s="992"/>
      <c r="AA20" s="992"/>
      <c r="AB20" s="992"/>
      <c r="AC20" s="992"/>
      <c r="AD20" s="992"/>
      <c r="AE20" s="992"/>
      <c r="AF20" s="992"/>
      <c r="AG20" s="992"/>
      <c r="AH20" s="992"/>
      <c r="AI20" s="992"/>
      <c r="AJ20" s="992"/>
      <c r="AK20" s="992"/>
      <c r="AL20" s="992"/>
      <c r="AM20" s="992"/>
      <c r="AN20" s="992"/>
      <c r="AO20" s="992"/>
      <c r="AP20" s="992"/>
      <c r="AQ20" s="992"/>
      <c r="AR20" s="992"/>
      <c r="AS20" s="992"/>
      <c r="AT20" s="993"/>
      <c r="AW20" s="537" t="s">
        <v>2998</v>
      </c>
      <c r="AX20" s="537"/>
      <c r="AY20" s="537"/>
      <c r="AZ20" s="537"/>
      <c r="BA20" s="537"/>
      <c r="BB20" s="537" t="s">
        <v>37</v>
      </c>
      <c r="BC20" s="537"/>
      <c r="BD20" s="537"/>
      <c r="BE20" s="537"/>
      <c r="BF20" s="537"/>
      <c r="BG20" s="537"/>
      <c r="BH20" s="537"/>
      <c r="BI20" s="537"/>
      <c r="BJ20" s="537"/>
      <c r="BK20" s="537"/>
      <c r="BL20" s="537"/>
      <c r="BM20" s="537"/>
      <c r="BN20" s="537"/>
      <c r="BO20" s="537"/>
      <c r="BP20" s="537"/>
      <c r="BQ20" s="537"/>
      <c r="BS20" s="537" t="s">
        <v>2998</v>
      </c>
      <c r="BT20" s="537"/>
      <c r="BU20" s="537"/>
      <c r="BV20" s="537"/>
      <c r="BW20" s="537"/>
      <c r="BX20" s="537" t="s">
        <v>37</v>
      </c>
      <c r="BY20" s="537"/>
      <c r="BZ20" s="537"/>
      <c r="CA20" s="537"/>
      <c r="CB20" s="537"/>
      <c r="CC20" s="537"/>
      <c r="CD20" s="537"/>
      <c r="CE20" s="537"/>
      <c r="CF20" s="537"/>
      <c r="CG20" s="537"/>
      <c r="CH20" s="537"/>
      <c r="CI20" s="537"/>
      <c r="CJ20" s="537"/>
      <c r="CK20" s="537"/>
      <c r="CL20" s="537" t="s">
        <v>2999</v>
      </c>
      <c r="CM20" s="537"/>
    </row>
    <row r="21" spans="2:91" ht="17.100000000000001" customHeight="1" x14ac:dyDescent="0.15">
      <c r="B21" s="991"/>
      <c r="C21" s="992"/>
      <c r="D21" s="992"/>
      <c r="E21" s="992"/>
      <c r="F21" s="992"/>
      <c r="G21" s="992"/>
      <c r="H21" s="992"/>
      <c r="I21" s="992"/>
      <c r="J21" s="992"/>
      <c r="K21" s="992"/>
      <c r="L21" s="992"/>
      <c r="M21" s="992"/>
      <c r="N21" s="992"/>
      <c r="O21" s="992"/>
      <c r="P21" s="992"/>
      <c r="Q21" s="992"/>
      <c r="R21" s="992"/>
      <c r="S21" s="992"/>
      <c r="T21" s="992"/>
      <c r="U21" s="992"/>
      <c r="V21" s="992"/>
      <c r="W21" s="992"/>
      <c r="X21" s="992"/>
      <c r="Y21" s="992"/>
      <c r="Z21" s="992"/>
      <c r="AA21" s="992"/>
      <c r="AB21" s="992"/>
      <c r="AC21" s="992"/>
      <c r="AD21" s="992"/>
      <c r="AE21" s="992"/>
      <c r="AF21" s="992"/>
      <c r="AG21" s="992"/>
      <c r="AH21" s="992"/>
      <c r="AI21" s="992"/>
      <c r="AJ21" s="992"/>
      <c r="AK21" s="992"/>
      <c r="AL21" s="992"/>
      <c r="AM21" s="992"/>
      <c r="AN21" s="992"/>
      <c r="AO21" s="992"/>
      <c r="AP21" s="992"/>
      <c r="AQ21" s="992"/>
      <c r="AR21" s="992"/>
      <c r="AS21" s="992"/>
      <c r="AT21" s="993"/>
      <c r="AW21" s="966"/>
      <c r="AX21" s="966"/>
      <c r="AY21" s="966"/>
      <c r="AZ21" s="966"/>
      <c r="BA21" s="966"/>
      <c r="BB21" s="860"/>
      <c r="BC21" s="860"/>
      <c r="BD21" s="860"/>
      <c r="BE21" s="860"/>
      <c r="BF21" s="860"/>
      <c r="BG21" s="860"/>
      <c r="BH21" s="860"/>
      <c r="BI21" s="860"/>
      <c r="BJ21" s="860"/>
      <c r="BK21" s="860"/>
      <c r="BL21" s="860"/>
      <c r="BM21" s="860"/>
      <c r="BN21" s="860"/>
      <c r="BO21" s="860"/>
      <c r="BP21" s="860"/>
      <c r="BQ21" s="860"/>
      <c r="BS21" s="967"/>
      <c r="BT21" s="966"/>
      <c r="BU21" s="966"/>
      <c r="BV21" s="966"/>
      <c r="BW21" s="966"/>
      <c r="BX21" s="860"/>
      <c r="BY21" s="860"/>
      <c r="BZ21" s="860"/>
      <c r="CA21" s="860"/>
      <c r="CB21" s="860"/>
      <c r="CC21" s="860"/>
      <c r="CD21" s="860"/>
      <c r="CE21" s="860"/>
      <c r="CF21" s="860"/>
      <c r="CG21" s="860"/>
      <c r="CH21" s="860"/>
      <c r="CI21" s="860"/>
      <c r="CJ21" s="860"/>
      <c r="CK21" s="860"/>
      <c r="CL21" s="640"/>
      <c r="CM21" s="640"/>
    </row>
    <row r="22" spans="2:91" ht="17.100000000000001" customHeight="1" x14ac:dyDescent="0.15">
      <c r="B22" s="991"/>
      <c r="C22" s="992"/>
      <c r="D22" s="992"/>
      <c r="E22" s="992"/>
      <c r="F22" s="992"/>
      <c r="G22" s="992"/>
      <c r="H22" s="992"/>
      <c r="I22" s="992"/>
      <c r="J22" s="992"/>
      <c r="K22" s="992"/>
      <c r="L22" s="992"/>
      <c r="M22" s="992"/>
      <c r="N22" s="992"/>
      <c r="O22" s="992"/>
      <c r="P22" s="992"/>
      <c r="Q22" s="992"/>
      <c r="R22" s="992"/>
      <c r="S22" s="992"/>
      <c r="T22" s="992"/>
      <c r="U22" s="992"/>
      <c r="V22" s="992"/>
      <c r="W22" s="992"/>
      <c r="X22" s="992"/>
      <c r="Y22" s="992"/>
      <c r="Z22" s="992"/>
      <c r="AA22" s="992"/>
      <c r="AB22" s="992"/>
      <c r="AC22" s="992"/>
      <c r="AD22" s="992"/>
      <c r="AE22" s="992"/>
      <c r="AF22" s="992"/>
      <c r="AG22" s="992"/>
      <c r="AH22" s="992"/>
      <c r="AI22" s="992"/>
      <c r="AJ22" s="992"/>
      <c r="AK22" s="992"/>
      <c r="AL22" s="992"/>
      <c r="AM22" s="992"/>
      <c r="AN22" s="992"/>
      <c r="AO22" s="992"/>
      <c r="AP22" s="992"/>
      <c r="AQ22" s="992"/>
      <c r="AR22" s="992"/>
      <c r="AS22" s="992"/>
      <c r="AT22" s="993"/>
      <c r="AW22" s="965"/>
      <c r="AX22" s="965"/>
      <c r="AY22" s="965"/>
      <c r="AZ22" s="965"/>
      <c r="BA22" s="965"/>
      <c r="BB22" s="859"/>
      <c r="BC22" s="859"/>
      <c r="BD22" s="859"/>
      <c r="BE22" s="859"/>
      <c r="BF22" s="859"/>
      <c r="BG22" s="859"/>
      <c r="BH22" s="859"/>
      <c r="BI22" s="859"/>
      <c r="BJ22" s="859"/>
      <c r="BK22" s="859"/>
      <c r="BL22" s="859"/>
      <c r="BM22" s="859"/>
      <c r="BN22" s="859"/>
      <c r="BO22" s="859"/>
      <c r="BP22" s="859"/>
      <c r="BQ22" s="859"/>
      <c r="BS22" s="965"/>
      <c r="BT22" s="965"/>
      <c r="BU22" s="965"/>
      <c r="BV22" s="965"/>
      <c r="BW22" s="965"/>
      <c r="BX22" s="859"/>
      <c r="BY22" s="859"/>
      <c r="BZ22" s="859"/>
      <c r="CA22" s="859"/>
      <c r="CB22" s="859"/>
      <c r="CC22" s="859"/>
      <c r="CD22" s="859"/>
      <c r="CE22" s="859"/>
      <c r="CF22" s="859"/>
      <c r="CG22" s="859"/>
      <c r="CH22" s="859"/>
      <c r="CI22" s="859"/>
      <c r="CJ22" s="859"/>
      <c r="CK22" s="859"/>
      <c r="CL22" s="669"/>
      <c r="CM22" s="669"/>
    </row>
    <row r="23" spans="2:91" ht="17.100000000000001" customHeight="1" x14ac:dyDescent="0.15">
      <c r="B23" s="991"/>
      <c r="C23" s="992"/>
      <c r="D23" s="992"/>
      <c r="E23" s="992"/>
      <c r="F23" s="992"/>
      <c r="G23" s="992"/>
      <c r="H23" s="992"/>
      <c r="I23" s="992"/>
      <c r="J23" s="992"/>
      <c r="K23" s="992"/>
      <c r="L23" s="992"/>
      <c r="M23" s="992"/>
      <c r="N23" s="992"/>
      <c r="O23" s="992"/>
      <c r="P23" s="992"/>
      <c r="Q23" s="992"/>
      <c r="R23" s="992"/>
      <c r="S23" s="992"/>
      <c r="T23" s="992"/>
      <c r="U23" s="992"/>
      <c r="V23" s="992"/>
      <c r="W23" s="992"/>
      <c r="X23" s="992"/>
      <c r="Y23" s="992"/>
      <c r="Z23" s="992"/>
      <c r="AA23" s="992"/>
      <c r="AB23" s="992"/>
      <c r="AC23" s="992"/>
      <c r="AD23" s="992"/>
      <c r="AE23" s="992"/>
      <c r="AF23" s="992"/>
      <c r="AG23" s="992"/>
      <c r="AH23" s="992"/>
      <c r="AI23" s="992"/>
      <c r="AJ23" s="992"/>
      <c r="AK23" s="992"/>
      <c r="AL23" s="992"/>
      <c r="AM23" s="992"/>
      <c r="AN23" s="992"/>
      <c r="AO23" s="992"/>
      <c r="AP23" s="992"/>
      <c r="AQ23" s="992"/>
      <c r="AR23" s="992"/>
      <c r="AS23" s="992"/>
      <c r="AT23" s="993"/>
      <c r="AW23" s="966"/>
      <c r="AX23" s="966"/>
      <c r="AY23" s="966"/>
      <c r="AZ23" s="966"/>
      <c r="BA23" s="966"/>
      <c r="BB23" s="860"/>
      <c r="BC23" s="860"/>
      <c r="BD23" s="860"/>
      <c r="BE23" s="860"/>
      <c r="BF23" s="860"/>
      <c r="BG23" s="860"/>
      <c r="BH23" s="860"/>
      <c r="BI23" s="860"/>
      <c r="BJ23" s="860"/>
      <c r="BK23" s="860"/>
      <c r="BL23" s="860"/>
      <c r="BM23" s="860"/>
      <c r="BN23" s="860"/>
      <c r="BO23" s="860"/>
      <c r="BP23" s="860"/>
      <c r="BQ23" s="860"/>
      <c r="BS23" s="966"/>
      <c r="BT23" s="966"/>
      <c r="BU23" s="966"/>
      <c r="BV23" s="966"/>
      <c r="BW23" s="966"/>
      <c r="BX23" s="860"/>
      <c r="BY23" s="860"/>
      <c r="BZ23" s="860"/>
      <c r="CA23" s="860"/>
      <c r="CB23" s="860"/>
      <c r="CC23" s="860"/>
      <c r="CD23" s="860"/>
      <c r="CE23" s="860"/>
      <c r="CF23" s="860"/>
      <c r="CG23" s="860"/>
      <c r="CH23" s="860"/>
      <c r="CI23" s="860"/>
      <c r="CJ23" s="860"/>
      <c r="CK23" s="860"/>
      <c r="CL23" s="640"/>
      <c r="CM23" s="640"/>
    </row>
    <row r="24" spans="2:91" ht="17.100000000000001" customHeight="1" x14ac:dyDescent="0.15">
      <c r="B24" s="991"/>
      <c r="C24" s="992"/>
      <c r="D24" s="992"/>
      <c r="E24" s="992"/>
      <c r="F24" s="992"/>
      <c r="G24" s="992"/>
      <c r="H24" s="992"/>
      <c r="I24" s="992"/>
      <c r="J24" s="992"/>
      <c r="K24" s="992"/>
      <c r="L24" s="992"/>
      <c r="M24" s="992"/>
      <c r="N24" s="992"/>
      <c r="O24" s="992"/>
      <c r="P24" s="992"/>
      <c r="Q24" s="992"/>
      <c r="R24" s="992"/>
      <c r="S24" s="992"/>
      <c r="T24" s="992"/>
      <c r="U24" s="992"/>
      <c r="V24" s="992"/>
      <c r="W24" s="992"/>
      <c r="X24" s="992"/>
      <c r="Y24" s="992"/>
      <c r="Z24" s="992"/>
      <c r="AA24" s="992"/>
      <c r="AB24" s="992"/>
      <c r="AC24" s="992"/>
      <c r="AD24" s="992"/>
      <c r="AE24" s="992"/>
      <c r="AF24" s="992"/>
      <c r="AG24" s="992"/>
      <c r="AH24" s="992"/>
      <c r="AI24" s="992"/>
      <c r="AJ24" s="992"/>
      <c r="AK24" s="992"/>
      <c r="AL24" s="992"/>
      <c r="AM24" s="992"/>
      <c r="AN24" s="992"/>
      <c r="AO24" s="992"/>
      <c r="AP24" s="992"/>
      <c r="AQ24" s="992"/>
      <c r="AR24" s="992"/>
      <c r="AS24" s="992"/>
      <c r="AT24" s="993"/>
      <c r="AW24" s="965"/>
      <c r="AX24" s="965"/>
      <c r="AY24" s="965"/>
      <c r="AZ24" s="965"/>
      <c r="BA24" s="965"/>
      <c r="BB24" s="859"/>
      <c r="BC24" s="859"/>
      <c r="BD24" s="859"/>
      <c r="BE24" s="859"/>
      <c r="BF24" s="859"/>
      <c r="BG24" s="859"/>
      <c r="BH24" s="859"/>
      <c r="BI24" s="859"/>
      <c r="BJ24" s="859"/>
      <c r="BK24" s="859"/>
      <c r="BL24" s="859"/>
      <c r="BM24" s="859"/>
      <c r="BN24" s="859"/>
      <c r="BO24" s="859"/>
      <c r="BP24" s="859"/>
      <c r="BQ24" s="859"/>
      <c r="BS24" s="965"/>
      <c r="BT24" s="965"/>
      <c r="BU24" s="965"/>
      <c r="BV24" s="965"/>
      <c r="BW24" s="965"/>
      <c r="BX24" s="859"/>
      <c r="BY24" s="859"/>
      <c r="BZ24" s="859"/>
      <c r="CA24" s="859"/>
      <c r="CB24" s="859"/>
      <c r="CC24" s="859"/>
      <c r="CD24" s="859"/>
      <c r="CE24" s="859"/>
      <c r="CF24" s="859"/>
      <c r="CG24" s="859"/>
      <c r="CH24" s="859"/>
      <c r="CI24" s="859"/>
      <c r="CJ24" s="859"/>
      <c r="CK24" s="859"/>
      <c r="CL24" s="669"/>
      <c r="CM24" s="669"/>
    </row>
    <row r="25" spans="2:91" ht="17.100000000000001" customHeight="1" x14ac:dyDescent="0.15">
      <c r="B25" s="994"/>
      <c r="C25" s="995"/>
      <c r="D25" s="995"/>
      <c r="E25" s="995"/>
      <c r="F25" s="995"/>
      <c r="G25" s="995"/>
      <c r="H25" s="995"/>
      <c r="I25" s="995"/>
      <c r="J25" s="995"/>
      <c r="K25" s="995"/>
      <c r="L25" s="995"/>
      <c r="M25" s="995"/>
      <c r="N25" s="995"/>
      <c r="O25" s="995"/>
      <c r="P25" s="995"/>
      <c r="Q25" s="995"/>
      <c r="R25" s="995"/>
      <c r="S25" s="995"/>
      <c r="T25" s="995"/>
      <c r="U25" s="995"/>
      <c r="V25" s="995"/>
      <c r="W25" s="995"/>
      <c r="X25" s="995"/>
      <c r="Y25" s="995"/>
      <c r="Z25" s="995"/>
      <c r="AA25" s="995"/>
      <c r="AB25" s="995"/>
      <c r="AC25" s="995"/>
      <c r="AD25" s="995"/>
      <c r="AE25" s="995"/>
      <c r="AF25" s="995"/>
      <c r="AG25" s="995"/>
      <c r="AH25" s="995"/>
      <c r="AI25" s="995"/>
      <c r="AJ25" s="995"/>
      <c r="AK25" s="995"/>
      <c r="AL25" s="995"/>
      <c r="AM25" s="995"/>
      <c r="AN25" s="995"/>
      <c r="AO25" s="995"/>
      <c r="AP25" s="995"/>
      <c r="AQ25" s="995"/>
      <c r="AR25" s="995"/>
      <c r="AS25" s="995"/>
      <c r="AT25" s="996"/>
      <c r="AW25" s="966"/>
      <c r="AX25" s="966"/>
      <c r="AY25" s="966"/>
      <c r="AZ25" s="966"/>
      <c r="BA25" s="966"/>
      <c r="BB25" s="860"/>
      <c r="BC25" s="860"/>
      <c r="BD25" s="860"/>
      <c r="BE25" s="860"/>
      <c r="BF25" s="860"/>
      <c r="BG25" s="860"/>
      <c r="BH25" s="860"/>
      <c r="BI25" s="860"/>
      <c r="BJ25" s="860"/>
      <c r="BK25" s="860"/>
      <c r="BL25" s="860"/>
      <c r="BM25" s="860"/>
      <c r="BN25" s="860"/>
      <c r="BO25" s="860"/>
      <c r="BP25" s="860"/>
      <c r="BQ25" s="860"/>
      <c r="BS25" s="966"/>
      <c r="BT25" s="966"/>
      <c r="BU25" s="966"/>
      <c r="BV25" s="966"/>
      <c r="BW25" s="966"/>
      <c r="BX25" s="860"/>
      <c r="BY25" s="860"/>
      <c r="BZ25" s="860"/>
      <c r="CA25" s="860"/>
      <c r="CB25" s="860"/>
      <c r="CC25" s="860"/>
      <c r="CD25" s="860"/>
      <c r="CE25" s="860"/>
      <c r="CF25" s="860"/>
      <c r="CG25" s="860"/>
      <c r="CH25" s="860"/>
      <c r="CI25" s="860"/>
      <c r="CJ25" s="860"/>
      <c r="CK25" s="860"/>
      <c r="CL25" s="640"/>
      <c r="CM25" s="640"/>
    </row>
    <row r="27" spans="2:91" ht="17.100000000000001" customHeight="1" x14ac:dyDescent="0.15">
      <c r="B27" s="982" t="s">
        <v>8544</v>
      </c>
      <c r="C27" s="983"/>
      <c r="D27" s="983"/>
      <c r="E27" s="983"/>
      <c r="F27" s="983"/>
      <c r="G27" s="983"/>
      <c r="H27" s="983"/>
      <c r="I27" s="983"/>
      <c r="J27" s="983"/>
      <c r="K27" s="983"/>
      <c r="L27" s="983"/>
      <c r="M27" s="983"/>
      <c r="N27" s="983"/>
      <c r="O27" s="983"/>
      <c r="P27" s="983"/>
      <c r="Q27" s="983"/>
      <c r="R27" s="983"/>
      <c r="S27" s="983"/>
      <c r="T27" s="983"/>
      <c r="U27" s="983"/>
      <c r="V27" s="983"/>
      <c r="W27" s="983"/>
      <c r="X27" s="983"/>
      <c r="Y27" s="983"/>
      <c r="Z27" s="983"/>
      <c r="AA27" s="983"/>
      <c r="AB27" s="983"/>
      <c r="AC27" s="983"/>
      <c r="AD27" s="983"/>
      <c r="AE27" s="983"/>
      <c r="AF27" s="983"/>
      <c r="AG27" s="983"/>
      <c r="AH27" s="983"/>
      <c r="AI27" s="983"/>
      <c r="AJ27" s="983"/>
      <c r="AK27" s="983"/>
      <c r="AL27" s="983"/>
      <c r="AM27" s="983"/>
      <c r="AN27" s="983"/>
      <c r="AO27" s="983"/>
      <c r="AP27" s="983"/>
      <c r="AQ27" s="983"/>
      <c r="AR27" s="983"/>
      <c r="AS27" s="983"/>
      <c r="AT27" s="984"/>
      <c r="AW27" s="982" t="s">
        <v>8539</v>
      </c>
      <c r="AX27" s="983"/>
      <c r="AY27" s="983"/>
      <c r="AZ27" s="983"/>
      <c r="BA27" s="983"/>
      <c r="BB27" s="983"/>
      <c r="BC27" s="983"/>
      <c r="BD27" s="983"/>
      <c r="BE27" s="983"/>
      <c r="BF27" s="983"/>
      <c r="BG27" s="983"/>
      <c r="BH27" s="983"/>
      <c r="BI27" s="983"/>
      <c r="BJ27" s="983"/>
      <c r="BK27" s="983"/>
      <c r="BL27" s="983"/>
      <c r="BM27" s="983"/>
      <c r="BN27" s="983"/>
      <c r="BO27" s="983"/>
      <c r="BP27" s="983"/>
      <c r="BQ27" s="983"/>
      <c r="BR27" s="983"/>
      <c r="BS27" s="983"/>
      <c r="BT27" s="983"/>
      <c r="BU27" s="983"/>
      <c r="BV27" s="983"/>
      <c r="BW27" s="983"/>
      <c r="BX27" s="983"/>
      <c r="BY27" s="983"/>
      <c r="BZ27" s="983"/>
      <c r="CA27" s="983"/>
      <c r="CB27" s="983"/>
      <c r="CC27" s="983"/>
      <c r="CD27" s="983"/>
      <c r="CE27" s="983"/>
      <c r="CF27" s="983"/>
      <c r="CG27" s="983"/>
      <c r="CH27" s="983"/>
      <c r="CI27" s="983"/>
      <c r="CJ27" s="983"/>
      <c r="CK27" s="983"/>
      <c r="CL27" s="983"/>
      <c r="CM27" s="984"/>
    </row>
    <row r="28" spans="2:91" ht="17.100000000000001" customHeight="1" x14ac:dyDescent="0.15">
      <c r="B28" s="979" t="s">
        <v>8564</v>
      </c>
      <c r="C28" s="980"/>
      <c r="D28" s="980"/>
      <c r="E28" s="980"/>
      <c r="F28" s="980"/>
      <c r="G28" s="980"/>
      <c r="H28" s="980"/>
      <c r="I28" s="980"/>
      <c r="J28" s="980"/>
      <c r="K28" s="980"/>
      <c r="L28" s="980"/>
      <c r="M28" s="980"/>
      <c r="N28" s="980"/>
      <c r="O28" s="980"/>
      <c r="P28" s="980"/>
      <c r="Q28" s="980"/>
      <c r="R28" s="980"/>
      <c r="S28" s="980"/>
      <c r="T28" s="980"/>
      <c r="U28" s="980"/>
      <c r="V28" s="980"/>
      <c r="W28" s="980"/>
      <c r="X28" s="980"/>
      <c r="Y28" s="980"/>
      <c r="Z28" s="980"/>
      <c r="AA28" s="980"/>
      <c r="AB28" s="980"/>
      <c r="AC28" s="980"/>
      <c r="AD28" s="980"/>
      <c r="AE28" s="980"/>
      <c r="AF28" s="980"/>
      <c r="AG28" s="980"/>
      <c r="AH28" s="980"/>
      <c r="AI28" s="980"/>
      <c r="AJ28" s="980"/>
      <c r="AK28" s="980"/>
      <c r="AL28" s="980"/>
      <c r="AM28" s="980"/>
      <c r="AN28" s="980"/>
      <c r="AO28" s="980"/>
      <c r="AP28" s="980"/>
      <c r="AQ28" s="980"/>
      <c r="AR28" s="980"/>
      <c r="AS28" s="980"/>
      <c r="AT28" s="981"/>
      <c r="AW28" s="979" t="s">
        <v>8565</v>
      </c>
      <c r="AX28" s="980"/>
      <c r="AY28" s="980"/>
      <c r="AZ28" s="980"/>
      <c r="BA28" s="980"/>
      <c r="BB28" s="980"/>
      <c r="BC28" s="980"/>
      <c r="BD28" s="980"/>
      <c r="BE28" s="980"/>
      <c r="BF28" s="980"/>
      <c r="BG28" s="980"/>
      <c r="BH28" s="980"/>
      <c r="BI28" s="980"/>
      <c r="BJ28" s="980"/>
      <c r="BK28" s="980"/>
      <c r="BL28" s="980"/>
      <c r="BM28" s="980"/>
      <c r="BN28" s="980"/>
      <c r="BO28" s="980"/>
      <c r="BP28" s="980"/>
      <c r="BQ28" s="980"/>
      <c r="BR28" s="980"/>
      <c r="BS28" s="980"/>
      <c r="BT28" s="980"/>
      <c r="BU28" s="980"/>
      <c r="BV28" s="980"/>
      <c r="BW28" s="980"/>
      <c r="BX28" s="980"/>
      <c r="BY28" s="980"/>
      <c r="BZ28" s="980"/>
      <c r="CA28" s="980"/>
      <c r="CB28" s="980"/>
      <c r="CC28" s="980"/>
      <c r="CD28" s="980"/>
      <c r="CE28" s="980"/>
      <c r="CF28" s="980"/>
      <c r="CG28" s="980"/>
      <c r="CH28" s="980"/>
      <c r="CI28" s="980"/>
      <c r="CJ28" s="980"/>
      <c r="CK28" s="980"/>
      <c r="CL28" s="980"/>
      <c r="CM28" s="981"/>
    </row>
    <row r="29" spans="2:91" ht="17.100000000000001" customHeight="1" x14ac:dyDescent="0.15">
      <c r="B29" s="979"/>
      <c r="C29" s="980"/>
      <c r="D29" s="980"/>
      <c r="E29" s="980"/>
      <c r="F29" s="980"/>
      <c r="G29" s="980"/>
      <c r="H29" s="980"/>
      <c r="I29" s="980"/>
      <c r="J29" s="980"/>
      <c r="K29" s="980"/>
      <c r="L29" s="980"/>
      <c r="M29" s="980"/>
      <c r="N29" s="980"/>
      <c r="O29" s="980"/>
      <c r="P29" s="980"/>
      <c r="Q29" s="980"/>
      <c r="R29" s="980"/>
      <c r="S29" s="980"/>
      <c r="T29" s="980"/>
      <c r="U29" s="980"/>
      <c r="V29" s="980"/>
      <c r="W29" s="980"/>
      <c r="X29" s="980"/>
      <c r="Y29" s="980"/>
      <c r="Z29" s="980"/>
      <c r="AA29" s="980"/>
      <c r="AB29" s="980"/>
      <c r="AC29" s="980"/>
      <c r="AD29" s="980"/>
      <c r="AE29" s="980"/>
      <c r="AF29" s="980"/>
      <c r="AG29" s="980"/>
      <c r="AH29" s="980"/>
      <c r="AI29" s="980"/>
      <c r="AJ29" s="980"/>
      <c r="AK29" s="980"/>
      <c r="AL29" s="980"/>
      <c r="AM29" s="980"/>
      <c r="AN29" s="980"/>
      <c r="AO29" s="980"/>
      <c r="AP29" s="980"/>
      <c r="AQ29" s="980"/>
      <c r="AR29" s="980"/>
      <c r="AS29" s="980"/>
      <c r="AT29" s="981"/>
      <c r="AW29" s="979"/>
      <c r="AX29" s="980"/>
      <c r="AY29" s="980"/>
      <c r="AZ29" s="980"/>
      <c r="BA29" s="980"/>
      <c r="BB29" s="980"/>
      <c r="BC29" s="980"/>
      <c r="BD29" s="980"/>
      <c r="BE29" s="980"/>
      <c r="BF29" s="980"/>
      <c r="BG29" s="980"/>
      <c r="BH29" s="980"/>
      <c r="BI29" s="980"/>
      <c r="BJ29" s="980"/>
      <c r="BK29" s="980"/>
      <c r="BL29" s="980"/>
      <c r="BM29" s="980"/>
      <c r="BN29" s="980"/>
      <c r="BO29" s="980"/>
      <c r="BP29" s="980"/>
      <c r="BQ29" s="980"/>
      <c r="BR29" s="980"/>
      <c r="BS29" s="980"/>
      <c r="BT29" s="980"/>
      <c r="BU29" s="980"/>
      <c r="BV29" s="980"/>
      <c r="BW29" s="980"/>
      <c r="BX29" s="980"/>
      <c r="BY29" s="980"/>
      <c r="BZ29" s="980"/>
      <c r="CA29" s="980"/>
      <c r="CB29" s="980"/>
      <c r="CC29" s="980"/>
      <c r="CD29" s="980"/>
      <c r="CE29" s="980"/>
      <c r="CF29" s="980"/>
      <c r="CG29" s="980"/>
      <c r="CH29" s="980"/>
      <c r="CI29" s="980"/>
      <c r="CJ29" s="980"/>
      <c r="CK29" s="980"/>
      <c r="CL29" s="980"/>
      <c r="CM29" s="981"/>
    </row>
    <row r="30" spans="2:91" ht="17.100000000000001" customHeight="1" x14ac:dyDescent="0.15">
      <c r="B30" s="979"/>
      <c r="C30" s="980"/>
      <c r="D30" s="980"/>
      <c r="E30" s="980"/>
      <c r="F30" s="980"/>
      <c r="G30" s="980"/>
      <c r="H30" s="980"/>
      <c r="I30" s="980"/>
      <c r="J30" s="980"/>
      <c r="K30" s="980"/>
      <c r="L30" s="980"/>
      <c r="M30" s="980"/>
      <c r="N30" s="980"/>
      <c r="O30" s="980"/>
      <c r="P30" s="980"/>
      <c r="Q30" s="980"/>
      <c r="R30" s="980"/>
      <c r="S30" s="980"/>
      <c r="T30" s="980"/>
      <c r="U30" s="980"/>
      <c r="V30" s="980"/>
      <c r="W30" s="980"/>
      <c r="X30" s="980"/>
      <c r="Y30" s="980"/>
      <c r="Z30" s="980"/>
      <c r="AA30" s="980"/>
      <c r="AB30" s="980"/>
      <c r="AC30" s="980"/>
      <c r="AD30" s="980"/>
      <c r="AE30" s="980"/>
      <c r="AF30" s="980"/>
      <c r="AG30" s="980"/>
      <c r="AH30" s="980"/>
      <c r="AI30" s="980"/>
      <c r="AJ30" s="980"/>
      <c r="AK30" s="980"/>
      <c r="AL30" s="980"/>
      <c r="AM30" s="980"/>
      <c r="AN30" s="980"/>
      <c r="AO30" s="980"/>
      <c r="AP30" s="980"/>
      <c r="AQ30" s="980"/>
      <c r="AR30" s="980"/>
      <c r="AS30" s="980"/>
      <c r="AT30" s="981"/>
      <c r="AW30" s="979"/>
      <c r="AX30" s="980"/>
      <c r="AY30" s="980"/>
      <c r="AZ30" s="980"/>
      <c r="BA30" s="980"/>
      <c r="BB30" s="980"/>
      <c r="BC30" s="980"/>
      <c r="BD30" s="980"/>
      <c r="BE30" s="980"/>
      <c r="BF30" s="980"/>
      <c r="BG30" s="980"/>
      <c r="BH30" s="980"/>
      <c r="BI30" s="980"/>
      <c r="BJ30" s="980"/>
      <c r="BK30" s="980"/>
      <c r="BL30" s="980"/>
      <c r="BM30" s="980"/>
      <c r="BN30" s="980"/>
      <c r="BO30" s="980"/>
      <c r="BP30" s="980"/>
      <c r="BQ30" s="980"/>
      <c r="BR30" s="980"/>
      <c r="BS30" s="980"/>
      <c r="BT30" s="980"/>
      <c r="BU30" s="980"/>
      <c r="BV30" s="980"/>
      <c r="BW30" s="980"/>
      <c r="BX30" s="980"/>
      <c r="BY30" s="980"/>
      <c r="BZ30" s="980"/>
      <c r="CA30" s="980"/>
      <c r="CB30" s="980"/>
      <c r="CC30" s="980"/>
      <c r="CD30" s="980"/>
      <c r="CE30" s="980"/>
      <c r="CF30" s="980"/>
      <c r="CG30" s="980"/>
      <c r="CH30" s="980"/>
      <c r="CI30" s="980"/>
      <c r="CJ30" s="980"/>
      <c r="CK30" s="980"/>
      <c r="CL30" s="980"/>
      <c r="CM30" s="981"/>
    </row>
    <row r="31" spans="2:91" ht="17.100000000000001" customHeight="1" x14ac:dyDescent="0.15">
      <c r="B31" s="979"/>
      <c r="C31" s="980"/>
      <c r="D31" s="980"/>
      <c r="E31" s="980"/>
      <c r="F31" s="980"/>
      <c r="G31" s="980"/>
      <c r="H31" s="980"/>
      <c r="I31" s="980"/>
      <c r="J31" s="980"/>
      <c r="K31" s="980"/>
      <c r="L31" s="980"/>
      <c r="M31" s="980"/>
      <c r="N31" s="980"/>
      <c r="O31" s="980"/>
      <c r="P31" s="980"/>
      <c r="Q31" s="980"/>
      <c r="R31" s="980"/>
      <c r="S31" s="980"/>
      <c r="T31" s="980"/>
      <c r="U31" s="980"/>
      <c r="V31" s="980"/>
      <c r="W31" s="980"/>
      <c r="X31" s="980"/>
      <c r="Y31" s="980"/>
      <c r="Z31" s="980"/>
      <c r="AA31" s="980"/>
      <c r="AB31" s="980"/>
      <c r="AC31" s="980"/>
      <c r="AD31" s="980"/>
      <c r="AE31" s="980"/>
      <c r="AF31" s="980"/>
      <c r="AG31" s="980"/>
      <c r="AH31" s="980"/>
      <c r="AI31" s="980"/>
      <c r="AJ31" s="980"/>
      <c r="AK31" s="980"/>
      <c r="AL31" s="980"/>
      <c r="AM31" s="980"/>
      <c r="AN31" s="980"/>
      <c r="AO31" s="980"/>
      <c r="AP31" s="980"/>
      <c r="AQ31" s="980"/>
      <c r="AR31" s="980"/>
      <c r="AS31" s="980"/>
      <c r="AT31" s="981"/>
      <c r="AW31" s="979"/>
      <c r="AX31" s="980"/>
      <c r="AY31" s="980"/>
      <c r="AZ31" s="980"/>
      <c r="BA31" s="980"/>
      <c r="BB31" s="980"/>
      <c r="BC31" s="980"/>
      <c r="BD31" s="980"/>
      <c r="BE31" s="980"/>
      <c r="BF31" s="980"/>
      <c r="BG31" s="980"/>
      <c r="BH31" s="980"/>
      <c r="BI31" s="980"/>
      <c r="BJ31" s="980"/>
      <c r="BK31" s="980"/>
      <c r="BL31" s="980"/>
      <c r="BM31" s="980"/>
      <c r="BN31" s="980"/>
      <c r="BO31" s="980"/>
      <c r="BP31" s="980"/>
      <c r="BQ31" s="980"/>
      <c r="BR31" s="980"/>
      <c r="BS31" s="980"/>
      <c r="BT31" s="980"/>
      <c r="BU31" s="980"/>
      <c r="BV31" s="980"/>
      <c r="BW31" s="980"/>
      <c r="BX31" s="980"/>
      <c r="BY31" s="980"/>
      <c r="BZ31" s="980"/>
      <c r="CA31" s="980"/>
      <c r="CB31" s="980"/>
      <c r="CC31" s="980"/>
      <c r="CD31" s="980"/>
      <c r="CE31" s="980"/>
      <c r="CF31" s="980"/>
      <c r="CG31" s="980"/>
      <c r="CH31" s="980"/>
      <c r="CI31" s="980"/>
      <c r="CJ31" s="980"/>
      <c r="CK31" s="980"/>
      <c r="CL31" s="980"/>
      <c r="CM31" s="981"/>
    </row>
    <row r="32" spans="2:91" ht="17.100000000000001" customHeight="1" x14ac:dyDescent="0.15">
      <c r="B32" s="979"/>
      <c r="C32" s="980"/>
      <c r="D32" s="980"/>
      <c r="E32" s="980"/>
      <c r="F32" s="980"/>
      <c r="G32" s="980"/>
      <c r="H32" s="980"/>
      <c r="I32" s="980"/>
      <c r="J32" s="980"/>
      <c r="K32" s="980"/>
      <c r="L32" s="980"/>
      <c r="M32" s="980"/>
      <c r="N32" s="980"/>
      <c r="O32" s="980"/>
      <c r="P32" s="980"/>
      <c r="Q32" s="980"/>
      <c r="R32" s="980"/>
      <c r="S32" s="980"/>
      <c r="T32" s="980"/>
      <c r="U32" s="980"/>
      <c r="V32" s="980"/>
      <c r="W32" s="980"/>
      <c r="X32" s="980"/>
      <c r="Y32" s="980"/>
      <c r="Z32" s="980"/>
      <c r="AA32" s="980"/>
      <c r="AB32" s="980"/>
      <c r="AC32" s="980"/>
      <c r="AD32" s="980"/>
      <c r="AE32" s="980"/>
      <c r="AF32" s="980"/>
      <c r="AG32" s="980"/>
      <c r="AH32" s="980"/>
      <c r="AI32" s="980"/>
      <c r="AJ32" s="980"/>
      <c r="AK32" s="980"/>
      <c r="AL32" s="980"/>
      <c r="AM32" s="980"/>
      <c r="AN32" s="980"/>
      <c r="AO32" s="980"/>
      <c r="AP32" s="980"/>
      <c r="AQ32" s="980"/>
      <c r="AR32" s="980"/>
      <c r="AS32" s="980"/>
      <c r="AT32" s="981"/>
      <c r="AW32" s="979"/>
      <c r="AX32" s="980"/>
      <c r="AY32" s="980"/>
      <c r="AZ32" s="980"/>
      <c r="BA32" s="980"/>
      <c r="BB32" s="980"/>
      <c r="BC32" s="980"/>
      <c r="BD32" s="980"/>
      <c r="BE32" s="980"/>
      <c r="BF32" s="980"/>
      <c r="BG32" s="980"/>
      <c r="BH32" s="980"/>
      <c r="BI32" s="980"/>
      <c r="BJ32" s="980"/>
      <c r="BK32" s="980"/>
      <c r="BL32" s="980"/>
      <c r="BM32" s="980"/>
      <c r="BN32" s="980"/>
      <c r="BO32" s="980"/>
      <c r="BP32" s="980"/>
      <c r="BQ32" s="980"/>
      <c r="BR32" s="980"/>
      <c r="BS32" s="980"/>
      <c r="BT32" s="980"/>
      <c r="BU32" s="980"/>
      <c r="BV32" s="980"/>
      <c r="BW32" s="980"/>
      <c r="BX32" s="980"/>
      <c r="BY32" s="980"/>
      <c r="BZ32" s="980"/>
      <c r="CA32" s="980"/>
      <c r="CB32" s="980"/>
      <c r="CC32" s="980"/>
      <c r="CD32" s="980"/>
      <c r="CE32" s="980"/>
      <c r="CF32" s="980"/>
      <c r="CG32" s="980"/>
      <c r="CH32" s="980"/>
      <c r="CI32" s="980"/>
      <c r="CJ32" s="980"/>
      <c r="CK32" s="980"/>
      <c r="CL32" s="980"/>
      <c r="CM32" s="981"/>
    </row>
    <row r="33" spans="2:91" ht="17.100000000000001" customHeight="1" x14ac:dyDescent="0.15">
      <c r="B33" s="979"/>
      <c r="C33" s="980"/>
      <c r="D33" s="980"/>
      <c r="E33" s="980"/>
      <c r="F33" s="980"/>
      <c r="G33" s="980"/>
      <c r="H33" s="980"/>
      <c r="I33" s="980"/>
      <c r="J33" s="980"/>
      <c r="K33" s="980"/>
      <c r="L33" s="980"/>
      <c r="M33" s="980"/>
      <c r="N33" s="980"/>
      <c r="O33" s="980"/>
      <c r="P33" s="980"/>
      <c r="Q33" s="980"/>
      <c r="R33" s="980"/>
      <c r="S33" s="980"/>
      <c r="T33" s="980"/>
      <c r="U33" s="980"/>
      <c r="V33" s="980"/>
      <c r="W33" s="980"/>
      <c r="X33" s="980"/>
      <c r="Y33" s="980"/>
      <c r="Z33" s="980"/>
      <c r="AA33" s="980"/>
      <c r="AB33" s="980"/>
      <c r="AC33" s="980"/>
      <c r="AD33" s="980"/>
      <c r="AE33" s="980"/>
      <c r="AF33" s="980"/>
      <c r="AG33" s="980"/>
      <c r="AH33" s="980"/>
      <c r="AI33" s="980"/>
      <c r="AJ33" s="980"/>
      <c r="AK33" s="980"/>
      <c r="AL33" s="980"/>
      <c r="AM33" s="980"/>
      <c r="AN33" s="980"/>
      <c r="AO33" s="980"/>
      <c r="AP33" s="980"/>
      <c r="AQ33" s="980"/>
      <c r="AR33" s="980"/>
      <c r="AS33" s="980"/>
      <c r="AT33" s="981"/>
      <c r="AW33" s="979"/>
      <c r="AX33" s="980"/>
      <c r="AY33" s="980"/>
      <c r="AZ33" s="980"/>
      <c r="BA33" s="980"/>
      <c r="BB33" s="980"/>
      <c r="BC33" s="980"/>
      <c r="BD33" s="980"/>
      <c r="BE33" s="980"/>
      <c r="BF33" s="980"/>
      <c r="BG33" s="980"/>
      <c r="BH33" s="980"/>
      <c r="BI33" s="980"/>
      <c r="BJ33" s="980"/>
      <c r="BK33" s="980"/>
      <c r="BL33" s="980"/>
      <c r="BM33" s="980"/>
      <c r="BN33" s="980"/>
      <c r="BO33" s="980"/>
      <c r="BP33" s="980"/>
      <c r="BQ33" s="980"/>
      <c r="BR33" s="980"/>
      <c r="BS33" s="980"/>
      <c r="BT33" s="980"/>
      <c r="BU33" s="980"/>
      <c r="BV33" s="980"/>
      <c r="BW33" s="980"/>
      <c r="BX33" s="980"/>
      <c r="BY33" s="980"/>
      <c r="BZ33" s="980"/>
      <c r="CA33" s="980"/>
      <c r="CB33" s="980"/>
      <c r="CC33" s="980"/>
      <c r="CD33" s="980"/>
      <c r="CE33" s="980"/>
      <c r="CF33" s="980"/>
      <c r="CG33" s="980"/>
      <c r="CH33" s="980"/>
      <c r="CI33" s="980"/>
      <c r="CJ33" s="980"/>
      <c r="CK33" s="980"/>
      <c r="CL33" s="980"/>
      <c r="CM33" s="981"/>
    </row>
    <row r="34" spans="2:91" ht="17.100000000000001" customHeight="1" x14ac:dyDescent="0.15">
      <c r="B34" s="979"/>
      <c r="C34" s="980"/>
      <c r="D34" s="980"/>
      <c r="E34" s="980"/>
      <c r="F34" s="980"/>
      <c r="G34" s="980"/>
      <c r="H34" s="980"/>
      <c r="I34" s="980"/>
      <c r="J34" s="980"/>
      <c r="K34" s="980"/>
      <c r="L34" s="980"/>
      <c r="M34" s="980"/>
      <c r="N34" s="980"/>
      <c r="O34" s="980"/>
      <c r="P34" s="980"/>
      <c r="Q34" s="980"/>
      <c r="R34" s="980"/>
      <c r="S34" s="980"/>
      <c r="T34" s="980"/>
      <c r="U34" s="980"/>
      <c r="V34" s="980"/>
      <c r="W34" s="980"/>
      <c r="X34" s="980"/>
      <c r="Y34" s="980"/>
      <c r="Z34" s="980"/>
      <c r="AA34" s="980"/>
      <c r="AB34" s="980"/>
      <c r="AC34" s="980"/>
      <c r="AD34" s="980"/>
      <c r="AE34" s="980"/>
      <c r="AF34" s="980"/>
      <c r="AG34" s="980"/>
      <c r="AH34" s="980"/>
      <c r="AI34" s="980"/>
      <c r="AJ34" s="980"/>
      <c r="AK34" s="980"/>
      <c r="AL34" s="980"/>
      <c r="AM34" s="980"/>
      <c r="AN34" s="980"/>
      <c r="AO34" s="980"/>
      <c r="AP34" s="980"/>
      <c r="AQ34" s="980"/>
      <c r="AR34" s="980"/>
      <c r="AS34" s="980"/>
      <c r="AT34" s="981"/>
      <c r="AW34" s="979"/>
      <c r="AX34" s="980"/>
      <c r="AY34" s="980"/>
      <c r="AZ34" s="980"/>
      <c r="BA34" s="980"/>
      <c r="BB34" s="980"/>
      <c r="BC34" s="980"/>
      <c r="BD34" s="980"/>
      <c r="BE34" s="980"/>
      <c r="BF34" s="980"/>
      <c r="BG34" s="980"/>
      <c r="BH34" s="980"/>
      <c r="BI34" s="980"/>
      <c r="BJ34" s="980"/>
      <c r="BK34" s="980"/>
      <c r="BL34" s="980"/>
      <c r="BM34" s="980"/>
      <c r="BN34" s="980"/>
      <c r="BO34" s="980"/>
      <c r="BP34" s="980"/>
      <c r="BQ34" s="980"/>
      <c r="BR34" s="980"/>
      <c r="BS34" s="980"/>
      <c r="BT34" s="980"/>
      <c r="BU34" s="980"/>
      <c r="BV34" s="980"/>
      <c r="BW34" s="980"/>
      <c r="BX34" s="980"/>
      <c r="BY34" s="980"/>
      <c r="BZ34" s="980"/>
      <c r="CA34" s="980"/>
      <c r="CB34" s="980"/>
      <c r="CC34" s="980"/>
      <c r="CD34" s="980"/>
      <c r="CE34" s="980"/>
      <c r="CF34" s="980"/>
      <c r="CG34" s="980"/>
      <c r="CH34" s="980"/>
      <c r="CI34" s="980"/>
      <c r="CJ34" s="980"/>
      <c r="CK34" s="980"/>
      <c r="CL34" s="980"/>
      <c r="CM34" s="981"/>
    </row>
    <row r="35" spans="2:91" ht="17.100000000000001" customHeight="1" x14ac:dyDescent="0.15">
      <c r="B35" s="979"/>
      <c r="C35" s="980"/>
      <c r="D35" s="980"/>
      <c r="E35" s="980"/>
      <c r="F35" s="980"/>
      <c r="G35" s="980"/>
      <c r="H35" s="980"/>
      <c r="I35" s="980"/>
      <c r="J35" s="980"/>
      <c r="K35" s="980"/>
      <c r="L35" s="980"/>
      <c r="M35" s="980"/>
      <c r="N35" s="980"/>
      <c r="O35" s="980"/>
      <c r="P35" s="980"/>
      <c r="Q35" s="980"/>
      <c r="R35" s="980"/>
      <c r="S35" s="980"/>
      <c r="T35" s="980"/>
      <c r="U35" s="980"/>
      <c r="V35" s="980"/>
      <c r="W35" s="980"/>
      <c r="X35" s="980"/>
      <c r="Y35" s="980"/>
      <c r="Z35" s="980"/>
      <c r="AA35" s="980"/>
      <c r="AB35" s="980"/>
      <c r="AC35" s="980"/>
      <c r="AD35" s="980"/>
      <c r="AE35" s="980"/>
      <c r="AF35" s="980"/>
      <c r="AG35" s="980"/>
      <c r="AH35" s="980"/>
      <c r="AI35" s="980"/>
      <c r="AJ35" s="980"/>
      <c r="AK35" s="980"/>
      <c r="AL35" s="980"/>
      <c r="AM35" s="980"/>
      <c r="AN35" s="980"/>
      <c r="AO35" s="980"/>
      <c r="AP35" s="980"/>
      <c r="AQ35" s="980"/>
      <c r="AR35" s="980"/>
      <c r="AS35" s="980"/>
      <c r="AT35" s="981"/>
      <c r="AW35" s="979"/>
      <c r="AX35" s="980"/>
      <c r="AY35" s="980"/>
      <c r="AZ35" s="980"/>
      <c r="BA35" s="980"/>
      <c r="BB35" s="980"/>
      <c r="BC35" s="980"/>
      <c r="BD35" s="980"/>
      <c r="BE35" s="980"/>
      <c r="BF35" s="980"/>
      <c r="BG35" s="980"/>
      <c r="BH35" s="980"/>
      <c r="BI35" s="980"/>
      <c r="BJ35" s="980"/>
      <c r="BK35" s="980"/>
      <c r="BL35" s="980"/>
      <c r="BM35" s="980"/>
      <c r="BN35" s="980"/>
      <c r="BO35" s="980"/>
      <c r="BP35" s="980"/>
      <c r="BQ35" s="980"/>
      <c r="BR35" s="980"/>
      <c r="BS35" s="980"/>
      <c r="BT35" s="980"/>
      <c r="BU35" s="980"/>
      <c r="BV35" s="980"/>
      <c r="BW35" s="980"/>
      <c r="BX35" s="980"/>
      <c r="BY35" s="980"/>
      <c r="BZ35" s="980"/>
      <c r="CA35" s="980"/>
      <c r="CB35" s="980"/>
      <c r="CC35" s="980"/>
      <c r="CD35" s="980"/>
      <c r="CE35" s="980"/>
      <c r="CF35" s="980"/>
      <c r="CG35" s="980"/>
      <c r="CH35" s="980"/>
      <c r="CI35" s="980"/>
      <c r="CJ35" s="980"/>
      <c r="CK35" s="980"/>
      <c r="CL35" s="980"/>
      <c r="CM35" s="981"/>
    </row>
    <row r="36" spans="2:91" ht="17.100000000000001" customHeight="1" x14ac:dyDescent="0.15">
      <c r="B36" s="979"/>
      <c r="C36" s="980"/>
      <c r="D36" s="980"/>
      <c r="E36" s="980"/>
      <c r="F36" s="980"/>
      <c r="G36" s="980"/>
      <c r="H36" s="980"/>
      <c r="I36" s="980"/>
      <c r="J36" s="980"/>
      <c r="K36" s="980"/>
      <c r="L36" s="980"/>
      <c r="M36" s="980"/>
      <c r="N36" s="980"/>
      <c r="O36" s="980"/>
      <c r="P36" s="980"/>
      <c r="Q36" s="980"/>
      <c r="R36" s="980"/>
      <c r="S36" s="980"/>
      <c r="T36" s="980"/>
      <c r="U36" s="980"/>
      <c r="V36" s="980"/>
      <c r="W36" s="980"/>
      <c r="X36" s="980"/>
      <c r="Y36" s="980"/>
      <c r="Z36" s="980"/>
      <c r="AA36" s="980"/>
      <c r="AB36" s="980"/>
      <c r="AC36" s="980"/>
      <c r="AD36" s="980"/>
      <c r="AE36" s="980"/>
      <c r="AF36" s="980"/>
      <c r="AG36" s="980"/>
      <c r="AH36" s="980"/>
      <c r="AI36" s="980"/>
      <c r="AJ36" s="980"/>
      <c r="AK36" s="980"/>
      <c r="AL36" s="980"/>
      <c r="AM36" s="980"/>
      <c r="AN36" s="980"/>
      <c r="AO36" s="980"/>
      <c r="AP36" s="980"/>
      <c r="AQ36" s="980"/>
      <c r="AR36" s="980"/>
      <c r="AS36" s="980"/>
      <c r="AT36" s="981"/>
      <c r="AW36" s="979"/>
      <c r="AX36" s="980"/>
      <c r="AY36" s="980"/>
      <c r="AZ36" s="980"/>
      <c r="BA36" s="980"/>
      <c r="BB36" s="980"/>
      <c r="BC36" s="980"/>
      <c r="BD36" s="980"/>
      <c r="BE36" s="980"/>
      <c r="BF36" s="980"/>
      <c r="BG36" s="980"/>
      <c r="BH36" s="980"/>
      <c r="BI36" s="980"/>
      <c r="BJ36" s="980"/>
      <c r="BK36" s="980"/>
      <c r="BL36" s="980"/>
      <c r="BM36" s="980"/>
      <c r="BN36" s="980"/>
      <c r="BO36" s="980"/>
      <c r="BP36" s="980"/>
      <c r="BQ36" s="980"/>
      <c r="BR36" s="980"/>
      <c r="BS36" s="980"/>
      <c r="BT36" s="980"/>
      <c r="BU36" s="980"/>
      <c r="BV36" s="980"/>
      <c r="BW36" s="980"/>
      <c r="BX36" s="980"/>
      <c r="BY36" s="980"/>
      <c r="BZ36" s="980"/>
      <c r="CA36" s="980"/>
      <c r="CB36" s="980"/>
      <c r="CC36" s="980"/>
      <c r="CD36" s="980"/>
      <c r="CE36" s="980"/>
      <c r="CF36" s="980"/>
      <c r="CG36" s="980"/>
      <c r="CH36" s="980"/>
      <c r="CI36" s="980"/>
      <c r="CJ36" s="980"/>
      <c r="CK36" s="980"/>
      <c r="CL36" s="980"/>
      <c r="CM36" s="981"/>
    </row>
    <row r="37" spans="2:91" ht="17.100000000000001" customHeight="1" x14ac:dyDescent="0.15">
      <c r="B37" s="979"/>
      <c r="C37" s="980"/>
      <c r="D37" s="980"/>
      <c r="E37" s="980"/>
      <c r="F37" s="980"/>
      <c r="G37" s="980"/>
      <c r="H37" s="980"/>
      <c r="I37" s="980"/>
      <c r="J37" s="980"/>
      <c r="K37" s="980"/>
      <c r="L37" s="980"/>
      <c r="M37" s="980"/>
      <c r="N37" s="980"/>
      <c r="O37" s="980"/>
      <c r="P37" s="980"/>
      <c r="Q37" s="980"/>
      <c r="R37" s="980"/>
      <c r="S37" s="980"/>
      <c r="T37" s="980"/>
      <c r="U37" s="980"/>
      <c r="V37" s="980"/>
      <c r="W37" s="980"/>
      <c r="X37" s="980"/>
      <c r="Y37" s="980"/>
      <c r="Z37" s="980"/>
      <c r="AA37" s="980"/>
      <c r="AB37" s="980"/>
      <c r="AC37" s="980"/>
      <c r="AD37" s="980"/>
      <c r="AE37" s="980"/>
      <c r="AF37" s="980"/>
      <c r="AG37" s="980"/>
      <c r="AH37" s="980"/>
      <c r="AI37" s="980"/>
      <c r="AJ37" s="980"/>
      <c r="AK37" s="980"/>
      <c r="AL37" s="980"/>
      <c r="AM37" s="980"/>
      <c r="AN37" s="980"/>
      <c r="AO37" s="980"/>
      <c r="AP37" s="980"/>
      <c r="AQ37" s="980"/>
      <c r="AR37" s="980"/>
      <c r="AS37" s="980"/>
      <c r="AT37" s="981"/>
      <c r="AW37" s="979"/>
      <c r="AX37" s="980"/>
      <c r="AY37" s="980"/>
      <c r="AZ37" s="980"/>
      <c r="BA37" s="980"/>
      <c r="BB37" s="980"/>
      <c r="BC37" s="980"/>
      <c r="BD37" s="980"/>
      <c r="BE37" s="980"/>
      <c r="BF37" s="980"/>
      <c r="BG37" s="980"/>
      <c r="BH37" s="980"/>
      <c r="BI37" s="980"/>
      <c r="BJ37" s="980"/>
      <c r="BK37" s="980"/>
      <c r="BL37" s="980"/>
      <c r="BM37" s="980"/>
      <c r="BN37" s="980"/>
      <c r="BO37" s="980"/>
      <c r="BP37" s="980"/>
      <c r="BQ37" s="980"/>
      <c r="BR37" s="980"/>
      <c r="BS37" s="980"/>
      <c r="BT37" s="980"/>
      <c r="BU37" s="980"/>
      <c r="BV37" s="980"/>
      <c r="BW37" s="980"/>
      <c r="BX37" s="980"/>
      <c r="BY37" s="980"/>
      <c r="BZ37" s="980"/>
      <c r="CA37" s="980"/>
      <c r="CB37" s="980"/>
      <c r="CC37" s="980"/>
      <c r="CD37" s="980"/>
      <c r="CE37" s="980"/>
      <c r="CF37" s="980"/>
      <c r="CG37" s="980"/>
      <c r="CH37" s="980"/>
      <c r="CI37" s="980"/>
      <c r="CJ37" s="980"/>
      <c r="CK37" s="980"/>
      <c r="CL37" s="980"/>
      <c r="CM37" s="981"/>
    </row>
    <row r="38" spans="2:91" ht="17.100000000000001" customHeight="1" x14ac:dyDescent="0.15">
      <c r="B38" s="979"/>
      <c r="C38" s="980"/>
      <c r="D38" s="980"/>
      <c r="E38" s="980"/>
      <c r="F38" s="980"/>
      <c r="G38" s="980"/>
      <c r="H38" s="980"/>
      <c r="I38" s="980"/>
      <c r="J38" s="980"/>
      <c r="K38" s="980"/>
      <c r="L38" s="980"/>
      <c r="M38" s="980"/>
      <c r="N38" s="980"/>
      <c r="O38" s="980"/>
      <c r="P38" s="980"/>
      <c r="Q38" s="980"/>
      <c r="R38" s="980"/>
      <c r="S38" s="980"/>
      <c r="T38" s="980"/>
      <c r="U38" s="980"/>
      <c r="V38" s="980"/>
      <c r="W38" s="980"/>
      <c r="X38" s="980"/>
      <c r="Y38" s="980"/>
      <c r="Z38" s="980"/>
      <c r="AA38" s="980"/>
      <c r="AB38" s="980"/>
      <c r="AC38" s="980"/>
      <c r="AD38" s="980"/>
      <c r="AE38" s="980"/>
      <c r="AF38" s="980"/>
      <c r="AG38" s="980"/>
      <c r="AH38" s="980"/>
      <c r="AI38" s="980"/>
      <c r="AJ38" s="980"/>
      <c r="AK38" s="980"/>
      <c r="AL38" s="980"/>
      <c r="AM38" s="980"/>
      <c r="AN38" s="980"/>
      <c r="AO38" s="980"/>
      <c r="AP38" s="980"/>
      <c r="AQ38" s="980"/>
      <c r="AR38" s="980"/>
      <c r="AS38" s="980"/>
      <c r="AT38" s="981"/>
      <c r="AW38" s="979"/>
      <c r="AX38" s="980"/>
      <c r="AY38" s="980"/>
      <c r="AZ38" s="980"/>
      <c r="BA38" s="980"/>
      <c r="BB38" s="980"/>
      <c r="BC38" s="980"/>
      <c r="BD38" s="980"/>
      <c r="BE38" s="980"/>
      <c r="BF38" s="980"/>
      <c r="BG38" s="980"/>
      <c r="BH38" s="980"/>
      <c r="BI38" s="980"/>
      <c r="BJ38" s="980"/>
      <c r="BK38" s="980"/>
      <c r="BL38" s="980"/>
      <c r="BM38" s="980"/>
      <c r="BN38" s="980"/>
      <c r="BO38" s="980"/>
      <c r="BP38" s="980"/>
      <c r="BQ38" s="980"/>
      <c r="BR38" s="980"/>
      <c r="BS38" s="980"/>
      <c r="BT38" s="980"/>
      <c r="BU38" s="980"/>
      <c r="BV38" s="980"/>
      <c r="BW38" s="980"/>
      <c r="BX38" s="980"/>
      <c r="BY38" s="980"/>
      <c r="BZ38" s="980"/>
      <c r="CA38" s="980"/>
      <c r="CB38" s="980"/>
      <c r="CC38" s="980"/>
      <c r="CD38" s="980"/>
      <c r="CE38" s="980"/>
      <c r="CF38" s="980"/>
      <c r="CG38" s="980"/>
      <c r="CH38" s="980"/>
      <c r="CI38" s="980"/>
      <c r="CJ38" s="980"/>
      <c r="CK38" s="980"/>
      <c r="CL38" s="980"/>
      <c r="CM38" s="981"/>
    </row>
    <row r="39" spans="2:91" ht="17.100000000000001" customHeight="1" x14ac:dyDescent="0.15">
      <c r="B39" s="979"/>
      <c r="C39" s="980"/>
      <c r="D39" s="980"/>
      <c r="E39" s="980"/>
      <c r="F39" s="980"/>
      <c r="G39" s="980"/>
      <c r="H39" s="980"/>
      <c r="I39" s="980"/>
      <c r="J39" s="980"/>
      <c r="K39" s="980"/>
      <c r="L39" s="980"/>
      <c r="M39" s="980"/>
      <c r="N39" s="980"/>
      <c r="O39" s="980"/>
      <c r="P39" s="980"/>
      <c r="Q39" s="980"/>
      <c r="R39" s="980"/>
      <c r="S39" s="980"/>
      <c r="T39" s="980"/>
      <c r="U39" s="980"/>
      <c r="V39" s="980"/>
      <c r="W39" s="980"/>
      <c r="X39" s="980"/>
      <c r="Y39" s="980"/>
      <c r="Z39" s="980"/>
      <c r="AA39" s="980"/>
      <c r="AB39" s="980"/>
      <c r="AC39" s="980"/>
      <c r="AD39" s="980"/>
      <c r="AE39" s="980"/>
      <c r="AF39" s="980"/>
      <c r="AG39" s="980"/>
      <c r="AH39" s="980"/>
      <c r="AI39" s="980"/>
      <c r="AJ39" s="980"/>
      <c r="AK39" s="980"/>
      <c r="AL39" s="980"/>
      <c r="AM39" s="980"/>
      <c r="AN39" s="980"/>
      <c r="AO39" s="980"/>
      <c r="AP39" s="980"/>
      <c r="AQ39" s="980"/>
      <c r="AR39" s="980"/>
      <c r="AS39" s="980"/>
      <c r="AT39" s="981"/>
      <c r="AW39" s="979"/>
      <c r="AX39" s="980"/>
      <c r="AY39" s="980"/>
      <c r="AZ39" s="980"/>
      <c r="BA39" s="980"/>
      <c r="BB39" s="980"/>
      <c r="BC39" s="980"/>
      <c r="BD39" s="980"/>
      <c r="BE39" s="980"/>
      <c r="BF39" s="980"/>
      <c r="BG39" s="980"/>
      <c r="BH39" s="980"/>
      <c r="BI39" s="980"/>
      <c r="BJ39" s="980"/>
      <c r="BK39" s="980"/>
      <c r="BL39" s="980"/>
      <c r="BM39" s="980"/>
      <c r="BN39" s="980"/>
      <c r="BO39" s="980"/>
      <c r="BP39" s="980"/>
      <c r="BQ39" s="980"/>
      <c r="BR39" s="980"/>
      <c r="BS39" s="980"/>
      <c r="BT39" s="980"/>
      <c r="BU39" s="980"/>
      <c r="BV39" s="980"/>
      <c r="BW39" s="980"/>
      <c r="BX39" s="980"/>
      <c r="BY39" s="980"/>
      <c r="BZ39" s="980"/>
      <c r="CA39" s="980"/>
      <c r="CB39" s="980"/>
      <c r="CC39" s="980"/>
      <c r="CD39" s="980"/>
      <c r="CE39" s="980"/>
      <c r="CF39" s="980"/>
      <c r="CG39" s="980"/>
      <c r="CH39" s="980"/>
      <c r="CI39" s="980"/>
      <c r="CJ39" s="980"/>
      <c r="CK39" s="980"/>
      <c r="CL39" s="980"/>
      <c r="CM39" s="981"/>
    </row>
    <row r="40" spans="2:91" ht="17.100000000000001" customHeight="1" x14ac:dyDescent="0.15">
      <c r="B40" s="979"/>
      <c r="C40" s="980"/>
      <c r="D40" s="980"/>
      <c r="E40" s="980"/>
      <c r="F40" s="980"/>
      <c r="G40" s="980"/>
      <c r="H40" s="980"/>
      <c r="I40" s="980"/>
      <c r="J40" s="980"/>
      <c r="K40" s="980"/>
      <c r="L40" s="980"/>
      <c r="M40" s="980"/>
      <c r="N40" s="980"/>
      <c r="O40" s="980"/>
      <c r="P40" s="980"/>
      <c r="Q40" s="980"/>
      <c r="R40" s="980"/>
      <c r="S40" s="980"/>
      <c r="T40" s="980"/>
      <c r="U40" s="980"/>
      <c r="V40" s="980"/>
      <c r="W40" s="980"/>
      <c r="X40" s="980"/>
      <c r="Y40" s="980"/>
      <c r="Z40" s="980"/>
      <c r="AA40" s="980"/>
      <c r="AB40" s="980"/>
      <c r="AC40" s="980"/>
      <c r="AD40" s="980"/>
      <c r="AE40" s="980"/>
      <c r="AF40" s="980"/>
      <c r="AG40" s="980"/>
      <c r="AH40" s="980"/>
      <c r="AI40" s="980"/>
      <c r="AJ40" s="980"/>
      <c r="AK40" s="980"/>
      <c r="AL40" s="980"/>
      <c r="AM40" s="980"/>
      <c r="AN40" s="980"/>
      <c r="AO40" s="980"/>
      <c r="AP40" s="980"/>
      <c r="AQ40" s="980"/>
      <c r="AR40" s="980"/>
      <c r="AS40" s="980"/>
      <c r="AT40" s="981"/>
      <c r="AW40" s="979"/>
      <c r="AX40" s="980"/>
      <c r="AY40" s="980"/>
      <c r="AZ40" s="980"/>
      <c r="BA40" s="980"/>
      <c r="BB40" s="980"/>
      <c r="BC40" s="980"/>
      <c r="BD40" s="980"/>
      <c r="BE40" s="980"/>
      <c r="BF40" s="980"/>
      <c r="BG40" s="980"/>
      <c r="BH40" s="980"/>
      <c r="BI40" s="980"/>
      <c r="BJ40" s="980"/>
      <c r="BK40" s="980"/>
      <c r="BL40" s="980"/>
      <c r="BM40" s="980"/>
      <c r="BN40" s="980"/>
      <c r="BO40" s="980"/>
      <c r="BP40" s="980"/>
      <c r="BQ40" s="980"/>
      <c r="BR40" s="980"/>
      <c r="BS40" s="980"/>
      <c r="BT40" s="980"/>
      <c r="BU40" s="980"/>
      <c r="BV40" s="980"/>
      <c r="BW40" s="980"/>
      <c r="BX40" s="980"/>
      <c r="BY40" s="980"/>
      <c r="BZ40" s="980"/>
      <c r="CA40" s="980"/>
      <c r="CB40" s="980"/>
      <c r="CC40" s="980"/>
      <c r="CD40" s="980"/>
      <c r="CE40" s="980"/>
      <c r="CF40" s="980"/>
      <c r="CG40" s="980"/>
      <c r="CH40" s="980"/>
      <c r="CI40" s="980"/>
      <c r="CJ40" s="980"/>
      <c r="CK40" s="980"/>
      <c r="CL40" s="980"/>
      <c r="CM40" s="981"/>
    </row>
    <row r="41" spans="2:91" ht="17.100000000000001" customHeight="1" x14ac:dyDescent="0.15">
      <c r="B41" s="979"/>
      <c r="C41" s="980"/>
      <c r="D41" s="980"/>
      <c r="E41" s="980"/>
      <c r="F41" s="980"/>
      <c r="G41" s="980"/>
      <c r="H41" s="980"/>
      <c r="I41" s="980"/>
      <c r="J41" s="980"/>
      <c r="K41" s="980"/>
      <c r="L41" s="980"/>
      <c r="M41" s="980"/>
      <c r="N41" s="980"/>
      <c r="O41" s="980"/>
      <c r="P41" s="980"/>
      <c r="Q41" s="980"/>
      <c r="R41" s="980"/>
      <c r="S41" s="980"/>
      <c r="T41" s="980"/>
      <c r="U41" s="980"/>
      <c r="V41" s="980"/>
      <c r="W41" s="980"/>
      <c r="X41" s="980"/>
      <c r="Y41" s="980"/>
      <c r="Z41" s="980"/>
      <c r="AA41" s="980"/>
      <c r="AB41" s="980"/>
      <c r="AC41" s="980"/>
      <c r="AD41" s="980"/>
      <c r="AE41" s="980"/>
      <c r="AF41" s="980"/>
      <c r="AG41" s="980"/>
      <c r="AH41" s="980"/>
      <c r="AI41" s="980"/>
      <c r="AJ41" s="980"/>
      <c r="AK41" s="980"/>
      <c r="AL41" s="980"/>
      <c r="AM41" s="980"/>
      <c r="AN41" s="980"/>
      <c r="AO41" s="980"/>
      <c r="AP41" s="980"/>
      <c r="AQ41" s="980"/>
      <c r="AR41" s="980"/>
      <c r="AS41" s="980"/>
      <c r="AT41" s="981"/>
      <c r="AW41" s="979"/>
      <c r="AX41" s="980"/>
      <c r="AY41" s="980"/>
      <c r="AZ41" s="980"/>
      <c r="BA41" s="980"/>
      <c r="BB41" s="980"/>
      <c r="BC41" s="980"/>
      <c r="BD41" s="980"/>
      <c r="BE41" s="980"/>
      <c r="BF41" s="980"/>
      <c r="BG41" s="980"/>
      <c r="BH41" s="980"/>
      <c r="BI41" s="980"/>
      <c r="BJ41" s="980"/>
      <c r="BK41" s="980"/>
      <c r="BL41" s="980"/>
      <c r="BM41" s="980"/>
      <c r="BN41" s="980"/>
      <c r="BO41" s="980"/>
      <c r="BP41" s="980"/>
      <c r="BQ41" s="980"/>
      <c r="BR41" s="980"/>
      <c r="BS41" s="980"/>
      <c r="BT41" s="980"/>
      <c r="BU41" s="980"/>
      <c r="BV41" s="980"/>
      <c r="BW41" s="980"/>
      <c r="BX41" s="980"/>
      <c r="BY41" s="980"/>
      <c r="BZ41" s="980"/>
      <c r="CA41" s="980"/>
      <c r="CB41" s="980"/>
      <c r="CC41" s="980"/>
      <c r="CD41" s="980"/>
      <c r="CE41" s="980"/>
      <c r="CF41" s="980"/>
      <c r="CG41" s="980"/>
      <c r="CH41" s="980"/>
      <c r="CI41" s="980"/>
      <c r="CJ41" s="980"/>
      <c r="CK41" s="980"/>
      <c r="CL41" s="980"/>
      <c r="CM41" s="981"/>
    </row>
    <row r="42" spans="2:91" ht="17.100000000000001" customHeight="1" x14ac:dyDescent="0.15">
      <c r="B42" s="979"/>
      <c r="C42" s="980"/>
      <c r="D42" s="980"/>
      <c r="E42" s="980"/>
      <c r="F42" s="980"/>
      <c r="G42" s="980"/>
      <c r="H42" s="980"/>
      <c r="I42" s="980"/>
      <c r="J42" s="980"/>
      <c r="K42" s="980"/>
      <c r="L42" s="980"/>
      <c r="M42" s="980"/>
      <c r="N42" s="980"/>
      <c r="O42" s="980"/>
      <c r="P42" s="980"/>
      <c r="Q42" s="980"/>
      <c r="R42" s="980"/>
      <c r="S42" s="980"/>
      <c r="T42" s="980"/>
      <c r="U42" s="980"/>
      <c r="V42" s="980"/>
      <c r="W42" s="980"/>
      <c r="X42" s="980"/>
      <c r="Y42" s="980"/>
      <c r="Z42" s="980"/>
      <c r="AA42" s="980"/>
      <c r="AB42" s="980"/>
      <c r="AC42" s="980"/>
      <c r="AD42" s="980"/>
      <c r="AE42" s="980"/>
      <c r="AF42" s="980"/>
      <c r="AG42" s="980"/>
      <c r="AH42" s="980"/>
      <c r="AI42" s="980"/>
      <c r="AJ42" s="980"/>
      <c r="AK42" s="980"/>
      <c r="AL42" s="980"/>
      <c r="AM42" s="980"/>
      <c r="AN42" s="980"/>
      <c r="AO42" s="980"/>
      <c r="AP42" s="980"/>
      <c r="AQ42" s="980"/>
      <c r="AR42" s="980"/>
      <c r="AS42" s="980"/>
      <c r="AT42" s="981"/>
      <c r="AW42" s="979"/>
      <c r="AX42" s="980"/>
      <c r="AY42" s="980"/>
      <c r="AZ42" s="980"/>
      <c r="BA42" s="980"/>
      <c r="BB42" s="980"/>
      <c r="BC42" s="980"/>
      <c r="BD42" s="980"/>
      <c r="BE42" s="980"/>
      <c r="BF42" s="980"/>
      <c r="BG42" s="980"/>
      <c r="BH42" s="980"/>
      <c r="BI42" s="980"/>
      <c r="BJ42" s="980"/>
      <c r="BK42" s="980"/>
      <c r="BL42" s="980"/>
      <c r="BM42" s="980"/>
      <c r="BN42" s="980"/>
      <c r="BO42" s="980"/>
      <c r="BP42" s="980"/>
      <c r="BQ42" s="980"/>
      <c r="BR42" s="980"/>
      <c r="BS42" s="980"/>
      <c r="BT42" s="980"/>
      <c r="BU42" s="980"/>
      <c r="BV42" s="980"/>
      <c r="BW42" s="980"/>
      <c r="BX42" s="980"/>
      <c r="BY42" s="980"/>
      <c r="BZ42" s="980"/>
      <c r="CA42" s="980"/>
      <c r="CB42" s="980"/>
      <c r="CC42" s="980"/>
      <c r="CD42" s="980"/>
      <c r="CE42" s="980"/>
      <c r="CF42" s="980"/>
      <c r="CG42" s="980"/>
      <c r="CH42" s="980"/>
      <c r="CI42" s="980"/>
      <c r="CJ42" s="980"/>
      <c r="CK42" s="980"/>
      <c r="CL42" s="980"/>
      <c r="CM42" s="981"/>
    </row>
    <row r="43" spans="2:91" ht="17.100000000000001" customHeight="1" x14ac:dyDescent="0.15">
      <c r="B43" s="979"/>
      <c r="C43" s="980"/>
      <c r="D43" s="980"/>
      <c r="E43" s="980"/>
      <c r="F43" s="980"/>
      <c r="G43" s="980"/>
      <c r="H43" s="980"/>
      <c r="I43" s="980"/>
      <c r="J43" s="980"/>
      <c r="K43" s="980"/>
      <c r="L43" s="980"/>
      <c r="M43" s="980"/>
      <c r="N43" s="980"/>
      <c r="O43" s="980"/>
      <c r="P43" s="980"/>
      <c r="Q43" s="980"/>
      <c r="R43" s="980"/>
      <c r="S43" s="980"/>
      <c r="T43" s="980"/>
      <c r="U43" s="980"/>
      <c r="V43" s="980"/>
      <c r="W43" s="980"/>
      <c r="X43" s="980"/>
      <c r="Y43" s="980"/>
      <c r="Z43" s="980"/>
      <c r="AA43" s="980"/>
      <c r="AB43" s="980"/>
      <c r="AC43" s="980"/>
      <c r="AD43" s="980"/>
      <c r="AE43" s="980"/>
      <c r="AF43" s="980"/>
      <c r="AG43" s="980"/>
      <c r="AH43" s="980"/>
      <c r="AI43" s="980"/>
      <c r="AJ43" s="980"/>
      <c r="AK43" s="980"/>
      <c r="AL43" s="980"/>
      <c r="AM43" s="980"/>
      <c r="AN43" s="980"/>
      <c r="AO43" s="980"/>
      <c r="AP43" s="980"/>
      <c r="AQ43" s="980"/>
      <c r="AR43" s="980"/>
      <c r="AS43" s="980"/>
      <c r="AT43" s="981"/>
      <c r="AW43" s="979"/>
      <c r="AX43" s="980"/>
      <c r="AY43" s="980"/>
      <c r="AZ43" s="980"/>
      <c r="BA43" s="980"/>
      <c r="BB43" s="980"/>
      <c r="BC43" s="980"/>
      <c r="BD43" s="980"/>
      <c r="BE43" s="980"/>
      <c r="BF43" s="980"/>
      <c r="BG43" s="980"/>
      <c r="BH43" s="980"/>
      <c r="BI43" s="980"/>
      <c r="BJ43" s="980"/>
      <c r="BK43" s="980"/>
      <c r="BL43" s="980"/>
      <c r="BM43" s="980"/>
      <c r="BN43" s="980"/>
      <c r="BO43" s="980"/>
      <c r="BP43" s="980"/>
      <c r="BQ43" s="980"/>
      <c r="BR43" s="980"/>
      <c r="BS43" s="980"/>
      <c r="BT43" s="980"/>
      <c r="BU43" s="980"/>
      <c r="BV43" s="980"/>
      <c r="BW43" s="980"/>
      <c r="BX43" s="980"/>
      <c r="BY43" s="980"/>
      <c r="BZ43" s="980"/>
      <c r="CA43" s="980"/>
      <c r="CB43" s="980"/>
      <c r="CC43" s="980"/>
      <c r="CD43" s="980"/>
      <c r="CE43" s="980"/>
      <c r="CF43" s="980"/>
      <c r="CG43" s="980"/>
      <c r="CH43" s="980"/>
      <c r="CI43" s="980"/>
      <c r="CJ43" s="980"/>
      <c r="CK43" s="980"/>
      <c r="CL43" s="980"/>
      <c r="CM43" s="981"/>
    </row>
    <row r="44" spans="2:91" ht="17.100000000000001" customHeight="1" x14ac:dyDescent="0.15">
      <c r="B44" s="979"/>
      <c r="C44" s="980"/>
      <c r="D44" s="980"/>
      <c r="E44" s="980"/>
      <c r="F44" s="980"/>
      <c r="G44" s="980"/>
      <c r="H44" s="980"/>
      <c r="I44" s="980"/>
      <c r="J44" s="980"/>
      <c r="K44" s="980"/>
      <c r="L44" s="980"/>
      <c r="M44" s="980"/>
      <c r="N44" s="980"/>
      <c r="O44" s="980"/>
      <c r="P44" s="980"/>
      <c r="Q44" s="980"/>
      <c r="R44" s="980"/>
      <c r="S44" s="980"/>
      <c r="T44" s="980"/>
      <c r="U44" s="980"/>
      <c r="V44" s="980"/>
      <c r="W44" s="980"/>
      <c r="X44" s="980"/>
      <c r="Y44" s="980"/>
      <c r="Z44" s="980"/>
      <c r="AA44" s="980"/>
      <c r="AB44" s="980"/>
      <c r="AC44" s="980"/>
      <c r="AD44" s="980"/>
      <c r="AE44" s="980"/>
      <c r="AF44" s="980"/>
      <c r="AG44" s="980"/>
      <c r="AH44" s="980"/>
      <c r="AI44" s="980"/>
      <c r="AJ44" s="980"/>
      <c r="AK44" s="980"/>
      <c r="AL44" s="980"/>
      <c r="AM44" s="980"/>
      <c r="AN44" s="980"/>
      <c r="AO44" s="980"/>
      <c r="AP44" s="980"/>
      <c r="AQ44" s="980"/>
      <c r="AR44" s="980"/>
      <c r="AS44" s="980"/>
      <c r="AT44" s="981"/>
      <c r="AW44" s="979"/>
      <c r="AX44" s="980"/>
      <c r="AY44" s="980"/>
      <c r="AZ44" s="980"/>
      <c r="BA44" s="980"/>
      <c r="BB44" s="980"/>
      <c r="BC44" s="980"/>
      <c r="BD44" s="980"/>
      <c r="BE44" s="980"/>
      <c r="BF44" s="980"/>
      <c r="BG44" s="980"/>
      <c r="BH44" s="980"/>
      <c r="BI44" s="980"/>
      <c r="BJ44" s="980"/>
      <c r="BK44" s="980"/>
      <c r="BL44" s="980"/>
      <c r="BM44" s="980"/>
      <c r="BN44" s="980"/>
      <c r="BO44" s="980"/>
      <c r="BP44" s="980"/>
      <c r="BQ44" s="980"/>
      <c r="BR44" s="980"/>
      <c r="BS44" s="980"/>
      <c r="BT44" s="980"/>
      <c r="BU44" s="980"/>
      <c r="BV44" s="980"/>
      <c r="BW44" s="980"/>
      <c r="BX44" s="980"/>
      <c r="BY44" s="980"/>
      <c r="BZ44" s="980"/>
      <c r="CA44" s="980"/>
      <c r="CB44" s="980"/>
      <c r="CC44" s="980"/>
      <c r="CD44" s="980"/>
      <c r="CE44" s="980"/>
      <c r="CF44" s="980"/>
      <c r="CG44" s="980"/>
      <c r="CH44" s="980"/>
      <c r="CI44" s="980"/>
      <c r="CJ44" s="980"/>
      <c r="CK44" s="980"/>
      <c r="CL44" s="980"/>
      <c r="CM44" s="981"/>
    </row>
    <row r="45" spans="2:91" ht="17.100000000000001" customHeight="1" x14ac:dyDescent="0.15">
      <c r="B45" s="979"/>
      <c r="C45" s="980"/>
      <c r="D45" s="980"/>
      <c r="E45" s="980"/>
      <c r="F45" s="980"/>
      <c r="G45" s="980"/>
      <c r="H45" s="980"/>
      <c r="I45" s="980"/>
      <c r="J45" s="980"/>
      <c r="K45" s="980"/>
      <c r="L45" s="980"/>
      <c r="M45" s="980"/>
      <c r="N45" s="980"/>
      <c r="O45" s="980"/>
      <c r="P45" s="980"/>
      <c r="Q45" s="980"/>
      <c r="R45" s="980"/>
      <c r="S45" s="980"/>
      <c r="T45" s="980"/>
      <c r="U45" s="980"/>
      <c r="V45" s="980"/>
      <c r="W45" s="980"/>
      <c r="X45" s="980"/>
      <c r="Y45" s="980"/>
      <c r="Z45" s="980"/>
      <c r="AA45" s="980"/>
      <c r="AB45" s="980"/>
      <c r="AC45" s="980"/>
      <c r="AD45" s="980"/>
      <c r="AE45" s="980"/>
      <c r="AF45" s="980"/>
      <c r="AG45" s="980"/>
      <c r="AH45" s="980"/>
      <c r="AI45" s="980"/>
      <c r="AJ45" s="980"/>
      <c r="AK45" s="980"/>
      <c r="AL45" s="980"/>
      <c r="AM45" s="980"/>
      <c r="AN45" s="980"/>
      <c r="AO45" s="980"/>
      <c r="AP45" s="980"/>
      <c r="AQ45" s="980"/>
      <c r="AR45" s="980"/>
      <c r="AS45" s="980"/>
      <c r="AT45" s="981"/>
      <c r="AW45" s="979"/>
      <c r="AX45" s="980"/>
      <c r="AY45" s="980"/>
      <c r="AZ45" s="980"/>
      <c r="BA45" s="980"/>
      <c r="BB45" s="980"/>
      <c r="BC45" s="980"/>
      <c r="BD45" s="980"/>
      <c r="BE45" s="980"/>
      <c r="BF45" s="980"/>
      <c r="BG45" s="980"/>
      <c r="BH45" s="980"/>
      <c r="BI45" s="980"/>
      <c r="BJ45" s="980"/>
      <c r="BK45" s="980"/>
      <c r="BL45" s="980"/>
      <c r="BM45" s="980"/>
      <c r="BN45" s="980"/>
      <c r="BO45" s="980"/>
      <c r="BP45" s="980"/>
      <c r="BQ45" s="980"/>
      <c r="BR45" s="980"/>
      <c r="BS45" s="980"/>
      <c r="BT45" s="980"/>
      <c r="BU45" s="980"/>
      <c r="BV45" s="980"/>
      <c r="BW45" s="980"/>
      <c r="BX45" s="980"/>
      <c r="BY45" s="980"/>
      <c r="BZ45" s="980"/>
      <c r="CA45" s="980"/>
      <c r="CB45" s="980"/>
      <c r="CC45" s="980"/>
      <c r="CD45" s="980"/>
      <c r="CE45" s="980"/>
      <c r="CF45" s="980"/>
      <c r="CG45" s="980"/>
      <c r="CH45" s="980"/>
      <c r="CI45" s="980"/>
      <c r="CJ45" s="980"/>
      <c r="CK45" s="980"/>
      <c r="CL45" s="980"/>
      <c r="CM45" s="981"/>
    </row>
    <row r="46" spans="2:91" ht="17.100000000000001" customHeight="1" x14ac:dyDescent="0.15">
      <c r="B46" s="979"/>
      <c r="C46" s="980"/>
      <c r="D46" s="980"/>
      <c r="E46" s="980"/>
      <c r="F46" s="980"/>
      <c r="G46" s="980"/>
      <c r="H46" s="980"/>
      <c r="I46" s="980"/>
      <c r="J46" s="980"/>
      <c r="K46" s="980"/>
      <c r="L46" s="980"/>
      <c r="M46" s="980"/>
      <c r="N46" s="980"/>
      <c r="O46" s="980"/>
      <c r="P46" s="980"/>
      <c r="Q46" s="980"/>
      <c r="R46" s="980"/>
      <c r="S46" s="980"/>
      <c r="T46" s="980"/>
      <c r="U46" s="980"/>
      <c r="V46" s="980"/>
      <c r="W46" s="980"/>
      <c r="X46" s="980"/>
      <c r="Y46" s="980"/>
      <c r="Z46" s="980"/>
      <c r="AA46" s="980"/>
      <c r="AB46" s="980"/>
      <c r="AC46" s="980"/>
      <c r="AD46" s="980"/>
      <c r="AE46" s="980"/>
      <c r="AF46" s="980"/>
      <c r="AG46" s="980"/>
      <c r="AH46" s="980"/>
      <c r="AI46" s="980"/>
      <c r="AJ46" s="980"/>
      <c r="AK46" s="980"/>
      <c r="AL46" s="980"/>
      <c r="AM46" s="980"/>
      <c r="AN46" s="980"/>
      <c r="AO46" s="980"/>
      <c r="AP46" s="980"/>
      <c r="AQ46" s="980"/>
      <c r="AR46" s="980"/>
      <c r="AS46" s="980"/>
      <c r="AT46" s="981"/>
      <c r="AW46" s="979"/>
      <c r="AX46" s="980"/>
      <c r="AY46" s="980"/>
      <c r="AZ46" s="980"/>
      <c r="BA46" s="980"/>
      <c r="BB46" s="980"/>
      <c r="BC46" s="980"/>
      <c r="BD46" s="980"/>
      <c r="BE46" s="980"/>
      <c r="BF46" s="980"/>
      <c r="BG46" s="980"/>
      <c r="BH46" s="980"/>
      <c r="BI46" s="980"/>
      <c r="BJ46" s="980"/>
      <c r="BK46" s="980"/>
      <c r="BL46" s="980"/>
      <c r="BM46" s="980"/>
      <c r="BN46" s="980"/>
      <c r="BO46" s="980"/>
      <c r="BP46" s="980"/>
      <c r="BQ46" s="980"/>
      <c r="BR46" s="980"/>
      <c r="BS46" s="980"/>
      <c r="BT46" s="980"/>
      <c r="BU46" s="980"/>
      <c r="BV46" s="980"/>
      <c r="BW46" s="980"/>
      <c r="BX46" s="980"/>
      <c r="BY46" s="980"/>
      <c r="BZ46" s="980"/>
      <c r="CA46" s="980"/>
      <c r="CB46" s="980"/>
      <c r="CC46" s="980"/>
      <c r="CD46" s="980"/>
      <c r="CE46" s="980"/>
      <c r="CF46" s="980"/>
      <c r="CG46" s="980"/>
      <c r="CH46" s="980"/>
      <c r="CI46" s="980"/>
      <c r="CJ46" s="980"/>
      <c r="CK46" s="980"/>
      <c r="CL46" s="980"/>
      <c r="CM46" s="981"/>
    </row>
    <row r="47" spans="2:91" ht="17.100000000000001" customHeight="1" x14ac:dyDescent="0.15">
      <c r="B47" s="979"/>
      <c r="C47" s="980"/>
      <c r="D47" s="980"/>
      <c r="E47" s="980"/>
      <c r="F47" s="980"/>
      <c r="G47" s="980"/>
      <c r="H47" s="980"/>
      <c r="I47" s="980"/>
      <c r="J47" s="980"/>
      <c r="K47" s="980"/>
      <c r="L47" s="980"/>
      <c r="M47" s="980"/>
      <c r="N47" s="980"/>
      <c r="O47" s="980"/>
      <c r="P47" s="980"/>
      <c r="Q47" s="980"/>
      <c r="R47" s="980"/>
      <c r="S47" s="980"/>
      <c r="T47" s="980"/>
      <c r="U47" s="980"/>
      <c r="V47" s="980"/>
      <c r="W47" s="980"/>
      <c r="X47" s="980"/>
      <c r="Y47" s="980"/>
      <c r="Z47" s="980"/>
      <c r="AA47" s="980"/>
      <c r="AB47" s="980"/>
      <c r="AC47" s="980"/>
      <c r="AD47" s="980"/>
      <c r="AE47" s="980"/>
      <c r="AF47" s="980"/>
      <c r="AG47" s="980"/>
      <c r="AH47" s="980"/>
      <c r="AI47" s="980"/>
      <c r="AJ47" s="980"/>
      <c r="AK47" s="980"/>
      <c r="AL47" s="980"/>
      <c r="AM47" s="980"/>
      <c r="AN47" s="980"/>
      <c r="AO47" s="980"/>
      <c r="AP47" s="980"/>
      <c r="AQ47" s="980"/>
      <c r="AR47" s="980"/>
      <c r="AS47" s="980"/>
      <c r="AT47" s="981"/>
      <c r="AW47" s="979"/>
      <c r="AX47" s="980"/>
      <c r="AY47" s="980"/>
      <c r="AZ47" s="980"/>
      <c r="BA47" s="980"/>
      <c r="BB47" s="980"/>
      <c r="BC47" s="980"/>
      <c r="BD47" s="980"/>
      <c r="BE47" s="980"/>
      <c r="BF47" s="980"/>
      <c r="BG47" s="980"/>
      <c r="BH47" s="980"/>
      <c r="BI47" s="980"/>
      <c r="BJ47" s="980"/>
      <c r="BK47" s="980"/>
      <c r="BL47" s="980"/>
      <c r="BM47" s="980"/>
      <c r="BN47" s="980"/>
      <c r="BO47" s="980"/>
      <c r="BP47" s="980"/>
      <c r="BQ47" s="980"/>
      <c r="BR47" s="980"/>
      <c r="BS47" s="980"/>
      <c r="BT47" s="980"/>
      <c r="BU47" s="980"/>
      <c r="BV47" s="980"/>
      <c r="BW47" s="980"/>
      <c r="BX47" s="980"/>
      <c r="BY47" s="980"/>
      <c r="BZ47" s="980"/>
      <c r="CA47" s="980"/>
      <c r="CB47" s="980"/>
      <c r="CC47" s="980"/>
      <c r="CD47" s="980"/>
      <c r="CE47" s="980"/>
      <c r="CF47" s="980"/>
      <c r="CG47" s="980"/>
      <c r="CH47" s="980"/>
      <c r="CI47" s="980"/>
      <c r="CJ47" s="980"/>
      <c r="CK47" s="980"/>
      <c r="CL47" s="980"/>
      <c r="CM47" s="981"/>
    </row>
    <row r="48" spans="2:91" ht="17.100000000000001" customHeight="1" x14ac:dyDescent="0.15">
      <c r="B48" s="979"/>
      <c r="C48" s="980"/>
      <c r="D48" s="980"/>
      <c r="E48" s="980"/>
      <c r="F48" s="980"/>
      <c r="G48" s="980"/>
      <c r="H48" s="980"/>
      <c r="I48" s="980"/>
      <c r="J48" s="980"/>
      <c r="K48" s="980"/>
      <c r="L48" s="980"/>
      <c r="M48" s="980"/>
      <c r="N48" s="980"/>
      <c r="O48" s="980"/>
      <c r="P48" s="980"/>
      <c r="Q48" s="980"/>
      <c r="R48" s="980"/>
      <c r="S48" s="980"/>
      <c r="T48" s="980"/>
      <c r="U48" s="980"/>
      <c r="V48" s="980"/>
      <c r="W48" s="980"/>
      <c r="X48" s="980"/>
      <c r="Y48" s="980"/>
      <c r="Z48" s="980"/>
      <c r="AA48" s="980"/>
      <c r="AB48" s="980"/>
      <c r="AC48" s="980"/>
      <c r="AD48" s="980"/>
      <c r="AE48" s="980"/>
      <c r="AF48" s="980"/>
      <c r="AG48" s="980"/>
      <c r="AH48" s="980"/>
      <c r="AI48" s="980"/>
      <c r="AJ48" s="980"/>
      <c r="AK48" s="980"/>
      <c r="AL48" s="980"/>
      <c r="AM48" s="980"/>
      <c r="AN48" s="980"/>
      <c r="AO48" s="980"/>
      <c r="AP48" s="980"/>
      <c r="AQ48" s="980"/>
      <c r="AR48" s="980"/>
      <c r="AS48" s="980"/>
      <c r="AT48" s="981"/>
      <c r="AW48" s="979"/>
      <c r="AX48" s="980"/>
      <c r="AY48" s="980"/>
      <c r="AZ48" s="980"/>
      <c r="BA48" s="980"/>
      <c r="BB48" s="980"/>
      <c r="BC48" s="980"/>
      <c r="BD48" s="980"/>
      <c r="BE48" s="980"/>
      <c r="BF48" s="980"/>
      <c r="BG48" s="980"/>
      <c r="BH48" s="980"/>
      <c r="BI48" s="980"/>
      <c r="BJ48" s="980"/>
      <c r="BK48" s="980"/>
      <c r="BL48" s="980"/>
      <c r="BM48" s="980"/>
      <c r="BN48" s="980"/>
      <c r="BO48" s="980"/>
      <c r="BP48" s="980"/>
      <c r="BQ48" s="980"/>
      <c r="BR48" s="980"/>
      <c r="BS48" s="980"/>
      <c r="BT48" s="980"/>
      <c r="BU48" s="980"/>
      <c r="BV48" s="980"/>
      <c r="BW48" s="980"/>
      <c r="BX48" s="980"/>
      <c r="BY48" s="980"/>
      <c r="BZ48" s="980"/>
      <c r="CA48" s="980"/>
      <c r="CB48" s="980"/>
      <c r="CC48" s="980"/>
      <c r="CD48" s="980"/>
      <c r="CE48" s="980"/>
      <c r="CF48" s="980"/>
      <c r="CG48" s="980"/>
      <c r="CH48" s="980"/>
      <c r="CI48" s="980"/>
      <c r="CJ48" s="980"/>
      <c r="CK48" s="980"/>
      <c r="CL48" s="980"/>
      <c r="CM48" s="981"/>
    </row>
    <row r="49" spans="2:91" ht="17.100000000000001" customHeight="1" x14ac:dyDescent="0.15">
      <c r="B49" s="979"/>
      <c r="C49" s="980"/>
      <c r="D49" s="980"/>
      <c r="E49" s="980"/>
      <c r="F49" s="980"/>
      <c r="G49" s="980"/>
      <c r="H49" s="980"/>
      <c r="I49" s="980"/>
      <c r="J49" s="980"/>
      <c r="K49" s="980"/>
      <c r="L49" s="980"/>
      <c r="M49" s="980"/>
      <c r="N49" s="980"/>
      <c r="O49" s="980"/>
      <c r="P49" s="980"/>
      <c r="Q49" s="980"/>
      <c r="R49" s="980"/>
      <c r="S49" s="980"/>
      <c r="T49" s="980"/>
      <c r="U49" s="980"/>
      <c r="V49" s="980"/>
      <c r="W49" s="980"/>
      <c r="X49" s="980"/>
      <c r="Y49" s="980"/>
      <c r="Z49" s="980"/>
      <c r="AA49" s="980"/>
      <c r="AB49" s="980"/>
      <c r="AC49" s="980"/>
      <c r="AD49" s="980"/>
      <c r="AE49" s="980"/>
      <c r="AF49" s="980"/>
      <c r="AG49" s="980"/>
      <c r="AH49" s="980"/>
      <c r="AI49" s="980"/>
      <c r="AJ49" s="980"/>
      <c r="AK49" s="980"/>
      <c r="AL49" s="980"/>
      <c r="AM49" s="980"/>
      <c r="AN49" s="980"/>
      <c r="AO49" s="980"/>
      <c r="AP49" s="980"/>
      <c r="AQ49" s="980"/>
      <c r="AR49" s="980"/>
      <c r="AS49" s="980"/>
      <c r="AT49" s="981"/>
      <c r="AW49" s="979"/>
      <c r="AX49" s="980"/>
      <c r="AY49" s="980"/>
      <c r="AZ49" s="980"/>
      <c r="BA49" s="980"/>
      <c r="BB49" s="980"/>
      <c r="BC49" s="980"/>
      <c r="BD49" s="980"/>
      <c r="BE49" s="980"/>
      <c r="BF49" s="980"/>
      <c r="BG49" s="980"/>
      <c r="BH49" s="980"/>
      <c r="BI49" s="980"/>
      <c r="BJ49" s="980"/>
      <c r="BK49" s="980"/>
      <c r="BL49" s="980"/>
      <c r="BM49" s="980"/>
      <c r="BN49" s="980"/>
      <c r="BO49" s="980"/>
      <c r="BP49" s="980"/>
      <c r="BQ49" s="980"/>
      <c r="BR49" s="980"/>
      <c r="BS49" s="980"/>
      <c r="BT49" s="980"/>
      <c r="BU49" s="980"/>
      <c r="BV49" s="980"/>
      <c r="BW49" s="980"/>
      <c r="BX49" s="980"/>
      <c r="BY49" s="980"/>
      <c r="BZ49" s="980"/>
      <c r="CA49" s="980"/>
      <c r="CB49" s="980"/>
      <c r="CC49" s="980"/>
      <c r="CD49" s="980"/>
      <c r="CE49" s="980"/>
      <c r="CF49" s="980"/>
      <c r="CG49" s="980"/>
      <c r="CH49" s="980"/>
      <c r="CI49" s="980"/>
      <c r="CJ49" s="980"/>
      <c r="CK49" s="980"/>
      <c r="CL49" s="980"/>
      <c r="CM49" s="981"/>
    </row>
    <row r="50" spans="2:91" ht="17.100000000000001" customHeight="1" x14ac:dyDescent="0.15">
      <c r="B50" s="979"/>
      <c r="C50" s="980"/>
      <c r="D50" s="980"/>
      <c r="E50" s="980"/>
      <c r="F50" s="980"/>
      <c r="G50" s="980"/>
      <c r="H50" s="980"/>
      <c r="I50" s="980"/>
      <c r="J50" s="980"/>
      <c r="K50" s="980"/>
      <c r="L50" s="980"/>
      <c r="M50" s="980"/>
      <c r="N50" s="980"/>
      <c r="O50" s="980"/>
      <c r="P50" s="980"/>
      <c r="Q50" s="980"/>
      <c r="R50" s="980"/>
      <c r="S50" s="980"/>
      <c r="T50" s="980"/>
      <c r="U50" s="980"/>
      <c r="V50" s="980"/>
      <c r="W50" s="980"/>
      <c r="X50" s="980"/>
      <c r="Y50" s="980"/>
      <c r="Z50" s="980"/>
      <c r="AA50" s="980"/>
      <c r="AB50" s="980"/>
      <c r="AC50" s="980"/>
      <c r="AD50" s="980"/>
      <c r="AE50" s="980"/>
      <c r="AF50" s="980"/>
      <c r="AG50" s="980"/>
      <c r="AH50" s="980"/>
      <c r="AI50" s="980"/>
      <c r="AJ50" s="980"/>
      <c r="AK50" s="980"/>
      <c r="AL50" s="980"/>
      <c r="AM50" s="980"/>
      <c r="AN50" s="980"/>
      <c r="AO50" s="980"/>
      <c r="AP50" s="980"/>
      <c r="AQ50" s="980"/>
      <c r="AR50" s="980"/>
      <c r="AS50" s="980"/>
      <c r="AT50" s="981"/>
      <c r="AW50" s="979"/>
      <c r="AX50" s="980"/>
      <c r="AY50" s="980"/>
      <c r="AZ50" s="980"/>
      <c r="BA50" s="980"/>
      <c r="BB50" s="980"/>
      <c r="BC50" s="980"/>
      <c r="BD50" s="980"/>
      <c r="BE50" s="980"/>
      <c r="BF50" s="980"/>
      <c r="BG50" s="980"/>
      <c r="BH50" s="980"/>
      <c r="BI50" s="980"/>
      <c r="BJ50" s="980"/>
      <c r="BK50" s="980"/>
      <c r="BL50" s="980"/>
      <c r="BM50" s="980"/>
      <c r="BN50" s="980"/>
      <c r="BO50" s="980"/>
      <c r="BP50" s="980"/>
      <c r="BQ50" s="980"/>
      <c r="BR50" s="980"/>
      <c r="BS50" s="980"/>
      <c r="BT50" s="980"/>
      <c r="BU50" s="980"/>
      <c r="BV50" s="980"/>
      <c r="BW50" s="980"/>
      <c r="BX50" s="980"/>
      <c r="BY50" s="980"/>
      <c r="BZ50" s="980"/>
      <c r="CA50" s="980"/>
      <c r="CB50" s="980"/>
      <c r="CC50" s="980"/>
      <c r="CD50" s="980"/>
      <c r="CE50" s="980"/>
      <c r="CF50" s="980"/>
      <c r="CG50" s="980"/>
      <c r="CH50" s="980"/>
      <c r="CI50" s="980"/>
      <c r="CJ50" s="980"/>
      <c r="CK50" s="980"/>
      <c r="CL50" s="980"/>
      <c r="CM50" s="981"/>
    </row>
    <row r="51" spans="2:91" ht="17.100000000000001" customHeight="1" x14ac:dyDescent="0.15">
      <c r="B51" s="979"/>
      <c r="C51" s="980"/>
      <c r="D51" s="980"/>
      <c r="E51" s="980"/>
      <c r="F51" s="980"/>
      <c r="G51" s="980"/>
      <c r="H51" s="980"/>
      <c r="I51" s="980"/>
      <c r="J51" s="980"/>
      <c r="K51" s="980"/>
      <c r="L51" s="980"/>
      <c r="M51" s="980"/>
      <c r="N51" s="980"/>
      <c r="O51" s="980"/>
      <c r="P51" s="980"/>
      <c r="Q51" s="980"/>
      <c r="R51" s="980"/>
      <c r="S51" s="980"/>
      <c r="T51" s="980"/>
      <c r="U51" s="980"/>
      <c r="V51" s="980"/>
      <c r="W51" s="980"/>
      <c r="X51" s="980"/>
      <c r="Y51" s="980"/>
      <c r="Z51" s="980"/>
      <c r="AA51" s="980"/>
      <c r="AB51" s="980"/>
      <c r="AC51" s="980"/>
      <c r="AD51" s="980"/>
      <c r="AE51" s="980"/>
      <c r="AF51" s="980"/>
      <c r="AG51" s="980"/>
      <c r="AH51" s="980"/>
      <c r="AI51" s="980"/>
      <c r="AJ51" s="980"/>
      <c r="AK51" s="980"/>
      <c r="AL51" s="980"/>
      <c r="AM51" s="980"/>
      <c r="AN51" s="980"/>
      <c r="AO51" s="980"/>
      <c r="AP51" s="980"/>
      <c r="AQ51" s="980"/>
      <c r="AR51" s="980"/>
      <c r="AS51" s="980"/>
      <c r="AT51" s="981"/>
      <c r="AW51" s="979"/>
      <c r="AX51" s="980"/>
      <c r="AY51" s="980"/>
      <c r="AZ51" s="980"/>
      <c r="BA51" s="980"/>
      <c r="BB51" s="980"/>
      <c r="BC51" s="980"/>
      <c r="BD51" s="980"/>
      <c r="BE51" s="980"/>
      <c r="BF51" s="980"/>
      <c r="BG51" s="980"/>
      <c r="BH51" s="980"/>
      <c r="BI51" s="980"/>
      <c r="BJ51" s="980"/>
      <c r="BK51" s="980"/>
      <c r="BL51" s="980"/>
      <c r="BM51" s="980"/>
      <c r="BN51" s="980"/>
      <c r="BO51" s="980"/>
      <c r="BP51" s="980"/>
      <c r="BQ51" s="980"/>
      <c r="BR51" s="980"/>
      <c r="BS51" s="980"/>
      <c r="BT51" s="980"/>
      <c r="BU51" s="980"/>
      <c r="BV51" s="980"/>
      <c r="BW51" s="980"/>
      <c r="BX51" s="980"/>
      <c r="BY51" s="980"/>
      <c r="BZ51" s="980"/>
      <c r="CA51" s="980"/>
      <c r="CB51" s="980"/>
      <c r="CC51" s="980"/>
      <c r="CD51" s="980"/>
      <c r="CE51" s="980"/>
      <c r="CF51" s="980"/>
      <c r="CG51" s="980"/>
      <c r="CH51" s="980"/>
      <c r="CI51" s="980"/>
      <c r="CJ51" s="980"/>
      <c r="CK51" s="980"/>
      <c r="CL51" s="980"/>
      <c r="CM51" s="981"/>
    </row>
  </sheetData>
  <sheetProtection sheet="1"/>
  <protectedRanges>
    <protectedRange sqref="G15:G25 C18:C25 AZ32:BX36 AC4:AC5 D6:F25 BY3 AE1 AF3 AF6:AF7" name="区域3"/>
    <protectedRange sqref="G6" name="区域2"/>
    <protectedRange sqref="AW5:BA5" name="区域1_1"/>
  </protectedRanges>
  <mergeCells count="126">
    <mergeCell ref="CB12:CF12"/>
    <mergeCell ref="CG12:CM13"/>
    <mergeCell ref="BZ13:CA13"/>
    <mergeCell ref="CB13:CF13"/>
    <mergeCell ref="B3:AT3"/>
    <mergeCell ref="AR4:AT4"/>
    <mergeCell ref="AL4:AQ4"/>
    <mergeCell ref="AI4:AK4"/>
    <mergeCell ref="B4:H4"/>
    <mergeCell ref="I4:AH4"/>
    <mergeCell ref="B6:AT6"/>
    <mergeCell ref="B7:AT25"/>
    <mergeCell ref="AW3:CM3"/>
    <mergeCell ref="AW4:BA4"/>
    <mergeCell ref="BB4:BG4"/>
    <mergeCell ref="BH4:CM4"/>
    <mergeCell ref="AW5:BA6"/>
    <mergeCell ref="BB5:BG6"/>
    <mergeCell ref="BH5:CM6"/>
    <mergeCell ref="BZ9:CM9"/>
    <mergeCell ref="BZ10:CA10"/>
    <mergeCell ref="B5:H5"/>
    <mergeCell ref="CL22:CM22"/>
    <mergeCell ref="CL23:CM23"/>
    <mergeCell ref="AW10:BC10"/>
    <mergeCell ref="BD10:BF10"/>
    <mergeCell ref="BG10:BL10"/>
    <mergeCell ref="BD9:BF9"/>
    <mergeCell ref="A1:CN1"/>
    <mergeCell ref="AW28:CM51"/>
    <mergeCell ref="AW27:CM27"/>
    <mergeCell ref="AW7:BC7"/>
    <mergeCell ref="AW8:BC8"/>
    <mergeCell ref="BD7:BF7"/>
    <mergeCell ref="BD8:BF8"/>
    <mergeCell ref="B27:AT27"/>
    <mergeCell ref="B28:AT51"/>
    <mergeCell ref="I5:AH5"/>
    <mergeCell ref="AI5:AK5"/>
    <mergeCell ref="AL5:AQ5"/>
    <mergeCell ref="AR5:AT5"/>
    <mergeCell ref="CB10:CF10"/>
    <mergeCell ref="CG10:CH10"/>
    <mergeCell ref="CI10:CM10"/>
    <mergeCell ref="BZ11:CA11"/>
    <mergeCell ref="CB11:CF11"/>
    <mergeCell ref="CG11:CM11"/>
    <mergeCell ref="BZ12:CA12"/>
    <mergeCell ref="BM7:BX7"/>
    <mergeCell ref="BM8:BX8"/>
    <mergeCell ref="BM9:BX9"/>
    <mergeCell ref="BM10:BX10"/>
    <mergeCell ref="BM11:BX11"/>
    <mergeCell ref="BM12:BX12"/>
    <mergeCell ref="BM13:BX13"/>
    <mergeCell ref="AW22:BA22"/>
    <mergeCell ref="BB22:BQ22"/>
    <mergeCell ref="BS22:BW22"/>
    <mergeCell ref="BX22:CK22"/>
    <mergeCell ref="AW11:BC11"/>
    <mergeCell ref="BD11:BF11"/>
    <mergeCell ref="BG11:BL11"/>
    <mergeCell ref="AW12:BC12"/>
    <mergeCell ref="BD12:BF12"/>
    <mergeCell ref="BG12:BL12"/>
    <mergeCell ref="AW13:BC13"/>
    <mergeCell ref="BD13:BF13"/>
    <mergeCell ref="BG13:BL13"/>
    <mergeCell ref="BG8:BL8"/>
    <mergeCell ref="BG7:BL7"/>
    <mergeCell ref="AW9:BC9"/>
    <mergeCell ref="BG9:BL9"/>
    <mergeCell ref="CL24:CM24"/>
    <mergeCell ref="AW25:BA25"/>
    <mergeCell ref="BB25:BQ25"/>
    <mergeCell ref="BS25:BW25"/>
    <mergeCell ref="BX25:CK25"/>
    <mergeCell ref="CL25:CM25"/>
    <mergeCell ref="AW20:BA20"/>
    <mergeCell ref="BB20:BQ20"/>
    <mergeCell ref="BS20:BW20"/>
    <mergeCell ref="BX20:CK20"/>
    <mergeCell ref="CL20:CM20"/>
    <mergeCell ref="AW21:BA21"/>
    <mergeCell ref="BB21:BQ21"/>
    <mergeCell ref="BS21:BW21"/>
    <mergeCell ref="BX21:CK21"/>
    <mergeCell ref="CL21:CM21"/>
    <mergeCell ref="AW23:BA23"/>
    <mergeCell ref="BB23:BQ23"/>
    <mergeCell ref="BS23:BW23"/>
    <mergeCell ref="BX23:CK23"/>
    <mergeCell ref="AW24:BA24"/>
    <mergeCell ref="BB24:BQ24"/>
    <mergeCell ref="BS24:BW24"/>
    <mergeCell ref="BX24:CK24"/>
    <mergeCell ref="AW14:BA14"/>
    <mergeCell ref="BB14:BQ14"/>
    <mergeCell ref="BS14:BW14"/>
    <mergeCell ref="BX14:CK14"/>
    <mergeCell ref="CL14:CM14"/>
    <mergeCell ref="AW15:BA15"/>
    <mergeCell ref="BB15:BQ15"/>
    <mergeCell ref="BS15:BW15"/>
    <mergeCell ref="BX15:CK15"/>
    <mergeCell ref="CL15:CM15"/>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AW19:BA19"/>
    <mergeCell ref="BB19:BQ19"/>
    <mergeCell ref="BS19:BW19"/>
    <mergeCell ref="BX19:CK19"/>
    <mergeCell ref="CL19:CM19"/>
  </mergeCells>
  <phoneticPr fontId="68" type="noConversion"/>
  <dataValidations count="9">
    <dataValidation allowBlank="1" showInputMessage="1" showErrorMessage="1" prompt="一枚铂金币价值十枚金币" sqref="CI10:CM10" xr:uid="{D62897B0-9105-40A6-B960-C4944FD59F0B}"/>
    <dataValidation allowBlank="1" showInputMessage="1" showErrorMessage="1" prompt="十枚铜币值一枚银币_x000a_一百枚铜币值一枚金币" sqref="CB13:CF13" xr:uid="{E9505200-45D6-4F03-843E-3AD37066124D}"/>
    <dataValidation allowBlank="1" showInputMessage="1" showErrorMessage="1" prompt="十枚银币值一枚金币" sqref="CB12:CF12" xr:uid="{9014B8B7-8E53-44EC-A840-E587C39CC88A}"/>
    <dataValidation allowBlank="1" showInputMessage="1" showErrorMessage="1" prompt="一枚金银币价值五枚银币，即半枚金币" sqref="CB11:CF11" xr:uid="{7A967888-A390-43E2-AE2F-1D0384F1332F}"/>
    <dataValidation allowBlank="1" showInputMessage="1" showErrorMessage="1" prompt="金币是度量财富的标准单位_x000a_一枚钱币的重量大约有三分之一盎司，50枚钱币则大约有一磅沉。" sqref="CB10:CF10" xr:uid="{B650DD44-F0B5-4264-8314-D9398257EAD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B6E56B8E-F97F-4E76-AFDD-0A243E237BCD}">
      <formula1>"狭窄,宽敞,庞大"</formula1>
    </dataValidation>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BG8:BI13 AL5:AQ5" xr:uid="{B3E84BFB-CDAC-4BA4-A682-46CFAA6032F7}"/>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6D10587B-8B01-4B24-B68A-9E07A01DAB3C}"/>
    <dataValidation allowBlank="1" showInputMessage="1" showErrorMessage="1" prompt="每个特色设施都标有一个等级。角色必须达到该等级或更高才能获取该设施。特色设施还可能标有其他先决条件，要获取该设施必须满足其先决条件。" sqref="I5:AH5" xr:uid="{89B6C901-A075-4F91-8D3D-770985DD862F}"/>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5471D238-62A8-40EF-BCEA-F6C27ED10D78}">
          <x14:formula1>
            <xm:f>专长与据点!$K$7:$K$34</xm:f>
          </x14:formula1>
          <xm:sqref>B5:H5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7" tint="0.59999389629810485"/>
  </sheetPr>
  <dimension ref="B1:AX53"/>
  <sheetViews>
    <sheetView zoomScale="90" zoomScaleNormal="90" workbookViewId="0">
      <selection activeCell="X3" sqref="X3"/>
    </sheetView>
  </sheetViews>
  <sheetFormatPr defaultColWidth="9" defaultRowHeight="16.5" x14ac:dyDescent="0.15"/>
  <cols>
    <col min="1" max="1" width="4.75" style="9" customWidth="1"/>
    <col min="2" max="2" width="2.75" style="9" customWidth="1"/>
    <col min="3" max="18" width="5.75" style="9" customWidth="1"/>
    <col min="19" max="20" width="2.75" style="9" customWidth="1"/>
    <col min="21" max="21" width="4.375" style="9" customWidth="1"/>
    <col min="22" max="22" width="2.375" style="10" customWidth="1"/>
    <col min="23" max="23" width="0.75" style="10" customWidth="1"/>
    <col min="24" max="24" width="15.375" style="9" customWidth="1"/>
    <col min="25" max="25" width="0.75" style="9" customWidth="1"/>
    <col min="26" max="26" width="4.375" style="9" customWidth="1"/>
    <col min="27" max="27" width="2.375" style="9" customWidth="1"/>
    <col min="28" max="28" width="0.75" style="9" customWidth="1"/>
    <col min="29" max="29" width="15.375" style="9" customWidth="1"/>
    <col min="30" max="30" width="0.75" style="9" customWidth="1"/>
    <col min="31" max="31" width="4.375" style="9" customWidth="1"/>
    <col min="32" max="32" width="2.375" style="9" customWidth="1"/>
    <col min="33" max="33" width="0.75" style="9" customWidth="1"/>
    <col min="34" max="34" width="15.375" style="9" customWidth="1"/>
    <col min="35" max="35" width="0.75" style="9" customWidth="1"/>
    <col min="36" max="36" width="4.375" style="9" customWidth="1"/>
    <col min="37" max="37" width="2.375" style="9" customWidth="1"/>
    <col min="38" max="38" width="0.75" style="9" customWidth="1"/>
    <col min="39" max="39" width="15.375" style="9" customWidth="1"/>
    <col min="40" max="40" width="0.75" style="9" customWidth="1"/>
    <col min="41" max="42" width="2.75" style="9" customWidth="1"/>
    <col min="43" max="49" width="8.75" style="9" customWidth="1"/>
    <col min="50" max="16384" width="9" style="9"/>
  </cols>
  <sheetData>
    <row r="1" spans="2:50" s="8" customFormat="1" x14ac:dyDescent="0.15">
      <c r="V1" s="11"/>
      <c r="W1" s="11"/>
    </row>
    <row r="2" spans="2:50" ht="17.649999999999999" customHeight="1" x14ac:dyDescent="0.15">
      <c r="B2" s="107"/>
      <c r="C2" s="1009" t="s">
        <v>946</v>
      </c>
      <c r="D2" s="1009"/>
      <c r="E2" s="1009"/>
      <c r="F2" s="1009"/>
      <c r="G2" s="108"/>
      <c r="H2" s="108"/>
      <c r="I2" s="108"/>
      <c r="J2" s="108"/>
      <c r="K2" s="108"/>
      <c r="L2" s="108"/>
      <c r="M2" s="108"/>
      <c r="N2" s="108"/>
      <c r="O2" s="108"/>
      <c r="P2" s="108"/>
      <c r="Q2" s="108"/>
      <c r="R2" s="108"/>
      <c r="S2" s="109"/>
      <c r="T2" s="108"/>
      <c r="U2" s="1001" t="s">
        <v>947</v>
      </c>
      <c r="V2" s="1001"/>
      <c r="W2" s="1001"/>
      <c r="X2" s="1001"/>
      <c r="Y2" s="108"/>
      <c r="Z2" s="1002" t="s">
        <v>10943</v>
      </c>
      <c r="AA2" s="1002"/>
      <c r="AB2" s="1002"/>
      <c r="AC2" s="1002"/>
      <c r="AD2" s="1002"/>
      <c r="AE2" s="1002"/>
      <c r="AF2" s="1002"/>
      <c r="AG2" s="1002"/>
      <c r="AH2" s="1002"/>
      <c r="AI2" s="1002"/>
      <c r="AJ2" s="1001" t="s">
        <v>10944</v>
      </c>
      <c r="AK2" s="1001"/>
      <c r="AL2" s="1001"/>
      <c r="AM2" s="1001"/>
      <c r="AN2" s="108"/>
      <c r="AO2" s="109"/>
      <c r="AQ2" s="1012" t="s">
        <v>948</v>
      </c>
      <c r="AR2" s="1013"/>
      <c r="AS2" s="1013"/>
      <c r="AT2" s="1013"/>
      <c r="AU2" s="1013"/>
      <c r="AV2" s="1013"/>
      <c r="AW2" s="1013"/>
      <c r="AX2" s="1014"/>
    </row>
    <row r="3" spans="2:50" ht="17.649999999999999" customHeight="1" x14ac:dyDescent="0.15">
      <c r="B3" s="1010"/>
      <c r="C3" s="1025" t="str" cm="1">
        <f t="array" aca="1" ref="C3" ca="1">IF(IFERROR(ERROR.TYPE(
IF(
VLOOKUP(INDIRECT(CELL("address")),法术大全!A3:A864,1,0)=FALSE,
"",INDIRECT(CELL("address")))
),0)=7,"",
INDIRECT(CELL("address"))
)</f>
        <v/>
      </c>
      <c r="D3" s="1026"/>
      <c r="E3" s="1026"/>
      <c r="F3" s="1026"/>
      <c r="G3" s="1026"/>
      <c r="H3" s="1026"/>
      <c r="I3" s="1026"/>
      <c r="J3" s="1026"/>
      <c r="K3" s="1026"/>
      <c r="L3" s="1026"/>
      <c r="M3" s="1026"/>
      <c r="N3" s="1026"/>
      <c r="O3" s="1026"/>
      <c r="P3" s="1026"/>
      <c r="Q3" s="1026"/>
      <c r="R3" s="1027"/>
      <c r="S3" s="1008"/>
      <c r="T3" s="117"/>
      <c r="U3" s="472">
        <v>1</v>
      </c>
      <c r="V3" s="470" t="str">
        <f>IFERROR(VLOOKUP(X3,法术大全!$A:$Z,2,FALSE),"")</f>
        <v/>
      </c>
      <c r="W3" s="473" t="str">
        <f>数据表!C2</f>
        <v/>
      </c>
      <c r="X3" s="469" t="inlineStr">
        <is>
          <t xml:space="preserve">七彩喷射</t>
        </is>
      </c>
      <c r="Y3" s="474" t="str">
        <f>数据表!D2</f>
        <v/>
      </c>
      <c r="Z3" s="472">
        <v>51</v>
      </c>
      <c r="AA3" s="471" t="str">
        <f>IFERROR(VLOOKUP(AC3,法术大全!$A:$Z,2,FALSE),"")</f>
        <v/>
      </c>
      <c r="AB3" s="475" t="str">
        <f>数据表!C52</f>
        <v/>
      </c>
      <c r="AC3" s="469"/>
      <c r="AD3" s="474" t="str">
        <f>数据表!D52</f>
        <v/>
      </c>
      <c r="AE3" s="476">
        <v>101</v>
      </c>
      <c r="AF3" s="470" t="str">
        <f>IFERROR(VLOOKUP(AH3,法术大全!$A:$Z,2,FALSE),"")</f>
        <v/>
      </c>
      <c r="AG3" s="473" t="str">
        <f>数据表!C102</f>
        <v/>
      </c>
      <c r="AH3" s="469"/>
      <c r="AI3" s="474" t="str">
        <f>数据表!D102</f>
        <v/>
      </c>
      <c r="AJ3" s="477">
        <v>151</v>
      </c>
      <c r="AK3" s="471" t="str">
        <f>IFERROR(VLOOKUP(AM3,法术大全!$A:$Z,2,FALSE),"")</f>
        <v/>
      </c>
      <c r="AL3" s="473" t="str">
        <f>数据表!C152</f>
        <v/>
      </c>
      <c r="AM3" s="469"/>
      <c r="AN3" s="474" t="str">
        <f>数据表!D152</f>
        <v/>
      </c>
      <c r="AO3" s="110"/>
      <c r="AQ3" s="1015"/>
      <c r="AR3" s="1016"/>
      <c r="AS3" s="1016"/>
      <c r="AT3" s="1016"/>
      <c r="AU3" s="1016"/>
      <c r="AV3" s="1016"/>
      <c r="AW3" s="1016"/>
      <c r="AX3" s="1017"/>
    </row>
    <row r="4" spans="2:50" ht="17.649999999999999" customHeight="1" x14ac:dyDescent="0.15">
      <c r="B4" s="1010"/>
      <c r="C4" s="1028"/>
      <c r="D4" s="1029"/>
      <c r="E4" s="1029"/>
      <c r="F4" s="1029"/>
      <c r="G4" s="1029"/>
      <c r="H4" s="1029"/>
      <c r="I4" s="1029"/>
      <c r="J4" s="1029"/>
      <c r="K4" s="1029"/>
      <c r="L4" s="1029"/>
      <c r="M4" s="1029"/>
      <c r="N4" s="1029"/>
      <c r="O4" s="1029"/>
      <c r="P4" s="1029"/>
      <c r="Q4" s="1029"/>
      <c r="R4" s="1030"/>
      <c r="S4" s="1008"/>
      <c r="T4" s="117"/>
      <c r="U4" s="472">
        <v>2</v>
      </c>
      <c r="V4" s="470" t="str">
        <f>IFERROR(VLOOKUP(X4,法术大全!$A:$Z,2,FALSE),"")</f>
        <v/>
      </c>
      <c r="W4" s="473" t="str">
        <f>数据表!C3</f>
        <v/>
      </c>
      <c r="X4" s="469" t="inlineStr">
        <is>
          <t xml:space="preserve">万箭齐发</t>
        </is>
      </c>
      <c r="Y4" s="474" t="str">
        <f>数据表!D3</f>
        <v/>
      </c>
      <c r="Z4" s="472">
        <v>52</v>
      </c>
      <c r="AA4" s="471" t="str">
        <f>IFERROR(VLOOKUP(AC4,法术大全!$A:$Z,2,FALSE),"")</f>
        <v/>
      </c>
      <c r="AB4" s="475" t="str">
        <f>数据表!C53</f>
        <v/>
      </c>
      <c r="AC4" s="469"/>
      <c r="AD4" s="474" t="str">
        <f>数据表!D53</f>
        <v/>
      </c>
      <c r="AE4" s="476">
        <v>102</v>
      </c>
      <c r="AF4" s="470" t="str">
        <f>IFERROR(VLOOKUP(AH4,法术大全!$A:$Z,2,FALSE),"")</f>
        <v/>
      </c>
      <c r="AG4" s="473" t="str">
        <f>数据表!C103</f>
        <v/>
      </c>
      <c r="AH4" s="469"/>
      <c r="AI4" s="474" t="str">
        <f>数据表!D103</f>
        <v/>
      </c>
      <c r="AJ4" s="478">
        <v>152</v>
      </c>
      <c r="AK4" s="471" t="str">
        <f>IFERROR(VLOOKUP(AM4,法术大全!$A:$Z,2,FALSE),"")</f>
        <v/>
      </c>
      <c r="AL4" s="473" t="str">
        <f>数据表!C153</f>
        <v/>
      </c>
      <c r="AM4" s="469"/>
      <c r="AN4" s="474" t="str">
        <f>数据表!D153</f>
        <v/>
      </c>
      <c r="AO4" s="110"/>
      <c r="AQ4" s="1015"/>
      <c r="AR4" s="1016"/>
      <c r="AS4" s="1016"/>
      <c r="AT4" s="1016"/>
      <c r="AU4" s="1016"/>
      <c r="AV4" s="1016"/>
      <c r="AW4" s="1016"/>
      <c r="AX4" s="1017"/>
    </row>
    <row r="5" spans="2:50" ht="17.649999999999999" customHeight="1" x14ac:dyDescent="0.15">
      <c r="B5" s="1010"/>
      <c r="C5" s="1028"/>
      <c r="D5" s="1029"/>
      <c r="E5" s="1029"/>
      <c r="F5" s="1029"/>
      <c r="G5" s="1029"/>
      <c r="H5" s="1029"/>
      <c r="I5" s="1029"/>
      <c r="J5" s="1029"/>
      <c r="K5" s="1029"/>
      <c r="L5" s="1029"/>
      <c r="M5" s="1029"/>
      <c r="N5" s="1029"/>
      <c r="O5" s="1029"/>
      <c r="P5" s="1029"/>
      <c r="Q5" s="1029"/>
      <c r="R5" s="1030"/>
      <c r="S5" s="1008"/>
      <c r="T5" s="117"/>
      <c r="U5" s="472">
        <v>3</v>
      </c>
      <c r="V5" s="470" t="str">
        <f>IFERROR(VLOOKUP(X5,法术大全!$A:$Z,2,FALSE),"")</f>
        <v/>
      </c>
      <c r="W5" s="473" t="str">
        <f>数据表!C4</f>
        <v/>
      </c>
      <c r="X5" s="469" t="inlineStr">
        <is>
          <t xml:space="preserve">不动物件</t>
        </is>
      </c>
      <c r="Y5" s="474" t="str">
        <f>数据表!D4</f>
        <v/>
      </c>
      <c r="Z5" s="472">
        <v>53</v>
      </c>
      <c r="AA5" s="471" t="str">
        <f>IFERROR(VLOOKUP(AC5,法术大全!$A:$Z,2,FALSE),"")</f>
        <v/>
      </c>
      <c r="AB5" s="475" t="str">
        <f>数据表!C54</f>
        <v/>
      </c>
      <c r="AC5" s="469"/>
      <c r="AD5" s="474" t="str">
        <f>数据表!D54</f>
        <v/>
      </c>
      <c r="AE5" s="476">
        <v>103</v>
      </c>
      <c r="AF5" s="470" t="str">
        <f>IFERROR(VLOOKUP(AH5,法术大全!$A:$Z,2,FALSE),"")</f>
        <v/>
      </c>
      <c r="AG5" s="473" t="str">
        <f>数据表!C104</f>
        <v/>
      </c>
      <c r="AH5" s="469"/>
      <c r="AI5" s="474" t="str">
        <f>数据表!D104</f>
        <v/>
      </c>
      <c r="AJ5" s="478">
        <v>153</v>
      </c>
      <c r="AK5" s="471" t="str">
        <f>IFERROR(VLOOKUP(AM5,法术大全!$A:$Z,2,FALSE),"")</f>
        <v/>
      </c>
      <c r="AL5" s="473" t="str">
        <f>数据表!C154</f>
        <v/>
      </c>
      <c r="AM5" s="469"/>
      <c r="AN5" s="474" t="str">
        <f>数据表!D154</f>
        <v/>
      </c>
      <c r="AO5" s="110"/>
      <c r="AQ5" s="1015"/>
      <c r="AR5" s="1016"/>
      <c r="AS5" s="1016"/>
      <c r="AT5" s="1016"/>
      <c r="AU5" s="1016"/>
      <c r="AV5" s="1016"/>
      <c r="AW5" s="1016"/>
      <c r="AX5" s="1017"/>
    </row>
    <row r="6" spans="2:50" ht="17.649999999999999" customHeight="1" x14ac:dyDescent="0.15">
      <c r="B6" s="1010"/>
      <c r="C6" s="1031"/>
      <c r="D6" s="1032"/>
      <c r="E6" s="1032"/>
      <c r="F6" s="1032"/>
      <c r="G6" s="1032"/>
      <c r="H6" s="1032"/>
      <c r="I6" s="1032"/>
      <c r="J6" s="1032"/>
      <c r="K6" s="1032"/>
      <c r="L6" s="1032"/>
      <c r="M6" s="1032"/>
      <c r="N6" s="1032"/>
      <c r="O6" s="1032"/>
      <c r="P6" s="1032"/>
      <c r="Q6" s="1032"/>
      <c r="R6" s="1033"/>
      <c r="S6" s="1008"/>
      <c r="T6" s="117"/>
      <c r="U6" s="472">
        <v>4</v>
      </c>
      <c r="V6" s="470" t="str">
        <f>IFERROR(VLOOKUP(X6,法术大全!$A:$Z,2,FALSE),"")</f>
        <v/>
      </c>
      <c r="W6" s="473" t="str">
        <f>数据表!C5</f>
        <v/>
      </c>
      <c r="X6" s="469" t="inlineStr">
        <is>
          <t xml:space="preserve">下毒术</t>
        </is>
      </c>
      <c r="Y6" s="474" t="str">
        <f>数据表!D5</f>
        <v/>
      </c>
      <c r="Z6" s="472">
        <v>54</v>
      </c>
      <c r="AA6" s="471" t="str">
        <f>IFERROR(VLOOKUP(AC6,法术大全!$A:$Z,2,FALSE),"")</f>
        <v/>
      </c>
      <c r="AB6" s="475" t="str">
        <f>数据表!C55</f>
        <v/>
      </c>
      <c r="AC6" s="469"/>
      <c r="AD6" s="474" t="str">
        <f>数据表!D55</f>
        <v/>
      </c>
      <c r="AE6" s="476">
        <v>104</v>
      </c>
      <c r="AF6" s="470" t="str">
        <f>IFERROR(VLOOKUP(AH6,法术大全!$A:$Z,2,FALSE),"")</f>
        <v/>
      </c>
      <c r="AG6" s="473" t="str">
        <f>数据表!C105</f>
        <v/>
      </c>
      <c r="AH6" s="469"/>
      <c r="AI6" s="474" t="str">
        <f>数据表!D105</f>
        <v/>
      </c>
      <c r="AJ6" s="478">
        <v>154</v>
      </c>
      <c r="AK6" s="471" t="str">
        <f>IFERROR(VLOOKUP(AM6,法术大全!$A:$Z,2,FALSE),"")</f>
        <v/>
      </c>
      <c r="AL6" s="473" t="str">
        <f>数据表!C155</f>
        <v/>
      </c>
      <c r="AM6" s="469"/>
      <c r="AN6" s="474" t="str">
        <f>数据表!D155</f>
        <v/>
      </c>
      <c r="AO6" s="110"/>
      <c r="AQ6" s="1015"/>
      <c r="AR6" s="1016"/>
      <c r="AS6" s="1016"/>
      <c r="AT6" s="1016"/>
      <c r="AU6" s="1016"/>
      <c r="AV6" s="1016"/>
      <c r="AW6" s="1016"/>
      <c r="AX6" s="1017"/>
    </row>
    <row r="7" spans="2:50" ht="17.649999999999999" customHeight="1" x14ac:dyDescent="0.15">
      <c r="B7" s="1010"/>
      <c r="C7" s="1003"/>
      <c r="D7" s="1003"/>
      <c r="E7" s="1003"/>
      <c r="F7" s="1003"/>
      <c r="G7" s="1003"/>
      <c r="H7" s="1003"/>
      <c r="I7" s="1003"/>
      <c r="J7" s="1003"/>
      <c r="K7" s="1003"/>
      <c r="L7" s="1003"/>
      <c r="M7" s="1003"/>
      <c r="N7" s="1003"/>
      <c r="O7" s="1003"/>
      <c r="P7" s="1003"/>
      <c r="Q7" s="1003"/>
      <c r="R7" s="1003"/>
      <c r="S7" s="1008"/>
      <c r="T7" s="117"/>
      <c r="U7" s="472">
        <v>5</v>
      </c>
      <c r="V7" s="470" t="str">
        <f>IFERROR(VLOOKUP(X7,法术大全!$A:$Z,2,FALSE),"")</f>
        <v/>
      </c>
      <c r="W7" s="473" t="str">
        <f>数据表!C6</f>
        <v/>
      </c>
      <c r="X7" s="469" t="inlineStr">
        <is>
          <t xml:space="preserve">不灭明焰</t>
        </is>
      </c>
      <c r="Y7" s="474" t="str">
        <f>数据表!D6</f>
        <v/>
      </c>
      <c r="Z7" s="472">
        <v>55</v>
      </c>
      <c r="AA7" s="471" t="str">
        <f>IFERROR(VLOOKUP(AC7,法术大全!$A:$Z,2,FALSE),"")</f>
        <v/>
      </c>
      <c r="AB7" s="475" t="str">
        <f>数据表!C56</f>
        <v/>
      </c>
      <c r="AC7" s="469"/>
      <c r="AD7" s="474" t="str">
        <f>数据表!D56</f>
        <v/>
      </c>
      <c r="AE7" s="476">
        <v>105</v>
      </c>
      <c r="AF7" s="470" t="str">
        <f>IFERROR(VLOOKUP(AH7,法术大全!$A:$Z,2,FALSE),"")</f>
        <v/>
      </c>
      <c r="AG7" s="473" t="str">
        <f>数据表!C106</f>
        <v/>
      </c>
      <c r="AH7" s="469"/>
      <c r="AI7" s="474" t="str">
        <f>数据表!D106</f>
        <v/>
      </c>
      <c r="AJ7" s="478">
        <v>155</v>
      </c>
      <c r="AK7" s="471" t="str">
        <f>IFERROR(VLOOKUP(AM7,法术大全!$A:$Z,2,FALSE),"")</f>
        <v/>
      </c>
      <c r="AL7" s="473" t="str">
        <f>数据表!C156</f>
        <v/>
      </c>
      <c r="AM7" s="469"/>
      <c r="AN7" s="474" t="str">
        <f>数据表!D156</f>
        <v/>
      </c>
      <c r="AO7" s="110"/>
      <c r="AQ7" s="1015"/>
      <c r="AR7" s="1016"/>
      <c r="AS7" s="1016"/>
      <c r="AT7" s="1016"/>
      <c r="AU7" s="1016"/>
      <c r="AV7" s="1016"/>
      <c r="AW7" s="1016"/>
      <c r="AX7" s="1017"/>
    </row>
    <row r="8" spans="2:50" ht="17.649999999999999" customHeight="1" x14ac:dyDescent="0.15">
      <c r="B8" s="1010"/>
      <c r="C8" s="1004" t="str">
        <f ca="1">IFERROR(VLOOKUP(C3,法术大全!$A:$Z,14,FALSE),"")</f>
        <v xml:space="preserve"> </v>
      </c>
      <c r="D8" s="1005"/>
      <c r="E8" s="1005"/>
      <c r="F8" s="1005"/>
      <c r="G8" s="1005"/>
      <c r="H8" s="1005"/>
      <c r="I8" s="1005"/>
      <c r="J8" s="1005"/>
      <c r="K8" s="118"/>
      <c r="L8" s="113"/>
      <c r="M8" s="1006" t="s">
        <v>949</v>
      </c>
      <c r="N8" s="1006"/>
      <c r="O8" s="1007" t="str">
        <f ca="1">IF(C3="","",VLOOKUP(C3,法术大全!A:Z,26,FALSE))</f>
        <v/>
      </c>
      <c r="P8" s="1007"/>
      <c r="Q8" s="1007"/>
      <c r="R8" s="1007"/>
      <c r="S8" s="1008"/>
      <c r="T8" s="117"/>
      <c r="U8" s="472">
        <v>6</v>
      </c>
      <c r="V8" s="470" t="str">
        <f>IFERROR(VLOOKUP(X8,法术大全!$A:$Z,2,FALSE),"")</f>
        <v/>
      </c>
      <c r="W8" s="473" t="str">
        <f>数据表!C7</f>
        <v/>
      </c>
      <c r="X8" s="469"/>
      <c r="Y8" s="474" t="str">
        <f>数据表!D7</f>
        <v/>
      </c>
      <c r="Z8" s="472">
        <v>56</v>
      </c>
      <c r="AA8" s="471" t="str">
        <f>IFERROR(VLOOKUP(AC8,法术大全!$A:$Z,2,FALSE),"")</f>
        <v/>
      </c>
      <c r="AB8" s="475" t="str">
        <f>数据表!C57</f>
        <v/>
      </c>
      <c r="AC8" s="469"/>
      <c r="AD8" s="474" t="str">
        <f>数据表!D57</f>
        <v/>
      </c>
      <c r="AE8" s="476">
        <v>106</v>
      </c>
      <c r="AF8" s="470" t="str">
        <f>IFERROR(VLOOKUP(AH8,法术大全!$A:$Z,2,FALSE),"")</f>
        <v/>
      </c>
      <c r="AG8" s="473" t="str">
        <f>数据表!C107</f>
        <v/>
      </c>
      <c r="AH8" s="469"/>
      <c r="AI8" s="474" t="str">
        <f>数据表!D107</f>
        <v/>
      </c>
      <c r="AJ8" s="478">
        <v>156</v>
      </c>
      <c r="AK8" s="471" t="str">
        <f>IFERROR(VLOOKUP(AM8,法术大全!$A:$Z,2,FALSE),"")</f>
        <v/>
      </c>
      <c r="AL8" s="473" t="str">
        <f>数据表!C157</f>
        <v/>
      </c>
      <c r="AM8" s="469"/>
      <c r="AN8" s="474" t="str">
        <f>数据表!D157</f>
        <v/>
      </c>
      <c r="AO8" s="110"/>
      <c r="AQ8" s="1015"/>
      <c r="AR8" s="1016"/>
      <c r="AS8" s="1016"/>
      <c r="AT8" s="1016"/>
      <c r="AU8" s="1016"/>
      <c r="AV8" s="1016"/>
      <c r="AW8" s="1016"/>
      <c r="AX8" s="1017"/>
    </row>
    <row r="9" spans="2:50" ht="17.649999999999999" customHeight="1" x14ac:dyDescent="0.15">
      <c r="B9" s="1010"/>
      <c r="C9" s="1023" t="s">
        <v>950</v>
      </c>
      <c r="D9" s="1023"/>
      <c r="E9" s="1034" t="str">
        <f ca="1">IF(C3="","",CONCATENATE(
IF(VLOOKUP(C3,法术大全!$A:$Z,15,0)="√","吟游诗人 ",""),
IF(VLOOKUP(C3,法术大全!$A:$Z,16,0)="√","牧师 ",""),
IF(VLOOKUP(C3,法术大全!$A:$Z,17,0)="√","德鲁伊 ",""),
IF(VLOOKUP(C3,法术大全!$A:$Z,18,0)="√","圣武士 ",""),
IF(VLOOKUP(C3,法术大全!$A:$Z,19,0)="√","游侠 ",""),
IF(VLOOKUP(C3,法术大全!$A:$Z,20,0)="√","术士 ",""),
IF(VLOOKUP(C3,法术大全!$A:$Z,21,0)="√","魔契师 ",""),
IF(VLOOKUP(C3,法术大全!$A:$Z,22,0)="√","法师 ",""),
IF(VLOOKUP(C3,法术大全!$A:$Z,23,0)="√","奇械师 ",""),
IF(VLOOKUP(C3,法术大全!$A:$Z,24,0)="√","灵能使 ",""),
IF(VLOOKUP(C3,法术大全!$A:$Z,25,0)="√","药剂师 ","")))</f>
        <v/>
      </c>
      <c r="F9" s="1035"/>
      <c r="G9" s="1035"/>
      <c r="H9" s="1035"/>
      <c r="I9" s="1035"/>
      <c r="J9" s="1036"/>
      <c r="K9" s="1023" t="s">
        <v>951</v>
      </c>
      <c r="L9" s="1023"/>
      <c r="M9" s="1022" t="str">
        <f ca="1">IF(C3="","",IF(VLOOKUP(C3,法术大全!$A:$Z,2,FALSE),CONCATENATE(VLOOKUP(C3,法术大全!$A:$Z,2,FALSE),"环"),"戏法"))</f>
        <v/>
      </c>
      <c r="N9" s="1022"/>
      <c r="O9" s="1023" t="s">
        <v>952</v>
      </c>
      <c r="P9" s="1023"/>
      <c r="Q9" s="1022" t="str">
        <f ca="1">IFERROR(VLOOKUP(C3,法术大全!$A:$Z,3,FALSE),"")</f>
        <v/>
      </c>
      <c r="R9" s="1022"/>
      <c r="S9" s="1008"/>
      <c r="T9" s="117"/>
      <c r="U9" s="472">
        <v>7</v>
      </c>
      <c r="V9" s="470" t="str">
        <f>IFERROR(VLOOKUP(X9,法术大全!$A:$Z,2,FALSE),"")</f>
        <v/>
      </c>
      <c r="W9" s="473" t="str">
        <f>数据表!C8</f>
        <v/>
      </c>
      <c r="X9" s="469"/>
      <c r="Y9" s="474" t="str">
        <f>数据表!D8</f>
        <v/>
      </c>
      <c r="Z9" s="472">
        <v>57</v>
      </c>
      <c r="AA9" s="471" t="str">
        <f>IFERROR(VLOOKUP(AC9,法术大全!$A:$Z,2,FALSE),"")</f>
        <v/>
      </c>
      <c r="AB9" s="475" t="str">
        <f>数据表!C58</f>
        <v/>
      </c>
      <c r="AC9" s="469"/>
      <c r="AD9" s="474" t="str">
        <f>数据表!D58</f>
        <v/>
      </c>
      <c r="AE9" s="476">
        <v>107</v>
      </c>
      <c r="AF9" s="470" t="str">
        <f>IFERROR(VLOOKUP(AH9,法术大全!$A:$Z,2,FALSE),"")</f>
        <v/>
      </c>
      <c r="AG9" s="473" t="str">
        <f>数据表!C108</f>
        <v/>
      </c>
      <c r="AH9" s="469"/>
      <c r="AI9" s="474" t="str">
        <f>数据表!D108</f>
        <v/>
      </c>
      <c r="AJ9" s="478">
        <v>157</v>
      </c>
      <c r="AK9" s="471" t="str">
        <f>IFERROR(VLOOKUP(AM9,法术大全!$A:$Z,2,FALSE),"")</f>
        <v/>
      </c>
      <c r="AL9" s="473" t="str">
        <f>数据表!C158</f>
        <v/>
      </c>
      <c r="AM9" s="469"/>
      <c r="AN9" s="474" t="str">
        <f>数据表!D158</f>
        <v/>
      </c>
      <c r="AO9" s="110"/>
      <c r="AQ9" s="1015"/>
      <c r="AR9" s="1016"/>
      <c r="AS9" s="1016"/>
      <c r="AT9" s="1016"/>
      <c r="AU9" s="1016"/>
      <c r="AV9" s="1016"/>
      <c r="AW9" s="1016"/>
      <c r="AX9" s="1017"/>
    </row>
    <row r="10" spans="2:50" ht="17.649999999999999" customHeight="1" x14ac:dyDescent="0.15">
      <c r="B10" s="1010"/>
      <c r="C10" s="1023"/>
      <c r="D10" s="1023"/>
      <c r="E10" s="1037"/>
      <c r="F10" s="1038"/>
      <c r="G10" s="1038"/>
      <c r="H10" s="1038"/>
      <c r="I10" s="1038"/>
      <c r="J10" s="1039"/>
      <c r="K10" s="1023"/>
      <c r="L10" s="1023"/>
      <c r="M10" s="1022"/>
      <c r="N10" s="1022"/>
      <c r="O10" s="1023"/>
      <c r="P10" s="1023"/>
      <c r="Q10" s="1022"/>
      <c r="R10" s="1022"/>
      <c r="S10" s="1008"/>
      <c r="T10" s="117"/>
      <c r="U10" s="472">
        <v>8</v>
      </c>
      <c r="V10" s="470" t="str">
        <f>IFERROR(VLOOKUP(X10,法术大全!$A:$Z,2,FALSE),"")</f>
        <v/>
      </c>
      <c r="W10" s="473" t="str">
        <f>数据表!C9</f>
        <v/>
      </c>
      <c r="X10" s="469"/>
      <c r="Y10" s="474" t="str">
        <f>数据表!D9</f>
        <v/>
      </c>
      <c r="Z10" s="472">
        <v>58</v>
      </c>
      <c r="AA10" s="471" t="str">
        <f>IFERROR(VLOOKUP(AC10,法术大全!$A:$Z,2,FALSE),"")</f>
        <v/>
      </c>
      <c r="AB10" s="475" t="str">
        <f>数据表!C59</f>
        <v/>
      </c>
      <c r="AC10" s="469"/>
      <c r="AD10" s="474" t="str">
        <f>数据表!D59</f>
        <v/>
      </c>
      <c r="AE10" s="476">
        <v>108</v>
      </c>
      <c r="AF10" s="470" t="str">
        <f>IFERROR(VLOOKUP(AH10,法术大全!$A:$Z,2,FALSE),"")</f>
        <v/>
      </c>
      <c r="AG10" s="473" t="str">
        <f>数据表!C109</f>
        <v/>
      </c>
      <c r="AH10" s="469"/>
      <c r="AI10" s="474" t="str">
        <f>数据表!D109</f>
        <v/>
      </c>
      <c r="AJ10" s="478">
        <v>158</v>
      </c>
      <c r="AK10" s="471" t="str">
        <f>IFERROR(VLOOKUP(AM10,法术大全!$A:$Z,2,FALSE),"")</f>
        <v/>
      </c>
      <c r="AL10" s="473" t="str">
        <f>数据表!C159</f>
        <v/>
      </c>
      <c r="AM10" s="469"/>
      <c r="AN10" s="474" t="str">
        <f>数据表!D159</f>
        <v/>
      </c>
      <c r="AO10" s="110"/>
      <c r="AQ10" s="1015"/>
      <c r="AR10" s="1016"/>
      <c r="AS10" s="1016"/>
      <c r="AT10" s="1016"/>
      <c r="AU10" s="1016"/>
      <c r="AV10" s="1016"/>
      <c r="AW10" s="1016"/>
      <c r="AX10" s="1017"/>
    </row>
    <row r="11" spans="2:50" ht="17.649999999999999" customHeight="1" x14ac:dyDescent="0.15">
      <c r="B11" s="1010"/>
      <c r="C11" s="1023" t="s">
        <v>953</v>
      </c>
      <c r="D11" s="1023"/>
      <c r="E11" s="1021" t="str">
        <f ca="1">IFERROR(VLOOKUP(C3,法术大全!$A:$Z,6,FALSE),"")</f>
        <v/>
      </c>
      <c r="F11" s="1021"/>
      <c r="G11" s="1021"/>
      <c r="H11" s="1021"/>
      <c r="I11" s="1021"/>
      <c r="J11" s="1021"/>
      <c r="K11" s="1023" t="s">
        <v>954</v>
      </c>
      <c r="L11" s="1023"/>
      <c r="M11" s="1022" t="str">
        <f ca="1">IFERROR(VLOOKUP(C3,法术大全!$A:$Z,7,FALSE),"")</f>
        <v/>
      </c>
      <c r="N11" s="1022"/>
      <c r="O11" s="1022"/>
      <c r="P11" s="1022"/>
      <c r="Q11" s="1022"/>
      <c r="R11" s="1022"/>
      <c r="S11" s="1008"/>
      <c r="T11" s="117"/>
      <c r="U11" s="472">
        <v>9</v>
      </c>
      <c r="V11" s="470" t="str">
        <f>IFERROR(VLOOKUP(X11,法术大全!$A:$Z,2,FALSE),"")</f>
        <v/>
      </c>
      <c r="W11" s="473" t="str">
        <f>数据表!C10</f>
        <v/>
      </c>
      <c r="X11" s="469"/>
      <c r="Y11" s="474" t="str">
        <f>数据表!D10</f>
        <v/>
      </c>
      <c r="Z11" s="472">
        <v>59</v>
      </c>
      <c r="AA11" s="471" t="str">
        <f>IFERROR(VLOOKUP(AC11,法术大全!$A:$Z,2,FALSE),"")</f>
        <v/>
      </c>
      <c r="AB11" s="475" t="str">
        <f>数据表!C60</f>
        <v/>
      </c>
      <c r="AC11" s="469"/>
      <c r="AD11" s="474" t="str">
        <f>数据表!D60</f>
        <v/>
      </c>
      <c r="AE11" s="476">
        <v>109</v>
      </c>
      <c r="AF11" s="470" t="str">
        <f>IFERROR(VLOOKUP(AH11,法术大全!$A:$Z,2,FALSE),"")</f>
        <v/>
      </c>
      <c r="AG11" s="473" t="str">
        <f>数据表!C110</f>
        <v/>
      </c>
      <c r="AH11" s="469"/>
      <c r="AI11" s="474" t="str">
        <f>数据表!D110</f>
        <v/>
      </c>
      <c r="AJ11" s="478">
        <v>159</v>
      </c>
      <c r="AK11" s="471" t="str">
        <f>IFERROR(VLOOKUP(AM11,法术大全!$A:$Z,2,FALSE),"")</f>
        <v/>
      </c>
      <c r="AL11" s="473" t="str">
        <f>数据表!C160</f>
        <v/>
      </c>
      <c r="AM11" s="469"/>
      <c r="AN11" s="474" t="str">
        <f>数据表!D160</f>
        <v/>
      </c>
      <c r="AO11" s="110"/>
      <c r="AQ11" s="1015"/>
      <c r="AR11" s="1016"/>
      <c r="AS11" s="1016"/>
      <c r="AT11" s="1016"/>
      <c r="AU11" s="1016"/>
      <c r="AV11" s="1016"/>
      <c r="AW11" s="1016"/>
      <c r="AX11" s="1017"/>
    </row>
    <row r="12" spans="2:50" ht="17.649999999999999" customHeight="1" x14ac:dyDescent="0.15">
      <c r="B12" s="1010"/>
      <c r="C12" s="1023"/>
      <c r="D12" s="1023"/>
      <c r="E12" s="1021"/>
      <c r="F12" s="1021"/>
      <c r="G12" s="1021"/>
      <c r="H12" s="1021"/>
      <c r="I12" s="1021"/>
      <c r="J12" s="1021"/>
      <c r="K12" s="1023"/>
      <c r="L12" s="1023"/>
      <c r="M12" s="1022"/>
      <c r="N12" s="1022"/>
      <c r="O12" s="1022"/>
      <c r="P12" s="1022"/>
      <c r="Q12" s="1022"/>
      <c r="R12" s="1022"/>
      <c r="S12" s="1008"/>
      <c r="T12" s="117"/>
      <c r="U12" s="472">
        <v>10</v>
      </c>
      <c r="V12" s="470" t="str">
        <f>IFERROR(VLOOKUP(X12,法术大全!$A:$Z,2,FALSE),"")</f>
        <v/>
      </c>
      <c r="W12" s="473" t="str">
        <f>数据表!C11</f>
        <v/>
      </c>
      <c r="X12" s="469"/>
      <c r="Y12" s="474" t="str">
        <f>数据表!D11</f>
        <v/>
      </c>
      <c r="Z12" s="472">
        <v>60</v>
      </c>
      <c r="AA12" s="471" t="str">
        <f>IFERROR(VLOOKUP(AC12,法术大全!$A:$Z,2,FALSE),"")</f>
        <v/>
      </c>
      <c r="AB12" s="475" t="str">
        <f>数据表!C61</f>
        <v/>
      </c>
      <c r="AC12" s="469"/>
      <c r="AD12" s="474" t="str">
        <f>数据表!D61</f>
        <v/>
      </c>
      <c r="AE12" s="476">
        <v>110</v>
      </c>
      <c r="AF12" s="470" t="str">
        <f>IFERROR(VLOOKUP(AH12,法术大全!$A:$Z,2,FALSE),"")</f>
        <v/>
      </c>
      <c r="AG12" s="473" t="str">
        <f>数据表!C111</f>
        <v/>
      </c>
      <c r="AH12" s="469"/>
      <c r="AI12" s="474" t="str">
        <f>数据表!D111</f>
        <v/>
      </c>
      <c r="AJ12" s="478">
        <v>160</v>
      </c>
      <c r="AK12" s="471" t="str">
        <f>IFERROR(VLOOKUP(AM12,法术大全!$A:$Z,2,FALSE),"")</f>
        <v/>
      </c>
      <c r="AL12" s="473" t="str">
        <f>数据表!C161</f>
        <v/>
      </c>
      <c r="AM12" s="469"/>
      <c r="AN12" s="474" t="str">
        <f>数据表!D161</f>
        <v/>
      </c>
      <c r="AO12" s="110"/>
      <c r="AQ12" s="1015"/>
      <c r="AR12" s="1016"/>
      <c r="AS12" s="1016"/>
      <c r="AT12" s="1016"/>
      <c r="AU12" s="1016"/>
      <c r="AV12" s="1016"/>
      <c r="AW12" s="1016"/>
      <c r="AX12" s="1017"/>
    </row>
    <row r="13" spans="2:50" ht="17.649999999999999" customHeight="1" x14ac:dyDescent="0.15">
      <c r="B13" s="1010"/>
      <c r="C13" s="1023" t="s">
        <v>955</v>
      </c>
      <c r="D13" s="1023"/>
      <c r="E13" s="1011" t="str">
        <f ca="1">IF(C3="","",CONCATENATE(IF(VLOOKUP(C3,法术大全!$A:$Z,8,0)="V","语言（V）",""),IF(VLOOKUP(C3,法术大全!$A:$Z,9,0)="S","姿势（S）",""),IF(VLOOKUP(C3,法术大全!$A:$Z,10,0)="M","材料(M)","")))</f>
        <v/>
      </c>
      <c r="F13" s="1023" t="s">
        <v>956</v>
      </c>
      <c r="G13" s="1023"/>
      <c r="H13" s="1024" t="str">
        <f ca="1">IFERROR(IF(VLOOKUP(C3,法术大全!$A:$Z,10,FALSE)="M",VLOOKUP(C3,法术大全!$A:$Z,11,FALSE),"无"),"")</f>
        <v>无</v>
      </c>
      <c r="I13" s="1024"/>
      <c r="J13" s="1024"/>
      <c r="K13" s="1024"/>
      <c r="L13" s="1024"/>
      <c r="M13" s="1024"/>
      <c r="N13" s="1024"/>
      <c r="O13" s="1024"/>
      <c r="P13" s="1024"/>
      <c r="Q13" s="1024"/>
      <c r="R13" s="1024"/>
      <c r="S13" s="1008"/>
      <c r="T13" s="117"/>
      <c r="U13" s="472">
        <v>11</v>
      </c>
      <c r="V13" s="470" t="str">
        <f>IFERROR(VLOOKUP(X13,法术大全!$A:$Z,2,FALSE),"")</f>
        <v/>
      </c>
      <c r="W13" s="473" t="str">
        <f>数据表!C12</f>
        <v/>
      </c>
      <c r="X13" s="469"/>
      <c r="Y13" s="474" t="str">
        <f>数据表!D12</f>
        <v/>
      </c>
      <c r="Z13" s="472">
        <v>61</v>
      </c>
      <c r="AA13" s="471" t="str">
        <f>IFERROR(VLOOKUP(AC13,法术大全!$A:$Z,2,FALSE),"")</f>
        <v/>
      </c>
      <c r="AB13" s="475" t="str">
        <f>数据表!C62</f>
        <v/>
      </c>
      <c r="AC13" s="469"/>
      <c r="AD13" s="474" t="str">
        <f>数据表!D62</f>
        <v/>
      </c>
      <c r="AE13" s="476">
        <v>111</v>
      </c>
      <c r="AF13" s="470" t="str">
        <f>IFERROR(VLOOKUP(AH13,法术大全!$A:$Z,2,FALSE),"")</f>
        <v/>
      </c>
      <c r="AG13" s="473" t="str">
        <f>数据表!C112</f>
        <v/>
      </c>
      <c r="AH13" s="469"/>
      <c r="AI13" s="474" t="str">
        <f>数据表!D112</f>
        <v/>
      </c>
      <c r="AJ13" s="478">
        <v>161</v>
      </c>
      <c r="AK13" s="471" t="str">
        <f>IFERROR(VLOOKUP(AM13,法术大全!$A:$Z,2,FALSE),"")</f>
        <v/>
      </c>
      <c r="AL13" s="473" t="str">
        <f>数据表!C162</f>
        <v/>
      </c>
      <c r="AM13" s="469"/>
      <c r="AN13" s="474" t="str">
        <f>数据表!D162</f>
        <v/>
      </c>
      <c r="AO13" s="110"/>
      <c r="AQ13" s="1015"/>
      <c r="AR13" s="1016"/>
      <c r="AS13" s="1016"/>
      <c r="AT13" s="1016"/>
      <c r="AU13" s="1016"/>
      <c r="AV13" s="1016"/>
      <c r="AW13" s="1016"/>
      <c r="AX13" s="1017"/>
    </row>
    <row r="14" spans="2:50" ht="17.649999999999999" customHeight="1" x14ac:dyDescent="0.15">
      <c r="B14" s="1010"/>
      <c r="C14" s="1023"/>
      <c r="D14" s="1023"/>
      <c r="E14" s="1011"/>
      <c r="F14" s="1023"/>
      <c r="G14" s="1023"/>
      <c r="H14" s="1024"/>
      <c r="I14" s="1024"/>
      <c r="J14" s="1024"/>
      <c r="K14" s="1024"/>
      <c r="L14" s="1024"/>
      <c r="M14" s="1024"/>
      <c r="N14" s="1024"/>
      <c r="O14" s="1024"/>
      <c r="P14" s="1024"/>
      <c r="Q14" s="1024"/>
      <c r="R14" s="1024"/>
      <c r="S14" s="1008"/>
      <c r="T14" s="117"/>
      <c r="U14" s="472">
        <v>12</v>
      </c>
      <c r="V14" s="470" t="str">
        <f>IFERROR(VLOOKUP(X14,法术大全!$A:$Z,2,FALSE),"")</f>
        <v/>
      </c>
      <c r="W14" s="473" t="str">
        <f>数据表!C13</f>
        <v/>
      </c>
      <c r="X14" s="469"/>
      <c r="Y14" s="474" t="str">
        <f>数据表!D13</f>
        <v/>
      </c>
      <c r="Z14" s="472">
        <v>62</v>
      </c>
      <c r="AA14" s="471" t="str">
        <f>IFERROR(VLOOKUP(AC14,法术大全!$A:$Z,2,FALSE),"")</f>
        <v/>
      </c>
      <c r="AB14" s="475" t="str">
        <f>数据表!C63</f>
        <v/>
      </c>
      <c r="AC14" s="469"/>
      <c r="AD14" s="474" t="str">
        <f>数据表!D63</f>
        <v/>
      </c>
      <c r="AE14" s="476">
        <v>112</v>
      </c>
      <c r="AF14" s="470" t="str">
        <f>IFERROR(VLOOKUP(AH14,法术大全!$A:$Z,2,FALSE),"")</f>
        <v/>
      </c>
      <c r="AG14" s="473" t="str">
        <f>数据表!C113</f>
        <v/>
      </c>
      <c r="AH14" s="469"/>
      <c r="AI14" s="474" t="str">
        <f>数据表!D113</f>
        <v/>
      </c>
      <c r="AJ14" s="478">
        <v>162</v>
      </c>
      <c r="AK14" s="471" t="str">
        <f>IFERROR(VLOOKUP(AM14,法术大全!$A:$Z,2,FALSE),"")</f>
        <v/>
      </c>
      <c r="AL14" s="473" t="str">
        <f>数据表!C163</f>
        <v/>
      </c>
      <c r="AM14" s="469"/>
      <c r="AN14" s="474" t="str">
        <f>数据表!D163</f>
        <v/>
      </c>
      <c r="AO14" s="110"/>
      <c r="AQ14" s="1015"/>
      <c r="AR14" s="1016"/>
      <c r="AS14" s="1016"/>
      <c r="AT14" s="1016"/>
      <c r="AU14" s="1016"/>
      <c r="AV14" s="1016"/>
      <c r="AW14" s="1016"/>
      <c r="AX14" s="1017"/>
    </row>
    <row r="15" spans="2:50" ht="17.649999999999999" customHeight="1" x14ac:dyDescent="0.15">
      <c r="B15" s="1010"/>
      <c r="C15" s="1023"/>
      <c r="D15" s="1023"/>
      <c r="E15" s="1011"/>
      <c r="F15" s="1023"/>
      <c r="G15" s="1023"/>
      <c r="H15" s="1024"/>
      <c r="I15" s="1024"/>
      <c r="J15" s="1024"/>
      <c r="K15" s="1024"/>
      <c r="L15" s="1024"/>
      <c r="M15" s="1024"/>
      <c r="N15" s="1024"/>
      <c r="O15" s="1024"/>
      <c r="P15" s="1024"/>
      <c r="Q15" s="1024"/>
      <c r="R15" s="1024"/>
      <c r="S15" s="1008"/>
      <c r="T15" s="117"/>
      <c r="U15" s="472">
        <v>13</v>
      </c>
      <c r="V15" s="470" t="str">
        <f>IFERROR(VLOOKUP(X15,法术大全!$A:$Z,2,FALSE),"")</f>
        <v/>
      </c>
      <c r="W15" s="473" t="str">
        <f>数据表!C14</f>
        <v/>
      </c>
      <c r="X15" s="469"/>
      <c r="Y15" s="474" t="str">
        <f>数据表!D14</f>
        <v/>
      </c>
      <c r="Z15" s="472">
        <v>63</v>
      </c>
      <c r="AA15" s="471" t="str">
        <f>IFERROR(VLOOKUP(AC15,法术大全!$A:$Z,2,FALSE),"")</f>
        <v/>
      </c>
      <c r="AB15" s="475" t="str">
        <f>数据表!C64</f>
        <v/>
      </c>
      <c r="AC15" s="469"/>
      <c r="AD15" s="474" t="str">
        <f>数据表!D64</f>
        <v/>
      </c>
      <c r="AE15" s="476">
        <v>113</v>
      </c>
      <c r="AF15" s="470" t="str">
        <f>IFERROR(VLOOKUP(AH15,法术大全!$A:$Z,2,FALSE),"")</f>
        <v/>
      </c>
      <c r="AG15" s="473" t="str">
        <f>数据表!C114</f>
        <v/>
      </c>
      <c r="AH15" s="469"/>
      <c r="AI15" s="474" t="str">
        <f>数据表!D114</f>
        <v/>
      </c>
      <c r="AJ15" s="478">
        <v>163</v>
      </c>
      <c r="AK15" s="471" t="str">
        <f>IFERROR(VLOOKUP(AM15,法术大全!$A:$Z,2,FALSE),"")</f>
        <v/>
      </c>
      <c r="AL15" s="473" t="str">
        <f>数据表!C164</f>
        <v/>
      </c>
      <c r="AM15" s="469"/>
      <c r="AN15" s="474" t="str">
        <f>数据表!D164</f>
        <v/>
      </c>
      <c r="AO15" s="110"/>
      <c r="AQ15" s="1015"/>
      <c r="AR15" s="1016"/>
      <c r="AS15" s="1016"/>
      <c r="AT15" s="1016"/>
      <c r="AU15" s="1016"/>
      <c r="AV15" s="1016"/>
      <c r="AW15" s="1016"/>
      <c r="AX15" s="1017"/>
    </row>
    <row r="16" spans="2:50" ht="17.649999999999999" customHeight="1" x14ac:dyDescent="0.15">
      <c r="B16" s="1010"/>
      <c r="C16" s="1023"/>
      <c r="D16" s="1023"/>
      <c r="E16" s="1011"/>
      <c r="F16" s="1023"/>
      <c r="G16" s="1023"/>
      <c r="H16" s="1024"/>
      <c r="I16" s="1024"/>
      <c r="J16" s="1024"/>
      <c r="K16" s="1024"/>
      <c r="L16" s="1024"/>
      <c r="M16" s="1024"/>
      <c r="N16" s="1024"/>
      <c r="O16" s="1024"/>
      <c r="P16" s="1024"/>
      <c r="Q16" s="1024"/>
      <c r="R16" s="1024"/>
      <c r="S16" s="1008"/>
      <c r="T16" s="117"/>
      <c r="U16" s="472">
        <v>14</v>
      </c>
      <c r="V16" s="470" t="str">
        <f>IFERROR(VLOOKUP(X16,法术大全!$A:$Z,2,FALSE),"")</f>
        <v/>
      </c>
      <c r="W16" s="473" t="str">
        <f>数据表!C15</f>
        <v/>
      </c>
      <c r="X16" s="469"/>
      <c r="Y16" s="474" t="str">
        <f>数据表!D15</f>
        <v/>
      </c>
      <c r="Z16" s="472">
        <v>64</v>
      </c>
      <c r="AA16" s="471" t="str">
        <f>IFERROR(VLOOKUP(AC16,法术大全!$A:$Z,2,FALSE),"")</f>
        <v/>
      </c>
      <c r="AB16" s="475" t="str">
        <f>数据表!C65</f>
        <v/>
      </c>
      <c r="AC16" s="469"/>
      <c r="AD16" s="474" t="str">
        <f>数据表!D65</f>
        <v/>
      </c>
      <c r="AE16" s="476">
        <v>114</v>
      </c>
      <c r="AF16" s="470" t="str">
        <f>IFERROR(VLOOKUP(AH16,法术大全!$A:$Z,2,FALSE),"")</f>
        <v/>
      </c>
      <c r="AG16" s="473" t="str">
        <f>数据表!C115</f>
        <v/>
      </c>
      <c r="AH16" s="469"/>
      <c r="AI16" s="474" t="str">
        <f>数据表!D115</f>
        <v/>
      </c>
      <c r="AJ16" s="478">
        <v>164</v>
      </c>
      <c r="AK16" s="471" t="str">
        <f>IFERROR(VLOOKUP(AM16,法术大全!$A:$Z,2,FALSE),"")</f>
        <v/>
      </c>
      <c r="AL16" s="473" t="str">
        <f>数据表!C165</f>
        <v/>
      </c>
      <c r="AM16" s="469"/>
      <c r="AN16" s="474" t="str">
        <f>数据表!D165</f>
        <v/>
      </c>
      <c r="AO16" s="110"/>
      <c r="AQ16" s="1015"/>
      <c r="AR16" s="1016"/>
      <c r="AS16" s="1016"/>
      <c r="AT16" s="1016"/>
      <c r="AU16" s="1016"/>
      <c r="AV16" s="1016"/>
      <c r="AW16" s="1016"/>
      <c r="AX16" s="1017"/>
    </row>
    <row r="17" spans="2:50" ht="17.649999999999999" customHeight="1" x14ac:dyDescent="0.15">
      <c r="B17" s="1010"/>
      <c r="C17" s="1023"/>
      <c r="D17" s="1023"/>
      <c r="E17" s="1011"/>
      <c r="F17" s="1023"/>
      <c r="G17" s="1023"/>
      <c r="H17" s="1024"/>
      <c r="I17" s="1024"/>
      <c r="J17" s="1024"/>
      <c r="K17" s="1024"/>
      <c r="L17" s="1024"/>
      <c r="M17" s="1024"/>
      <c r="N17" s="1024"/>
      <c r="O17" s="1024"/>
      <c r="P17" s="1024"/>
      <c r="Q17" s="1024"/>
      <c r="R17" s="1024"/>
      <c r="S17" s="1008"/>
      <c r="T17" s="117"/>
      <c r="U17" s="472">
        <v>15</v>
      </c>
      <c r="V17" s="470" t="str">
        <f>IFERROR(VLOOKUP(X17,法术大全!$A:$Z,2,FALSE),"")</f>
        <v/>
      </c>
      <c r="W17" s="473" t="str">
        <f>数据表!C16</f>
        <v/>
      </c>
      <c r="X17" s="469"/>
      <c r="Y17" s="474" t="str">
        <f>数据表!D16</f>
        <v/>
      </c>
      <c r="Z17" s="472">
        <v>65</v>
      </c>
      <c r="AA17" s="471" t="str">
        <f>IFERROR(VLOOKUP(AC17,法术大全!$A:$Z,2,FALSE),"")</f>
        <v/>
      </c>
      <c r="AB17" s="475" t="str">
        <f>数据表!C66</f>
        <v/>
      </c>
      <c r="AC17" s="469"/>
      <c r="AD17" s="474" t="str">
        <f>数据表!D66</f>
        <v/>
      </c>
      <c r="AE17" s="476">
        <v>115</v>
      </c>
      <c r="AF17" s="470" t="str">
        <f>IFERROR(VLOOKUP(AH17,法术大全!$A:$Z,2,FALSE),"")</f>
        <v/>
      </c>
      <c r="AG17" s="473" t="str">
        <f>数据表!C116</f>
        <v/>
      </c>
      <c r="AH17" s="469"/>
      <c r="AI17" s="474" t="str">
        <f>数据表!D116</f>
        <v/>
      </c>
      <c r="AJ17" s="478">
        <v>165</v>
      </c>
      <c r="AK17" s="471" t="str">
        <f>IFERROR(VLOOKUP(AM17,法术大全!$A:$Z,2,FALSE),"")</f>
        <v/>
      </c>
      <c r="AL17" s="473" t="str">
        <f>数据表!C166</f>
        <v/>
      </c>
      <c r="AM17" s="469"/>
      <c r="AN17" s="474" t="str">
        <f>数据表!D166</f>
        <v/>
      </c>
      <c r="AO17" s="110"/>
      <c r="AQ17" s="1015"/>
      <c r="AR17" s="1016"/>
      <c r="AS17" s="1016"/>
      <c r="AT17" s="1016"/>
      <c r="AU17" s="1016"/>
      <c r="AV17" s="1016"/>
      <c r="AW17" s="1016"/>
      <c r="AX17" s="1017"/>
    </row>
    <row r="18" spans="2:50" ht="17.649999999999999" customHeight="1" x14ac:dyDescent="0.15">
      <c r="B18" s="1010"/>
      <c r="C18" s="1023"/>
      <c r="D18" s="1023"/>
      <c r="E18" s="1011"/>
      <c r="F18" s="1023"/>
      <c r="G18" s="1023"/>
      <c r="H18" s="1024"/>
      <c r="I18" s="1024"/>
      <c r="J18" s="1024"/>
      <c r="K18" s="1024"/>
      <c r="L18" s="1024"/>
      <c r="M18" s="1024"/>
      <c r="N18" s="1024"/>
      <c r="O18" s="1024"/>
      <c r="P18" s="1024"/>
      <c r="Q18" s="1024"/>
      <c r="R18" s="1024"/>
      <c r="S18" s="1008"/>
      <c r="T18" s="117"/>
      <c r="U18" s="472">
        <v>16</v>
      </c>
      <c r="V18" s="470" t="str">
        <f>IFERROR(VLOOKUP(X18,法术大全!$A:$Z,2,FALSE),"")</f>
        <v/>
      </c>
      <c r="W18" s="473" t="str">
        <f>数据表!C17</f>
        <v/>
      </c>
      <c r="X18" s="469"/>
      <c r="Y18" s="474" t="str">
        <f>数据表!D17</f>
        <v/>
      </c>
      <c r="Z18" s="472">
        <v>66</v>
      </c>
      <c r="AA18" s="471" t="str">
        <f>IFERROR(VLOOKUP(AC18,法术大全!$A:$Z,2,FALSE),"")</f>
        <v/>
      </c>
      <c r="AB18" s="475" t="str">
        <f>数据表!C67</f>
        <v/>
      </c>
      <c r="AC18" s="469"/>
      <c r="AD18" s="474" t="str">
        <f>数据表!D67</f>
        <v/>
      </c>
      <c r="AE18" s="476">
        <v>116</v>
      </c>
      <c r="AF18" s="470" t="str">
        <f>IFERROR(VLOOKUP(AH18,法术大全!$A:$Z,2,FALSE),"")</f>
        <v/>
      </c>
      <c r="AG18" s="473" t="str">
        <f>数据表!C117</f>
        <v/>
      </c>
      <c r="AH18" s="469"/>
      <c r="AI18" s="474" t="str">
        <f>数据表!D117</f>
        <v/>
      </c>
      <c r="AJ18" s="478">
        <v>166</v>
      </c>
      <c r="AK18" s="471" t="str">
        <f>IFERROR(VLOOKUP(AM18,法术大全!$A:$Z,2,FALSE),"")</f>
        <v/>
      </c>
      <c r="AL18" s="473" t="str">
        <f>数据表!C167</f>
        <v/>
      </c>
      <c r="AM18" s="469"/>
      <c r="AN18" s="474" t="str">
        <f>数据表!D167</f>
        <v/>
      </c>
      <c r="AO18" s="110"/>
      <c r="AQ18" s="1015"/>
      <c r="AR18" s="1016"/>
      <c r="AS18" s="1016"/>
      <c r="AT18" s="1016"/>
      <c r="AU18" s="1016"/>
      <c r="AV18" s="1016"/>
      <c r="AW18" s="1016"/>
      <c r="AX18" s="1017"/>
    </row>
    <row r="19" spans="2:50" ht="17.649999999999999" customHeight="1" x14ac:dyDescent="0.15">
      <c r="B19" s="1010"/>
      <c r="C19" s="1023" t="s">
        <v>957</v>
      </c>
      <c r="D19" s="1023"/>
      <c r="E19" s="1021" t="str">
        <f ca="1">IFERROR(VLOOKUP(C3,法术大全!$A:$Z,12,FALSE),"")</f>
        <v/>
      </c>
      <c r="F19" s="1021"/>
      <c r="G19" s="1021"/>
      <c r="H19" s="1021"/>
      <c r="I19" s="1021"/>
      <c r="J19" s="1021"/>
      <c r="K19" s="1021"/>
      <c r="L19" s="1021"/>
      <c r="M19" s="1021"/>
      <c r="N19" s="1021"/>
      <c r="O19" s="1021"/>
      <c r="P19" s="1021"/>
      <c r="Q19" s="1021"/>
      <c r="R19" s="1021"/>
      <c r="S19" s="1008"/>
      <c r="T19" s="117"/>
      <c r="U19" s="472">
        <v>17</v>
      </c>
      <c r="V19" s="470" t="str">
        <f>IFERROR(VLOOKUP(X19,法术大全!$A:$Z,2,FALSE),"")</f>
        <v/>
      </c>
      <c r="W19" s="473" t="str">
        <f>数据表!C18</f>
        <v/>
      </c>
      <c r="X19" s="469"/>
      <c r="Y19" s="474" t="str">
        <f>数据表!D18</f>
        <v/>
      </c>
      <c r="Z19" s="472">
        <v>67</v>
      </c>
      <c r="AA19" s="471" t="str">
        <f>IFERROR(VLOOKUP(AC19,法术大全!$A:$Z,2,FALSE),"")</f>
        <v/>
      </c>
      <c r="AB19" s="475" t="str">
        <f>数据表!C68</f>
        <v/>
      </c>
      <c r="AC19" s="469"/>
      <c r="AD19" s="474" t="str">
        <f>数据表!D68</f>
        <v/>
      </c>
      <c r="AE19" s="476">
        <v>117</v>
      </c>
      <c r="AF19" s="470" t="str">
        <f>IFERROR(VLOOKUP(AH19,法术大全!$A:$Z,2,FALSE),"")</f>
        <v/>
      </c>
      <c r="AG19" s="473" t="str">
        <f>数据表!C118</f>
        <v/>
      </c>
      <c r="AH19" s="469"/>
      <c r="AI19" s="474" t="str">
        <f>数据表!D118</f>
        <v/>
      </c>
      <c r="AJ19" s="478">
        <v>167</v>
      </c>
      <c r="AK19" s="471" t="str">
        <f>IFERROR(VLOOKUP(AM19,法术大全!$A:$Z,2,FALSE),"")</f>
        <v/>
      </c>
      <c r="AL19" s="473" t="str">
        <f>数据表!C168</f>
        <v/>
      </c>
      <c r="AM19" s="469"/>
      <c r="AN19" s="474" t="str">
        <f>数据表!D168</f>
        <v/>
      </c>
      <c r="AO19" s="110"/>
      <c r="AQ19" s="1015"/>
      <c r="AR19" s="1016"/>
      <c r="AS19" s="1016"/>
      <c r="AT19" s="1016"/>
      <c r="AU19" s="1016"/>
      <c r="AV19" s="1016"/>
      <c r="AW19" s="1016"/>
      <c r="AX19" s="1017"/>
    </row>
    <row r="20" spans="2:50" ht="17.649999999999999" customHeight="1" x14ac:dyDescent="0.15">
      <c r="B20" s="1010"/>
      <c r="C20" s="1023"/>
      <c r="D20" s="1023"/>
      <c r="E20" s="1021"/>
      <c r="F20" s="1021"/>
      <c r="G20" s="1021"/>
      <c r="H20" s="1021"/>
      <c r="I20" s="1021"/>
      <c r="J20" s="1021"/>
      <c r="K20" s="1021"/>
      <c r="L20" s="1021"/>
      <c r="M20" s="1021"/>
      <c r="N20" s="1021"/>
      <c r="O20" s="1021"/>
      <c r="P20" s="1021"/>
      <c r="Q20" s="1021"/>
      <c r="R20" s="1021"/>
      <c r="S20" s="1008"/>
      <c r="T20" s="117"/>
      <c r="U20" s="472">
        <v>18</v>
      </c>
      <c r="V20" s="470" t="str">
        <f>IFERROR(VLOOKUP(X20,法术大全!$A:$Z,2,FALSE),"")</f>
        <v/>
      </c>
      <c r="W20" s="473" t="str">
        <f>数据表!C19</f>
        <v/>
      </c>
      <c r="X20" s="469"/>
      <c r="Y20" s="474" t="str">
        <f>数据表!D19</f>
        <v/>
      </c>
      <c r="Z20" s="472">
        <v>68</v>
      </c>
      <c r="AA20" s="471" t="str">
        <f>IFERROR(VLOOKUP(AC20,法术大全!$A:$Z,2,FALSE),"")</f>
        <v/>
      </c>
      <c r="AB20" s="475" t="str">
        <f>数据表!C69</f>
        <v/>
      </c>
      <c r="AC20" s="469"/>
      <c r="AD20" s="474" t="str">
        <f>数据表!D69</f>
        <v/>
      </c>
      <c r="AE20" s="476">
        <v>118</v>
      </c>
      <c r="AF20" s="470" t="str">
        <f>IFERROR(VLOOKUP(AH20,法术大全!$A:$Z,2,FALSE),"")</f>
        <v/>
      </c>
      <c r="AG20" s="473" t="str">
        <f>数据表!C119</f>
        <v/>
      </c>
      <c r="AH20" s="469"/>
      <c r="AI20" s="474" t="str">
        <f>数据表!D119</f>
        <v/>
      </c>
      <c r="AJ20" s="478">
        <v>168</v>
      </c>
      <c r="AK20" s="471" t="str">
        <f>IFERROR(VLOOKUP(AM20,法术大全!$A:$Z,2,FALSE),"")</f>
        <v/>
      </c>
      <c r="AL20" s="473" t="str">
        <f>数据表!C169</f>
        <v/>
      </c>
      <c r="AM20" s="469"/>
      <c r="AN20" s="474" t="str">
        <f>数据表!D169</f>
        <v/>
      </c>
      <c r="AO20" s="110"/>
      <c r="AQ20" s="1015"/>
      <c r="AR20" s="1016"/>
      <c r="AS20" s="1016"/>
      <c r="AT20" s="1016"/>
      <c r="AU20" s="1016"/>
      <c r="AV20" s="1016"/>
      <c r="AW20" s="1016"/>
      <c r="AX20" s="1017"/>
    </row>
    <row r="21" spans="2:50" ht="17.649999999999999" customHeight="1" x14ac:dyDescent="0.15">
      <c r="B21" s="1010"/>
      <c r="C21" s="1003"/>
      <c r="D21" s="1003"/>
      <c r="E21" s="1003"/>
      <c r="F21" s="1003"/>
      <c r="G21" s="1003"/>
      <c r="H21" s="1003"/>
      <c r="I21" s="1003"/>
      <c r="J21" s="1003"/>
      <c r="K21" s="1003"/>
      <c r="L21" s="1003"/>
      <c r="M21" s="1003"/>
      <c r="N21" s="1003"/>
      <c r="O21" s="1003"/>
      <c r="P21" s="1003"/>
      <c r="Q21" s="1003"/>
      <c r="R21" s="1003"/>
      <c r="S21" s="1008"/>
      <c r="T21" s="117"/>
      <c r="U21" s="472">
        <v>19</v>
      </c>
      <c r="V21" s="470" t="str">
        <f>IFERROR(VLOOKUP(X21,法术大全!$A:$Z,2,FALSE),"")</f>
        <v/>
      </c>
      <c r="W21" s="473" t="str">
        <f>数据表!C20</f>
        <v/>
      </c>
      <c r="X21" s="469"/>
      <c r="Y21" s="474" t="str">
        <f>数据表!D20</f>
        <v/>
      </c>
      <c r="Z21" s="472">
        <v>69</v>
      </c>
      <c r="AA21" s="471" t="str">
        <f>IFERROR(VLOOKUP(AC21,法术大全!$A:$Z,2,FALSE),"")</f>
        <v/>
      </c>
      <c r="AB21" s="475" t="str">
        <f>数据表!C70</f>
        <v/>
      </c>
      <c r="AC21" s="469"/>
      <c r="AD21" s="474" t="str">
        <f>数据表!D70</f>
        <v/>
      </c>
      <c r="AE21" s="476">
        <v>119</v>
      </c>
      <c r="AF21" s="470" t="str">
        <f>IFERROR(VLOOKUP(AH21,法术大全!$A:$Z,2,FALSE),"")</f>
        <v/>
      </c>
      <c r="AG21" s="473" t="str">
        <f>数据表!C120</f>
        <v/>
      </c>
      <c r="AH21" s="469"/>
      <c r="AI21" s="474" t="str">
        <f>数据表!D120</f>
        <v/>
      </c>
      <c r="AJ21" s="478">
        <v>169</v>
      </c>
      <c r="AK21" s="471" t="str">
        <f>IFERROR(VLOOKUP(AM21,法术大全!$A:$Z,2,FALSE),"")</f>
        <v/>
      </c>
      <c r="AL21" s="473" t="str">
        <f>数据表!C170</f>
        <v/>
      </c>
      <c r="AM21" s="469"/>
      <c r="AN21" s="474" t="str">
        <f>数据表!D170</f>
        <v/>
      </c>
      <c r="AO21" s="110"/>
      <c r="AQ21" s="1015"/>
      <c r="AR21" s="1016"/>
      <c r="AS21" s="1016"/>
      <c r="AT21" s="1016"/>
      <c r="AU21" s="1016"/>
      <c r="AV21" s="1016"/>
      <c r="AW21" s="1016"/>
      <c r="AX21" s="1017"/>
    </row>
    <row r="22" spans="2:50" ht="17.649999999999999" customHeight="1" x14ac:dyDescent="0.15">
      <c r="B22" s="1010"/>
      <c r="C22" s="1004" t="s">
        <v>958</v>
      </c>
      <c r="D22" s="1005"/>
      <c r="E22" s="1005"/>
      <c r="F22" s="118"/>
      <c r="G22" s="1003"/>
      <c r="H22" s="1003"/>
      <c r="I22" s="1003"/>
      <c r="J22" s="1003"/>
      <c r="K22" s="1003"/>
      <c r="L22" s="1003"/>
      <c r="M22" s="1003"/>
      <c r="N22" s="1003"/>
      <c r="O22" s="1003"/>
      <c r="P22" s="1003"/>
      <c r="Q22" s="1003"/>
      <c r="R22" s="1003"/>
      <c r="S22" s="1008"/>
      <c r="T22" s="117"/>
      <c r="U22" s="472">
        <v>20</v>
      </c>
      <c r="V22" s="470" t="str">
        <f>IFERROR(VLOOKUP(X22,法术大全!$A:$Z,2,FALSE),"")</f>
        <v/>
      </c>
      <c r="W22" s="473" t="str">
        <f>数据表!C21</f>
        <v/>
      </c>
      <c r="X22" s="469"/>
      <c r="Y22" s="474" t="str">
        <f>数据表!D21</f>
        <v/>
      </c>
      <c r="Z22" s="472">
        <v>70</v>
      </c>
      <c r="AA22" s="471" t="str">
        <f>IFERROR(VLOOKUP(AC22,法术大全!$A:$Z,2,FALSE),"")</f>
        <v/>
      </c>
      <c r="AB22" s="475" t="str">
        <f>数据表!C71</f>
        <v/>
      </c>
      <c r="AC22" s="469"/>
      <c r="AD22" s="474" t="str">
        <f>数据表!D71</f>
        <v/>
      </c>
      <c r="AE22" s="476">
        <v>120</v>
      </c>
      <c r="AF22" s="470" t="str">
        <f>IFERROR(VLOOKUP(AH22,法术大全!$A:$Z,2,FALSE),"")</f>
        <v/>
      </c>
      <c r="AG22" s="473" t="str">
        <f>数据表!C121</f>
        <v/>
      </c>
      <c r="AH22" s="469"/>
      <c r="AI22" s="474" t="str">
        <f>数据表!D121</f>
        <v/>
      </c>
      <c r="AJ22" s="478">
        <v>170</v>
      </c>
      <c r="AK22" s="471" t="str">
        <f>IFERROR(VLOOKUP(AM22,法术大全!$A:$Z,2,FALSE),"")</f>
        <v/>
      </c>
      <c r="AL22" s="473" t="str">
        <f>数据表!C171</f>
        <v/>
      </c>
      <c r="AM22" s="469"/>
      <c r="AN22" s="474" t="str">
        <f>数据表!D171</f>
        <v/>
      </c>
      <c r="AO22" s="110"/>
      <c r="AQ22" s="1015"/>
      <c r="AR22" s="1016"/>
      <c r="AS22" s="1016"/>
      <c r="AT22" s="1016"/>
      <c r="AU22" s="1016"/>
      <c r="AV22" s="1016"/>
      <c r="AW22" s="1016"/>
      <c r="AX22" s="1017"/>
    </row>
    <row r="23" spans="2:50" ht="17.649999999999999" customHeight="1" x14ac:dyDescent="0.15">
      <c r="B23" s="1010"/>
      <c r="C23" s="1012" t="str">
        <f ca="1">IFERROR(VLOOKUP(C3,法术大全!$A:$Z,13,FALSE),"")</f>
        <v/>
      </c>
      <c r="D23" s="1013"/>
      <c r="E23" s="1013"/>
      <c r="F23" s="1013"/>
      <c r="G23" s="1013"/>
      <c r="H23" s="1013"/>
      <c r="I23" s="1013"/>
      <c r="J23" s="1013"/>
      <c r="K23" s="1013"/>
      <c r="L23" s="1013"/>
      <c r="M23" s="1013"/>
      <c r="N23" s="1013"/>
      <c r="O23" s="1013"/>
      <c r="P23" s="1013"/>
      <c r="Q23" s="1013"/>
      <c r="R23" s="1014"/>
      <c r="S23" s="1008"/>
      <c r="T23" s="117"/>
      <c r="U23" s="472">
        <v>21</v>
      </c>
      <c r="V23" s="470" t="str">
        <f>IFERROR(VLOOKUP(X23,法术大全!$A:$Z,2,FALSE),"")</f>
        <v/>
      </c>
      <c r="W23" s="473" t="str">
        <f>数据表!C22</f>
        <v/>
      </c>
      <c r="X23" s="469"/>
      <c r="Y23" s="474" t="str">
        <f>数据表!D22</f>
        <v/>
      </c>
      <c r="Z23" s="472">
        <v>71</v>
      </c>
      <c r="AA23" s="471" t="str">
        <f>IFERROR(VLOOKUP(AC23,法术大全!$A:$Z,2,FALSE),"")</f>
        <v/>
      </c>
      <c r="AB23" s="475" t="str">
        <f>数据表!C72</f>
        <v/>
      </c>
      <c r="AC23" s="469"/>
      <c r="AD23" s="474" t="str">
        <f>数据表!D72</f>
        <v/>
      </c>
      <c r="AE23" s="476">
        <v>121</v>
      </c>
      <c r="AF23" s="470" t="str">
        <f>IFERROR(VLOOKUP(AH23,法术大全!$A:$Z,2,FALSE),"")</f>
        <v/>
      </c>
      <c r="AG23" s="473" t="str">
        <f>数据表!C122</f>
        <v/>
      </c>
      <c r="AH23" s="469"/>
      <c r="AI23" s="474" t="str">
        <f>数据表!D122</f>
        <v/>
      </c>
      <c r="AJ23" s="478">
        <v>171</v>
      </c>
      <c r="AK23" s="471" t="str">
        <f>IFERROR(VLOOKUP(AM23,法术大全!$A:$Z,2,FALSE),"")</f>
        <v/>
      </c>
      <c r="AL23" s="473" t="str">
        <f>数据表!C172</f>
        <v/>
      </c>
      <c r="AM23" s="469"/>
      <c r="AN23" s="474" t="str">
        <f>数据表!D172</f>
        <v/>
      </c>
      <c r="AO23" s="110"/>
      <c r="AQ23" s="1015"/>
      <c r="AR23" s="1016"/>
      <c r="AS23" s="1016"/>
      <c r="AT23" s="1016"/>
      <c r="AU23" s="1016"/>
      <c r="AV23" s="1016"/>
      <c r="AW23" s="1016"/>
      <c r="AX23" s="1017"/>
    </row>
    <row r="24" spans="2:50" ht="17.649999999999999" customHeight="1" x14ac:dyDescent="0.15">
      <c r="B24" s="1010"/>
      <c r="C24" s="1015"/>
      <c r="D24" s="1016"/>
      <c r="E24" s="1016"/>
      <c r="F24" s="1016"/>
      <c r="G24" s="1016"/>
      <c r="H24" s="1016"/>
      <c r="I24" s="1016"/>
      <c r="J24" s="1016"/>
      <c r="K24" s="1016"/>
      <c r="L24" s="1016"/>
      <c r="M24" s="1016"/>
      <c r="N24" s="1016"/>
      <c r="O24" s="1016"/>
      <c r="P24" s="1016"/>
      <c r="Q24" s="1016"/>
      <c r="R24" s="1017"/>
      <c r="S24" s="1008"/>
      <c r="T24" s="117"/>
      <c r="U24" s="472">
        <v>22</v>
      </c>
      <c r="V24" s="470" t="str">
        <f>IFERROR(VLOOKUP(X24,法术大全!$A:$Z,2,FALSE),"")</f>
        <v/>
      </c>
      <c r="W24" s="473" t="str">
        <f>数据表!C23</f>
        <v/>
      </c>
      <c r="X24" s="469"/>
      <c r="Y24" s="474" t="str">
        <f>数据表!D23</f>
        <v/>
      </c>
      <c r="Z24" s="472">
        <v>72</v>
      </c>
      <c r="AA24" s="471" t="str">
        <f>IFERROR(VLOOKUP(AC24,法术大全!$A:$Z,2,FALSE),"")</f>
        <v/>
      </c>
      <c r="AB24" s="475" t="str">
        <f>数据表!C73</f>
        <v/>
      </c>
      <c r="AC24" s="469"/>
      <c r="AD24" s="474" t="str">
        <f>数据表!D73</f>
        <v/>
      </c>
      <c r="AE24" s="476">
        <v>122</v>
      </c>
      <c r="AF24" s="470" t="str">
        <f>IFERROR(VLOOKUP(AH24,法术大全!$A:$Z,2,FALSE),"")</f>
        <v/>
      </c>
      <c r="AG24" s="473" t="str">
        <f>数据表!C123</f>
        <v/>
      </c>
      <c r="AH24" s="469"/>
      <c r="AI24" s="474" t="str">
        <f>数据表!D123</f>
        <v/>
      </c>
      <c r="AJ24" s="478">
        <v>172</v>
      </c>
      <c r="AK24" s="471" t="str">
        <f>IFERROR(VLOOKUP(AM24,法术大全!$A:$Z,2,FALSE),"")</f>
        <v/>
      </c>
      <c r="AL24" s="473" t="str">
        <f>数据表!C173</f>
        <v/>
      </c>
      <c r="AM24" s="469"/>
      <c r="AN24" s="474" t="str">
        <f>数据表!D173</f>
        <v/>
      </c>
      <c r="AO24" s="110"/>
      <c r="AQ24" s="1015"/>
      <c r="AR24" s="1016"/>
      <c r="AS24" s="1016"/>
      <c r="AT24" s="1016"/>
      <c r="AU24" s="1016"/>
      <c r="AV24" s="1016"/>
      <c r="AW24" s="1016"/>
      <c r="AX24" s="1017"/>
    </row>
    <row r="25" spans="2:50" ht="17.649999999999999" customHeight="1" x14ac:dyDescent="0.15">
      <c r="B25" s="1010"/>
      <c r="C25" s="1015"/>
      <c r="D25" s="1016"/>
      <c r="E25" s="1016"/>
      <c r="F25" s="1016"/>
      <c r="G25" s="1016"/>
      <c r="H25" s="1016"/>
      <c r="I25" s="1016"/>
      <c r="J25" s="1016"/>
      <c r="K25" s="1016"/>
      <c r="L25" s="1016"/>
      <c r="M25" s="1016"/>
      <c r="N25" s="1016"/>
      <c r="O25" s="1016"/>
      <c r="P25" s="1016"/>
      <c r="Q25" s="1016"/>
      <c r="R25" s="1017"/>
      <c r="S25" s="1008"/>
      <c r="T25" s="117"/>
      <c r="U25" s="472">
        <v>23</v>
      </c>
      <c r="V25" s="470" t="str">
        <f>IFERROR(VLOOKUP(X25,法术大全!$A:$Z,2,FALSE),"")</f>
        <v/>
      </c>
      <c r="W25" s="473" t="str">
        <f>数据表!C24</f>
        <v/>
      </c>
      <c r="X25" s="469"/>
      <c r="Y25" s="474" t="str">
        <f>数据表!D24</f>
        <v/>
      </c>
      <c r="Z25" s="472">
        <v>73</v>
      </c>
      <c r="AA25" s="471" t="str">
        <f>IFERROR(VLOOKUP(AC25,法术大全!$A:$Z,2,FALSE),"")</f>
        <v/>
      </c>
      <c r="AB25" s="475" t="str">
        <f>数据表!C74</f>
        <v/>
      </c>
      <c r="AC25" s="469"/>
      <c r="AD25" s="474" t="str">
        <f>数据表!D74</f>
        <v/>
      </c>
      <c r="AE25" s="476">
        <v>123</v>
      </c>
      <c r="AF25" s="470" t="str">
        <f>IFERROR(VLOOKUP(AH25,法术大全!$A:$Z,2,FALSE),"")</f>
        <v/>
      </c>
      <c r="AG25" s="473" t="str">
        <f>数据表!C124</f>
        <v/>
      </c>
      <c r="AH25" s="469"/>
      <c r="AI25" s="474" t="str">
        <f>数据表!D124</f>
        <v/>
      </c>
      <c r="AJ25" s="478">
        <v>173</v>
      </c>
      <c r="AK25" s="471" t="str">
        <f>IFERROR(VLOOKUP(AM25,法术大全!$A:$Z,2,FALSE),"")</f>
        <v/>
      </c>
      <c r="AL25" s="473" t="str">
        <f>数据表!C174</f>
        <v/>
      </c>
      <c r="AM25" s="469"/>
      <c r="AN25" s="474" t="str">
        <f>数据表!D174</f>
        <v/>
      </c>
      <c r="AO25" s="110"/>
      <c r="AQ25" s="1015"/>
      <c r="AR25" s="1016"/>
      <c r="AS25" s="1016"/>
      <c r="AT25" s="1016"/>
      <c r="AU25" s="1016"/>
      <c r="AV25" s="1016"/>
      <c r="AW25" s="1016"/>
      <c r="AX25" s="1017"/>
    </row>
    <row r="26" spans="2:50" ht="17.649999999999999" customHeight="1" x14ac:dyDescent="0.15">
      <c r="B26" s="1010"/>
      <c r="C26" s="1015"/>
      <c r="D26" s="1016"/>
      <c r="E26" s="1016"/>
      <c r="F26" s="1016"/>
      <c r="G26" s="1016"/>
      <c r="H26" s="1016"/>
      <c r="I26" s="1016"/>
      <c r="J26" s="1016"/>
      <c r="K26" s="1016"/>
      <c r="L26" s="1016"/>
      <c r="M26" s="1016"/>
      <c r="N26" s="1016"/>
      <c r="O26" s="1016"/>
      <c r="P26" s="1016"/>
      <c r="Q26" s="1016"/>
      <c r="R26" s="1017"/>
      <c r="S26" s="1008"/>
      <c r="T26" s="117"/>
      <c r="U26" s="472">
        <v>24</v>
      </c>
      <c r="V26" s="470" t="str">
        <f>IFERROR(VLOOKUP(X26,法术大全!$A:$Z,2,FALSE),"")</f>
        <v/>
      </c>
      <c r="W26" s="473" t="str">
        <f>数据表!C25</f>
        <v/>
      </c>
      <c r="X26" s="469"/>
      <c r="Y26" s="474" t="str">
        <f>数据表!D25</f>
        <v/>
      </c>
      <c r="Z26" s="472">
        <v>74</v>
      </c>
      <c r="AA26" s="471" t="str">
        <f>IFERROR(VLOOKUP(AC26,法术大全!$A:$Z,2,FALSE),"")</f>
        <v/>
      </c>
      <c r="AB26" s="475" t="str">
        <f>数据表!C75</f>
        <v/>
      </c>
      <c r="AC26" s="469"/>
      <c r="AD26" s="474" t="str">
        <f>数据表!D75</f>
        <v/>
      </c>
      <c r="AE26" s="476">
        <v>124</v>
      </c>
      <c r="AF26" s="470" t="str">
        <f>IFERROR(VLOOKUP(AH26,法术大全!$A:$Z,2,FALSE),"")</f>
        <v/>
      </c>
      <c r="AG26" s="473" t="str">
        <f>数据表!C125</f>
        <v/>
      </c>
      <c r="AH26" s="469"/>
      <c r="AI26" s="474" t="str">
        <f>数据表!D125</f>
        <v/>
      </c>
      <c r="AJ26" s="478">
        <v>174</v>
      </c>
      <c r="AK26" s="471" t="str">
        <f>IFERROR(VLOOKUP(AM26,法术大全!$A:$Z,2,FALSE),"")</f>
        <v/>
      </c>
      <c r="AL26" s="473" t="str">
        <f>数据表!C175</f>
        <v/>
      </c>
      <c r="AM26" s="469"/>
      <c r="AN26" s="474" t="str">
        <f>数据表!D175</f>
        <v/>
      </c>
      <c r="AO26" s="110"/>
      <c r="AQ26" s="1015"/>
      <c r="AR26" s="1016"/>
      <c r="AS26" s="1016"/>
      <c r="AT26" s="1016"/>
      <c r="AU26" s="1016"/>
      <c r="AV26" s="1016"/>
      <c r="AW26" s="1016"/>
      <c r="AX26" s="1017"/>
    </row>
    <row r="27" spans="2:50" ht="17.649999999999999" customHeight="1" x14ac:dyDescent="0.15">
      <c r="B27" s="1010"/>
      <c r="C27" s="1015"/>
      <c r="D27" s="1016"/>
      <c r="E27" s="1016"/>
      <c r="F27" s="1016"/>
      <c r="G27" s="1016"/>
      <c r="H27" s="1016"/>
      <c r="I27" s="1016"/>
      <c r="J27" s="1016"/>
      <c r="K27" s="1016"/>
      <c r="L27" s="1016"/>
      <c r="M27" s="1016"/>
      <c r="N27" s="1016"/>
      <c r="O27" s="1016"/>
      <c r="P27" s="1016"/>
      <c r="Q27" s="1016"/>
      <c r="R27" s="1017"/>
      <c r="S27" s="1008"/>
      <c r="T27" s="117"/>
      <c r="U27" s="472">
        <v>25</v>
      </c>
      <c r="V27" s="470" t="str">
        <f>IFERROR(VLOOKUP(X27,法术大全!$A:$Z,2,FALSE),"")</f>
        <v/>
      </c>
      <c r="W27" s="473" t="str">
        <f>数据表!C26</f>
        <v/>
      </c>
      <c r="X27" s="469"/>
      <c r="Y27" s="474" t="str">
        <f>数据表!D26</f>
        <v/>
      </c>
      <c r="Z27" s="472">
        <v>75</v>
      </c>
      <c r="AA27" s="471" t="str">
        <f>IFERROR(VLOOKUP(AC27,法术大全!$A:$Z,2,FALSE),"")</f>
        <v/>
      </c>
      <c r="AB27" s="475" t="str">
        <f>数据表!C76</f>
        <v/>
      </c>
      <c r="AC27" s="469"/>
      <c r="AD27" s="474" t="str">
        <f>数据表!D76</f>
        <v/>
      </c>
      <c r="AE27" s="476">
        <v>125</v>
      </c>
      <c r="AF27" s="470" t="str">
        <f>IFERROR(VLOOKUP(AH27,法术大全!$A:$Z,2,FALSE),"")</f>
        <v/>
      </c>
      <c r="AG27" s="473" t="str">
        <f>数据表!C126</f>
        <v/>
      </c>
      <c r="AH27" s="469"/>
      <c r="AI27" s="474" t="str">
        <f>数据表!D126</f>
        <v/>
      </c>
      <c r="AJ27" s="478">
        <v>175</v>
      </c>
      <c r="AK27" s="471" t="str">
        <f>IFERROR(VLOOKUP(AM27,法术大全!$A:$Z,2,FALSE),"")</f>
        <v/>
      </c>
      <c r="AL27" s="473" t="str">
        <f>数据表!C176</f>
        <v/>
      </c>
      <c r="AM27" s="469"/>
      <c r="AN27" s="474" t="str">
        <f>数据表!D176</f>
        <v/>
      </c>
      <c r="AO27" s="110"/>
      <c r="AQ27" s="1015"/>
      <c r="AR27" s="1016"/>
      <c r="AS27" s="1016"/>
      <c r="AT27" s="1016"/>
      <c r="AU27" s="1016"/>
      <c r="AV27" s="1016"/>
      <c r="AW27" s="1016"/>
      <c r="AX27" s="1017"/>
    </row>
    <row r="28" spans="2:50" ht="17.649999999999999" customHeight="1" x14ac:dyDescent="0.15">
      <c r="B28" s="1010"/>
      <c r="C28" s="1015"/>
      <c r="D28" s="1016"/>
      <c r="E28" s="1016"/>
      <c r="F28" s="1016"/>
      <c r="G28" s="1016"/>
      <c r="H28" s="1016"/>
      <c r="I28" s="1016"/>
      <c r="J28" s="1016"/>
      <c r="K28" s="1016"/>
      <c r="L28" s="1016"/>
      <c r="M28" s="1016"/>
      <c r="N28" s="1016"/>
      <c r="O28" s="1016"/>
      <c r="P28" s="1016"/>
      <c r="Q28" s="1016"/>
      <c r="R28" s="1017"/>
      <c r="S28" s="1008"/>
      <c r="T28" s="117"/>
      <c r="U28" s="472">
        <v>26</v>
      </c>
      <c r="V28" s="470" t="str">
        <f>IFERROR(VLOOKUP(X28,法术大全!$A:$Z,2,FALSE),"")</f>
        <v/>
      </c>
      <c r="W28" s="473" t="str">
        <f>数据表!C27</f>
        <v/>
      </c>
      <c r="X28" s="469"/>
      <c r="Y28" s="474" t="str">
        <f>数据表!D27</f>
        <v/>
      </c>
      <c r="Z28" s="472">
        <v>76</v>
      </c>
      <c r="AA28" s="471" t="str">
        <f>IFERROR(VLOOKUP(AC28,法术大全!$A:$Z,2,FALSE),"")</f>
        <v/>
      </c>
      <c r="AB28" s="475" t="str">
        <f>数据表!C77</f>
        <v/>
      </c>
      <c r="AC28" s="469"/>
      <c r="AD28" s="474" t="str">
        <f>数据表!D77</f>
        <v/>
      </c>
      <c r="AE28" s="476">
        <v>126</v>
      </c>
      <c r="AF28" s="470" t="str">
        <f>IFERROR(VLOOKUP(AH28,法术大全!$A:$Z,2,FALSE),"")</f>
        <v/>
      </c>
      <c r="AG28" s="473" t="str">
        <f>数据表!C127</f>
        <v/>
      </c>
      <c r="AH28" s="469"/>
      <c r="AI28" s="474" t="str">
        <f>数据表!D127</f>
        <v/>
      </c>
      <c r="AJ28" s="478">
        <v>176</v>
      </c>
      <c r="AK28" s="471" t="str">
        <f>IFERROR(VLOOKUP(AM28,法术大全!$A:$Z,2,FALSE),"")</f>
        <v/>
      </c>
      <c r="AL28" s="473" t="str">
        <f>数据表!C177</f>
        <v/>
      </c>
      <c r="AM28" s="469"/>
      <c r="AN28" s="474" t="str">
        <f>数据表!D177</f>
        <v/>
      </c>
      <c r="AO28" s="110"/>
      <c r="AQ28" s="1015"/>
      <c r="AR28" s="1016"/>
      <c r="AS28" s="1016"/>
      <c r="AT28" s="1016"/>
      <c r="AU28" s="1016"/>
      <c r="AV28" s="1016"/>
      <c r="AW28" s="1016"/>
      <c r="AX28" s="1017"/>
    </row>
    <row r="29" spans="2:50" ht="17.649999999999999" customHeight="1" x14ac:dyDescent="0.15">
      <c r="B29" s="1010"/>
      <c r="C29" s="1015"/>
      <c r="D29" s="1016"/>
      <c r="E29" s="1016"/>
      <c r="F29" s="1016"/>
      <c r="G29" s="1016"/>
      <c r="H29" s="1016"/>
      <c r="I29" s="1016"/>
      <c r="J29" s="1016"/>
      <c r="K29" s="1016"/>
      <c r="L29" s="1016"/>
      <c r="M29" s="1016"/>
      <c r="N29" s="1016"/>
      <c r="O29" s="1016"/>
      <c r="P29" s="1016"/>
      <c r="Q29" s="1016"/>
      <c r="R29" s="1017"/>
      <c r="S29" s="1008"/>
      <c r="T29" s="117"/>
      <c r="U29" s="472">
        <v>27</v>
      </c>
      <c r="V29" s="470" t="str">
        <f>IFERROR(VLOOKUP(X29,法术大全!$A:$Z,2,FALSE),"")</f>
        <v/>
      </c>
      <c r="W29" s="473" t="str">
        <f>数据表!C28</f>
        <v/>
      </c>
      <c r="X29" s="469"/>
      <c r="Y29" s="474" t="str">
        <f>数据表!D28</f>
        <v/>
      </c>
      <c r="Z29" s="472">
        <v>77</v>
      </c>
      <c r="AA29" s="471" t="str">
        <f>IFERROR(VLOOKUP(AC29,法术大全!$A:$Z,2,FALSE),"")</f>
        <v/>
      </c>
      <c r="AB29" s="475" t="str">
        <f>数据表!C78</f>
        <v/>
      </c>
      <c r="AC29" s="469"/>
      <c r="AD29" s="474" t="str">
        <f>数据表!D78</f>
        <v/>
      </c>
      <c r="AE29" s="476">
        <v>127</v>
      </c>
      <c r="AF29" s="470" t="str">
        <f>IFERROR(VLOOKUP(AH29,法术大全!$A:$Z,2,FALSE),"")</f>
        <v/>
      </c>
      <c r="AG29" s="473" t="str">
        <f>数据表!C128</f>
        <v/>
      </c>
      <c r="AH29" s="469"/>
      <c r="AI29" s="474" t="str">
        <f>数据表!D128</f>
        <v/>
      </c>
      <c r="AJ29" s="478">
        <v>177</v>
      </c>
      <c r="AK29" s="471" t="str">
        <f>IFERROR(VLOOKUP(AM29,法术大全!$A:$Z,2,FALSE),"")</f>
        <v/>
      </c>
      <c r="AL29" s="473" t="str">
        <f>数据表!C178</f>
        <v/>
      </c>
      <c r="AM29" s="469"/>
      <c r="AN29" s="474" t="str">
        <f>数据表!D178</f>
        <v/>
      </c>
      <c r="AO29" s="110"/>
      <c r="AQ29" s="1015"/>
      <c r="AR29" s="1016"/>
      <c r="AS29" s="1016"/>
      <c r="AT29" s="1016"/>
      <c r="AU29" s="1016"/>
      <c r="AV29" s="1016"/>
      <c r="AW29" s="1016"/>
      <c r="AX29" s="1017"/>
    </row>
    <row r="30" spans="2:50" ht="17.649999999999999" customHeight="1" x14ac:dyDescent="0.15">
      <c r="B30" s="1010"/>
      <c r="C30" s="1015"/>
      <c r="D30" s="1016"/>
      <c r="E30" s="1016"/>
      <c r="F30" s="1016"/>
      <c r="G30" s="1016"/>
      <c r="H30" s="1016"/>
      <c r="I30" s="1016"/>
      <c r="J30" s="1016"/>
      <c r="K30" s="1016"/>
      <c r="L30" s="1016"/>
      <c r="M30" s="1016"/>
      <c r="N30" s="1016"/>
      <c r="O30" s="1016"/>
      <c r="P30" s="1016"/>
      <c r="Q30" s="1016"/>
      <c r="R30" s="1017"/>
      <c r="S30" s="1008"/>
      <c r="T30" s="117"/>
      <c r="U30" s="472">
        <v>28</v>
      </c>
      <c r="V30" s="470" t="str">
        <f>IFERROR(VLOOKUP(X30,法术大全!$A:$Z,2,FALSE),"")</f>
        <v/>
      </c>
      <c r="W30" s="473" t="str">
        <f>数据表!C29</f>
        <v/>
      </c>
      <c r="X30" s="469"/>
      <c r="Y30" s="474" t="str">
        <f>数据表!D29</f>
        <v/>
      </c>
      <c r="Z30" s="472">
        <v>78</v>
      </c>
      <c r="AA30" s="471" t="str">
        <f>IFERROR(VLOOKUP(AC30,法术大全!$A:$Z,2,FALSE),"")</f>
        <v/>
      </c>
      <c r="AB30" s="475" t="str">
        <f>数据表!C79</f>
        <v/>
      </c>
      <c r="AC30" s="469"/>
      <c r="AD30" s="474" t="str">
        <f>数据表!D79</f>
        <v/>
      </c>
      <c r="AE30" s="476">
        <v>128</v>
      </c>
      <c r="AF30" s="470" t="str">
        <f>IFERROR(VLOOKUP(AH30,法术大全!$A:$Z,2,FALSE),"")</f>
        <v/>
      </c>
      <c r="AG30" s="473" t="str">
        <f>数据表!C129</f>
        <v/>
      </c>
      <c r="AH30" s="469"/>
      <c r="AI30" s="474" t="str">
        <f>数据表!D129</f>
        <v/>
      </c>
      <c r="AJ30" s="478">
        <v>178</v>
      </c>
      <c r="AK30" s="471" t="str">
        <f>IFERROR(VLOOKUP(AM30,法术大全!$A:$Z,2,FALSE),"")</f>
        <v/>
      </c>
      <c r="AL30" s="473" t="str">
        <f>数据表!C179</f>
        <v/>
      </c>
      <c r="AM30" s="469"/>
      <c r="AN30" s="474" t="str">
        <f>数据表!D179</f>
        <v/>
      </c>
      <c r="AO30" s="110"/>
      <c r="AQ30" s="1015"/>
      <c r="AR30" s="1016"/>
      <c r="AS30" s="1016"/>
      <c r="AT30" s="1016"/>
      <c r="AU30" s="1016"/>
      <c r="AV30" s="1016"/>
      <c r="AW30" s="1016"/>
      <c r="AX30" s="1017"/>
    </row>
    <row r="31" spans="2:50" ht="17.649999999999999" customHeight="1" x14ac:dyDescent="0.15">
      <c r="B31" s="1010"/>
      <c r="C31" s="1015"/>
      <c r="D31" s="1016"/>
      <c r="E31" s="1016"/>
      <c r="F31" s="1016"/>
      <c r="G31" s="1016"/>
      <c r="H31" s="1016"/>
      <c r="I31" s="1016"/>
      <c r="J31" s="1016"/>
      <c r="K31" s="1016"/>
      <c r="L31" s="1016"/>
      <c r="M31" s="1016"/>
      <c r="N31" s="1016"/>
      <c r="O31" s="1016"/>
      <c r="P31" s="1016"/>
      <c r="Q31" s="1016"/>
      <c r="R31" s="1017"/>
      <c r="S31" s="1008"/>
      <c r="T31" s="117"/>
      <c r="U31" s="472">
        <v>29</v>
      </c>
      <c r="V31" s="470" t="str">
        <f>IFERROR(VLOOKUP(X31,法术大全!$A:$Z,2,FALSE),"")</f>
        <v/>
      </c>
      <c r="W31" s="473" t="str">
        <f>数据表!C30</f>
        <v/>
      </c>
      <c r="X31" s="469"/>
      <c r="Y31" s="474" t="str">
        <f>数据表!D30</f>
        <v/>
      </c>
      <c r="Z31" s="472">
        <v>79</v>
      </c>
      <c r="AA31" s="471" t="str">
        <f>IFERROR(VLOOKUP(AC31,法术大全!$A:$Z,2,FALSE),"")</f>
        <v/>
      </c>
      <c r="AB31" s="475" t="str">
        <f>数据表!C80</f>
        <v/>
      </c>
      <c r="AC31" s="469"/>
      <c r="AD31" s="474" t="str">
        <f>数据表!D80</f>
        <v/>
      </c>
      <c r="AE31" s="476">
        <v>129</v>
      </c>
      <c r="AF31" s="470" t="str">
        <f>IFERROR(VLOOKUP(AH31,法术大全!$A:$Z,2,FALSE),"")</f>
        <v/>
      </c>
      <c r="AG31" s="473" t="str">
        <f>数据表!C130</f>
        <v/>
      </c>
      <c r="AH31" s="469"/>
      <c r="AI31" s="474" t="str">
        <f>数据表!D130</f>
        <v/>
      </c>
      <c r="AJ31" s="478">
        <v>179</v>
      </c>
      <c r="AK31" s="471" t="str">
        <f>IFERROR(VLOOKUP(AM31,法术大全!$A:$Z,2,FALSE),"")</f>
        <v/>
      </c>
      <c r="AL31" s="473" t="str">
        <f>数据表!C180</f>
        <v/>
      </c>
      <c r="AM31" s="469"/>
      <c r="AN31" s="474" t="str">
        <f>数据表!D180</f>
        <v/>
      </c>
      <c r="AO31" s="110"/>
      <c r="AQ31" s="1015"/>
      <c r="AR31" s="1016"/>
      <c r="AS31" s="1016"/>
      <c r="AT31" s="1016"/>
      <c r="AU31" s="1016"/>
      <c r="AV31" s="1016"/>
      <c r="AW31" s="1016"/>
      <c r="AX31" s="1017"/>
    </row>
    <row r="32" spans="2:50" ht="17.649999999999999" customHeight="1" x14ac:dyDescent="0.15">
      <c r="B32" s="1010"/>
      <c r="C32" s="1015"/>
      <c r="D32" s="1016"/>
      <c r="E32" s="1016"/>
      <c r="F32" s="1016"/>
      <c r="G32" s="1016"/>
      <c r="H32" s="1016"/>
      <c r="I32" s="1016"/>
      <c r="J32" s="1016"/>
      <c r="K32" s="1016"/>
      <c r="L32" s="1016"/>
      <c r="M32" s="1016"/>
      <c r="N32" s="1016"/>
      <c r="O32" s="1016"/>
      <c r="P32" s="1016"/>
      <c r="Q32" s="1016"/>
      <c r="R32" s="1017"/>
      <c r="S32" s="1008"/>
      <c r="T32" s="117"/>
      <c r="U32" s="472">
        <v>30</v>
      </c>
      <c r="V32" s="470" t="str">
        <f>IFERROR(VLOOKUP(X32,法术大全!$A:$Z,2,FALSE),"")</f>
        <v/>
      </c>
      <c r="W32" s="473" t="str">
        <f>数据表!C31</f>
        <v/>
      </c>
      <c r="X32" s="469"/>
      <c r="Y32" s="474" t="str">
        <f>数据表!D31</f>
        <v/>
      </c>
      <c r="Z32" s="472">
        <v>80</v>
      </c>
      <c r="AA32" s="471" t="str">
        <f>IFERROR(VLOOKUP(AC32,法术大全!$A:$Z,2,FALSE),"")</f>
        <v/>
      </c>
      <c r="AB32" s="475" t="str">
        <f>数据表!C81</f>
        <v/>
      </c>
      <c r="AC32" s="469"/>
      <c r="AD32" s="474" t="str">
        <f>数据表!D81</f>
        <v/>
      </c>
      <c r="AE32" s="476">
        <v>130</v>
      </c>
      <c r="AF32" s="470" t="str">
        <f>IFERROR(VLOOKUP(AH32,法术大全!$A:$Z,2,FALSE),"")</f>
        <v/>
      </c>
      <c r="AG32" s="473" t="str">
        <f>数据表!C131</f>
        <v/>
      </c>
      <c r="AH32" s="469"/>
      <c r="AI32" s="474" t="str">
        <f>数据表!D131</f>
        <v/>
      </c>
      <c r="AJ32" s="478">
        <v>180</v>
      </c>
      <c r="AK32" s="471" t="str">
        <f>IFERROR(VLOOKUP(AM32,法术大全!$A:$Z,2,FALSE),"")</f>
        <v/>
      </c>
      <c r="AL32" s="473" t="str">
        <f>数据表!C181</f>
        <v/>
      </c>
      <c r="AM32" s="469"/>
      <c r="AN32" s="474" t="str">
        <f>数据表!D181</f>
        <v/>
      </c>
      <c r="AO32" s="110"/>
      <c r="AQ32" s="1015"/>
      <c r="AR32" s="1016"/>
      <c r="AS32" s="1016"/>
      <c r="AT32" s="1016"/>
      <c r="AU32" s="1016"/>
      <c r="AV32" s="1016"/>
      <c r="AW32" s="1016"/>
      <c r="AX32" s="1017"/>
    </row>
    <row r="33" spans="2:50" ht="17.649999999999999" customHeight="1" x14ac:dyDescent="0.15">
      <c r="B33" s="1010"/>
      <c r="C33" s="1015"/>
      <c r="D33" s="1016"/>
      <c r="E33" s="1016"/>
      <c r="F33" s="1016"/>
      <c r="G33" s="1016"/>
      <c r="H33" s="1016"/>
      <c r="I33" s="1016"/>
      <c r="J33" s="1016"/>
      <c r="K33" s="1016"/>
      <c r="L33" s="1016"/>
      <c r="M33" s="1016"/>
      <c r="N33" s="1016"/>
      <c r="O33" s="1016"/>
      <c r="P33" s="1016"/>
      <c r="Q33" s="1016"/>
      <c r="R33" s="1017"/>
      <c r="S33" s="1008"/>
      <c r="T33" s="117"/>
      <c r="U33" s="472">
        <v>31</v>
      </c>
      <c r="V33" s="470" t="str">
        <f>IFERROR(VLOOKUP(X33,法术大全!$A:$Z,2,FALSE),"")</f>
        <v/>
      </c>
      <c r="W33" s="473" t="str">
        <f>数据表!C32</f>
        <v/>
      </c>
      <c r="X33" s="469"/>
      <c r="Y33" s="474" t="str">
        <f>数据表!D32</f>
        <v/>
      </c>
      <c r="Z33" s="472">
        <v>81</v>
      </c>
      <c r="AA33" s="471" t="str">
        <f>IFERROR(VLOOKUP(AC33,法术大全!$A:$Z,2,FALSE),"")</f>
        <v/>
      </c>
      <c r="AB33" s="475" t="str">
        <f>数据表!C82</f>
        <v/>
      </c>
      <c r="AC33" s="469"/>
      <c r="AD33" s="474" t="str">
        <f>数据表!D82</f>
        <v/>
      </c>
      <c r="AE33" s="476">
        <v>131</v>
      </c>
      <c r="AF33" s="470" t="str">
        <f>IFERROR(VLOOKUP(AH33,法术大全!$A:$Z,2,FALSE),"")</f>
        <v/>
      </c>
      <c r="AG33" s="473" t="str">
        <f>数据表!C132</f>
        <v/>
      </c>
      <c r="AH33" s="469"/>
      <c r="AI33" s="474" t="str">
        <f>数据表!D132</f>
        <v/>
      </c>
      <c r="AJ33" s="478">
        <v>181</v>
      </c>
      <c r="AK33" s="471" t="str">
        <f>IFERROR(VLOOKUP(AM33,法术大全!$A:$Z,2,FALSE),"")</f>
        <v/>
      </c>
      <c r="AL33" s="473" t="str">
        <f>数据表!C182</f>
        <v/>
      </c>
      <c r="AM33" s="469"/>
      <c r="AN33" s="474" t="str">
        <f>数据表!D182</f>
        <v/>
      </c>
      <c r="AO33" s="110"/>
      <c r="AQ33" s="1015"/>
      <c r="AR33" s="1016"/>
      <c r="AS33" s="1016"/>
      <c r="AT33" s="1016"/>
      <c r="AU33" s="1016"/>
      <c r="AV33" s="1016"/>
      <c r="AW33" s="1016"/>
      <c r="AX33" s="1017"/>
    </row>
    <row r="34" spans="2:50" ht="17.649999999999999" customHeight="1" x14ac:dyDescent="0.15">
      <c r="B34" s="1010"/>
      <c r="C34" s="1015"/>
      <c r="D34" s="1016"/>
      <c r="E34" s="1016"/>
      <c r="F34" s="1016"/>
      <c r="G34" s="1016"/>
      <c r="H34" s="1016"/>
      <c r="I34" s="1016"/>
      <c r="J34" s="1016"/>
      <c r="K34" s="1016"/>
      <c r="L34" s="1016"/>
      <c r="M34" s="1016"/>
      <c r="N34" s="1016"/>
      <c r="O34" s="1016"/>
      <c r="P34" s="1016"/>
      <c r="Q34" s="1016"/>
      <c r="R34" s="1017"/>
      <c r="S34" s="1008"/>
      <c r="T34" s="117"/>
      <c r="U34" s="472">
        <v>32</v>
      </c>
      <c r="V34" s="470" t="str">
        <f>IFERROR(VLOOKUP(X34,法术大全!$A:$Z,2,FALSE),"")</f>
        <v/>
      </c>
      <c r="W34" s="473" t="str">
        <f>数据表!C33</f>
        <v/>
      </c>
      <c r="X34" s="469"/>
      <c r="Y34" s="474" t="str">
        <f>数据表!D33</f>
        <v/>
      </c>
      <c r="Z34" s="472">
        <v>82</v>
      </c>
      <c r="AA34" s="471" t="str">
        <f>IFERROR(VLOOKUP(AC34,法术大全!$A:$Z,2,FALSE),"")</f>
        <v/>
      </c>
      <c r="AB34" s="475" t="str">
        <f>数据表!C83</f>
        <v/>
      </c>
      <c r="AC34" s="469"/>
      <c r="AD34" s="474" t="str">
        <f>数据表!D83</f>
        <v/>
      </c>
      <c r="AE34" s="476">
        <v>132</v>
      </c>
      <c r="AF34" s="470" t="str">
        <f>IFERROR(VLOOKUP(AH34,法术大全!$A:$Z,2,FALSE),"")</f>
        <v/>
      </c>
      <c r="AG34" s="473" t="str">
        <f>数据表!C133</f>
        <v/>
      </c>
      <c r="AH34" s="469"/>
      <c r="AI34" s="474" t="str">
        <f>数据表!D133</f>
        <v/>
      </c>
      <c r="AJ34" s="478">
        <v>182</v>
      </c>
      <c r="AK34" s="471" t="str">
        <f>IFERROR(VLOOKUP(AM34,法术大全!$A:$Z,2,FALSE),"")</f>
        <v/>
      </c>
      <c r="AL34" s="473" t="str">
        <f>数据表!C183</f>
        <v/>
      </c>
      <c r="AM34" s="469"/>
      <c r="AN34" s="474" t="str">
        <f>数据表!D183</f>
        <v/>
      </c>
      <c r="AO34" s="110"/>
      <c r="AQ34" s="1015"/>
      <c r="AR34" s="1016"/>
      <c r="AS34" s="1016"/>
      <c r="AT34" s="1016"/>
      <c r="AU34" s="1016"/>
      <c r="AV34" s="1016"/>
      <c r="AW34" s="1016"/>
      <c r="AX34" s="1017"/>
    </row>
    <row r="35" spans="2:50" ht="17.649999999999999" customHeight="1" x14ac:dyDescent="0.15">
      <c r="B35" s="1010"/>
      <c r="C35" s="1015"/>
      <c r="D35" s="1016"/>
      <c r="E35" s="1016"/>
      <c r="F35" s="1016"/>
      <c r="G35" s="1016"/>
      <c r="H35" s="1016"/>
      <c r="I35" s="1016"/>
      <c r="J35" s="1016"/>
      <c r="K35" s="1016"/>
      <c r="L35" s="1016"/>
      <c r="M35" s="1016"/>
      <c r="N35" s="1016"/>
      <c r="O35" s="1016"/>
      <c r="P35" s="1016"/>
      <c r="Q35" s="1016"/>
      <c r="R35" s="1017"/>
      <c r="S35" s="1008"/>
      <c r="T35" s="117"/>
      <c r="U35" s="472">
        <v>33</v>
      </c>
      <c r="V35" s="470" t="str">
        <f>IFERROR(VLOOKUP(X35,法术大全!$A:$Z,2,FALSE),"")</f>
        <v/>
      </c>
      <c r="W35" s="473" t="str">
        <f>数据表!C34</f>
        <v/>
      </c>
      <c r="X35" s="469"/>
      <c r="Y35" s="474" t="str">
        <f>数据表!D34</f>
        <v/>
      </c>
      <c r="Z35" s="472">
        <v>83</v>
      </c>
      <c r="AA35" s="471" t="str">
        <f>IFERROR(VLOOKUP(AC35,法术大全!$A:$Z,2,FALSE),"")</f>
        <v/>
      </c>
      <c r="AB35" s="475" t="str">
        <f>数据表!C84</f>
        <v/>
      </c>
      <c r="AC35" s="469"/>
      <c r="AD35" s="474" t="str">
        <f>数据表!D84</f>
        <v/>
      </c>
      <c r="AE35" s="476">
        <v>133</v>
      </c>
      <c r="AF35" s="470" t="str">
        <f>IFERROR(VLOOKUP(AH35,法术大全!$A:$Z,2,FALSE),"")</f>
        <v/>
      </c>
      <c r="AG35" s="473" t="str">
        <f>数据表!C134</f>
        <v/>
      </c>
      <c r="AH35" s="469"/>
      <c r="AI35" s="474" t="str">
        <f>数据表!D134</f>
        <v/>
      </c>
      <c r="AJ35" s="478">
        <v>183</v>
      </c>
      <c r="AK35" s="471" t="str">
        <f>IFERROR(VLOOKUP(AM35,法术大全!$A:$Z,2,FALSE),"")</f>
        <v/>
      </c>
      <c r="AL35" s="473" t="str">
        <f>数据表!C184</f>
        <v/>
      </c>
      <c r="AM35" s="469"/>
      <c r="AN35" s="474" t="str">
        <f>数据表!D184</f>
        <v/>
      </c>
      <c r="AO35" s="110"/>
      <c r="AQ35" s="1015"/>
      <c r="AR35" s="1016"/>
      <c r="AS35" s="1016"/>
      <c r="AT35" s="1016"/>
      <c r="AU35" s="1016"/>
      <c r="AV35" s="1016"/>
      <c r="AW35" s="1016"/>
      <c r="AX35" s="1017"/>
    </row>
    <row r="36" spans="2:50" ht="17.649999999999999" customHeight="1" x14ac:dyDescent="0.15">
      <c r="B36" s="1010"/>
      <c r="C36" s="1015"/>
      <c r="D36" s="1016"/>
      <c r="E36" s="1016"/>
      <c r="F36" s="1016"/>
      <c r="G36" s="1016"/>
      <c r="H36" s="1016"/>
      <c r="I36" s="1016"/>
      <c r="J36" s="1016"/>
      <c r="K36" s="1016"/>
      <c r="L36" s="1016"/>
      <c r="M36" s="1016"/>
      <c r="N36" s="1016"/>
      <c r="O36" s="1016"/>
      <c r="P36" s="1016"/>
      <c r="Q36" s="1016"/>
      <c r="R36" s="1017"/>
      <c r="S36" s="1008"/>
      <c r="T36" s="117"/>
      <c r="U36" s="472">
        <v>34</v>
      </c>
      <c r="V36" s="470" t="str">
        <f>IFERROR(VLOOKUP(X36,法术大全!$A:$Z,2,FALSE),"")</f>
        <v/>
      </c>
      <c r="W36" s="473" t="str">
        <f>数据表!C35</f>
        <v/>
      </c>
      <c r="X36" s="469"/>
      <c r="Y36" s="474" t="str">
        <f>数据表!D35</f>
        <v/>
      </c>
      <c r="Z36" s="472">
        <v>84</v>
      </c>
      <c r="AA36" s="471" t="str">
        <f>IFERROR(VLOOKUP(AC36,法术大全!$A:$Z,2,FALSE),"")</f>
        <v/>
      </c>
      <c r="AB36" s="475" t="str">
        <f>数据表!C85</f>
        <v/>
      </c>
      <c r="AC36" s="469"/>
      <c r="AD36" s="474" t="str">
        <f>数据表!D85</f>
        <v/>
      </c>
      <c r="AE36" s="476">
        <v>134</v>
      </c>
      <c r="AF36" s="470" t="str">
        <f>IFERROR(VLOOKUP(AH36,法术大全!$A:$Z,2,FALSE),"")</f>
        <v/>
      </c>
      <c r="AG36" s="473" t="str">
        <f>数据表!C135</f>
        <v/>
      </c>
      <c r="AH36" s="469"/>
      <c r="AI36" s="474" t="str">
        <f>数据表!D135</f>
        <v/>
      </c>
      <c r="AJ36" s="478">
        <v>184</v>
      </c>
      <c r="AK36" s="471" t="str">
        <f>IFERROR(VLOOKUP(AM36,法术大全!$A:$Z,2,FALSE),"")</f>
        <v/>
      </c>
      <c r="AL36" s="473" t="str">
        <f>数据表!C185</f>
        <v/>
      </c>
      <c r="AM36" s="469"/>
      <c r="AN36" s="474" t="str">
        <f>数据表!D185</f>
        <v/>
      </c>
      <c r="AO36" s="110"/>
      <c r="AQ36" s="1015"/>
      <c r="AR36" s="1016"/>
      <c r="AS36" s="1016"/>
      <c r="AT36" s="1016"/>
      <c r="AU36" s="1016"/>
      <c r="AV36" s="1016"/>
      <c r="AW36" s="1016"/>
      <c r="AX36" s="1017"/>
    </row>
    <row r="37" spans="2:50" ht="17.649999999999999" customHeight="1" x14ac:dyDescent="0.15">
      <c r="B37" s="1010"/>
      <c r="C37" s="1015"/>
      <c r="D37" s="1016"/>
      <c r="E37" s="1016"/>
      <c r="F37" s="1016"/>
      <c r="G37" s="1016"/>
      <c r="H37" s="1016"/>
      <c r="I37" s="1016"/>
      <c r="J37" s="1016"/>
      <c r="K37" s="1016"/>
      <c r="L37" s="1016"/>
      <c r="M37" s="1016"/>
      <c r="N37" s="1016"/>
      <c r="O37" s="1016"/>
      <c r="P37" s="1016"/>
      <c r="Q37" s="1016"/>
      <c r="R37" s="1017"/>
      <c r="S37" s="1008"/>
      <c r="T37" s="117"/>
      <c r="U37" s="472">
        <v>35</v>
      </c>
      <c r="V37" s="470" t="str">
        <f>IFERROR(VLOOKUP(X37,法术大全!$A:$Z,2,FALSE),"")</f>
        <v/>
      </c>
      <c r="W37" s="473" t="str">
        <f>数据表!C36</f>
        <v/>
      </c>
      <c r="X37" s="469"/>
      <c r="Y37" s="474" t="str">
        <f>数据表!D36</f>
        <v/>
      </c>
      <c r="Z37" s="472">
        <v>85</v>
      </c>
      <c r="AA37" s="471" t="str">
        <f>IFERROR(VLOOKUP(AC37,法术大全!$A:$Z,2,FALSE),"")</f>
        <v/>
      </c>
      <c r="AB37" s="475" t="str">
        <f>数据表!C86</f>
        <v/>
      </c>
      <c r="AC37" s="469"/>
      <c r="AD37" s="474" t="str">
        <f>数据表!D86</f>
        <v/>
      </c>
      <c r="AE37" s="476">
        <v>135</v>
      </c>
      <c r="AF37" s="470" t="str">
        <f>IFERROR(VLOOKUP(AH37,法术大全!$A:$Z,2,FALSE),"")</f>
        <v/>
      </c>
      <c r="AG37" s="473" t="str">
        <f>数据表!C136</f>
        <v/>
      </c>
      <c r="AH37" s="469" t="s">
        <v>155</v>
      </c>
      <c r="AI37" s="474" t="str">
        <f>数据表!D136</f>
        <v/>
      </c>
      <c r="AJ37" s="478">
        <v>185</v>
      </c>
      <c r="AK37" s="471" t="str">
        <f>IFERROR(VLOOKUP(AM37,法术大全!$A:$Z,2,FALSE),"")</f>
        <v/>
      </c>
      <c r="AL37" s="473" t="str">
        <f>数据表!C186</f>
        <v/>
      </c>
      <c r="AM37" s="469"/>
      <c r="AN37" s="474" t="str">
        <f>数据表!D186</f>
        <v/>
      </c>
      <c r="AO37" s="110"/>
      <c r="AQ37" s="1015"/>
      <c r="AR37" s="1016"/>
      <c r="AS37" s="1016"/>
      <c r="AT37" s="1016"/>
      <c r="AU37" s="1016"/>
      <c r="AV37" s="1016"/>
      <c r="AW37" s="1016"/>
      <c r="AX37" s="1017"/>
    </row>
    <row r="38" spans="2:50" ht="17.649999999999999" customHeight="1" x14ac:dyDescent="0.15">
      <c r="B38" s="1010"/>
      <c r="C38" s="1015"/>
      <c r="D38" s="1016"/>
      <c r="E38" s="1016"/>
      <c r="F38" s="1016"/>
      <c r="G38" s="1016"/>
      <c r="H38" s="1016"/>
      <c r="I38" s="1016"/>
      <c r="J38" s="1016"/>
      <c r="K38" s="1016"/>
      <c r="L38" s="1016"/>
      <c r="M38" s="1016"/>
      <c r="N38" s="1016"/>
      <c r="O38" s="1016"/>
      <c r="P38" s="1016"/>
      <c r="Q38" s="1016"/>
      <c r="R38" s="1017"/>
      <c r="S38" s="1008"/>
      <c r="T38" s="117"/>
      <c r="U38" s="472">
        <v>36</v>
      </c>
      <c r="V38" s="470" t="str">
        <f>IFERROR(VLOOKUP(X38,法术大全!$A:$Z,2,FALSE),"")</f>
        <v/>
      </c>
      <c r="W38" s="473" t="str">
        <f>数据表!C37</f>
        <v/>
      </c>
      <c r="X38" s="469"/>
      <c r="Y38" s="474" t="str">
        <f>数据表!D37</f>
        <v/>
      </c>
      <c r="Z38" s="472">
        <v>86</v>
      </c>
      <c r="AA38" s="471" t="str">
        <f>IFERROR(VLOOKUP(AC38,法术大全!$A:$Z,2,FALSE),"")</f>
        <v/>
      </c>
      <c r="AB38" s="475" t="str">
        <f>数据表!C87</f>
        <v/>
      </c>
      <c r="AC38" s="469"/>
      <c r="AD38" s="474" t="str">
        <f>数据表!D87</f>
        <v/>
      </c>
      <c r="AE38" s="476">
        <v>136</v>
      </c>
      <c r="AF38" s="470" t="str">
        <f>IFERROR(VLOOKUP(AH38,法术大全!$A:$Z,2,FALSE),"")</f>
        <v/>
      </c>
      <c r="AG38" s="473" t="str">
        <f>数据表!C137</f>
        <v/>
      </c>
      <c r="AH38" s="469" t="s">
        <v>155</v>
      </c>
      <c r="AI38" s="474" t="str">
        <f>数据表!D137</f>
        <v/>
      </c>
      <c r="AJ38" s="478">
        <v>186</v>
      </c>
      <c r="AK38" s="471" t="str">
        <f>IFERROR(VLOOKUP(AM38,法术大全!$A:$Z,2,FALSE),"")</f>
        <v/>
      </c>
      <c r="AL38" s="473" t="str">
        <f>数据表!C187</f>
        <v/>
      </c>
      <c r="AM38" s="469"/>
      <c r="AN38" s="474" t="str">
        <f>数据表!D187</f>
        <v/>
      </c>
      <c r="AO38" s="110"/>
      <c r="AQ38" s="1015"/>
      <c r="AR38" s="1016"/>
      <c r="AS38" s="1016"/>
      <c r="AT38" s="1016"/>
      <c r="AU38" s="1016"/>
      <c r="AV38" s="1016"/>
      <c r="AW38" s="1016"/>
      <c r="AX38" s="1017"/>
    </row>
    <row r="39" spans="2:50" ht="17.649999999999999" customHeight="1" x14ac:dyDescent="0.15">
      <c r="B39" s="1010"/>
      <c r="C39" s="1015"/>
      <c r="D39" s="1016"/>
      <c r="E39" s="1016"/>
      <c r="F39" s="1016"/>
      <c r="G39" s="1016"/>
      <c r="H39" s="1016"/>
      <c r="I39" s="1016"/>
      <c r="J39" s="1016"/>
      <c r="K39" s="1016"/>
      <c r="L39" s="1016"/>
      <c r="M39" s="1016"/>
      <c r="N39" s="1016"/>
      <c r="O39" s="1016"/>
      <c r="P39" s="1016"/>
      <c r="Q39" s="1016"/>
      <c r="R39" s="1017"/>
      <c r="S39" s="1008"/>
      <c r="T39" s="117"/>
      <c r="U39" s="472">
        <v>37</v>
      </c>
      <c r="V39" s="470" t="str">
        <f>IFERROR(VLOOKUP(X39,法术大全!$A:$Z,2,FALSE),"")</f>
        <v/>
      </c>
      <c r="W39" s="473" t="str">
        <f>数据表!C38</f>
        <v/>
      </c>
      <c r="X39" s="469"/>
      <c r="Y39" s="474" t="str">
        <f>数据表!D38</f>
        <v/>
      </c>
      <c r="Z39" s="472">
        <v>87</v>
      </c>
      <c r="AA39" s="471" t="str">
        <f>IFERROR(VLOOKUP(AC39,法术大全!$A:$Z,2,FALSE),"")</f>
        <v/>
      </c>
      <c r="AB39" s="475" t="str">
        <f>数据表!C88</f>
        <v/>
      </c>
      <c r="AC39" s="469"/>
      <c r="AD39" s="474" t="str">
        <f>数据表!D88</f>
        <v/>
      </c>
      <c r="AE39" s="476">
        <v>137</v>
      </c>
      <c r="AF39" s="470" t="str">
        <f>IFERROR(VLOOKUP(AH39,法术大全!$A:$Z,2,FALSE),"")</f>
        <v/>
      </c>
      <c r="AG39" s="473" t="str">
        <f>数据表!C138</f>
        <v/>
      </c>
      <c r="AH39" s="469" t="s">
        <v>155</v>
      </c>
      <c r="AI39" s="474" t="str">
        <f>数据表!D138</f>
        <v/>
      </c>
      <c r="AJ39" s="478">
        <v>187</v>
      </c>
      <c r="AK39" s="471" t="str">
        <f>IFERROR(VLOOKUP(AM39,法术大全!$A:$Z,2,FALSE),"")</f>
        <v/>
      </c>
      <c r="AL39" s="473" t="str">
        <f>数据表!C188</f>
        <v/>
      </c>
      <c r="AM39" s="469"/>
      <c r="AN39" s="474" t="str">
        <f>数据表!D188</f>
        <v/>
      </c>
      <c r="AO39" s="110"/>
      <c r="AQ39" s="1015"/>
      <c r="AR39" s="1016"/>
      <c r="AS39" s="1016"/>
      <c r="AT39" s="1016"/>
      <c r="AU39" s="1016"/>
      <c r="AV39" s="1016"/>
      <c r="AW39" s="1016"/>
      <c r="AX39" s="1017"/>
    </row>
    <row r="40" spans="2:50" ht="17.649999999999999" customHeight="1" x14ac:dyDescent="0.15">
      <c r="B40" s="1010"/>
      <c r="C40" s="1015"/>
      <c r="D40" s="1016"/>
      <c r="E40" s="1016"/>
      <c r="F40" s="1016"/>
      <c r="G40" s="1016"/>
      <c r="H40" s="1016"/>
      <c r="I40" s="1016"/>
      <c r="J40" s="1016"/>
      <c r="K40" s="1016"/>
      <c r="L40" s="1016"/>
      <c r="M40" s="1016"/>
      <c r="N40" s="1016"/>
      <c r="O40" s="1016"/>
      <c r="P40" s="1016"/>
      <c r="Q40" s="1016"/>
      <c r="R40" s="1017"/>
      <c r="S40" s="1008"/>
      <c r="T40" s="117"/>
      <c r="U40" s="472">
        <v>38</v>
      </c>
      <c r="V40" s="470" t="str">
        <f>IFERROR(VLOOKUP(X40,法术大全!$A:$Z,2,FALSE),"")</f>
        <v/>
      </c>
      <c r="W40" s="473" t="str">
        <f>数据表!C39</f>
        <v/>
      </c>
      <c r="X40" s="469"/>
      <c r="Y40" s="474" t="str">
        <f>数据表!D39</f>
        <v/>
      </c>
      <c r="Z40" s="472">
        <v>88</v>
      </c>
      <c r="AA40" s="471" t="str">
        <f>IFERROR(VLOOKUP(AC40,法术大全!$A:$Z,2,FALSE),"")</f>
        <v/>
      </c>
      <c r="AB40" s="475" t="str">
        <f>数据表!C89</f>
        <v/>
      </c>
      <c r="AC40" s="469"/>
      <c r="AD40" s="474" t="str">
        <f>数据表!D89</f>
        <v/>
      </c>
      <c r="AE40" s="476">
        <v>138</v>
      </c>
      <c r="AF40" s="470" t="str">
        <f>IFERROR(VLOOKUP(AH40,法术大全!$A:$Z,2,FALSE),"")</f>
        <v/>
      </c>
      <c r="AG40" s="473" t="str">
        <f>数据表!C139</f>
        <v/>
      </c>
      <c r="AH40" s="469" t="s">
        <v>155</v>
      </c>
      <c r="AI40" s="474" t="str">
        <f>数据表!D139</f>
        <v/>
      </c>
      <c r="AJ40" s="478">
        <v>188</v>
      </c>
      <c r="AK40" s="471" t="str">
        <f>IFERROR(VLOOKUP(AM40,法术大全!$A:$Z,2,FALSE),"")</f>
        <v/>
      </c>
      <c r="AL40" s="473" t="str">
        <f>数据表!C189</f>
        <v/>
      </c>
      <c r="AM40" s="469"/>
      <c r="AN40" s="474" t="str">
        <f>数据表!D189</f>
        <v/>
      </c>
      <c r="AO40" s="110"/>
      <c r="AQ40" s="1015"/>
      <c r="AR40" s="1016"/>
      <c r="AS40" s="1016"/>
      <c r="AT40" s="1016"/>
      <c r="AU40" s="1016"/>
      <c r="AV40" s="1016"/>
      <c r="AW40" s="1016"/>
      <c r="AX40" s="1017"/>
    </row>
    <row r="41" spans="2:50" ht="17.649999999999999" customHeight="1" x14ac:dyDescent="0.15">
      <c r="B41" s="1010"/>
      <c r="C41" s="1015"/>
      <c r="D41" s="1016"/>
      <c r="E41" s="1016"/>
      <c r="F41" s="1016"/>
      <c r="G41" s="1016"/>
      <c r="H41" s="1016"/>
      <c r="I41" s="1016"/>
      <c r="J41" s="1016"/>
      <c r="K41" s="1016"/>
      <c r="L41" s="1016"/>
      <c r="M41" s="1016"/>
      <c r="N41" s="1016"/>
      <c r="O41" s="1016"/>
      <c r="P41" s="1016"/>
      <c r="Q41" s="1016"/>
      <c r="R41" s="1017"/>
      <c r="S41" s="1008"/>
      <c r="T41" s="117"/>
      <c r="U41" s="472">
        <v>39</v>
      </c>
      <c r="V41" s="470" t="str">
        <f>IFERROR(VLOOKUP(X41,法术大全!$A:$Z,2,FALSE),"")</f>
        <v/>
      </c>
      <c r="W41" s="473" t="str">
        <f>数据表!C40</f>
        <v/>
      </c>
      <c r="X41" s="469"/>
      <c r="Y41" s="474" t="str">
        <f>数据表!D40</f>
        <v/>
      </c>
      <c r="Z41" s="472">
        <v>89</v>
      </c>
      <c r="AA41" s="471" t="str">
        <f>IFERROR(VLOOKUP(AC41,法术大全!$A:$Z,2,FALSE),"")</f>
        <v/>
      </c>
      <c r="AB41" s="475" t="str">
        <f>数据表!C90</f>
        <v/>
      </c>
      <c r="AC41" s="469"/>
      <c r="AD41" s="474" t="str">
        <f>数据表!D90</f>
        <v/>
      </c>
      <c r="AE41" s="476">
        <v>139</v>
      </c>
      <c r="AF41" s="470" t="str">
        <f>IFERROR(VLOOKUP(AH41,法术大全!$A:$Z,2,FALSE),"")</f>
        <v/>
      </c>
      <c r="AG41" s="473" t="str">
        <f>数据表!C140</f>
        <v/>
      </c>
      <c r="AH41" s="469" t="s">
        <v>155</v>
      </c>
      <c r="AI41" s="474" t="str">
        <f>数据表!D140</f>
        <v/>
      </c>
      <c r="AJ41" s="478">
        <v>189</v>
      </c>
      <c r="AK41" s="471" t="str">
        <f>IFERROR(VLOOKUP(AM41,法术大全!$A:$Z,2,FALSE),"")</f>
        <v/>
      </c>
      <c r="AL41" s="473" t="str">
        <f>数据表!C190</f>
        <v/>
      </c>
      <c r="AM41" s="469"/>
      <c r="AN41" s="474" t="str">
        <f>数据表!D190</f>
        <v/>
      </c>
      <c r="AO41" s="110"/>
      <c r="AQ41" s="1015"/>
      <c r="AR41" s="1016"/>
      <c r="AS41" s="1016"/>
      <c r="AT41" s="1016"/>
      <c r="AU41" s="1016"/>
      <c r="AV41" s="1016"/>
      <c r="AW41" s="1016"/>
      <c r="AX41" s="1017"/>
    </row>
    <row r="42" spans="2:50" ht="17.649999999999999" customHeight="1" x14ac:dyDescent="0.15">
      <c r="B42" s="1010"/>
      <c r="C42" s="1015"/>
      <c r="D42" s="1016"/>
      <c r="E42" s="1016"/>
      <c r="F42" s="1016"/>
      <c r="G42" s="1016"/>
      <c r="H42" s="1016"/>
      <c r="I42" s="1016"/>
      <c r="J42" s="1016"/>
      <c r="K42" s="1016"/>
      <c r="L42" s="1016"/>
      <c r="M42" s="1016"/>
      <c r="N42" s="1016"/>
      <c r="O42" s="1016"/>
      <c r="P42" s="1016"/>
      <c r="Q42" s="1016"/>
      <c r="R42" s="1017"/>
      <c r="S42" s="1008"/>
      <c r="T42" s="117"/>
      <c r="U42" s="472">
        <v>40</v>
      </c>
      <c r="V42" s="470" t="str">
        <f>IFERROR(VLOOKUP(X42,法术大全!$A:$Z,2,FALSE),"")</f>
        <v/>
      </c>
      <c r="W42" s="473" t="str">
        <f>数据表!C41</f>
        <v/>
      </c>
      <c r="X42" s="469"/>
      <c r="Y42" s="474" t="str">
        <f>数据表!D41</f>
        <v/>
      </c>
      <c r="Z42" s="472">
        <v>90</v>
      </c>
      <c r="AA42" s="471" t="str">
        <f>IFERROR(VLOOKUP(AC42,法术大全!$A:$Z,2,FALSE),"")</f>
        <v/>
      </c>
      <c r="AB42" s="475" t="str">
        <f>数据表!C91</f>
        <v/>
      </c>
      <c r="AC42" s="469"/>
      <c r="AD42" s="474" t="str">
        <f>数据表!D91</f>
        <v/>
      </c>
      <c r="AE42" s="476">
        <v>140</v>
      </c>
      <c r="AF42" s="470" t="str">
        <f>IFERROR(VLOOKUP(AH42,法术大全!$A:$Z,2,FALSE),"")</f>
        <v/>
      </c>
      <c r="AG42" s="473" t="str">
        <f>数据表!C141</f>
        <v/>
      </c>
      <c r="AH42" s="469" t="s">
        <v>155</v>
      </c>
      <c r="AI42" s="474" t="str">
        <f>数据表!D141</f>
        <v/>
      </c>
      <c r="AJ42" s="478">
        <v>190</v>
      </c>
      <c r="AK42" s="471" t="str">
        <f>IFERROR(VLOOKUP(AM42,法术大全!$A:$Z,2,FALSE),"")</f>
        <v/>
      </c>
      <c r="AL42" s="473" t="str">
        <f>数据表!C191</f>
        <v/>
      </c>
      <c r="AM42" s="469"/>
      <c r="AN42" s="474" t="str">
        <f>数据表!D191</f>
        <v/>
      </c>
      <c r="AO42" s="110"/>
      <c r="AQ42" s="1015"/>
      <c r="AR42" s="1016"/>
      <c r="AS42" s="1016"/>
      <c r="AT42" s="1016"/>
      <c r="AU42" s="1016"/>
      <c r="AV42" s="1016"/>
      <c r="AW42" s="1016"/>
      <c r="AX42" s="1017"/>
    </row>
    <row r="43" spans="2:50" ht="17.649999999999999" customHeight="1" x14ac:dyDescent="0.15">
      <c r="B43" s="1010"/>
      <c r="C43" s="1015"/>
      <c r="D43" s="1016"/>
      <c r="E43" s="1016"/>
      <c r="F43" s="1016"/>
      <c r="G43" s="1016"/>
      <c r="H43" s="1016"/>
      <c r="I43" s="1016"/>
      <c r="J43" s="1016"/>
      <c r="K43" s="1016"/>
      <c r="L43" s="1016"/>
      <c r="M43" s="1016"/>
      <c r="N43" s="1016"/>
      <c r="O43" s="1016"/>
      <c r="P43" s="1016"/>
      <c r="Q43" s="1016"/>
      <c r="R43" s="1017"/>
      <c r="S43" s="1008"/>
      <c r="T43" s="117"/>
      <c r="U43" s="472">
        <v>41</v>
      </c>
      <c r="V43" s="470" t="str">
        <f>IFERROR(VLOOKUP(X43,法术大全!$A:$Z,2,FALSE),"")</f>
        <v/>
      </c>
      <c r="W43" s="473" t="str">
        <f>数据表!C42</f>
        <v/>
      </c>
      <c r="X43" s="469"/>
      <c r="Y43" s="474" t="str">
        <f>数据表!D42</f>
        <v/>
      </c>
      <c r="Z43" s="472">
        <v>91</v>
      </c>
      <c r="AA43" s="471" t="str">
        <f>IFERROR(VLOOKUP(AC43,法术大全!$A:$Z,2,FALSE),"")</f>
        <v/>
      </c>
      <c r="AB43" s="473" t="str">
        <f>数据表!C92</f>
        <v/>
      </c>
      <c r="AC43" s="469"/>
      <c r="AD43" s="474" t="str">
        <f>数据表!D92</f>
        <v/>
      </c>
      <c r="AE43" s="476">
        <v>141</v>
      </c>
      <c r="AF43" s="470" t="str">
        <f>IFERROR(VLOOKUP(AH43,法术大全!$A:$Z,2,FALSE),"")</f>
        <v/>
      </c>
      <c r="AG43" s="473" t="str">
        <f>数据表!C142</f>
        <v/>
      </c>
      <c r="AH43" s="469" t="s">
        <v>155</v>
      </c>
      <c r="AI43" s="474" t="str">
        <f>数据表!D142</f>
        <v/>
      </c>
      <c r="AJ43" s="478">
        <v>191</v>
      </c>
      <c r="AK43" s="471" t="str">
        <f>IFERROR(VLOOKUP(AM43,法术大全!$A:$Z,2,FALSE),"")</f>
        <v/>
      </c>
      <c r="AL43" s="473" t="str">
        <f>数据表!C192</f>
        <v/>
      </c>
      <c r="AM43" s="469"/>
      <c r="AN43" s="474" t="str">
        <f>数据表!D192</f>
        <v/>
      </c>
      <c r="AO43" s="110"/>
      <c r="AQ43" s="1015"/>
      <c r="AR43" s="1016"/>
      <c r="AS43" s="1016"/>
      <c r="AT43" s="1016"/>
      <c r="AU43" s="1016"/>
      <c r="AV43" s="1016"/>
      <c r="AW43" s="1016"/>
      <c r="AX43" s="1017"/>
    </row>
    <row r="44" spans="2:50" ht="17.649999999999999" customHeight="1" x14ac:dyDescent="0.15">
      <c r="B44" s="1010"/>
      <c r="C44" s="1015"/>
      <c r="D44" s="1016"/>
      <c r="E44" s="1016"/>
      <c r="F44" s="1016"/>
      <c r="G44" s="1016"/>
      <c r="H44" s="1016"/>
      <c r="I44" s="1016"/>
      <c r="J44" s="1016"/>
      <c r="K44" s="1016"/>
      <c r="L44" s="1016"/>
      <c r="M44" s="1016"/>
      <c r="N44" s="1016"/>
      <c r="O44" s="1016"/>
      <c r="P44" s="1016"/>
      <c r="Q44" s="1016"/>
      <c r="R44" s="1017"/>
      <c r="S44" s="1008"/>
      <c r="T44" s="117"/>
      <c r="U44" s="472">
        <v>42</v>
      </c>
      <c r="V44" s="470" t="str">
        <f>IFERROR(VLOOKUP(X44,法术大全!$A:$Z,2,FALSE),"")</f>
        <v/>
      </c>
      <c r="W44" s="473" t="str">
        <f>数据表!C43</f>
        <v/>
      </c>
      <c r="X44" s="469"/>
      <c r="Y44" s="474" t="str">
        <f>数据表!D43</f>
        <v/>
      </c>
      <c r="Z44" s="472">
        <v>92</v>
      </c>
      <c r="AA44" s="471" t="str">
        <f>IFERROR(VLOOKUP(AC44,法术大全!$A:$Z,2,FALSE),"")</f>
        <v/>
      </c>
      <c r="AB44" s="473" t="str">
        <f>数据表!C93</f>
        <v/>
      </c>
      <c r="AC44" s="469"/>
      <c r="AD44" s="474" t="str">
        <f>数据表!D93</f>
        <v/>
      </c>
      <c r="AE44" s="476">
        <v>142</v>
      </c>
      <c r="AF44" s="470" t="str">
        <f>IFERROR(VLOOKUP(AH44,法术大全!$A:$Z,2,FALSE),"")</f>
        <v/>
      </c>
      <c r="AG44" s="473" t="str">
        <f>数据表!C143</f>
        <v/>
      </c>
      <c r="AH44" s="469" t="s">
        <v>155</v>
      </c>
      <c r="AI44" s="474" t="str">
        <f>数据表!D143</f>
        <v/>
      </c>
      <c r="AJ44" s="478">
        <v>192</v>
      </c>
      <c r="AK44" s="471" t="str">
        <f>IFERROR(VLOOKUP(AM44,法术大全!$A:$Z,2,FALSE),"")</f>
        <v/>
      </c>
      <c r="AL44" s="473" t="str">
        <f>数据表!C193</f>
        <v/>
      </c>
      <c r="AM44" s="469"/>
      <c r="AN44" s="474" t="str">
        <f>数据表!D193</f>
        <v/>
      </c>
      <c r="AO44" s="110"/>
      <c r="AQ44" s="1015"/>
      <c r="AR44" s="1016"/>
      <c r="AS44" s="1016"/>
      <c r="AT44" s="1016"/>
      <c r="AU44" s="1016"/>
      <c r="AV44" s="1016"/>
      <c r="AW44" s="1016"/>
      <c r="AX44" s="1017"/>
    </row>
    <row r="45" spans="2:50" ht="17.649999999999999" customHeight="1" x14ac:dyDescent="0.15">
      <c r="B45" s="1010"/>
      <c r="C45" s="1015"/>
      <c r="D45" s="1016"/>
      <c r="E45" s="1016"/>
      <c r="F45" s="1016"/>
      <c r="G45" s="1016"/>
      <c r="H45" s="1016"/>
      <c r="I45" s="1016"/>
      <c r="J45" s="1016"/>
      <c r="K45" s="1016"/>
      <c r="L45" s="1016"/>
      <c r="M45" s="1016"/>
      <c r="N45" s="1016"/>
      <c r="O45" s="1016"/>
      <c r="P45" s="1016"/>
      <c r="Q45" s="1016"/>
      <c r="R45" s="1017"/>
      <c r="S45" s="1008"/>
      <c r="T45" s="117"/>
      <c r="U45" s="472">
        <v>43</v>
      </c>
      <c r="V45" s="470" t="str">
        <f>IFERROR(VLOOKUP(X45,法术大全!$A:$Z,2,FALSE),"")</f>
        <v/>
      </c>
      <c r="W45" s="473" t="str">
        <f>数据表!C44</f>
        <v/>
      </c>
      <c r="X45" s="469"/>
      <c r="Y45" s="474" t="str">
        <f>数据表!D44</f>
        <v/>
      </c>
      <c r="Z45" s="472">
        <v>93</v>
      </c>
      <c r="AA45" s="471" t="str">
        <f>IFERROR(VLOOKUP(AC45,法术大全!$A:$Z,2,FALSE),"")</f>
        <v/>
      </c>
      <c r="AB45" s="473" t="str">
        <f>数据表!C94</f>
        <v/>
      </c>
      <c r="AC45" s="469"/>
      <c r="AD45" s="474" t="str">
        <f>数据表!D94</f>
        <v/>
      </c>
      <c r="AE45" s="476">
        <v>143</v>
      </c>
      <c r="AF45" s="470" t="str">
        <f>IFERROR(VLOOKUP(AH45,法术大全!$A:$Z,2,FALSE),"")</f>
        <v/>
      </c>
      <c r="AG45" s="473" t="str">
        <f>数据表!C144</f>
        <v/>
      </c>
      <c r="AH45" s="469" t="s">
        <v>155</v>
      </c>
      <c r="AI45" s="474" t="str">
        <f>数据表!D144</f>
        <v/>
      </c>
      <c r="AJ45" s="478">
        <v>193</v>
      </c>
      <c r="AK45" s="471" t="str">
        <f>IFERROR(VLOOKUP(AM45,法术大全!$A:$Z,2,FALSE),"")</f>
        <v/>
      </c>
      <c r="AL45" s="473" t="str">
        <f>数据表!C194</f>
        <v/>
      </c>
      <c r="AM45" s="469"/>
      <c r="AN45" s="474" t="str">
        <f>数据表!D194</f>
        <v/>
      </c>
      <c r="AO45" s="110"/>
      <c r="AQ45" s="1015"/>
      <c r="AR45" s="1016"/>
      <c r="AS45" s="1016"/>
      <c r="AT45" s="1016"/>
      <c r="AU45" s="1016"/>
      <c r="AV45" s="1016"/>
      <c r="AW45" s="1016"/>
      <c r="AX45" s="1017"/>
    </row>
    <row r="46" spans="2:50" ht="17.649999999999999" customHeight="1" x14ac:dyDescent="0.15">
      <c r="B46" s="1010"/>
      <c r="C46" s="1015"/>
      <c r="D46" s="1016"/>
      <c r="E46" s="1016"/>
      <c r="F46" s="1016"/>
      <c r="G46" s="1016"/>
      <c r="H46" s="1016"/>
      <c r="I46" s="1016"/>
      <c r="J46" s="1016"/>
      <c r="K46" s="1016"/>
      <c r="L46" s="1016"/>
      <c r="M46" s="1016"/>
      <c r="N46" s="1016"/>
      <c r="O46" s="1016"/>
      <c r="P46" s="1016"/>
      <c r="Q46" s="1016"/>
      <c r="R46" s="1017"/>
      <c r="S46" s="1008"/>
      <c r="T46" s="117"/>
      <c r="U46" s="472">
        <v>44</v>
      </c>
      <c r="V46" s="470" t="str">
        <f>IFERROR(VLOOKUP(X46,法术大全!$A:$Z,2,FALSE),"")</f>
        <v/>
      </c>
      <c r="W46" s="473" t="str">
        <f>数据表!C45</f>
        <v/>
      </c>
      <c r="X46" s="469"/>
      <c r="Y46" s="474" t="str">
        <f>数据表!D45</f>
        <v/>
      </c>
      <c r="Z46" s="472">
        <v>94</v>
      </c>
      <c r="AA46" s="471" t="str">
        <f>IFERROR(VLOOKUP(AC46,法术大全!$A:$Z,2,FALSE),"")</f>
        <v/>
      </c>
      <c r="AB46" s="473" t="str">
        <f>数据表!C95</f>
        <v/>
      </c>
      <c r="AC46" s="469"/>
      <c r="AD46" s="474" t="str">
        <f>数据表!D95</f>
        <v/>
      </c>
      <c r="AE46" s="476">
        <v>144</v>
      </c>
      <c r="AF46" s="470" t="str">
        <f>IFERROR(VLOOKUP(AH46,法术大全!$A:$Z,2,FALSE),"")</f>
        <v/>
      </c>
      <c r="AG46" s="473" t="str">
        <f>数据表!C145</f>
        <v/>
      </c>
      <c r="AH46" s="469" t="s">
        <v>155</v>
      </c>
      <c r="AI46" s="474" t="str">
        <f>数据表!D145</f>
        <v/>
      </c>
      <c r="AJ46" s="478">
        <v>194</v>
      </c>
      <c r="AK46" s="471" t="str">
        <f>IFERROR(VLOOKUP(AM46,法术大全!$A:$Z,2,FALSE),"")</f>
        <v/>
      </c>
      <c r="AL46" s="473" t="str">
        <f>数据表!C195</f>
        <v/>
      </c>
      <c r="AM46" s="469"/>
      <c r="AN46" s="474" t="str">
        <f>数据表!D195</f>
        <v/>
      </c>
      <c r="AO46" s="110"/>
      <c r="AQ46" s="1015"/>
      <c r="AR46" s="1016"/>
      <c r="AS46" s="1016"/>
      <c r="AT46" s="1016"/>
      <c r="AU46" s="1016"/>
      <c r="AV46" s="1016"/>
      <c r="AW46" s="1016"/>
      <c r="AX46" s="1017"/>
    </row>
    <row r="47" spans="2:50" ht="17.649999999999999" customHeight="1" x14ac:dyDescent="0.15">
      <c r="B47" s="1010"/>
      <c r="C47" s="1015"/>
      <c r="D47" s="1016"/>
      <c r="E47" s="1016"/>
      <c r="F47" s="1016"/>
      <c r="G47" s="1016"/>
      <c r="H47" s="1016"/>
      <c r="I47" s="1016"/>
      <c r="J47" s="1016"/>
      <c r="K47" s="1016"/>
      <c r="L47" s="1016"/>
      <c r="M47" s="1016"/>
      <c r="N47" s="1016"/>
      <c r="O47" s="1016"/>
      <c r="P47" s="1016"/>
      <c r="Q47" s="1016"/>
      <c r="R47" s="1017"/>
      <c r="S47" s="1008"/>
      <c r="T47" s="117"/>
      <c r="U47" s="472">
        <v>45</v>
      </c>
      <c r="V47" s="470" t="str">
        <f>IFERROR(VLOOKUP(X47,法术大全!$A:$Z,2,FALSE),"")</f>
        <v/>
      </c>
      <c r="W47" s="473" t="str">
        <f>数据表!C46</f>
        <v/>
      </c>
      <c r="X47" s="469"/>
      <c r="Y47" s="474" t="str">
        <f>数据表!D46</f>
        <v/>
      </c>
      <c r="Z47" s="472">
        <v>95</v>
      </c>
      <c r="AA47" s="471" t="str">
        <f>IFERROR(VLOOKUP(AC47,法术大全!$A:$Z,2,FALSE),"")</f>
        <v/>
      </c>
      <c r="AB47" s="473" t="str">
        <f>数据表!C96</f>
        <v/>
      </c>
      <c r="AC47" s="469"/>
      <c r="AD47" s="474" t="str">
        <f>数据表!D96</f>
        <v/>
      </c>
      <c r="AE47" s="476">
        <v>145</v>
      </c>
      <c r="AF47" s="470" t="str">
        <f>IFERROR(VLOOKUP(AH47,法术大全!$A:$Z,2,FALSE),"")</f>
        <v/>
      </c>
      <c r="AG47" s="473" t="str">
        <f>数据表!C146</f>
        <v/>
      </c>
      <c r="AH47" s="469" t="s">
        <v>155</v>
      </c>
      <c r="AI47" s="474" t="str">
        <f>数据表!D146</f>
        <v/>
      </c>
      <c r="AJ47" s="478">
        <v>195</v>
      </c>
      <c r="AK47" s="471" t="str">
        <f>IFERROR(VLOOKUP(AM47,法术大全!$A:$Z,2,FALSE),"")</f>
        <v/>
      </c>
      <c r="AL47" s="473" t="str">
        <f>数据表!C196</f>
        <v/>
      </c>
      <c r="AM47" s="469"/>
      <c r="AN47" s="474" t="str">
        <f>数据表!D196</f>
        <v/>
      </c>
      <c r="AO47" s="110"/>
      <c r="AQ47" s="1015"/>
      <c r="AR47" s="1016"/>
      <c r="AS47" s="1016"/>
      <c r="AT47" s="1016"/>
      <c r="AU47" s="1016"/>
      <c r="AV47" s="1016"/>
      <c r="AW47" s="1016"/>
      <c r="AX47" s="1017"/>
    </row>
    <row r="48" spans="2:50" ht="17.649999999999999" customHeight="1" x14ac:dyDescent="0.15">
      <c r="B48" s="1010"/>
      <c r="C48" s="1015"/>
      <c r="D48" s="1016"/>
      <c r="E48" s="1016"/>
      <c r="F48" s="1016"/>
      <c r="G48" s="1016"/>
      <c r="H48" s="1016"/>
      <c r="I48" s="1016"/>
      <c r="J48" s="1016"/>
      <c r="K48" s="1016"/>
      <c r="L48" s="1016"/>
      <c r="M48" s="1016"/>
      <c r="N48" s="1016"/>
      <c r="O48" s="1016"/>
      <c r="P48" s="1016"/>
      <c r="Q48" s="1016"/>
      <c r="R48" s="1017"/>
      <c r="S48" s="1008"/>
      <c r="T48" s="117"/>
      <c r="U48" s="472">
        <v>46</v>
      </c>
      <c r="V48" s="470" t="str">
        <f>IFERROR(VLOOKUP(X48,法术大全!$A:$Z,2,FALSE),"")</f>
        <v/>
      </c>
      <c r="W48" s="475" t="str">
        <f>数据表!C47</f>
        <v/>
      </c>
      <c r="X48" s="469"/>
      <c r="Y48" s="474" t="str">
        <f>数据表!D47</f>
        <v/>
      </c>
      <c r="Z48" s="472">
        <v>96</v>
      </c>
      <c r="AA48" s="471" t="str">
        <f>IFERROR(VLOOKUP(AC48,法术大全!$A:$Z,2,FALSE),"")</f>
        <v/>
      </c>
      <c r="AB48" s="473" t="str">
        <f>数据表!C97</f>
        <v/>
      </c>
      <c r="AC48" s="469"/>
      <c r="AD48" s="474" t="str">
        <f>数据表!D97</f>
        <v/>
      </c>
      <c r="AE48" s="476">
        <v>146</v>
      </c>
      <c r="AF48" s="470" t="str">
        <f>IFERROR(VLOOKUP(AH48,法术大全!$A:$Z,2,FALSE),"")</f>
        <v/>
      </c>
      <c r="AG48" s="473" t="str">
        <f>数据表!C147</f>
        <v/>
      </c>
      <c r="AH48" s="469" t="s">
        <v>155</v>
      </c>
      <c r="AI48" s="474" t="str">
        <f>数据表!D147</f>
        <v/>
      </c>
      <c r="AJ48" s="478">
        <v>196</v>
      </c>
      <c r="AK48" s="471" t="str">
        <f>IFERROR(VLOOKUP(AM48,法术大全!$A:$Z,2,FALSE),"")</f>
        <v/>
      </c>
      <c r="AL48" s="473" t="str">
        <f>数据表!C197</f>
        <v/>
      </c>
      <c r="AM48" s="469"/>
      <c r="AN48" s="474" t="str">
        <f>数据表!D197</f>
        <v/>
      </c>
      <c r="AO48" s="110"/>
      <c r="AQ48" s="1015"/>
      <c r="AR48" s="1016"/>
      <c r="AS48" s="1016"/>
      <c r="AT48" s="1016"/>
      <c r="AU48" s="1016"/>
      <c r="AV48" s="1016"/>
      <c r="AW48" s="1016"/>
      <c r="AX48" s="1017"/>
    </row>
    <row r="49" spans="2:50" ht="17.649999999999999" customHeight="1" x14ac:dyDescent="0.15">
      <c r="B49" s="1010"/>
      <c r="C49" s="1015"/>
      <c r="D49" s="1016"/>
      <c r="E49" s="1016"/>
      <c r="F49" s="1016"/>
      <c r="G49" s="1016"/>
      <c r="H49" s="1016"/>
      <c r="I49" s="1016"/>
      <c r="J49" s="1016"/>
      <c r="K49" s="1016"/>
      <c r="L49" s="1016"/>
      <c r="M49" s="1016"/>
      <c r="N49" s="1016"/>
      <c r="O49" s="1016"/>
      <c r="P49" s="1016"/>
      <c r="Q49" s="1016"/>
      <c r="R49" s="1017"/>
      <c r="S49" s="1008"/>
      <c r="T49" s="117"/>
      <c r="U49" s="472">
        <v>47</v>
      </c>
      <c r="V49" s="470" t="str">
        <f>IFERROR(VLOOKUP(X49,法术大全!$A:$Z,2,FALSE),"")</f>
        <v/>
      </c>
      <c r="W49" s="475" t="str">
        <f>数据表!C48</f>
        <v/>
      </c>
      <c r="X49" s="469"/>
      <c r="Y49" s="474" t="str">
        <f>数据表!D48</f>
        <v/>
      </c>
      <c r="Z49" s="472">
        <v>97</v>
      </c>
      <c r="AA49" s="471" t="str">
        <f>IFERROR(VLOOKUP(AC49,法术大全!$A:$Z,2,FALSE),"")</f>
        <v/>
      </c>
      <c r="AB49" s="473" t="str">
        <f>数据表!C98</f>
        <v/>
      </c>
      <c r="AC49" s="469"/>
      <c r="AD49" s="474" t="str">
        <f>数据表!D98</f>
        <v/>
      </c>
      <c r="AE49" s="476">
        <v>147</v>
      </c>
      <c r="AF49" s="470" t="str">
        <f>IFERROR(VLOOKUP(AH49,法术大全!$A:$Z,2,FALSE),"")</f>
        <v/>
      </c>
      <c r="AG49" s="473" t="str">
        <f>数据表!C148</f>
        <v/>
      </c>
      <c r="AH49" s="469" t="s">
        <v>155</v>
      </c>
      <c r="AI49" s="474" t="str">
        <f>数据表!D148</f>
        <v/>
      </c>
      <c r="AJ49" s="478">
        <v>197</v>
      </c>
      <c r="AK49" s="471" t="str">
        <f>IFERROR(VLOOKUP(AM49,法术大全!$A:$Z,2,FALSE),"")</f>
        <v/>
      </c>
      <c r="AL49" s="473" t="str">
        <f>数据表!C198</f>
        <v/>
      </c>
      <c r="AM49" s="469"/>
      <c r="AN49" s="474" t="str">
        <f>数据表!D198</f>
        <v/>
      </c>
      <c r="AO49" s="110"/>
      <c r="AQ49" s="1015"/>
      <c r="AR49" s="1016"/>
      <c r="AS49" s="1016"/>
      <c r="AT49" s="1016"/>
      <c r="AU49" s="1016"/>
      <c r="AV49" s="1016"/>
      <c r="AW49" s="1016"/>
      <c r="AX49" s="1017"/>
    </row>
    <row r="50" spans="2:50" ht="17.649999999999999" customHeight="1" x14ac:dyDescent="0.15">
      <c r="B50" s="1010"/>
      <c r="C50" s="1015"/>
      <c r="D50" s="1016"/>
      <c r="E50" s="1016"/>
      <c r="F50" s="1016"/>
      <c r="G50" s="1016"/>
      <c r="H50" s="1016"/>
      <c r="I50" s="1016"/>
      <c r="J50" s="1016"/>
      <c r="K50" s="1016"/>
      <c r="L50" s="1016"/>
      <c r="M50" s="1016"/>
      <c r="N50" s="1016"/>
      <c r="O50" s="1016"/>
      <c r="P50" s="1016"/>
      <c r="Q50" s="1016"/>
      <c r="R50" s="1017"/>
      <c r="S50" s="1008"/>
      <c r="T50" s="117"/>
      <c r="U50" s="472">
        <v>48</v>
      </c>
      <c r="V50" s="470" t="str">
        <f>IFERROR(VLOOKUP(X50,法术大全!$A:$Z,2,FALSE),"")</f>
        <v/>
      </c>
      <c r="W50" s="475" t="str">
        <f>数据表!C49</f>
        <v/>
      </c>
      <c r="X50" s="469"/>
      <c r="Y50" s="474" t="str">
        <f>数据表!D49</f>
        <v/>
      </c>
      <c r="Z50" s="472">
        <v>98</v>
      </c>
      <c r="AA50" s="471" t="str">
        <f>IFERROR(VLOOKUP(AC50,法术大全!$A:$Z,2,FALSE),"")</f>
        <v/>
      </c>
      <c r="AB50" s="473" t="str">
        <f>数据表!C99</f>
        <v/>
      </c>
      <c r="AC50" s="469"/>
      <c r="AD50" s="474" t="str">
        <f>数据表!D99</f>
        <v/>
      </c>
      <c r="AE50" s="476">
        <v>148</v>
      </c>
      <c r="AF50" s="470" t="str">
        <f>IFERROR(VLOOKUP(AH50,法术大全!$A:$Z,2,FALSE),"")</f>
        <v/>
      </c>
      <c r="AG50" s="473" t="str">
        <f>数据表!C149</f>
        <v/>
      </c>
      <c r="AH50" s="469" t="s">
        <v>155</v>
      </c>
      <c r="AI50" s="474" t="str">
        <f>数据表!D149</f>
        <v/>
      </c>
      <c r="AJ50" s="478">
        <v>198</v>
      </c>
      <c r="AK50" s="471" t="str">
        <f>IFERROR(VLOOKUP(AM50,法术大全!$A:$Z,2,FALSE),"")</f>
        <v/>
      </c>
      <c r="AL50" s="473" t="str">
        <f>数据表!C199</f>
        <v/>
      </c>
      <c r="AM50" s="469"/>
      <c r="AN50" s="474" t="str">
        <f>数据表!D199</f>
        <v/>
      </c>
      <c r="AO50" s="110"/>
      <c r="AQ50" s="1015"/>
      <c r="AR50" s="1016"/>
      <c r="AS50" s="1016"/>
      <c r="AT50" s="1016"/>
      <c r="AU50" s="1016"/>
      <c r="AV50" s="1016"/>
      <c r="AW50" s="1016"/>
      <c r="AX50" s="1017"/>
    </row>
    <row r="51" spans="2:50" ht="17.649999999999999" customHeight="1" x14ac:dyDescent="0.15">
      <c r="B51" s="1010"/>
      <c r="C51" s="1015"/>
      <c r="D51" s="1016"/>
      <c r="E51" s="1016"/>
      <c r="F51" s="1016"/>
      <c r="G51" s="1016"/>
      <c r="H51" s="1016"/>
      <c r="I51" s="1016"/>
      <c r="J51" s="1016"/>
      <c r="K51" s="1016"/>
      <c r="L51" s="1016"/>
      <c r="M51" s="1016"/>
      <c r="N51" s="1016"/>
      <c r="O51" s="1016"/>
      <c r="P51" s="1016"/>
      <c r="Q51" s="1016"/>
      <c r="R51" s="1017"/>
      <c r="S51" s="1008"/>
      <c r="T51" s="117"/>
      <c r="U51" s="472">
        <v>49</v>
      </c>
      <c r="V51" s="470" t="str">
        <f>IFERROR(VLOOKUP(X51,法术大全!$A:$Z,2,FALSE),"")</f>
        <v/>
      </c>
      <c r="W51" s="475" t="str">
        <f>数据表!C50</f>
        <v/>
      </c>
      <c r="X51" s="469"/>
      <c r="Y51" s="474" t="str">
        <f>数据表!D50</f>
        <v/>
      </c>
      <c r="Z51" s="472">
        <v>99</v>
      </c>
      <c r="AA51" s="471" t="str">
        <f>IFERROR(VLOOKUP(AC51,法术大全!$A:$Z,2,FALSE),"")</f>
        <v/>
      </c>
      <c r="AB51" s="473" t="str">
        <f>数据表!C100</f>
        <v/>
      </c>
      <c r="AC51" s="469"/>
      <c r="AD51" s="474" t="str">
        <f>数据表!D100</f>
        <v/>
      </c>
      <c r="AE51" s="476">
        <v>149</v>
      </c>
      <c r="AF51" s="470" t="str">
        <f>IFERROR(VLOOKUP(AH51,法术大全!$A:$Z,2,FALSE),"")</f>
        <v/>
      </c>
      <c r="AG51" s="473" t="str">
        <f>数据表!C150</f>
        <v/>
      </c>
      <c r="AH51" s="469" t="s">
        <v>155</v>
      </c>
      <c r="AI51" s="474" t="str">
        <f>数据表!D150</f>
        <v/>
      </c>
      <c r="AJ51" s="478">
        <v>199</v>
      </c>
      <c r="AK51" s="471" t="str">
        <f>IFERROR(VLOOKUP(AM51,法术大全!$A:$Z,2,FALSE),"")</f>
        <v/>
      </c>
      <c r="AL51" s="473" t="str">
        <f>数据表!C200</f>
        <v/>
      </c>
      <c r="AM51" s="469"/>
      <c r="AN51" s="474" t="str">
        <f>数据表!D200</f>
        <v/>
      </c>
      <c r="AO51" s="110"/>
      <c r="AQ51" s="1015"/>
      <c r="AR51" s="1016"/>
      <c r="AS51" s="1016"/>
      <c r="AT51" s="1016"/>
      <c r="AU51" s="1016"/>
      <c r="AV51" s="1016"/>
      <c r="AW51" s="1016"/>
      <c r="AX51" s="1017"/>
    </row>
    <row r="52" spans="2:50" ht="17.649999999999999" customHeight="1" x14ac:dyDescent="0.15">
      <c r="B52" s="116"/>
      <c r="C52" s="1018"/>
      <c r="D52" s="1019"/>
      <c r="E52" s="1019"/>
      <c r="F52" s="1019"/>
      <c r="G52" s="1019"/>
      <c r="H52" s="1019"/>
      <c r="I52" s="1019"/>
      <c r="J52" s="1019"/>
      <c r="K52" s="1019"/>
      <c r="L52" s="1019"/>
      <c r="M52" s="1019"/>
      <c r="N52" s="1019"/>
      <c r="O52" s="1019"/>
      <c r="P52" s="1019"/>
      <c r="Q52" s="1019"/>
      <c r="R52" s="1020"/>
      <c r="S52" s="1008"/>
      <c r="T52" s="117"/>
      <c r="U52" s="472">
        <v>50</v>
      </c>
      <c r="V52" s="470" t="str">
        <f>IFERROR(VLOOKUP(X52,法术大全!$A:$Z,2,FALSE),"")</f>
        <v/>
      </c>
      <c r="W52" s="475" t="str">
        <f>数据表!C51</f>
        <v/>
      </c>
      <c r="X52" s="469"/>
      <c r="Y52" s="474" t="str">
        <f>数据表!D51</f>
        <v/>
      </c>
      <c r="Z52" s="472">
        <v>100</v>
      </c>
      <c r="AA52" s="471" t="str">
        <f>IFERROR(VLOOKUP(AC52,法术大全!$A:$Z,2,FALSE),"")</f>
        <v/>
      </c>
      <c r="AB52" s="473" t="str">
        <f>数据表!C101</f>
        <v/>
      </c>
      <c r="AC52" s="469"/>
      <c r="AD52" s="474" t="str">
        <f>数据表!D101</f>
        <v/>
      </c>
      <c r="AE52" s="476">
        <v>150</v>
      </c>
      <c r="AF52" s="470" t="str">
        <f>IFERROR(VLOOKUP(AH52,法术大全!$A:$Z,2,FALSE),"")</f>
        <v/>
      </c>
      <c r="AG52" s="473" t="str">
        <f>数据表!C151</f>
        <v/>
      </c>
      <c r="AH52" s="469" t="s">
        <v>155</v>
      </c>
      <c r="AI52" s="474" t="str">
        <f>数据表!D151</f>
        <v/>
      </c>
      <c r="AJ52" s="477">
        <v>200</v>
      </c>
      <c r="AK52" s="471" t="str">
        <f>IFERROR(VLOOKUP(AM52,法术大全!$A:$Z,2,FALSE),"")</f>
        <v/>
      </c>
      <c r="AL52" s="473" t="str">
        <f>数据表!C201</f>
        <v/>
      </c>
      <c r="AM52" s="469"/>
      <c r="AN52" s="474" t="str">
        <f>数据表!D201</f>
        <v/>
      </c>
      <c r="AO52" s="110"/>
      <c r="AQ52" s="1015"/>
      <c r="AR52" s="1016"/>
      <c r="AS52" s="1016"/>
      <c r="AT52" s="1016"/>
      <c r="AU52" s="1016"/>
      <c r="AV52" s="1016"/>
      <c r="AW52" s="1016"/>
      <c r="AX52" s="1017"/>
    </row>
    <row r="53" spans="2:50" ht="17.649999999999999" customHeight="1" x14ac:dyDescent="0.15">
      <c r="B53" s="112"/>
      <c r="C53" s="113"/>
      <c r="D53" s="113"/>
      <c r="E53" s="113"/>
      <c r="F53" s="113"/>
      <c r="G53" s="113"/>
      <c r="H53" s="113"/>
      <c r="I53" s="113"/>
      <c r="J53" s="113"/>
      <c r="K53" s="113"/>
      <c r="L53" s="113"/>
      <c r="M53" s="113"/>
      <c r="N53" s="113"/>
      <c r="O53" s="113"/>
      <c r="P53" s="113"/>
      <c r="Q53" s="113"/>
      <c r="R53" s="113"/>
      <c r="S53" s="111"/>
      <c r="T53" s="113"/>
      <c r="U53" s="113"/>
      <c r="V53" s="114"/>
      <c r="W53" s="114"/>
      <c r="X53" s="113"/>
      <c r="Y53" s="113"/>
      <c r="Z53" s="113"/>
      <c r="AA53" s="113"/>
      <c r="AB53" s="113"/>
      <c r="AC53" s="113"/>
      <c r="AD53" s="113"/>
      <c r="AE53" s="113"/>
      <c r="AF53" s="113"/>
      <c r="AG53" s="113"/>
      <c r="AH53" s="113"/>
      <c r="AI53" s="113"/>
      <c r="AJ53" s="113"/>
      <c r="AK53" s="115"/>
      <c r="AL53" s="113"/>
      <c r="AM53" s="113"/>
      <c r="AN53" s="113"/>
      <c r="AO53" s="111"/>
      <c r="AQ53" s="1018"/>
      <c r="AR53" s="1019"/>
      <c r="AS53" s="1019"/>
      <c r="AT53" s="1019"/>
      <c r="AU53" s="1019"/>
      <c r="AV53" s="1019"/>
      <c r="AW53" s="1019"/>
      <c r="AX53" s="1020"/>
    </row>
  </sheetData>
  <sheetProtection sheet="1" selectLockedCells="1"/>
  <mergeCells count="32">
    <mergeCell ref="AJ2:AM2"/>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B3:B51"/>
    <mergeCell ref="E13:E18"/>
    <mergeCell ref="C23:R52"/>
    <mergeCell ref="E11:J12"/>
    <mergeCell ref="M11:R12"/>
    <mergeCell ref="C13:D18"/>
    <mergeCell ref="F13:G18"/>
    <mergeCell ref="H13:R18"/>
    <mergeCell ref="U2:X2"/>
    <mergeCell ref="Z2:AI2"/>
    <mergeCell ref="C7:R7"/>
    <mergeCell ref="C8:J8"/>
    <mergeCell ref="M8:N8"/>
    <mergeCell ref="O8:R8"/>
    <mergeCell ref="S3:S52"/>
    <mergeCell ref="C2:F2"/>
  </mergeCells>
  <phoneticPr fontId="68" type="noConversion"/>
  <conditionalFormatting sqref="W3:W52 AB3:AB52 AG3:AG52 AL3:AL52">
    <cfRule type="cellIs" dxfId="20" priority="18" operator="equal">
      <formula>"√"</formula>
    </cfRule>
  </conditionalFormatting>
  <conditionalFormatting sqref="X3:X52 AC3:AC52 AH3:AH52 AM3:AM52">
    <cfRule type="containsText" dxfId="19" priority="1" operator="containsText" text="繁彩球">
      <formula>NOT(ISERROR(SEARCH("繁彩球",X3)))</formula>
    </cfRule>
    <cfRule type="containsText" dxfId="18" priority="2" operator="containsText" text="火球术">
      <formula>NOT(ISERROR(SEARCH("火球术",X3)))</formula>
    </cfRule>
    <cfRule type="expression" dxfId="17" priority="3">
      <formula>COUNTIF($U$3:$AN$52, "识破隐形")&gt;0</formula>
    </cfRule>
    <cfRule type="beginsWith" dxfId="16" priority="4" operator="beginsWith" text="隐形术">
      <formula>LEFT(X3,LEN("隐形术"))="隐形术"</formula>
    </cfRule>
  </conditionalFormatting>
  <conditionalFormatting sqref="Y3:Y52 AD3:AD52 AI3:AI52 AN3:AN52">
    <cfRule type="cellIs" dxfId="15" priority="8" operator="equal">
      <formula>"√"</formula>
    </cfRule>
  </conditionalFormatting>
  <conditionalFormatting sqref="AC3:AC52 AH3:AH52 AM3:AM52 X3:X52">
    <cfRule type="duplicateValues" dxfId="14" priority="20"/>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B00-000000000000}">
          <x14:formula1>
            <xm:f>OFFSET(法术大全!$A$3,,,SUMPRODUCT(N(LEN(法术大全!$A$3:$A$864)&gt;0)),)</xm:f>
          </x14:formula1>
          <xm:sqref>X3:X52 AM3:AM52 AH3:AH52 AC3:AC52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theme="8" tint="-0.249977111117893"/>
  </sheetPr>
  <dimension ref="A1:AA865"/>
  <sheetViews>
    <sheetView zoomScale="95" zoomScaleNormal="95" workbookViewId="0">
      <pane ySplit="2" topLeftCell="A3" activePane="bottomLeft" state="frozen"/>
      <selection activeCell="K13" sqref="K13:L13"/>
      <selection pane="bottomLeft" activeCell="D3" sqref="D3"/>
    </sheetView>
  </sheetViews>
  <sheetFormatPr defaultColWidth="8.875" defaultRowHeight="16.899999999999999" customHeight="1" x14ac:dyDescent="0.15"/>
  <cols>
    <col min="1" max="1" width="22.625" style="347" bestFit="1" customWidth="1"/>
    <col min="2" max="2" width="4.875" style="347" customWidth="1"/>
    <col min="3" max="3" width="6.75" style="347" customWidth="1"/>
    <col min="4" max="5" width="4.75" style="347" customWidth="1"/>
    <col min="6" max="6" width="10.75" style="348" customWidth="1"/>
    <col min="7" max="7" width="11.875" style="347" customWidth="1"/>
    <col min="8" max="10" width="4.75" style="347" customWidth="1"/>
    <col min="11" max="11" width="10.875" style="353" customWidth="1"/>
    <col min="12" max="12" width="18" style="351" customWidth="1"/>
    <col min="13" max="13" width="57.25" style="350" customWidth="1"/>
    <col min="14" max="14" width="25.875" style="353" customWidth="1"/>
    <col min="15" max="15" width="11.75" style="347" customWidth="1"/>
    <col min="16" max="16" width="7.75" style="347" customWidth="1"/>
    <col min="17" max="18" width="9.75" style="347" customWidth="1"/>
    <col min="19" max="20" width="7.75" style="347" customWidth="1"/>
    <col min="21" max="21" width="9.75" style="347" customWidth="1"/>
    <col min="22" max="22" width="7.75" style="347" customWidth="1"/>
    <col min="23" max="24" width="9.75" style="347" customWidth="1"/>
    <col min="25" max="25" width="9.75" style="347" bestFit="1" customWidth="1"/>
    <col min="26" max="26" width="29.25" style="349" bestFit="1" customWidth="1"/>
    <col min="27" max="16384" width="8.875" style="351"/>
  </cols>
  <sheetData>
    <row r="1" spans="1:26" s="347" customFormat="1" ht="14.45" customHeight="1" x14ac:dyDescent="0.15">
      <c r="A1" s="347">
        <v>1</v>
      </c>
      <c r="B1" s="347">
        <v>2</v>
      </c>
      <c r="C1" s="347">
        <v>3</v>
      </c>
      <c r="D1" s="347">
        <v>4</v>
      </c>
      <c r="E1" s="347">
        <v>5</v>
      </c>
      <c r="F1" s="348">
        <v>6</v>
      </c>
      <c r="G1" s="347">
        <v>7</v>
      </c>
      <c r="H1" s="347">
        <v>8</v>
      </c>
      <c r="I1" s="347">
        <v>9</v>
      </c>
      <c r="J1" s="347">
        <v>10</v>
      </c>
      <c r="K1" s="348">
        <v>11</v>
      </c>
      <c r="L1" s="347">
        <v>12</v>
      </c>
      <c r="M1" s="348">
        <v>13</v>
      </c>
      <c r="N1" s="443">
        <v>14</v>
      </c>
      <c r="O1" s="347">
        <v>15</v>
      </c>
      <c r="P1" s="347">
        <v>16</v>
      </c>
      <c r="Q1" s="347">
        <v>17</v>
      </c>
      <c r="R1" s="347">
        <v>18</v>
      </c>
      <c r="S1" s="347">
        <v>19</v>
      </c>
      <c r="T1" s="347">
        <v>20</v>
      </c>
      <c r="U1" s="347">
        <v>21</v>
      </c>
      <c r="V1" s="347">
        <v>22</v>
      </c>
      <c r="W1" s="347">
        <v>23</v>
      </c>
      <c r="X1" s="347">
        <v>24</v>
      </c>
      <c r="Y1" s="347">
        <v>25</v>
      </c>
      <c r="Z1" s="347">
        <v>26</v>
      </c>
    </row>
    <row r="2" spans="1:26" s="349" customFormat="1" ht="14.45" customHeight="1" x14ac:dyDescent="0.15">
      <c r="A2" s="349" t="s">
        <v>160</v>
      </c>
      <c r="B2" s="349" t="s">
        <v>152</v>
      </c>
      <c r="C2" s="349" t="s">
        <v>959</v>
      </c>
      <c r="D2" s="349" t="s">
        <v>169</v>
      </c>
      <c r="E2" s="349" t="s">
        <v>168</v>
      </c>
      <c r="F2" s="350" t="s">
        <v>162</v>
      </c>
      <c r="G2" s="349" t="s">
        <v>161</v>
      </c>
      <c r="H2" s="349" t="s">
        <v>960</v>
      </c>
      <c r="I2" s="349" t="s">
        <v>961</v>
      </c>
      <c r="J2" s="349" t="s">
        <v>962</v>
      </c>
      <c r="K2" s="350" t="s">
        <v>963</v>
      </c>
      <c r="L2" s="349" t="s">
        <v>164</v>
      </c>
      <c r="M2" s="350" t="s">
        <v>964</v>
      </c>
      <c r="N2" s="350" t="s">
        <v>965</v>
      </c>
      <c r="O2" s="349" t="s">
        <v>183</v>
      </c>
      <c r="P2" s="349" t="s">
        <v>194</v>
      </c>
      <c r="Q2" s="349" t="s">
        <v>204</v>
      </c>
      <c r="R2" s="349" t="s">
        <v>215</v>
      </c>
      <c r="S2" s="349" t="s">
        <v>224</v>
      </c>
      <c r="T2" s="349" t="s">
        <v>234</v>
      </c>
      <c r="U2" s="349" t="s">
        <v>244</v>
      </c>
      <c r="V2" s="349" t="s">
        <v>252</v>
      </c>
      <c r="W2" s="349" t="s">
        <v>539</v>
      </c>
      <c r="X2" s="349" t="s">
        <v>2985</v>
      </c>
      <c r="Y2" s="349" t="s">
        <v>6472</v>
      </c>
      <c r="Z2" s="349" t="s">
        <v>966</v>
      </c>
    </row>
    <row r="3" spans="1:26" ht="16.899999999999999" customHeight="1" x14ac:dyDescent="0.15">
      <c r="A3" s="347" t="s">
        <v>967</v>
      </c>
      <c r="B3" s="347">
        <v>0</v>
      </c>
      <c r="C3" s="347" t="s">
        <v>968</v>
      </c>
      <c r="F3" s="348" t="s">
        <v>941</v>
      </c>
      <c r="G3" s="347" t="s">
        <v>969</v>
      </c>
      <c r="H3" s="347" t="s">
        <v>970</v>
      </c>
      <c r="I3" s="347" t="s">
        <v>971</v>
      </c>
      <c r="K3" s="350"/>
      <c r="L3" s="349" t="s">
        <v>972</v>
      </c>
      <c r="M3" s="350" t="s">
        <v>973</v>
      </c>
      <c r="N3" s="350" t="s">
        <v>974</v>
      </c>
      <c r="T3" s="347" t="s">
        <v>631</v>
      </c>
      <c r="V3" s="347" t="s">
        <v>631</v>
      </c>
      <c r="W3" s="347" t="s">
        <v>631</v>
      </c>
      <c r="Y3" s="347" t="s">
        <v>631</v>
      </c>
      <c r="Z3" s="349" t="s">
        <v>975</v>
      </c>
    </row>
    <row r="4" spans="1:26" ht="16.899999999999999" customHeight="1" x14ac:dyDescent="0.15">
      <c r="A4" s="347" t="s">
        <v>976</v>
      </c>
      <c r="B4" s="347">
        <v>0</v>
      </c>
      <c r="C4" s="347" t="s">
        <v>977</v>
      </c>
      <c r="E4" s="347" t="s">
        <v>631</v>
      </c>
      <c r="F4" s="348" t="s">
        <v>941</v>
      </c>
      <c r="G4" s="347" t="s">
        <v>978</v>
      </c>
      <c r="H4" s="347" t="s">
        <v>970</v>
      </c>
      <c r="I4" s="347" t="s">
        <v>971</v>
      </c>
      <c r="K4" s="350"/>
      <c r="L4" s="349" t="s">
        <v>979</v>
      </c>
      <c r="M4" s="350" t="s">
        <v>980</v>
      </c>
      <c r="N4" s="350" t="s">
        <v>981</v>
      </c>
      <c r="O4" s="347" t="s">
        <v>631</v>
      </c>
      <c r="T4" s="347" t="s">
        <v>631</v>
      </c>
      <c r="U4" s="347" t="s">
        <v>631</v>
      </c>
      <c r="V4" s="347" t="s">
        <v>631</v>
      </c>
      <c r="Z4" s="349" t="s">
        <v>975</v>
      </c>
    </row>
    <row r="5" spans="1:26" ht="16.899999999999999" customHeight="1" x14ac:dyDescent="0.15">
      <c r="A5" s="347" t="s">
        <v>982</v>
      </c>
      <c r="B5" s="347">
        <v>0</v>
      </c>
      <c r="C5" s="347" t="s">
        <v>983</v>
      </c>
      <c r="F5" s="348" t="s">
        <v>941</v>
      </c>
      <c r="G5" s="347" t="s">
        <v>984</v>
      </c>
      <c r="H5" s="347" t="s">
        <v>970</v>
      </c>
      <c r="I5" s="347" t="s">
        <v>971</v>
      </c>
      <c r="K5" s="350"/>
      <c r="L5" s="349" t="s">
        <v>972</v>
      </c>
      <c r="M5" s="350" t="s">
        <v>985</v>
      </c>
      <c r="N5" s="350" t="s">
        <v>986</v>
      </c>
      <c r="T5" s="347" t="s">
        <v>631</v>
      </c>
      <c r="U5" s="347" t="s">
        <v>631</v>
      </c>
      <c r="V5" s="347" t="s">
        <v>631</v>
      </c>
      <c r="Y5" s="347" t="s">
        <v>631</v>
      </c>
      <c r="Z5" s="349" t="s">
        <v>975</v>
      </c>
    </row>
    <row r="6" spans="1:26" ht="16.899999999999999" customHeight="1" x14ac:dyDescent="0.15">
      <c r="A6" s="347" t="s">
        <v>9834</v>
      </c>
      <c r="B6" s="347">
        <v>0</v>
      </c>
      <c r="C6" s="347" t="s">
        <v>987</v>
      </c>
      <c r="E6" s="347" t="s">
        <v>3192</v>
      </c>
      <c r="F6" s="348" t="s">
        <v>941</v>
      </c>
      <c r="G6" s="347" t="s">
        <v>988</v>
      </c>
      <c r="H6" s="347" t="s">
        <v>970</v>
      </c>
      <c r="I6" s="347" t="s">
        <v>971</v>
      </c>
      <c r="J6" s="347" t="s">
        <v>989</v>
      </c>
      <c r="K6" s="350" t="s">
        <v>990</v>
      </c>
      <c r="L6" s="349" t="s">
        <v>979</v>
      </c>
      <c r="M6" s="350" t="s">
        <v>991</v>
      </c>
      <c r="N6" s="350" t="s">
        <v>992</v>
      </c>
      <c r="O6" s="347" t="s">
        <v>631</v>
      </c>
      <c r="T6" s="347" t="s">
        <v>631</v>
      </c>
      <c r="V6" s="347" t="s">
        <v>631</v>
      </c>
      <c r="W6" s="347" t="s">
        <v>631</v>
      </c>
      <c r="Z6" s="349" t="s">
        <v>975</v>
      </c>
    </row>
    <row r="7" spans="1:26" ht="16.899999999999999" customHeight="1" x14ac:dyDescent="0.15">
      <c r="A7" s="347" t="s">
        <v>993</v>
      </c>
      <c r="B7" s="347">
        <v>0</v>
      </c>
      <c r="C7" s="347" t="s">
        <v>994</v>
      </c>
      <c r="F7" s="348" t="s">
        <v>941</v>
      </c>
      <c r="G7" s="347" t="s">
        <v>709</v>
      </c>
      <c r="H7" s="347" t="s">
        <v>970</v>
      </c>
      <c r="I7" s="347" t="s">
        <v>971</v>
      </c>
      <c r="K7" s="350"/>
      <c r="L7" s="349" t="s">
        <v>972</v>
      </c>
      <c r="M7" s="350" t="s">
        <v>995</v>
      </c>
      <c r="N7" s="350" t="s">
        <v>996</v>
      </c>
      <c r="Q7" s="347" t="s">
        <v>631</v>
      </c>
      <c r="Z7" s="349" t="s">
        <v>975</v>
      </c>
    </row>
    <row r="8" spans="1:26" ht="16.899999999999999" customHeight="1" x14ac:dyDescent="0.15">
      <c r="A8" s="347" t="s">
        <v>997</v>
      </c>
      <c r="B8" s="347">
        <v>0</v>
      </c>
      <c r="C8" s="347" t="s">
        <v>968</v>
      </c>
      <c r="F8" s="348" t="s">
        <v>941</v>
      </c>
      <c r="G8" s="347" t="s">
        <v>988</v>
      </c>
      <c r="H8" s="347" t="s">
        <v>970</v>
      </c>
      <c r="I8" s="347" t="s">
        <v>971</v>
      </c>
      <c r="K8" s="350"/>
      <c r="L8" s="349" t="s">
        <v>972</v>
      </c>
      <c r="M8" s="350" t="s">
        <v>998</v>
      </c>
      <c r="N8" s="350" t="s">
        <v>999</v>
      </c>
      <c r="U8" s="347" t="s">
        <v>631</v>
      </c>
      <c r="Z8" s="349" t="s">
        <v>975</v>
      </c>
    </row>
    <row r="9" spans="1:26" ht="16.899999999999999" customHeight="1" x14ac:dyDescent="0.15">
      <c r="A9" s="347" t="s">
        <v>1000</v>
      </c>
      <c r="B9" s="347">
        <v>0</v>
      </c>
      <c r="C9" s="347" t="s">
        <v>994</v>
      </c>
      <c r="F9" s="348" t="s">
        <v>941</v>
      </c>
      <c r="G9" s="347" t="s">
        <v>709</v>
      </c>
      <c r="H9" s="347" t="s">
        <v>970</v>
      </c>
      <c r="I9" s="347" t="s">
        <v>971</v>
      </c>
      <c r="K9" s="350"/>
      <c r="L9" s="349" t="s">
        <v>972</v>
      </c>
      <c r="M9" s="350" t="s">
        <v>1001</v>
      </c>
      <c r="N9" s="350" t="s">
        <v>1002</v>
      </c>
      <c r="Q9" s="347" t="s">
        <v>631</v>
      </c>
      <c r="T9" s="347" t="s">
        <v>631</v>
      </c>
      <c r="V9" s="347" t="s">
        <v>631</v>
      </c>
      <c r="W9" s="347" t="s">
        <v>631</v>
      </c>
      <c r="Z9" s="349" t="s">
        <v>975</v>
      </c>
    </row>
    <row r="10" spans="1:26" ht="16.899999999999999" customHeight="1" x14ac:dyDescent="0.15">
      <c r="A10" s="347" t="s">
        <v>1003</v>
      </c>
      <c r="B10" s="347">
        <v>0</v>
      </c>
      <c r="C10" s="347" t="s">
        <v>968</v>
      </c>
      <c r="F10" s="348" t="s">
        <v>941</v>
      </c>
      <c r="G10" s="347" t="s">
        <v>988</v>
      </c>
      <c r="H10" s="347" t="s">
        <v>970</v>
      </c>
      <c r="I10" s="347" t="s">
        <v>971</v>
      </c>
      <c r="K10" s="350"/>
      <c r="L10" s="349" t="s">
        <v>972</v>
      </c>
      <c r="M10" s="350" t="s">
        <v>1004</v>
      </c>
      <c r="N10" s="350" t="s">
        <v>1005</v>
      </c>
      <c r="T10" s="347" t="s">
        <v>631</v>
      </c>
      <c r="V10" s="347" t="s">
        <v>631</v>
      </c>
      <c r="W10" s="347" t="s">
        <v>631</v>
      </c>
      <c r="Z10" s="349" t="s">
        <v>975</v>
      </c>
    </row>
    <row r="11" spans="1:26" ht="16.899999999999999" customHeight="1" x14ac:dyDescent="0.15">
      <c r="A11" s="347" t="s">
        <v>1006</v>
      </c>
      <c r="B11" s="347">
        <v>0</v>
      </c>
      <c r="C11" s="347" t="s">
        <v>1007</v>
      </c>
      <c r="E11" s="347" t="s">
        <v>631</v>
      </c>
      <c r="F11" s="348" t="s">
        <v>941</v>
      </c>
      <c r="G11" s="347" t="s">
        <v>1008</v>
      </c>
      <c r="I11" s="347" t="s">
        <v>971</v>
      </c>
      <c r="J11" s="347" t="s">
        <v>989</v>
      </c>
      <c r="K11" s="350" t="s">
        <v>1009</v>
      </c>
      <c r="L11" s="349" t="s">
        <v>979</v>
      </c>
      <c r="M11" s="350" t="s">
        <v>1010</v>
      </c>
      <c r="N11" s="350" t="s">
        <v>1011</v>
      </c>
      <c r="O11" s="347" t="s">
        <v>631</v>
      </c>
      <c r="T11" s="347" t="s">
        <v>631</v>
      </c>
      <c r="U11" s="347" t="s">
        <v>631</v>
      </c>
      <c r="V11" s="347" t="s">
        <v>631</v>
      </c>
      <c r="Z11" s="349" t="s">
        <v>975</v>
      </c>
    </row>
    <row r="12" spans="1:26" ht="16.899999999999999" customHeight="1" x14ac:dyDescent="0.15">
      <c r="A12" s="347" t="s">
        <v>1012</v>
      </c>
      <c r="B12" s="347">
        <v>0</v>
      </c>
      <c r="C12" s="347" t="s">
        <v>1013</v>
      </c>
      <c r="E12" s="347" t="s">
        <v>631</v>
      </c>
      <c r="F12" s="348" t="s">
        <v>941</v>
      </c>
      <c r="G12" s="347" t="s">
        <v>984</v>
      </c>
      <c r="H12" s="347" t="s">
        <v>970</v>
      </c>
      <c r="I12" s="347" t="s">
        <v>971</v>
      </c>
      <c r="K12" s="350"/>
      <c r="L12" s="349" t="s">
        <v>979</v>
      </c>
      <c r="M12" s="350" t="s">
        <v>1014</v>
      </c>
      <c r="N12" s="350" t="s">
        <v>1015</v>
      </c>
      <c r="P12" s="347" t="s">
        <v>631</v>
      </c>
      <c r="Q12" s="347" t="s">
        <v>631</v>
      </c>
      <c r="W12" s="347" t="s">
        <v>631</v>
      </c>
      <c r="Y12" s="347" t="s">
        <v>631</v>
      </c>
      <c r="Z12" s="349" t="s">
        <v>975</v>
      </c>
    </row>
    <row r="13" spans="1:26" ht="16.899999999999999" customHeight="1" x14ac:dyDescent="0.15">
      <c r="A13" s="347" t="s">
        <v>10938</v>
      </c>
      <c r="B13" s="347">
        <v>0</v>
      </c>
      <c r="C13" s="347" t="s">
        <v>968</v>
      </c>
      <c r="F13" s="348" t="s">
        <v>941</v>
      </c>
      <c r="G13" s="347" t="s">
        <v>984</v>
      </c>
      <c r="H13" s="347" t="s">
        <v>970</v>
      </c>
      <c r="I13" s="347" t="s">
        <v>971</v>
      </c>
      <c r="K13" s="350"/>
      <c r="L13" s="349" t="s">
        <v>1016</v>
      </c>
      <c r="M13" s="350" t="s">
        <v>10939</v>
      </c>
      <c r="N13" s="350" t="s">
        <v>1017</v>
      </c>
      <c r="O13" s="347" t="s">
        <v>631</v>
      </c>
      <c r="P13" s="347" t="s">
        <v>631</v>
      </c>
      <c r="T13" s="347" t="s">
        <v>631</v>
      </c>
      <c r="V13" s="347" t="s">
        <v>631</v>
      </c>
      <c r="W13" s="347" t="s">
        <v>631</v>
      </c>
      <c r="Y13" s="347" t="s">
        <v>631</v>
      </c>
      <c r="Z13" s="349" t="s">
        <v>975</v>
      </c>
    </row>
    <row r="14" spans="1:26" ht="16.899999999999999" customHeight="1" x14ac:dyDescent="0.15">
      <c r="A14" s="347" t="s">
        <v>1018</v>
      </c>
      <c r="B14" s="347">
        <v>0</v>
      </c>
      <c r="C14" s="347" t="s">
        <v>1019</v>
      </c>
      <c r="F14" s="348" t="s">
        <v>941</v>
      </c>
      <c r="G14" s="347" t="s">
        <v>709</v>
      </c>
      <c r="H14" s="347" t="s">
        <v>970</v>
      </c>
      <c r="I14" s="347" t="s">
        <v>971</v>
      </c>
      <c r="K14" s="350"/>
      <c r="L14" s="349" t="s">
        <v>1020</v>
      </c>
      <c r="M14" s="350" t="s">
        <v>1021</v>
      </c>
      <c r="N14" s="350" t="s">
        <v>1022</v>
      </c>
      <c r="O14" s="347" t="s">
        <v>631</v>
      </c>
      <c r="T14" s="347" t="s">
        <v>631</v>
      </c>
      <c r="U14" s="347" t="s">
        <v>631</v>
      </c>
      <c r="V14" s="347" t="s">
        <v>631</v>
      </c>
      <c r="W14" s="347" t="s">
        <v>631</v>
      </c>
      <c r="Z14" s="349" t="s">
        <v>975</v>
      </c>
    </row>
    <row r="15" spans="1:26" ht="16.899999999999999" customHeight="1" x14ac:dyDescent="0.15">
      <c r="A15" s="347" t="s">
        <v>1023</v>
      </c>
      <c r="B15" s="347">
        <v>0</v>
      </c>
      <c r="C15" s="347" t="s">
        <v>994</v>
      </c>
      <c r="F15" s="348" t="s">
        <v>1020</v>
      </c>
      <c r="G15" s="347" t="s">
        <v>984</v>
      </c>
      <c r="H15" s="347" t="s">
        <v>970</v>
      </c>
      <c r="I15" s="347" t="s">
        <v>971</v>
      </c>
      <c r="J15" s="347" t="s">
        <v>989</v>
      </c>
      <c r="K15" s="350" t="s">
        <v>1024</v>
      </c>
      <c r="L15" s="349" t="s">
        <v>972</v>
      </c>
      <c r="M15" s="350" t="s">
        <v>1025</v>
      </c>
      <c r="N15" s="350" t="s">
        <v>1026</v>
      </c>
      <c r="O15" s="347" t="s">
        <v>631</v>
      </c>
      <c r="P15" s="347" t="s">
        <v>631</v>
      </c>
      <c r="Q15" s="347" t="s">
        <v>631</v>
      </c>
      <c r="T15" s="347" t="s">
        <v>631</v>
      </c>
      <c r="V15" s="347" t="s">
        <v>631</v>
      </c>
      <c r="W15" s="347" t="s">
        <v>631</v>
      </c>
      <c r="Z15" s="349" t="s">
        <v>975</v>
      </c>
    </row>
    <row r="16" spans="1:26" ht="16.899999999999999" customHeight="1" x14ac:dyDescent="0.15">
      <c r="A16" s="347" t="s">
        <v>1027</v>
      </c>
      <c r="B16" s="347">
        <v>0</v>
      </c>
      <c r="C16" s="347" t="s">
        <v>994</v>
      </c>
      <c r="F16" s="348" t="s">
        <v>941</v>
      </c>
      <c r="G16" s="347" t="s">
        <v>988</v>
      </c>
      <c r="I16" s="347" t="s">
        <v>971</v>
      </c>
      <c r="J16" s="347" t="s">
        <v>989</v>
      </c>
      <c r="K16" s="350" t="s">
        <v>1028</v>
      </c>
      <c r="L16" s="349" t="s">
        <v>972</v>
      </c>
      <c r="M16" s="350" t="s">
        <v>1029</v>
      </c>
      <c r="N16" s="350" t="s">
        <v>1030</v>
      </c>
      <c r="O16" s="347" t="s">
        <v>631</v>
      </c>
      <c r="Q16" s="347" t="s">
        <v>631</v>
      </c>
      <c r="T16" s="347" t="s">
        <v>631</v>
      </c>
      <c r="V16" s="347" t="s">
        <v>631</v>
      </c>
      <c r="W16" s="347" t="s">
        <v>631</v>
      </c>
      <c r="Y16" s="347" t="s">
        <v>631</v>
      </c>
      <c r="Z16" s="349" t="s">
        <v>975</v>
      </c>
    </row>
    <row r="17" spans="1:26" ht="16.899999999999999" customHeight="1" x14ac:dyDescent="0.15">
      <c r="A17" s="347" t="s">
        <v>1031</v>
      </c>
      <c r="B17" s="347">
        <v>0</v>
      </c>
      <c r="C17" s="347" t="s">
        <v>1007</v>
      </c>
      <c r="F17" s="348" t="s">
        <v>941</v>
      </c>
      <c r="G17" s="347" t="s">
        <v>969</v>
      </c>
      <c r="H17" s="347" t="s">
        <v>970</v>
      </c>
      <c r="K17" s="350"/>
      <c r="L17" s="349" t="s">
        <v>1032</v>
      </c>
      <c r="M17" s="350" t="s">
        <v>1033</v>
      </c>
      <c r="N17" s="350" t="s">
        <v>1034</v>
      </c>
      <c r="T17" s="347" t="s">
        <v>631</v>
      </c>
      <c r="U17" s="347" t="s">
        <v>631</v>
      </c>
      <c r="V17" s="347" t="s">
        <v>631</v>
      </c>
      <c r="Z17" s="349" t="s">
        <v>975</v>
      </c>
    </row>
    <row r="18" spans="1:26" ht="16.899999999999999" customHeight="1" x14ac:dyDescent="0.15">
      <c r="A18" s="347" t="s">
        <v>1035</v>
      </c>
      <c r="B18" s="347">
        <v>0</v>
      </c>
      <c r="C18" s="347" t="s">
        <v>987</v>
      </c>
      <c r="F18" s="348" t="s">
        <v>941</v>
      </c>
      <c r="G18" s="347" t="s">
        <v>709</v>
      </c>
      <c r="I18" s="347" t="s">
        <v>971</v>
      </c>
      <c r="J18" s="347" t="s">
        <v>989</v>
      </c>
      <c r="K18" s="350" t="s">
        <v>1036</v>
      </c>
      <c r="L18" s="349" t="s">
        <v>1020</v>
      </c>
      <c r="M18" s="350" t="s">
        <v>1037</v>
      </c>
      <c r="N18" s="350" t="s">
        <v>1038</v>
      </c>
      <c r="O18" s="347" t="s">
        <v>631</v>
      </c>
      <c r="T18" s="347" t="s">
        <v>631</v>
      </c>
      <c r="U18" s="347" t="s">
        <v>631</v>
      </c>
      <c r="V18" s="347" t="s">
        <v>631</v>
      </c>
      <c r="Z18" s="349" t="s">
        <v>975</v>
      </c>
    </row>
    <row r="19" spans="1:26" ht="16.899999999999999" customHeight="1" x14ac:dyDescent="0.15">
      <c r="A19" s="347" t="s">
        <v>1039</v>
      </c>
      <c r="B19" s="347">
        <v>0</v>
      </c>
      <c r="C19" s="347" t="s">
        <v>983</v>
      </c>
      <c r="F19" s="348" t="s">
        <v>941</v>
      </c>
      <c r="G19" s="347" t="s">
        <v>709</v>
      </c>
      <c r="H19" s="347" t="s">
        <v>970</v>
      </c>
      <c r="I19" s="347" t="s">
        <v>971</v>
      </c>
      <c r="K19" s="350"/>
      <c r="L19" s="349" t="s">
        <v>972</v>
      </c>
      <c r="M19" s="350" t="s">
        <v>1040</v>
      </c>
      <c r="N19" s="350" t="s">
        <v>1041</v>
      </c>
      <c r="Q19" s="347" t="s">
        <v>631</v>
      </c>
      <c r="T19" s="347" t="s">
        <v>631</v>
      </c>
      <c r="U19" s="347" t="s">
        <v>631</v>
      </c>
      <c r="V19" s="347" t="s">
        <v>631</v>
      </c>
      <c r="W19" s="347" t="s">
        <v>631</v>
      </c>
      <c r="Y19" s="347" t="s">
        <v>631</v>
      </c>
      <c r="Z19" s="349" t="s">
        <v>975</v>
      </c>
    </row>
    <row r="20" spans="1:26" ht="16.899999999999999" customHeight="1" x14ac:dyDescent="0.15">
      <c r="A20" s="347" t="s">
        <v>1042</v>
      </c>
      <c r="B20" s="347">
        <v>0</v>
      </c>
      <c r="C20" s="347" t="s">
        <v>994</v>
      </c>
      <c r="F20" s="348" t="s">
        <v>941</v>
      </c>
      <c r="G20" s="347" t="s">
        <v>1008</v>
      </c>
      <c r="H20" s="347" t="s">
        <v>970</v>
      </c>
      <c r="I20" s="347" t="s">
        <v>971</v>
      </c>
      <c r="K20" s="350"/>
      <c r="L20" s="349" t="s">
        <v>1043</v>
      </c>
      <c r="M20" s="350" t="s">
        <v>1044</v>
      </c>
      <c r="N20" s="350" t="s">
        <v>1045</v>
      </c>
      <c r="O20" s="347" t="s">
        <v>631</v>
      </c>
      <c r="T20" s="347" t="s">
        <v>631</v>
      </c>
      <c r="U20" s="347" t="s">
        <v>631</v>
      </c>
      <c r="V20" s="347" t="s">
        <v>631</v>
      </c>
      <c r="W20" s="347" t="s">
        <v>631</v>
      </c>
      <c r="Z20" s="349" t="s">
        <v>975</v>
      </c>
    </row>
    <row r="21" spans="1:26" ht="16.899999999999999" customHeight="1" x14ac:dyDescent="0.15">
      <c r="A21" s="347" t="s">
        <v>1046</v>
      </c>
      <c r="B21" s="347">
        <v>0</v>
      </c>
      <c r="C21" s="347" t="s">
        <v>1019</v>
      </c>
      <c r="F21" s="348" t="s">
        <v>1047</v>
      </c>
      <c r="G21" s="347" t="s">
        <v>978</v>
      </c>
      <c r="H21" s="347" t="s">
        <v>970</v>
      </c>
      <c r="I21" s="347" t="s">
        <v>971</v>
      </c>
      <c r="K21" s="350"/>
      <c r="L21" s="349" t="s">
        <v>1048</v>
      </c>
      <c r="M21" s="350" t="s">
        <v>1049</v>
      </c>
      <c r="N21" s="350" t="s">
        <v>1050</v>
      </c>
      <c r="Q21" s="347" t="s">
        <v>631</v>
      </c>
      <c r="Z21" s="349" t="s">
        <v>975</v>
      </c>
    </row>
    <row r="22" spans="1:26" ht="16.899999999999999" customHeight="1" x14ac:dyDescent="0.15">
      <c r="A22" s="347" t="s">
        <v>1051</v>
      </c>
      <c r="B22" s="347">
        <v>0</v>
      </c>
      <c r="C22" s="347" t="s">
        <v>968</v>
      </c>
      <c r="F22" s="348" t="s">
        <v>941</v>
      </c>
      <c r="G22" s="347" t="s">
        <v>969</v>
      </c>
      <c r="H22" s="347" t="s">
        <v>970</v>
      </c>
      <c r="I22" s="347" t="s">
        <v>971</v>
      </c>
      <c r="K22" s="350"/>
      <c r="L22" s="349" t="s">
        <v>972</v>
      </c>
      <c r="M22" s="350" t="s">
        <v>1052</v>
      </c>
      <c r="N22" s="350" t="s">
        <v>1053</v>
      </c>
      <c r="T22" s="347" t="s">
        <v>631</v>
      </c>
      <c r="V22" s="347" t="s">
        <v>631</v>
      </c>
      <c r="W22" s="347" t="s">
        <v>631</v>
      </c>
      <c r="Z22" s="349" t="s">
        <v>975</v>
      </c>
    </row>
    <row r="23" spans="1:26" ht="16.899999999999999" customHeight="1" x14ac:dyDescent="0.15">
      <c r="A23" s="347" t="s">
        <v>1054</v>
      </c>
      <c r="B23" s="347">
        <v>0</v>
      </c>
      <c r="C23" s="347" t="s">
        <v>977</v>
      </c>
      <c r="E23" s="347" t="s">
        <v>631</v>
      </c>
      <c r="F23" s="348" t="s">
        <v>941</v>
      </c>
      <c r="G23" s="347" t="s">
        <v>984</v>
      </c>
      <c r="H23" s="347" t="s">
        <v>970</v>
      </c>
      <c r="I23" s="347" t="s">
        <v>971</v>
      </c>
      <c r="K23" s="350"/>
      <c r="L23" s="349" t="s">
        <v>979</v>
      </c>
      <c r="M23" s="350" t="s">
        <v>1055</v>
      </c>
      <c r="N23" s="350" t="s">
        <v>1056</v>
      </c>
      <c r="P23" s="347" t="s">
        <v>631</v>
      </c>
      <c r="Q23" s="347" t="s">
        <v>631</v>
      </c>
      <c r="W23" s="347" t="s">
        <v>631</v>
      </c>
      <c r="Y23" s="347" t="s">
        <v>631</v>
      </c>
      <c r="Z23" s="349" t="s">
        <v>975</v>
      </c>
    </row>
    <row r="24" spans="1:26" ht="16.899999999999999" customHeight="1" x14ac:dyDescent="0.15">
      <c r="A24" s="347" t="s">
        <v>1057</v>
      </c>
      <c r="B24" s="347">
        <v>0</v>
      </c>
      <c r="C24" s="347" t="s">
        <v>968</v>
      </c>
      <c r="F24" s="348" t="s">
        <v>941</v>
      </c>
      <c r="G24" s="347" t="s">
        <v>969</v>
      </c>
      <c r="H24" s="347" t="s">
        <v>970</v>
      </c>
      <c r="I24" s="347" t="s">
        <v>971</v>
      </c>
      <c r="K24" s="350"/>
      <c r="L24" s="349" t="s">
        <v>972</v>
      </c>
      <c r="M24" s="350" t="s">
        <v>1058</v>
      </c>
      <c r="N24" s="350" t="s">
        <v>1059</v>
      </c>
      <c r="P24" s="347" t="s">
        <v>631</v>
      </c>
      <c r="Z24" s="349" t="s">
        <v>975</v>
      </c>
    </row>
    <row r="25" spans="1:26" ht="16.899999999999999" customHeight="1" x14ac:dyDescent="0.15">
      <c r="A25" s="347" t="s">
        <v>1060</v>
      </c>
      <c r="B25" s="347">
        <v>0</v>
      </c>
      <c r="C25" s="347" t="s">
        <v>994</v>
      </c>
      <c r="F25" s="348" t="s">
        <v>1047</v>
      </c>
      <c r="G25" s="347" t="s">
        <v>978</v>
      </c>
      <c r="H25" s="347" t="s">
        <v>970</v>
      </c>
      <c r="I25" s="347" t="s">
        <v>971</v>
      </c>
      <c r="J25" s="347" t="s">
        <v>989</v>
      </c>
      <c r="K25" s="350" t="s">
        <v>1061</v>
      </c>
      <c r="L25" s="349" t="s">
        <v>1020</v>
      </c>
      <c r="M25" s="350" t="s">
        <v>1062</v>
      </c>
      <c r="N25" s="350" t="s">
        <v>1063</v>
      </c>
      <c r="Q25" s="347" t="s">
        <v>631</v>
      </c>
      <c r="Z25" s="349" t="s">
        <v>975</v>
      </c>
    </row>
    <row r="26" spans="1:26" ht="16.899999999999999" customHeight="1" x14ac:dyDescent="0.15">
      <c r="A26" s="347" t="s">
        <v>1064</v>
      </c>
      <c r="B26" s="347">
        <v>0</v>
      </c>
      <c r="C26" s="347" t="s">
        <v>968</v>
      </c>
      <c r="F26" s="348" t="s">
        <v>941</v>
      </c>
      <c r="G26" s="347" t="s">
        <v>984</v>
      </c>
      <c r="H26" s="347" t="s">
        <v>970</v>
      </c>
      <c r="I26" s="347" t="s">
        <v>971</v>
      </c>
      <c r="K26" s="350"/>
      <c r="L26" s="349" t="s">
        <v>972</v>
      </c>
      <c r="M26" s="350" t="s">
        <v>1065</v>
      </c>
      <c r="N26" s="350" t="s">
        <v>1066</v>
      </c>
      <c r="T26" s="347" t="s">
        <v>631</v>
      </c>
      <c r="V26" s="347" t="s">
        <v>631</v>
      </c>
      <c r="W26" s="347" t="s">
        <v>631</v>
      </c>
      <c r="Y26" s="347" t="s">
        <v>631</v>
      </c>
      <c r="Z26" s="349" t="s">
        <v>975</v>
      </c>
    </row>
    <row r="27" spans="1:26" ht="16.899999999999999" customHeight="1" x14ac:dyDescent="0.15">
      <c r="A27" s="347" t="s">
        <v>1067</v>
      </c>
      <c r="B27" s="347">
        <v>0</v>
      </c>
      <c r="C27" s="347" t="s">
        <v>968</v>
      </c>
      <c r="F27" s="348" t="s">
        <v>941</v>
      </c>
      <c r="G27" s="347" t="s">
        <v>988</v>
      </c>
      <c r="H27" s="347" t="s">
        <v>970</v>
      </c>
      <c r="I27" s="347" t="s">
        <v>971</v>
      </c>
      <c r="K27" s="350"/>
      <c r="L27" s="349" t="s">
        <v>972</v>
      </c>
      <c r="M27" s="350" t="s">
        <v>1068</v>
      </c>
      <c r="N27" s="350" t="s">
        <v>1069</v>
      </c>
      <c r="T27" s="347" t="s">
        <v>631</v>
      </c>
      <c r="Z27" s="349" t="s">
        <v>975</v>
      </c>
    </row>
    <row r="28" spans="1:26" ht="16.899999999999999" customHeight="1" x14ac:dyDescent="0.15">
      <c r="A28" s="347" t="s">
        <v>1070</v>
      </c>
      <c r="B28" s="347">
        <v>0</v>
      </c>
      <c r="C28" s="347" t="s">
        <v>983</v>
      </c>
      <c r="F28" s="348" t="s">
        <v>941</v>
      </c>
      <c r="G28" s="347" t="s">
        <v>1071</v>
      </c>
      <c r="H28" s="347" t="s">
        <v>970</v>
      </c>
      <c r="I28" s="347" t="s">
        <v>971</v>
      </c>
      <c r="K28" s="350"/>
      <c r="L28" s="349" t="s">
        <v>972</v>
      </c>
      <c r="M28" s="350" t="s">
        <v>1072</v>
      </c>
      <c r="N28" s="350" t="s">
        <v>1073</v>
      </c>
      <c r="P28" s="347" t="s">
        <v>631</v>
      </c>
      <c r="Q28" s="347" t="s">
        <v>631</v>
      </c>
      <c r="W28" s="347" t="s">
        <v>631</v>
      </c>
      <c r="Y28" s="347" t="s">
        <v>631</v>
      </c>
      <c r="Z28" s="349" t="s">
        <v>975</v>
      </c>
    </row>
    <row r="29" spans="1:26" ht="16.899999999999999" customHeight="1" x14ac:dyDescent="0.15">
      <c r="A29" s="347" t="s">
        <v>1074</v>
      </c>
      <c r="B29" s="347">
        <v>0</v>
      </c>
      <c r="C29" s="347" t="s">
        <v>968</v>
      </c>
      <c r="F29" s="348" t="s">
        <v>941</v>
      </c>
      <c r="G29" s="347" t="s">
        <v>969</v>
      </c>
      <c r="H29" s="347" t="s">
        <v>970</v>
      </c>
      <c r="I29" s="347" t="s">
        <v>971</v>
      </c>
      <c r="K29" s="350"/>
      <c r="L29" s="349" t="s">
        <v>972</v>
      </c>
      <c r="M29" s="350" t="s">
        <v>1075</v>
      </c>
      <c r="N29" s="350" t="s">
        <v>1076</v>
      </c>
      <c r="O29" s="347" t="s">
        <v>631</v>
      </c>
      <c r="Q29" s="347" t="s">
        <v>631</v>
      </c>
      <c r="Z29" s="349" t="s">
        <v>975</v>
      </c>
    </row>
    <row r="30" spans="1:26" ht="16.899999999999999" customHeight="1" x14ac:dyDescent="0.15">
      <c r="A30" s="347" t="s">
        <v>1077</v>
      </c>
      <c r="B30" s="347">
        <v>0</v>
      </c>
      <c r="C30" s="347" t="s">
        <v>994</v>
      </c>
      <c r="F30" s="348" t="s">
        <v>941</v>
      </c>
      <c r="G30" s="347" t="s">
        <v>709</v>
      </c>
      <c r="H30" s="347" t="s">
        <v>970</v>
      </c>
      <c r="K30" s="350"/>
      <c r="L30" s="349" t="s">
        <v>1020</v>
      </c>
      <c r="M30" s="350" t="s">
        <v>1078</v>
      </c>
      <c r="N30" s="350" t="s">
        <v>1079</v>
      </c>
      <c r="P30" s="347" t="s">
        <v>631</v>
      </c>
      <c r="Y30" s="347" t="s">
        <v>631</v>
      </c>
      <c r="Z30" s="349" t="s">
        <v>975</v>
      </c>
    </row>
    <row r="31" spans="1:26" ht="16.899999999999999" customHeight="1" x14ac:dyDescent="0.15">
      <c r="A31" s="347" t="s">
        <v>1080</v>
      </c>
      <c r="B31" s="347">
        <v>0</v>
      </c>
      <c r="C31" s="347" t="s">
        <v>994</v>
      </c>
      <c r="F31" s="348" t="s">
        <v>941</v>
      </c>
      <c r="G31" s="347" t="s">
        <v>709</v>
      </c>
      <c r="H31" s="347" t="s">
        <v>970</v>
      </c>
      <c r="I31" s="347" t="s">
        <v>971</v>
      </c>
      <c r="J31" s="347" t="s">
        <v>989</v>
      </c>
      <c r="K31" s="350" t="s">
        <v>1081</v>
      </c>
      <c r="L31" s="349" t="s">
        <v>972</v>
      </c>
      <c r="M31" s="350" t="s">
        <v>1082</v>
      </c>
      <c r="N31" s="350" t="s">
        <v>1083</v>
      </c>
      <c r="Q31" s="347" t="s">
        <v>631</v>
      </c>
      <c r="W31" s="347" t="s">
        <v>631</v>
      </c>
      <c r="Z31" s="349" t="s">
        <v>975</v>
      </c>
    </row>
    <row r="32" spans="1:26" ht="16.899999999999999" customHeight="1" x14ac:dyDescent="0.15">
      <c r="A32" s="347" t="s">
        <v>1084</v>
      </c>
      <c r="B32" s="347">
        <v>0</v>
      </c>
      <c r="C32" s="347" t="s">
        <v>968</v>
      </c>
      <c r="F32" s="348" t="s">
        <v>941</v>
      </c>
      <c r="G32" s="347" t="s">
        <v>978</v>
      </c>
      <c r="I32" s="347" t="s">
        <v>971</v>
      </c>
      <c r="K32" s="350"/>
      <c r="L32" s="349" t="s">
        <v>972</v>
      </c>
      <c r="M32" s="350" t="s">
        <v>1085</v>
      </c>
      <c r="N32" s="350" t="s">
        <v>1086</v>
      </c>
      <c r="O32" s="347" t="s">
        <v>631</v>
      </c>
      <c r="Q32" s="347" t="s">
        <v>631</v>
      </c>
      <c r="T32" s="347" t="s">
        <v>631</v>
      </c>
      <c r="U32" s="347" t="s">
        <v>631</v>
      </c>
      <c r="V32" s="347" t="s">
        <v>631</v>
      </c>
      <c r="W32" s="347" t="s">
        <v>631</v>
      </c>
      <c r="Z32" s="349" t="s">
        <v>975</v>
      </c>
    </row>
    <row r="33" spans="1:26" ht="16.899999999999999" customHeight="1" x14ac:dyDescent="0.15">
      <c r="A33" s="347" t="s">
        <v>1087</v>
      </c>
      <c r="B33" s="347">
        <v>0</v>
      </c>
      <c r="C33" s="347" t="s">
        <v>983</v>
      </c>
      <c r="F33" s="348" t="s">
        <v>941</v>
      </c>
      <c r="G33" s="347" t="s">
        <v>969</v>
      </c>
      <c r="H33" s="347" t="s">
        <v>970</v>
      </c>
      <c r="I33" s="347" t="s">
        <v>971</v>
      </c>
      <c r="K33" s="350"/>
      <c r="L33" s="349" t="s">
        <v>972</v>
      </c>
      <c r="M33" s="350" t="s">
        <v>1088</v>
      </c>
      <c r="N33" s="350" t="s">
        <v>1089</v>
      </c>
      <c r="P33" s="347" t="s">
        <v>631</v>
      </c>
      <c r="U33" s="347" t="s">
        <v>631</v>
      </c>
      <c r="V33" s="347" t="s">
        <v>631</v>
      </c>
      <c r="Z33" s="349" t="s">
        <v>975</v>
      </c>
    </row>
    <row r="34" spans="1:26" ht="16.899999999999999" customHeight="1" x14ac:dyDescent="0.15">
      <c r="A34" s="347" t="s">
        <v>1090</v>
      </c>
      <c r="B34" s="347">
        <v>0</v>
      </c>
      <c r="C34" s="347" t="s">
        <v>1013</v>
      </c>
      <c r="F34" s="348" t="s">
        <v>941</v>
      </c>
      <c r="G34" s="347" t="s">
        <v>978</v>
      </c>
      <c r="I34" s="347" t="s">
        <v>971</v>
      </c>
      <c r="J34" s="347" t="s">
        <v>989</v>
      </c>
      <c r="K34" s="350" t="s">
        <v>1091</v>
      </c>
      <c r="L34" s="349" t="s">
        <v>972</v>
      </c>
      <c r="M34" s="350" t="s">
        <v>1092</v>
      </c>
      <c r="N34" s="350" t="s">
        <v>1093</v>
      </c>
      <c r="O34" s="347" t="s">
        <v>631</v>
      </c>
      <c r="T34" s="347" t="s">
        <v>631</v>
      </c>
      <c r="U34" s="347" t="s">
        <v>631</v>
      </c>
      <c r="V34" s="347" t="s">
        <v>631</v>
      </c>
      <c r="W34" s="347" t="s">
        <v>631</v>
      </c>
      <c r="Z34" s="349" t="s">
        <v>975</v>
      </c>
    </row>
    <row r="35" spans="1:26" ht="16.899999999999999" customHeight="1" x14ac:dyDescent="0.15">
      <c r="A35" s="347" t="s">
        <v>1094</v>
      </c>
      <c r="B35" s="347">
        <v>0</v>
      </c>
      <c r="C35" s="347" t="s">
        <v>1007</v>
      </c>
      <c r="F35" s="348" t="s">
        <v>941</v>
      </c>
      <c r="G35" s="347" t="s">
        <v>969</v>
      </c>
      <c r="H35" s="347" t="s">
        <v>970</v>
      </c>
      <c r="K35" s="350"/>
      <c r="L35" s="349" t="s">
        <v>972</v>
      </c>
      <c r="M35" s="350" t="s">
        <v>1095</v>
      </c>
      <c r="N35" s="350" t="s">
        <v>1096</v>
      </c>
      <c r="O35" s="347" t="s">
        <v>631</v>
      </c>
      <c r="Z35" s="349" t="s">
        <v>975</v>
      </c>
    </row>
    <row r="36" spans="1:26" ht="16.899999999999999" customHeight="1" x14ac:dyDescent="0.15">
      <c r="A36" s="347" t="s">
        <v>1097</v>
      </c>
      <c r="B36" s="347">
        <v>0</v>
      </c>
      <c r="C36" s="347" t="s">
        <v>968</v>
      </c>
      <c r="F36" s="348" t="s">
        <v>941</v>
      </c>
      <c r="G36" s="347" t="s">
        <v>978</v>
      </c>
      <c r="H36" s="347" t="s">
        <v>970</v>
      </c>
      <c r="J36" s="347" t="s">
        <v>989</v>
      </c>
      <c r="K36" s="350" t="s">
        <v>1098</v>
      </c>
      <c r="L36" s="349" t="s">
        <v>972</v>
      </c>
      <c r="M36" s="350" t="s">
        <v>1099</v>
      </c>
      <c r="N36" s="350" t="s">
        <v>1100</v>
      </c>
      <c r="P36" s="347" t="s">
        <v>631</v>
      </c>
      <c r="Z36" s="349" t="s">
        <v>975</v>
      </c>
    </row>
    <row r="37" spans="1:26" ht="16.899999999999999" customHeight="1" x14ac:dyDescent="0.15">
      <c r="A37" s="347" t="s">
        <v>2438</v>
      </c>
      <c r="B37" s="347">
        <v>0</v>
      </c>
      <c r="C37" s="347" t="s">
        <v>968</v>
      </c>
      <c r="F37" s="348" t="s">
        <v>941</v>
      </c>
      <c r="G37" s="347" t="s">
        <v>1071</v>
      </c>
      <c r="H37" s="347" t="s">
        <v>970</v>
      </c>
      <c r="K37" s="444"/>
      <c r="L37" s="349" t="s">
        <v>972</v>
      </c>
      <c r="M37" s="350" t="s">
        <v>2439</v>
      </c>
      <c r="N37" s="350" t="s">
        <v>2440</v>
      </c>
      <c r="T37" s="347" t="s">
        <v>631</v>
      </c>
      <c r="U37" s="347" t="s">
        <v>631</v>
      </c>
      <c r="V37" s="347" t="s">
        <v>631</v>
      </c>
      <c r="W37" s="347" t="s">
        <v>631</v>
      </c>
      <c r="Z37" s="349" t="s">
        <v>2441</v>
      </c>
    </row>
    <row r="38" spans="1:26" ht="16.899999999999999" customHeight="1" x14ac:dyDescent="0.15">
      <c r="A38" s="347" t="s">
        <v>2442</v>
      </c>
      <c r="B38" s="347">
        <v>0</v>
      </c>
      <c r="C38" s="347" t="s">
        <v>1019</v>
      </c>
      <c r="F38" s="348" t="s">
        <v>941</v>
      </c>
      <c r="G38" s="347" t="s">
        <v>2443</v>
      </c>
      <c r="H38" s="347" t="s">
        <v>970</v>
      </c>
      <c r="K38" s="444"/>
      <c r="L38" s="349" t="s">
        <v>972</v>
      </c>
      <c r="M38" s="350" t="s">
        <v>2444</v>
      </c>
      <c r="N38" s="350" t="s">
        <v>2445</v>
      </c>
      <c r="T38" s="347" t="s">
        <v>631</v>
      </c>
      <c r="U38" s="347" t="s">
        <v>631</v>
      </c>
      <c r="V38" s="347" t="s">
        <v>631</v>
      </c>
      <c r="W38" s="347" t="s">
        <v>631</v>
      </c>
      <c r="Z38" s="349" t="s">
        <v>2441</v>
      </c>
    </row>
    <row r="39" spans="1:26" ht="16.899999999999999" customHeight="1" x14ac:dyDescent="0.15">
      <c r="A39" s="347" t="s">
        <v>2446</v>
      </c>
      <c r="B39" s="347">
        <v>0</v>
      </c>
      <c r="C39" s="347" t="s">
        <v>968</v>
      </c>
      <c r="D39" s="349"/>
      <c r="E39" s="349"/>
      <c r="F39" s="348" t="s">
        <v>941</v>
      </c>
      <c r="G39" s="347" t="s">
        <v>2443</v>
      </c>
      <c r="I39" s="347" t="s">
        <v>971</v>
      </c>
      <c r="J39" s="347" t="s">
        <v>989</v>
      </c>
      <c r="K39" s="349" t="s">
        <v>2447</v>
      </c>
      <c r="L39" s="349" t="s">
        <v>1032</v>
      </c>
      <c r="M39" s="350" t="s">
        <v>2448</v>
      </c>
      <c r="N39" s="445" t="s">
        <v>2449</v>
      </c>
      <c r="T39" s="347" t="s">
        <v>631</v>
      </c>
      <c r="U39" s="347" t="s">
        <v>631</v>
      </c>
      <c r="V39" s="347" t="s">
        <v>631</v>
      </c>
      <c r="W39" s="347" t="s">
        <v>631</v>
      </c>
      <c r="Z39" s="349" t="s">
        <v>2441</v>
      </c>
    </row>
    <row r="40" spans="1:26" ht="16.899999999999999" customHeight="1" x14ac:dyDescent="0.15">
      <c r="A40" s="347" t="s">
        <v>2450</v>
      </c>
      <c r="B40" s="347">
        <v>0</v>
      </c>
      <c r="C40" s="347" t="s">
        <v>968</v>
      </c>
      <c r="D40" s="349"/>
      <c r="E40" s="349"/>
      <c r="F40" s="348" t="s">
        <v>941</v>
      </c>
      <c r="G40" s="347" t="s">
        <v>2443</v>
      </c>
      <c r="I40" s="347" t="s">
        <v>971</v>
      </c>
      <c r="J40" s="347" t="s">
        <v>989</v>
      </c>
      <c r="K40" s="349" t="s">
        <v>2447</v>
      </c>
      <c r="L40" s="349" t="s">
        <v>972</v>
      </c>
      <c r="M40" s="350" t="s">
        <v>2451</v>
      </c>
      <c r="N40" s="445" t="s">
        <v>2452</v>
      </c>
      <c r="T40" s="347" t="s">
        <v>631</v>
      </c>
      <c r="U40" s="347" t="s">
        <v>631</v>
      </c>
      <c r="V40" s="347" t="s">
        <v>631</v>
      </c>
      <c r="W40" s="347" t="s">
        <v>631</v>
      </c>
      <c r="Z40" s="349" t="s">
        <v>2441</v>
      </c>
    </row>
    <row r="41" spans="1:26" ht="16.899999999999999" customHeight="1" x14ac:dyDescent="0.15">
      <c r="A41" s="347" t="s">
        <v>2453</v>
      </c>
      <c r="B41" s="347">
        <v>0</v>
      </c>
      <c r="C41" s="347" t="s">
        <v>994</v>
      </c>
      <c r="F41" s="348" t="s">
        <v>941</v>
      </c>
      <c r="G41" s="347" t="s">
        <v>969</v>
      </c>
      <c r="I41" s="347" t="s">
        <v>971</v>
      </c>
      <c r="K41" s="444"/>
      <c r="L41" s="349" t="s">
        <v>2454</v>
      </c>
      <c r="M41" s="350" t="s">
        <v>2455</v>
      </c>
      <c r="N41" s="350" t="s">
        <v>2456</v>
      </c>
      <c r="Q41" s="347" t="s">
        <v>631</v>
      </c>
      <c r="T41" s="347" t="s">
        <v>631</v>
      </c>
      <c r="V41" s="347" t="s">
        <v>631</v>
      </c>
      <c r="Z41" s="446" t="s">
        <v>2457</v>
      </c>
    </row>
    <row r="42" spans="1:26" ht="16.899999999999999" customHeight="1" x14ac:dyDescent="0.15">
      <c r="A42" s="347" t="s">
        <v>2458</v>
      </c>
      <c r="B42" s="347">
        <v>0</v>
      </c>
      <c r="C42" s="347" t="s">
        <v>1019</v>
      </c>
      <c r="E42" s="347" t="s">
        <v>631</v>
      </c>
      <c r="F42" s="348" t="s">
        <v>941</v>
      </c>
      <c r="G42" s="347" t="s">
        <v>969</v>
      </c>
      <c r="H42" s="347" t="s">
        <v>970</v>
      </c>
      <c r="I42" s="347" t="s">
        <v>971</v>
      </c>
      <c r="K42" s="444"/>
      <c r="L42" s="349" t="s">
        <v>2413</v>
      </c>
      <c r="M42" s="350" t="s">
        <v>2459</v>
      </c>
      <c r="N42" s="350" t="s">
        <v>2460</v>
      </c>
      <c r="Q42" s="347" t="s">
        <v>631</v>
      </c>
      <c r="T42" s="347" t="s">
        <v>631</v>
      </c>
      <c r="U42" s="347" t="s">
        <v>631</v>
      </c>
      <c r="V42" s="347" t="s">
        <v>631</v>
      </c>
      <c r="W42" s="347" t="s">
        <v>631</v>
      </c>
      <c r="Z42" s="446" t="s">
        <v>2457</v>
      </c>
    </row>
    <row r="43" spans="1:26" ht="16.899999999999999" customHeight="1" x14ac:dyDescent="0.15">
      <c r="A43" s="347" t="s">
        <v>2461</v>
      </c>
      <c r="B43" s="347">
        <v>0</v>
      </c>
      <c r="C43" s="347" t="s">
        <v>968</v>
      </c>
      <c r="F43" s="348" t="s">
        <v>941</v>
      </c>
      <c r="G43" s="347" t="s">
        <v>969</v>
      </c>
      <c r="H43" s="347" t="s">
        <v>970</v>
      </c>
      <c r="I43" s="347" t="s">
        <v>971</v>
      </c>
      <c r="K43" s="444"/>
      <c r="L43" s="349" t="s">
        <v>972</v>
      </c>
      <c r="M43" s="350" t="s">
        <v>2462</v>
      </c>
      <c r="N43" s="350" t="s">
        <v>2463</v>
      </c>
      <c r="Q43" s="347" t="s">
        <v>631</v>
      </c>
      <c r="T43" s="347" t="s">
        <v>631</v>
      </c>
      <c r="U43" s="347" t="s">
        <v>631</v>
      </c>
      <c r="V43" s="347" t="s">
        <v>631</v>
      </c>
      <c r="W43" s="347" t="s">
        <v>631</v>
      </c>
      <c r="Z43" s="446" t="s">
        <v>2457</v>
      </c>
    </row>
    <row r="44" spans="1:26" ht="16.899999999999999" customHeight="1" x14ac:dyDescent="0.15">
      <c r="A44" s="347" t="s">
        <v>2464</v>
      </c>
      <c r="B44" s="347">
        <v>0</v>
      </c>
      <c r="C44" s="347" t="s">
        <v>994</v>
      </c>
      <c r="F44" s="348" t="s">
        <v>941</v>
      </c>
      <c r="G44" s="347" t="s">
        <v>709</v>
      </c>
      <c r="H44" s="347" t="s">
        <v>970</v>
      </c>
      <c r="I44" s="347" t="s">
        <v>971</v>
      </c>
      <c r="K44" s="444"/>
      <c r="L44" s="349" t="s">
        <v>972</v>
      </c>
      <c r="M44" s="350" t="s">
        <v>2465</v>
      </c>
      <c r="N44" s="350" t="s">
        <v>2466</v>
      </c>
      <c r="Q44" s="347" t="s">
        <v>631</v>
      </c>
      <c r="T44" s="347" t="s">
        <v>631</v>
      </c>
      <c r="V44" s="347" t="s">
        <v>631</v>
      </c>
      <c r="Z44" s="446" t="s">
        <v>2457</v>
      </c>
    </row>
    <row r="45" spans="1:26" ht="16.899999999999999" customHeight="1" x14ac:dyDescent="0.15">
      <c r="A45" s="347" t="s">
        <v>2467</v>
      </c>
      <c r="B45" s="347">
        <v>0</v>
      </c>
      <c r="C45" s="347" t="s">
        <v>1019</v>
      </c>
      <c r="F45" s="348" t="s">
        <v>941</v>
      </c>
      <c r="G45" s="347" t="s">
        <v>709</v>
      </c>
      <c r="H45" s="347" t="s">
        <v>970</v>
      </c>
      <c r="I45" s="347" t="s">
        <v>971</v>
      </c>
      <c r="J45" s="347" t="s">
        <v>989</v>
      </c>
      <c r="K45" s="444" t="s">
        <v>2468</v>
      </c>
      <c r="L45" s="349" t="s">
        <v>972</v>
      </c>
      <c r="M45" s="350" t="s">
        <v>2469</v>
      </c>
      <c r="N45" s="350" t="s">
        <v>2470</v>
      </c>
      <c r="Q45" s="347" t="s">
        <v>631</v>
      </c>
      <c r="T45" s="347" t="s">
        <v>631</v>
      </c>
      <c r="U45" s="347" t="s">
        <v>631</v>
      </c>
      <c r="V45" s="347" t="s">
        <v>631</v>
      </c>
      <c r="Z45" s="446" t="s">
        <v>2457</v>
      </c>
    </row>
    <row r="46" spans="1:26" ht="16.899999999999999" customHeight="1" x14ac:dyDescent="0.15">
      <c r="A46" s="347" t="s">
        <v>2471</v>
      </c>
      <c r="B46" s="347">
        <v>0</v>
      </c>
      <c r="C46" s="347" t="s">
        <v>994</v>
      </c>
      <c r="F46" s="348" t="s">
        <v>1047</v>
      </c>
      <c r="G46" s="347" t="s">
        <v>2472</v>
      </c>
      <c r="H46" s="347" t="s">
        <v>970</v>
      </c>
      <c r="I46" s="347" t="s">
        <v>971</v>
      </c>
      <c r="K46" s="444"/>
      <c r="L46" s="349" t="s">
        <v>1020</v>
      </c>
      <c r="M46" s="350" t="s">
        <v>2473</v>
      </c>
      <c r="N46" s="350" t="s">
        <v>2474</v>
      </c>
      <c r="Q46" s="347" t="s">
        <v>631</v>
      </c>
      <c r="U46" s="347" t="s">
        <v>631</v>
      </c>
      <c r="W46" s="347" t="s">
        <v>631</v>
      </c>
      <c r="Z46" s="446" t="s">
        <v>2457</v>
      </c>
    </row>
    <row r="47" spans="1:26" ht="16.899999999999999" customHeight="1" x14ac:dyDescent="0.15">
      <c r="A47" s="347" t="s">
        <v>2475</v>
      </c>
      <c r="B47" s="347">
        <v>0</v>
      </c>
      <c r="C47" s="347" t="s">
        <v>994</v>
      </c>
      <c r="F47" s="348" t="s">
        <v>941</v>
      </c>
      <c r="G47" s="347" t="s">
        <v>709</v>
      </c>
      <c r="I47" s="347" t="s">
        <v>971</v>
      </c>
      <c r="K47" s="444"/>
      <c r="L47" s="349" t="s">
        <v>2454</v>
      </c>
      <c r="M47" s="350" t="s">
        <v>2476</v>
      </c>
      <c r="N47" s="350" t="s">
        <v>2477</v>
      </c>
      <c r="Q47" s="347" t="s">
        <v>631</v>
      </c>
      <c r="T47" s="347" t="s">
        <v>631</v>
      </c>
      <c r="V47" s="347" t="s">
        <v>631</v>
      </c>
      <c r="Z47" s="446" t="s">
        <v>2457</v>
      </c>
    </row>
    <row r="48" spans="1:26" ht="16.899999999999999" customHeight="1" x14ac:dyDescent="0.15">
      <c r="A48" s="347" t="s">
        <v>2478</v>
      </c>
      <c r="B48" s="347">
        <v>0</v>
      </c>
      <c r="C48" s="347" t="s">
        <v>994</v>
      </c>
      <c r="F48" s="348" t="s">
        <v>941</v>
      </c>
      <c r="G48" s="347" t="s">
        <v>978</v>
      </c>
      <c r="I48" s="347" t="s">
        <v>971</v>
      </c>
      <c r="K48" s="444"/>
      <c r="L48" s="349" t="s">
        <v>972</v>
      </c>
      <c r="M48" s="350" t="s">
        <v>2479</v>
      </c>
      <c r="N48" s="350" t="s">
        <v>2480</v>
      </c>
      <c r="Q48" s="347" t="s">
        <v>631</v>
      </c>
      <c r="Z48" s="446" t="s">
        <v>2457</v>
      </c>
    </row>
    <row r="49" spans="1:26" ht="16.899999999999999" customHeight="1" x14ac:dyDescent="0.15">
      <c r="A49" s="347" t="s">
        <v>2481</v>
      </c>
      <c r="B49" s="347">
        <v>0</v>
      </c>
      <c r="C49" s="347" t="s">
        <v>994</v>
      </c>
      <c r="F49" s="348" t="s">
        <v>941</v>
      </c>
      <c r="G49" s="347" t="s">
        <v>709</v>
      </c>
      <c r="I49" s="347" t="s">
        <v>971</v>
      </c>
      <c r="K49" s="444"/>
      <c r="L49" s="349" t="s">
        <v>2454</v>
      </c>
      <c r="M49" s="350" t="s">
        <v>2482</v>
      </c>
      <c r="N49" s="350" t="s">
        <v>2483</v>
      </c>
      <c r="Q49" s="347" t="s">
        <v>631</v>
      </c>
      <c r="T49" s="347" t="s">
        <v>631</v>
      </c>
      <c r="V49" s="347" t="s">
        <v>631</v>
      </c>
      <c r="Z49" s="446" t="s">
        <v>2457</v>
      </c>
    </row>
    <row r="50" spans="1:26" ht="16.899999999999999" customHeight="1" x14ac:dyDescent="0.15">
      <c r="A50" s="347" t="s">
        <v>2805</v>
      </c>
      <c r="B50" s="347">
        <v>0</v>
      </c>
      <c r="C50" s="347" t="s">
        <v>1007</v>
      </c>
      <c r="F50" s="348" t="s">
        <v>941</v>
      </c>
      <c r="G50" s="347" t="s">
        <v>978</v>
      </c>
      <c r="I50" s="347" t="s">
        <v>971</v>
      </c>
      <c r="K50" s="444"/>
      <c r="L50" s="349" t="s">
        <v>1104</v>
      </c>
      <c r="M50" s="350" t="s">
        <v>2806</v>
      </c>
      <c r="N50" s="350" t="s">
        <v>2807</v>
      </c>
      <c r="Z50" s="446" t="s">
        <v>2808</v>
      </c>
    </row>
    <row r="51" spans="1:26" ht="16.899999999999999" customHeight="1" x14ac:dyDescent="0.15">
      <c r="A51" s="347" t="s">
        <v>2885</v>
      </c>
      <c r="B51" s="347">
        <v>0</v>
      </c>
      <c r="C51" s="347" t="s">
        <v>983</v>
      </c>
      <c r="F51" s="348" t="s">
        <v>941</v>
      </c>
      <c r="G51" s="347" t="s">
        <v>709</v>
      </c>
      <c r="H51" s="347" t="s">
        <v>970</v>
      </c>
      <c r="I51" s="347" t="s">
        <v>971</v>
      </c>
      <c r="K51" s="349"/>
      <c r="L51" s="349" t="s">
        <v>972</v>
      </c>
      <c r="M51" s="350" t="s">
        <v>2886</v>
      </c>
      <c r="N51" s="445" t="s">
        <v>2887</v>
      </c>
      <c r="V51" s="347" t="s">
        <v>631</v>
      </c>
      <c r="Z51" s="446" t="s">
        <v>2888</v>
      </c>
    </row>
    <row r="52" spans="1:26" ht="16.899999999999999" customHeight="1" x14ac:dyDescent="0.15">
      <c r="A52" s="347" t="s">
        <v>5540</v>
      </c>
      <c r="B52" s="347">
        <v>0</v>
      </c>
      <c r="C52" s="347" t="s">
        <v>1019</v>
      </c>
      <c r="F52" s="348" t="s">
        <v>941</v>
      </c>
      <c r="G52" s="347" t="s">
        <v>978</v>
      </c>
      <c r="H52" s="347" t="s">
        <v>970</v>
      </c>
      <c r="I52" s="347" t="s">
        <v>971</v>
      </c>
      <c r="K52" s="350"/>
      <c r="L52" s="349" t="s">
        <v>972</v>
      </c>
      <c r="M52" s="350" t="s">
        <v>5541</v>
      </c>
      <c r="N52" s="350" t="s">
        <v>5542</v>
      </c>
      <c r="O52" s="347" t="s">
        <v>631</v>
      </c>
      <c r="Q52" s="347" t="s">
        <v>631</v>
      </c>
      <c r="T52" s="347" t="s">
        <v>631</v>
      </c>
      <c r="U52" s="347" t="s">
        <v>631</v>
      </c>
      <c r="V52" s="347" t="s">
        <v>631</v>
      </c>
      <c r="Z52" s="349" t="s">
        <v>3197</v>
      </c>
    </row>
    <row r="53" spans="1:26" ht="16.899999999999999" customHeight="1" x14ac:dyDescent="0.15">
      <c r="A53" s="347" t="s">
        <v>5543</v>
      </c>
      <c r="B53" s="347">
        <v>0</v>
      </c>
      <c r="C53" s="347" t="s">
        <v>1013</v>
      </c>
      <c r="F53" s="348" t="s">
        <v>1020</v>
      </c>
      <c r="G53" s="347" t="s">
        <v>978</v>
      </c>
      <c r="H53" s="347" t="s">
        <v>970</v>
      </c>
      <c r="K53" s="350"/>
      <c r="L53" s="349" t="s">
        <v>1104</v>
      </c>
      <c r="M53" s="350" t="s">
        <v>5544</v>
      </c>
      <c r="N53" s="350" t="s">
        <v>5545</v>
      </c>
      <c r="O53" s="347" t="s">
        <v>631</v>
      </c>
      <c r="T53" s="347" t="s">
        <v>631</v>
      </c>
      <c r="U53" s="347" t="s">
        <v>631</v>
      </c>
      <c r="V53" s="347" t="s">
        <v>631</v>
      </c>
      <c r="Z53" s="349" t="s">
        <v>3197</v>
      </c>
    </row>
    <row r="54" spans="1:26" ht="16.899999999999999" customHeight="1" x14ac:dyDescent="0.15">
      <c r="A54" s="347" t="s">
        <v>5546</v>
      </c>
      <c r="B54" s="347">
        <v>0</v>
      </c>
      <c r="C54" s="347" t="s">
        <v>1019</v>
      </c>
      <c r="F54" s="348" t="s">
        <v>941</v>
      </c>
      <c r="G54" s="347" t="s">
        <v>988</v>
      </c>
      <c r="H54" s="347" t="s">
        <v>970</v>
      </c>
      <c r="I54" s="347" t="s">
        <v>971</v>
      </c>
      <c r="K54" s="350"/>
      <c r="L54" s="349" t="s">
        <v>1032</v>
      </c>
      <c r="M54" s="350" t="s">
        <v>5547</v>
      </c>
      <c r="N54" s="350" t="s">
        <v>5548</v>
      </c>
      <c r="O54" s="347" t="s">
        <v>631</v>
      </c>
      <c r="T54" s="347" t="s">
        <v>631</v>
      </c>
      <c r="U54" s="347" t="s">
        <v>631</v>
      </c>
      <c r="V54" s="347" t="s">
        <v>631</v>
      </c>
      <c r="Z54" s="349" t="s">
        <v>3197</v>
      </c>
    </row>
    <row r="55" spans="1:26" ht="16.899999999999999" customHeight="1" x14ac:dyDescent="0.15">
      <c r="A55" s="347" t="s">
        <v>9827</v>
      </c>
      <c r="B55" s="347">
        <v>0</v>
      </c>
      <c r="C55" s="347" t="s">
        <v>1007</v>
      </c>
      <c r="F55" s="348" t="s">
        <v>941</v>
      </c>
      <c r="G55" s="347" t="s">
        <v>988</v>
      </c>
      <c r="I55" s="347" t="s">
        <v>971</v>
      </c>
      <c r="K55" s="350"/>
      <c r="L55" s="349" t="s">
        <v>1032</v>
      </c>
      <c r="M55" s="350" t="s">
        <v>5549</v>
      </c>
      <c r="N55" s="350" t="s">
        <v>5550</v>
      </c>
      <c r="Q55" s="347" t="s">
        <v>631</v>
      </c>
      <c r="T55" s="347" t="s">
        <v>631</v>
      </c>
      <c r="U55" s="347" t="s">
        <v>631</v>
      </c>
      <c r="V55" s="347" t="s">
        <v>631</v>
      </c>
      <c r="Z55" s="349" t="s">
        <v>3197</v>
      </c>
    </row>
    <row r="56" spans="1:26" ht="16.899999999999999" customHeight="1" x14ac:dyDescent="0.15">
      <c r="A56" s="347" t="s">
        <v>6322</v>
      </c>
      <c r="B56" s="347">
        <v>0</v>
      </c>
      <c r="C56" s="347" t="s">
        <v>968</v>
      </c>
      <c r="F56" s="348" t="s">
        <v>2995</v>
      </c>
      <c r="G56" s="347" t="s">
        <v>978</v>
      </c>
      <c r="H56" s="347" t="s">
        <v>970</v>
      </c>
      <c r="I56" s="347" t="s">
        <v>6323</v>
      </c>
      <c r="K56" s="350"/>
      <c r="L56" s="349" t="s">
        <v>972</v>
      </c>
      <c r="M56" s="350" t="s">
        <v>6324</v>
      </c>
      <c r="N56" s="350" t="s">
        <v>6325</v>
      </c>
      <c r="T56" s="347" t="s">
        <v>631</v>
      </c>
      <c r="V56" s="347" t="s">
        <v>631</v>
      </c>
      <c r="Y56" s="347" t="s">
        <v>631</v>
      </c>
      <c r="Z56" s="349" t="s">
        <v>5820</v>
      </c>
    </row>
    <row r="57" spans="1:26" ht="16.899999999999999" customHeight="1" x14ac:dyDescent="0.15">
      <c r="A57" s="347" t="s">
        <v>6326</v>
      </c>
      <c r="B57" s="347">
        <v>0</v>
      </c>
      <c r="C57" s="347" t="s">
        <v>983</v>
      </c>
      <c r="F57" s="348" t="s">
        <v>2995</v>
      </c>
      <c r="G57" s="347" t="s">
        <v>6327</v>
      </c>
      <c r="H57" s="347" t="s">
        <v>970</v>
      </c>
      <c r="I57" s="347" t="s">
        <v>6323</v>
      </c>
      <c r="K57" s="350"/>
      <c r="L57" s="349" t="s">
        <v>972</v>
      </c>
      <c r="M57" s="350" t="s">
        <v>6328</v>
      </c>
      <c r="N57" s="350" t="s">
        <v>6329</v>
      </c>
      <c r="Q57" s="347" t="s">
        <v>631</v>
      </c>
      <c r="T57" s="347" t="s">
        <v>631</v>
      </c>
      <c r="V57" s="347" t="s">
        <v>631</v>
      </c>
      <c r="Y57" s="347" t="s">
        <v>631</v>
      </c>
      <c r="Z57" s="349" t="s">
        <v>5820</v>
      </c>
    </row>
    <row r="58" spans="1:26" ht="16.899999999999999" customHeight="1" x14ac:dyDescent="0.15">
      <c r="A58" s="347" t="s">
        <v>6330</v>
      </c>
      <c r="B58" s="347">
        <v>0</v>
      </c>
      <c r="C58" s="347" t="s">
        <v>1019</v>
      </c>
      <c r="F58" s="348" t="s">
        <v>941</v>
      </c>
      <c r="G58" s="347" t="s">
        <v>6331</v>
      </c>
      <c r="H58" s="347" t="s">
        <v>970</v>
      </c>
      <c r="I58" s="347" t="s">
        <v>6323</v>
      </c>
      <c r="K58" s="350"/>
      <c r="L58" s="349" t="s">
        <v>972</v>
      </c>
      <c r="M58" s="350" t="s">
        <v>6332</v>
      </c>
      <c r="N58" s="350" t="s">
        <v>6333</v>
      </c>
      <c r="Q58" s="347" t="s">
        <v>631</v>
      </c>
      <c r="T58" s="347" t="s">
        <v>631</v>
      </c>
      <c r="V58" s="347" t="s">
        <v>631</v>
      </c>
      <c r="Y58" s="347" t="s">
        <v>631</v>
      </c>
      <c r="Z58" s="349" t="s">
        <v>5820</v>
      </c>
    </row>
    <row r="59" spans="1:26" ht="16.899999999999999" customHeight="1" x14ac:dyDescent="0.15">
      <c r="A59" s="347" t="s">
        <v>7871</v>
      </c>
      <c r="B59" s="347">
        <v>0</v>
      </c>
      <c r="C59" s="347" t="s">
        <v>7872</v>
      </c>
      <c r="F59" s="348" t="s">
        <v>2995</v>
      </c>
      <c r="G59" s="347" t="s">
        <v>7873</v>
      </c>
      <c r="I59" s="347" t="s">
        <v>6323</v>
      </c>
      <c r="J59" s="347" t="s">
        <v>6335</v>
      </c>
      <c r="K59" s="350" t="s">
        <v>7874</v>
      </c>
      <c r="L59" s="349" t="s">
        <v>7875</v>
      </c>
      <c r="M59" s="350" t="s">
        <v>7876</v>
      </c>
      <c r="N59" s="350" t="s">
        <v>7877</v>
      </c>
      <c r="O59" s="347" t="s">
        <v>2950</v>
      </c>
      <c r="Q59" s="347" t="s">
        <v>2950</v>
      </c>
      <c r="T59" s="347" t="s">
        <v>2950</v>
      </c>
      <c r="U59" s="347" t="s">
        <v>2950</v>
      </c>
      <c r="V59" s="347" t="s">
        <v>2950</v>
      </c>
      <c r="Z59" s="349" t="s">
        <v>7878</v>
      </c>
    </row>
    <row r="60" spans="1:26" ht="16.899999999999999" customHeight="1" x14ac:dyDescent="0.15">
      <c r="A60" s="347" t="s">
        <v>7879</v>
      </c>
      <c r="B60" s="347">
        <v>0</v>
      </c>
      <c r="C60" s="347" t="s">
        <v>2983</v>
      </c>
      <c r="F60" s="348" t="s">
        <v>6378</v>
      </c>
      <c r="G60" s="347" t="s">
        <v>2943</v>
      </c>
      <c r="H60" s="347" t="s">
        <v>2953</v>
      </c>
      <c r="I60" s="347" t="s">
        <v>6323</v>
      </c>
      <c r="K60" s="350"/>
      <c r="L60" s="349" t="s">
        <v>7875</v>
      </c>
      <c r="M60" s="350" t="s">
        <v>7880</v>
      </c>
      <c r="N60" s="350" t="s">
        <v>7881</v>
      </c>
      <c r="O60" s="347" t="s">
        <v>2950</v>
      </c>
      <c r="T60" s="347" t="s">
        <v>2950</v>
      </c>
      <c r="V60" s="347" t="s">
        <v>2950</v>
      </c>
      <c r="Z60" s="349" t="s">
        <v>7878</v>
      </c>
    </row>
    <row r="61" spans="1:26" ht="16.899999999999999" customHeight="1" x14ac:dyDescent="0.15">
      <c r="A61" s="347" t="s">
        <v>7882</v>
      </c>
      <c r="B61" s="347">
        <v>0</v>
      </c>
      <c r="C61" s="347" t="s">
        <v>7883</v>
      </c>
      <c r="F61" s="348" t="s">
        <v>6378</v>
      </c>
      <c r="G61" s="347" t="s">
        <v>2943</v>
      </c>
      <c r="H61" s="347" t="s">
        <v>2953</v>
      </c>
      <c r="K61" s="350"/>
      <c r="L61" s="349" t="s">
        <v>2987</v>
      </c>
      <c r="M61" s="350" t="s">
        <v>7884</v>
      </c>
      <c r="N61" s="350" t="s">
        <v>7885</v>
      </c>
      <c r="P61" s="347" t="s">
        <v>2950</v>
      </c>
      <c r="T61" s="347" t="s">
        <v>2950</v>
      </c>
      <c r="V61" s="347" t="s">
        <v>2950</v>
      </c>
      <c r="Z61" s="349" t="s">
        <v>7878</v>
      </c>
    </row>
    <row r="62" spans="1:26" ht="16.899999999999999" customHeight="1" x14ac:dyDescent="0.15">
      <c r="A62" s="347" t="s">
        <v>7969</v>
      </c>
      <c r="B62" s="347">
        <v>0</v>
      </c>
      <c r="C62" s="347" t="s">
        <v>2983</v>
      </c>
      <c r="F62" s="348" t="s">
        <v>2995</v>
      </c>
      <c r="G62" s="347" t="s">
        <v>2970</v>
      </c>
      <c r="H62" s="347" t="s">
        <v>2953</v>
      </c>
      <c r="I62" s="347" t="s">
        <v>6323</v>
      </c>
      <c r="K62" s="350"/>
      <c r="L62" s="349" t="s">
        <v>2987</v>
      </c>
      <c r="M62" s="350" t="s">
        <v>7970</v>
      </c>
      <c r="N62" s="350" t="s">
        <v>7971</v>
      </c>
      <c r="O62" s="347" t="s">
        <v>2950</v>
      </c>
      <c r="T62" s="347" t="s">
        <v>2950</v>
      </c>
      <c r="U62" s="347" t="s">
        <v>2950</v>
      </c>
      <c r="V62" s="347" t="s">
        <v>2950</v>
      </c>
      <c r="Z62" s="349" t="s">
        <v>7972</v>
      </c>
    </row>
    <row r="63" spans="1:26" ht="16.899999999999999" customHeight="1" x14ac:dyDescent="0.15">
      <c r="A63" s="347" t="s">
        <v>7973</v>
      </c>
      <c r="B63" s="347">
        <v>0</v>
      </c>
      <c r="C63" s="347" t="s">
        <v>2976</v>
      </c>
      <c r="F63" s="348" t="s">
        <v>2995</v>
      </c>
      <c r="G63" s="347" t="s">
        <v>7974</v>
      </c>
      <c r="H63" s="347" t="s">
        <v>2953</v>
      </c>
      <c r="K63" s="350"/>
      <c r="L63" s="349" t="s">
        <v>2987</v>
      </c>
      <c r="M63" s="350" t="s">
        <v>7975</v>
      </c>
      <c r="N63" s="350" t="s">
        <v>7976</v>
      </c>
      <c r="O63" s="347" t="s">
        <v>2950</v>
      </c>
      <c r="P63" s="347" t="s">
        <v>2950</v>
      </c>
      <c r="Q63" s="347" t="s">
        <v>2950</v>
      </c>
      <c r="Z63" s="349" t="s">
        <v>7972</v>
      </c>
    </row>
    <row r="64" spans="1:26" ht="16.899999999999999" customHeight="1" x14ac:dyDescent="0.15">
      <c r="A64" s="347" t="s">
        <v>7977</v>
      </c>
      <c r="B64" s="347">
        <v>0</v>
      </c>
      <c r="C64" s="347" t="s">
        <v>7883</v>
      </c>
      <c r="F64" s="348" t="s">
        <v>6378</v>
      </c>
      <c r="G64" s="347" t="s">
        <v>2969</v>
      </c>
      <c r="H64" s="347" t="s">
        <v>2953</v>
      </c>
      <c r="K64" s="350"/>
      <c r="L64" s="349" t="s">
        <v>2987</v>
      </c>
      <c r="M64" s="350" t="s">
        <v>7978</v>
      </c>
      <c r="N64" s="350" t="s">
        <v>7979</v>
      </c>
      <c r="O64" s="347" t="s">
        <v>2950</v>
      </c>
      <c r="T64" s="347" t="s">
        <v>631</v>
      </c>
      <c r="V64" s="347" t="s">
        <v>2950</v>
      </c>
      <c r="Z64" s="349" t="s">
        <v>7972</v>
      </c>
    </row>
    <row r="65" spans="1:26" ht="16.899999999999999" customHeight="1" x14ac:dyDescent="0.15">
      <c r="A65" s="347" t="s">
        <v>7980</v>
      </c>
      <c r="B65" s="347">
        <v>0</v>
      </c>
      <c r="C65" s="347" t="s">
        <v>2941</v>
      </c>
      <c r="F65" s="348" t="s">
        <v>7981</v>
      </c>
      <c r="G65" s="347" t="s">
        <v>2952</v>
      </c>
      <c r="H65" s="347" t="s">
        <v>2953</v>
      </c>
      <c r="I65" s="347" t="s">
        <v>6323</v>
      </c>
      <c r="K65" s="350"/>
      <c r="L65" s="349" t="s">
        <v>2987</v>
      </c>
      <c r="M65" s="350" t="s">
        <v>7982</v>
      </c>
      <c r="N65" s="350" t="s">
        <v>7983</v>
      </c>
      <c r="O65" s="347" t="s">
        <v>2950</v>
      </c>
      <c r="Q65" s="347" t="s">
        <v>2950</v>
      </c>
      <c r="T65" s="347" t="s">
        <v>2950</v>
      </c>
      <c r="V65" s="347" t="s">
        <v>2950</v>
      </c>
      <c r="Z65" s="349" t="s">
        <v>7972</v>
      </c>
    </row>
    <row r="66" spans="1:26" ht="16.899999999999999" customHeight="1" x14ac:dyDescent="0.15">
      <c r="A66" s="347" t="s">
        <v>7984</v>
      </c>
      <c r="B66" s="347">
        <v>0</v>
      </c>
      <c r="C66" s="347" t="s">
        <v>7883</v>
      </c>
      <c r="F66" s="348" t="s">
        <v>2995</v>
      </c>
      <c r="G66" s="347" t="s">
        <v>2969</v>
      </c>
      <c r="I66" s="347" t="s">
        <v>6323</v>
      </c>
      <c r="K66" s="350"/>
      <c r="L66" s="349" t="s">
        <v>7985</v>
      </c>
      <c r="M66" s="350" t="s">
        <v>7986</v>
      </c>
      <c r="N66" s="350" t="s">
        <v>7987</v>
      </c>
      <c r="O66" s="347" t="s">
        <v>2950</v>
      </c>
      <c r="T66" s="347" t="s">
        <v>2950</v>
      </c>
      <c r="U66" s="347" t="s">
        <v>2950</v>
      </c>
      <c r="V66" s="347" t="s">
        <v>2950</v>
      </c>
      <c r="Z66" s="349" t="s">
        <v>7972</v>
      </c>
    </row>
    <row r="67" spans="1:26" ht="16.899999999999999" customHeight="1" x14ac:dyDescent="0.15">
      <c r="A67" s="347" t="s">
        <v>8153</v>
      </c>
      <c r="B67" s="347">
        <v>0</v>
      </c>
      <c r="C67" s="347" t="s">
        <v>8154</v>
      </c>
      <c r="F67" s="348" t="s">
        <v>2995</v>
      </c>
      <c r="G67" s="347" t="s">
        <v>2974</v>
      </c>
      <c r="H67" s="347" t="s">
        <v>2953</v>
      </c>
      <c r="I67" s="347" t="s">
        <v>6323</v>
      </c>
      <c r="K67" s="350"/>
      <c r="L67" s="349" t="s">
        <v>2987</v>
      </c>
      <c r="M67" s="350" t="s">
        <v>8155</v>
      </c>
      <c r="N67" s="350" t="s">
        <v>8156</v>
      </c>
      <c r="T67" s="347" t="s">
        <v>2950</v>
      </c>
      <c r="U67" s="347" t="s">
        <v>2950</v>
      </c>
      <c r="V67" s="347" t="s">
        <v>2950</v>
      </c>
      <c r="Z67" s="349" t="s">
        <v>8157</v>
      </c>
    </row>
    <row r="68" spans="1:26" ht="16.899999999999999" customHeight="1" x14ac:dyDescent="0.15">
      <c r="A68" s="347" t="s">
        <v>8158</v>
      </c>
      <c r="B68" s="347">
        <v>0</v>
      </c>
      <c r="C68" s="347" t="s">
        <v>7883</v>
      </c>
      <c r="F68" s="348" t="s">
        <v>2995</v>
      </c>
      <c r="G68" s="347" t="s">
        <v>7873</v>
      </c>
      <c r="H68" s="347" t="s">
        <v>2953</v>
      </c>
      <c r="I68" s="347" t="s">
        <v>6323</v>
      </c>
      <c r="K68" s="350"/>
      <c r="L68" s="349" t="s">
        <v>2987</v>
      </c>
      <c r="M68" s="350" t="s">
        <v>8159</v>
      </c>
      <c r="N68" s="350" t="s">
        <v>8160</v>
      </c>
      <c r="V68" s="347" t="s">
        <v>2950</v>
      </c>
      <c r="Z68" s="349" t="s">
        <v>8157</v>
      </c>
    </row>
    <row r="69" spans="1:26" ht="16.899999999999999" customHeight="1" x14ac:dyDescent="0.15">
      <c r="A69" s="347" t="s">
        <v>8161</v>
      </c>
      <c r="B69" s="347">
        <v>0</v>
      </c>
      <c r="C69" s="347" t="s">
        <v>7883</v>
      </c>
      <c r="F69" s="348" t="s">
        <v>8162</v>
      </c>
      <c r="G69" s="347" t="s">
        <v>2970</v>
      </c>
      <c r="H69" s="347" t="s">
        <v>2953</v>
      </c>
      <c r="I69" s="347" t="s">
        <v>6323</v>
      </c>
      <c r="J69" s="347" t="s">
        <v>6335</v>
      </c>
      <c r="K69" s="350" t="s">
        <v>8163</v>
      </c>
      <c r="L69" s="349" t="s">
        <v>7939</v>
      </c>
      <c r="M69" s="350" t="s">
        <v>8164</v>
      </c>
      <c r="N69" s="350" t="s">
        <v>8165</v>
      </c>
      <c r="Q69" s="347" t="s">
        <v>2950</v>
      </c>
      <c r="V69" s="347" t="s">
        <v>2950</v>
      </c>
      <c r="Z69" s="349" t="s">
        <v>8157</v>
      </c>
    </row>
    <row r="70" spans="1:26" ht="16.899999999999999" customHeight="1" x14ac:dyDescent="0.15">
      <c r="A70" s="347" t="s">
        <v>8166</v>
      </c>
      <c r="B70" s="347">
        <v>0</v>
      </c>
      <c r="C70" s="347" t="s">
        <v>7872</v>
      </c>
      <c r="E70" s="347" t="s">
        <v>2950</v>
      </c>
      <c r="F70" s="348" t="s">
        <v>2995</v>
      </c>
      <c r="G70" s="347" t="s">
        <v>7873</v>
      </c>
      <c r="H70" s="347" t="s">
        <v>2953</v>
      </c>
      <c r="I70" s="347" t="s">
        <v>6323</v>
      </c>
      <c r="K70" s="350"/>
      <c r="L70" s="349" t="s">
        <v>8007</v>
      </c>
      <c r="M70" s="350" t="s">
        <v>8167</v>
      </c>
      <c r="N70" s="350" t="s">
        <v>8168</v>
      </c>
      <c r="O70" s="347" t="s">
        <v>2950</v>
      </c>
      <c r="Q70" s="347" t="s">
        <v>2950</v>
      </c>
      <c r="T70" s="347" t="s">
        <v>2950</v>
      </c>
      <c r="Z70" s="349" t="s">
        <v>8157</v>
      </c>
    </row>
    <row r="71" spans="1:26" ht="16.899999999999999" customHeight="1" x14ac:dyDescent="0.15">
      <c r="A71" s="347" t="s">
        <v>8490</v>
      </c>
      <c r="B71" s="347">
        <v>0</v>
      </c>
      <c r="C71" s="347" t="s">
        <v>968</v>
      </c>
      <c r="F71" s="348" t="s">
        <v>2995</v>
      </c>
      <c r="G71" s="347" t="s">
        <v>988</v>
      </c>
      <c r="H71" s="347" t="s">
        <v>970</v>
      </c>
      <c r="I71" s="347" t="s">
        <v>971</v>
      </c>
      <c r="K71" s="350"/>
      <c r="L71" s="349" t="s">
        <v>972</v>
      </c>
      <c r="M71" s="350" t="s">
        <v>9594</v>
      </c>
      <c r="N71" s="350" t="s">
        <v>8491</v>
      </c>
      <c r="T71" s="347" t="s">
        <v>631</v>
      </c>
      <c r="U71" s="347" t="s">
        <v>631</v>
      </c>
      <c r="V71" s="347" t="s">
        <v>631</v>
      </c>
      <c r="Z71" s="349" t="s">
        <v>8316</v>
      </c>
    </row>
    <row r="72" spans="1:26" ht="16.899999999999999" customHeight="1" x14ac:dyDescent="0.15">
      <c r="A72" s="347" t="s">
        <v>8492</v>
      </c>
      <c r="B72" s="347">
        <v>0</v>
      </c>
      <c r="C72" s="347" t="s">
        <v>968</v>
      </c>
      <c r="F72" s="348" t="s">
        <v>2995</v>
      </c>
      <c r="G72" s="347" t="s">
        <v>2943</v>
      </c>
      <c r="I72" s="347" t="s">
        <v>971</v>
      </c>
      <c r="J72" s="347" t="s">
        <v>989</v>
      </c>
      <c r="K72" s="350" t="s">
        <v>8493</v>
      </c>
      <c r="L72" s="349" t="s">
        <v>972</v>
      </c>
      <c r="M72" s="350" t="s">
        <v>9595</v>
      </c>
      <c r="N72" s="350" t="s">
        <v>8494</v>
      </c>
      <c r="T72" s="347" t="s">
        <v>631</v>
      </c>
      <c r="U72" s="347" t="s">
        <v>631</v>
      </c>
      <c r="V72" s="347" t="s">
        <v>631</v>
      </c>
      <c r="Z72" s="349" t="s">
        <v>8316</v>
      </c>
    </row>
    <row r="73" spans="1:26" ht="16.899999999999999" customHeight="1" x14ac:dyDescent="0.15">
      <c r="A73" s="347" t="s">
        <v>2217</v>
      </c>
      <c r="B73" s="347">
        <v>0</v>
      </c>
      <c r="C73" s="347" t="s">
        <v>968</v>
      </c>
      <c r="F73" s="348" t="s">
        <v>941</v>
      </c>
      <c r="G73" s="347" t="s">
        <v>969</v>
      </c>
      <c r="H73" s="347" t="s">
        <v>970</v>
      </c>
      <c r="I73" s="347" t="s">
        <v>971</v>
      </c>
      <c r="K73" s="350"/>
      <c r="L73" s="349" t="s">
        <v>972</v>
      </c>
      <c r="M73" s="350" t="s">
        <v>9600</v>
      </c>
      <c r="N73" s="350" t="s">
        <v>8513</v>
      </c>
      <c r="P73" s="347" t="s">
        <v>2950</v>
      </c>
      <c r="Z73" s="349" t="s">
        <v>8537</v>
      </c>
    </row>
    <row r="74" spans="1:26" ht="16.899999999999999" customHeight="1" x14ac:dyDescent="0.15">
      <c r="A74" s="347" t="s">
        <v>8848</v>
      </c>
      <c r="B74" s="347">
        <v>0</v>
      </c>
      <c r="C74" s="347" t="s">
        <v>968</v>
      </c>
      <c r="F74" s="348" t="s">
        <v>941</v>
      </c>
      <c r="G74" s="347" t="s">
        <v>978</v>
      </c>
      <c r="I74" s="347" t="s">
        <v>971</v>
      </c>
      <c r="K74" s="350"/>
      <c r="L74" s="349" t="s">
        <v>1032</v>
      </c>
      <c r="M74" s="350" t="s">
        <v>9607</v>
      </c>
      <c r="N74" s="350" t="s">
        <v>8849</v>
      </c>
      <c r="O74" s="347" t="s">
        <v>631</v>
      </c>
      <c r="Q74" s="347" t="s">
        <v>631</v>
      </c>
      <c r="T74" s="347" t="s">
        <v>631</v>
      </c>
      <c r="U74" s="347" t="s">
        <v>631</v>
      </c>
      <c r="Z74" s="349" t="s">
        <v>9101</v>
      </c>
    </row>
    <row r="75" spans="1:26" ht="16.899999999999999" customHeight="1" x14ac:dyDescent="0.15">
      <c r="A75" s="347" t="s">
        <v>9103</v>
      </c>
      <c r="B75" s="347">
        <v>0</v>
      </c>
      <c r="C75" s="347" t="s">
        <v>994</v>
      </c>
      <c r="F75" s="348" t="s">
        <v>941</v>
      </c>
      <c r="G75" s="347" t="s">
        <v>7873</v>
      </c>
      <c r="H75" s="347" t="s">
        <v>970</v>
      </c>
      <c r="I75" s="347" t="s">
        <v>971</v>
      </c>
      <c r="J75" s="347" t="s">
        <v>989</v>
      </c>
      <c r="K75" s="350" t="s">
        <v>9104</v>
      </c>
      <c r="L75" s="349" t="s">
        <v>972</v>
      </c>
      <c r="M75" s="350" t="s">
        <v>10750</v>
      </c>
      <c r="N75" s="350" t="s">
        <v>9105</v>
      </c>
      <c r="Q75" s="347" t="s">
        <v>631</v>
      </c>
      <c r="T75" s="347" t="s">
        <v>631</v>
      </c>
      <c r="V75" s="347" t="s">
        <v>631</v>
      </c>
      <c r="Z75" s="349" t="s">
        <v>9102</v>
      </c>
    </row>
    <row r="76" spans="1:26" ht="16.899999999999999" customHeight="1" x14ac:dyDescent="0.15">
      <c r="A76" s="347" t="s">
        <v>9288</v>
      </c>
      <c r="B76" s="347">
        <v>0</v>
      </c>
      <c r="C76" s="347" t="s">
        <v>968</v>
      </c>
      <c r="F76" s="348" t="s">
        <v>941</v>
      </c>
      <c r="G76" s="347" t="s">
        <v>978</v>
      </c>
      <c r="H76" s="347" t="s">
        <v>970</v>
      </c>
      <c r="J76" s="347" t="s">
        <v>989</v>
      </c>
      <c r="K76" s="350" t="s">
        <v>9289</v>
      </c>
      <c r="L76" s="349" t="s">
        <v>1032</v>
      </c>
      <c r="M76" s="350" t="s">
        <v>9290</v>
      </c>
      <c r="N76" s="350" t="s">
        <v>9291</v>
      </c>
      <c r="O76" s="347" t="s">
        <v>631</v>
      </c>
      <c r="P76" s="347" t="s">
        <v>631</v>
      </c>
      <c r="T76" s="347" t="s">
        <v>631</v>
      </c>
      <c r="V76" s="347" t="s">
        <v>631</v>
      </c>
      <c r="Z76" s="349" t="s">
        <v>9638</v>
      </c>
    </row>
    <row r="77" spans="1:26" ht="16.899999999999999" customHeight="1" x14ac:dyDescent="0.15">
      <c r="A77" s="347" t="s">
        <v>9292</v>
      </c>
      <c r="B77" s="347">
        <v>0</v>
      </c>
      <c r="C77" s="347" t="s">
        <v>983</v>
      </c>
      <c r="E77" s="347" t="s">
        <v>631</v>
      </c>
      <c r="F77" s="348" t="s">
        <v>941</v>
      </c>
      <c r="G77" s="347" t="s">
        <v>709</v>
      </c>
      <c r="H77" s="347" t="s">
        <v>970</v>
      </c>
      <c r="I77" s="347" t="s">
        <v>971</v>
      </c>
      <c r="K77" s="350"/>
      <c r="L77" s="349" t="s">
        <v>8007</v>
      </c>
      <c r="M77" s="350" t="s">
        <v>9615</v>
      </c>
      <c r="N77" s="350" t="s">
        <v>9293</v>
      </c>
      <c r="O77" s="347" t="s">
        <v>631</v>
      </c>
      <c r="P77" s="347" t="s">
        <v>631</v>
      </c>
      <c r="T77" s="347" t="s">
        <v>631</v>
      </c>
      <c r="U77" s="347" t="s">
        <v>631</v>
      </c>
      <c r="V77" s="347" t="s">
        <v>631</v>
      </c>
      <c r="Z77" s="349" t="s">
        <v>9638</v>
      </c>
    </row>
    <row r="78" spans="1:26" ht="16.899999999999999" customHeight="1" x14ac:dyDescent="0.15">
      <c r="A78" s="347" t="s">
        <v>9294</v>
      </c>
      <c r="B78" s="347">
        <v>0</v>
      </c>
      <c r="C78" s="347" t="s">
        <v>1019</v>
      </c>
      <c r="E78" s="347" t="s">
        <v>631</v>
      </c>
      <c r="F78" s="348" t="s">
        <v>941</v>
      </c>
      <c r="G78" s="347" t="s">
        <v>2432</v>
      </c>
      <c r="H78" s="347" t="s">
        <v>970</v>
      </c>
      <c r="I78" s="347" t="s">
        <v>971</v>
      </c>
      <c r="K78" s="350"/>
      <c r="L78" s="349" t="s">
        <v>9295</v>
      </c>
      <c r="M78" s="350" t="s">
        <v>9296</v>
      </c>
      <c r="N78" s="350" t="s">
        <v>9297</v>
      </c>
      <c r="Q78" s="347" t="s">
        <v>631</v>
      </c>
      <c r="V78" s="347" t="s">
        <v>631</v>
      </c>
      <c r="Z78" s="349" t="s">
        <v>9638</v>
      </c>
    </row>
    <row r="79" spans="1:26" ht="16.899999999999999" customHeight="1" x14ac:dyDescent="0.15">
      <c r="A79" s="347" t="s">
        <v>9298</v>
      </c>
      <c r="B79" s="347">
        <v>0</v>
      </c>
      <c r="C79" s="347" t="s">
        <v>994</v>
      </c>
      <c r="E79" s="347" t="s">
        <v>631</v>
      </c>
      <c r="F79" s="348" t="s">
        <v>941</v>
      </c>
      <c r="G79" s="347" t="s">
        <v>2432</v>
      </c>
      <c r="H79" s="347" t="s">
        <v>970</v>
      </c>
      <c r="K79" s="350"/>
      <c r="L79" s="349" t="s">
        <v>8007</v>
      </c>
      <c r="M79" s="350" t="s">
        <v>9299</v>
      </c>
      <c r="N79" s="350" t="s">
        <v>9300</v>
      </c>
      <c r="P79" s="347" t="s">
        <v>631</v>
      </c>
      <c r="Q79" s="347" t="s">
        <v>631</v>
      </c>
      <c r="Z79" s="349" t="s">
        <v>9638</v>
      </c>
    </row>
    <row r="80" spans="1:26" ht="16.899999999999999" customHeight="1" x14ac:dyDescent="0.15">
      <c r="A80" s="347" t="s">
        <v>9301</v>
      </c>
      <c r="B80" s="347">
        <v>0</v>
      </c>
      <c r="C80" s="347" t="s">
        <v>987</v>
      </c>
      <c r="E80" s="347" t="s">
        <v>631</v>
      </c>
      <c r="F80" s="348" t="s">
        <v>1047</v>
      </c>
      <c r="G80" s="347" t="s">
        <v>1008</v>
      </c>
      <c r="I80" s="347" t="s">
        <v>971</v>
      </c>
      <c r="K80" s="350"/>
      <c r="L80" s="349" t="s">
        <v>8007</v>
      </c>
      <c r="M80" s="350" t="s">
        <v>9616</v>
      </c>
      <c r="N80" s="350" t="s">
        <v>9302</v>
      </c>
      <c r="O80" s="347" t="s">
        <v>631</v>
      </c>
      <c r="U80" s="347" t="s">
        <v>631</v>
      </c>
      <c r="Z80" s="349" t="s">
        <v>9638</v>
      </c>
    </row>
    <row r="81" spans="1:26" ht="16.899999999999999" customHeight="1" x14ac:dyDescent="0.15">
      <c r="A81" s="347" t="s">
        <v>1101</v>
      </c>
      <c r="B81" s="347">
        <v>1</v>
      </c>
      <c r="C81" s="347" t="s">
        <v>977</v>
      </c>
      <c r="D81" s="347" t="s">
        <v>631</v>
      </c>
      <c r="F81" s="348" t="s">
        <v>1102</v>
      </c>
      <c r="G81" s="347" t="s">
        <v>709</v>
      </c>
      <c r="H81" s="347" t="s">
        <v>970</v>
      </c>
      <c r="I81" s="347" t="s">
        <v>971</v>
      </c>
      <c r="J81" s="347" t="s">
        <v>989</v>
      </c>
      <c r="K81" s="350" t="s">
        <v>1103</v>
      </c>
      <c r="L81" s="349" t="s">
        <v>1104</v>
      </c>
      <c r="M81" s="350" t="s">
        <v>1105</v>
      </c>
      <c r="N81" s="350" t="s">
        <v>1106</v>
      </c>
      <c r="S81" s="347" t="s">
        <v>631</v>
      </c>
      <c r="V81" s="347" t="s">
        <v>631</v>
      </c>
      <c r="W81" s="347" t="s">
        <v>631</v>
      </c>
      <c r="Y81" s="347" t="s">
        <v>631</v>
      </c>
      <c r="Z81" s="349" t="s">
        <v>975</v>
      </c>
    </row>
    <row r="82" spans="1:26" ht="16.899999999999999" customHeight="1" x14ac:dyDescent="0.15">
      <c r="A82" s="347" t="s">
        <v>1107</v>
      </c>
      <c r="B82" s="347">
        <v>1</v>
      </c>
      <c r="C82" s="347" t="s">
        <v>1007</v>
      </c>
      <c r="F82" s="348" t="s">
        <v>941</v>
      </c>
      <c r="G82" s="347" t="s">
        <v>709</v>
      </c>
      <c r="H82" s="347" t="s">
        <v>970</v>
      </c>
      <c r="I82" s="347" t="s">
        <v>971</v>
      </c>
      <c r="J82" s="347" t="s">
        <v>989</v>
      </c>
      <c r="K82" s="350" t="s">
        <v>1108</v>
      </c>
      <c r="L82" s="349" t="s">
        <v>1109</v>
      </c>
      <c r="M82" s="350" t="s">
        <v>1110</v>
      </c>
      <c r="N82" s="350" t="s">
        <v>1111</v>
      </c>
      <c r="O82" s="347" t="s">
        <v>631</v>
      </c>
      <c r="Q82" s="347" t="s">
        <v>631</v>
      </c>
      <c r="S82" s="347" t="s">
        <v>631</v>
      </c>
      <c r="Z82" s="349" t="s">
        <v>975</v>
      </c>
    </row>
    <row r="83" spans="1:26" ht="16.899999999999999" customHeight="1" x14ac:dyDescent="0.15">
      <c r="A83" s="347" t="s">
        <v>1112</v>
      </c>
      <c r="B83" s="347">
        <v>1</v>
      </c>
      <c r="C83" s="347" t="s">
        <v>977</v>
      </c>
      <c r="F83" s="348" t="s">
        <v>1047</v>
      </c>
      <c r="G83" s="347" t="s">
        <v>978</v>
      </c>
      <c r="H83" s="347" t="s">
        <v>970</v>
      </c>
      <c r="I83" s="347" t="s">
        <v>971</v>
      </c>
      <c r="J83" s="347" t="s">
        <v>989</v>
      </c>
      <c r="K83" s="350" t="s">
        <v>1113</v>
      </c>
      <c r="L83" s="349" t="s">
        <v>1016</v>
      </c>
      <c r="M83" s="350" t="s">
        <v>1114</v>
      </c>
      <c r="N83" s="350" t="s">
        <v>1115</v>
      </c>
      <c r="U83" s="347" t="s">
        <v>631</v>
      </c>
      <c r="Z83" s="349" t="s">
        <v>975</v>
      </c>
    </row>
    <row r="84" spans="1:26" ht="16.899999999999999" customHeight="1" x14ac:dyDescent="0.15">
      <c r="A84" s="347" t="s">
        <v>1116</v>
      </c>
      <c r="B84" s="347">
        <v>1</v>
      </c>
      <c r="C84" s="347" t="s">
        <v>1019</v>
      </c>
      <c r="F84" s="348" t="s">
        <v>941</v>
      </c>
      <c r="G84" s="347" t="s">
        <v>978</v>
      </c>
      <c r="H84" s="347" t="s">
        <v>970</v>
      </c>
      <c r="I84" s="347" t="s">
        <v>971</v>
      </c>
      <c r="K84" s="350"/>
      <c r="L84" s="349" t="s">
        <v>972</v>
      </c>
      <c r="M84" s="350" t="s">
        <v>1117</v>
      </c>
      <c r="N84" s="350" t="s">
        <v>1118</v>
      </c>
      <c r="U84" s="347" t="s">
        <v>631</v>
      </c>
      <c r="Z84" s="349" t="s">
        <v>975</v>
      </c>
    </row>
    <row r="85" spans="1:26" ht="16.899999999999999" customHeight="1" x14ac:dyDescent="0.15">
      <c r="A85" s="347" t="s">
        <v>1119</v>
      </c>
      <c r="B85" s="347">
        <v>1</v>
      </c>
      <c r="C85" s="347" t="s">
        <v>1007</v>
      </c>
      <c r="E85" s="347" t="s">
        <v>631</v>
      </c>
      <c r="F85" s="348" t="s">
        <v>941</v>
      </c>
      <c r="G85" s="347" t="s">
        <v>709</v>
      </c>
      <c r="H85" s="347" t="s">
        <v>970</v>
      </c>
      <c r="I85" s="347" t="s">
        <v>971</v>
      </c>
      <c r="J85" s="347" t="s">
        <v>989</v>
      </c>
      <c r="K85" s="350" t="s">
        <v>1120</v>
      </c>
      <c r="L85" s="349" t="s">
        <v>979</v>
      </c>
      <c r="M85" s="350" t="s">
        <v>1121</v>
      </c>
      <c r="N85" s="350" t="s">
        <v>1122</v>
      </c>
      <c r="O85" s="347" t="s">
        <v>631</v>
      </c>
      <c r="P85" s="347" t="s">
        <v>631</v>
      </c>
      <c r="U85" s="347" t="s">
        <v>631</v>
      </c>
      <c r="Z85" s="349" t="s">
        <v>975</v>
      </c>
    </row>
    <row r="86" spans="1:26" ht="16.899999999999999" customHeight="1" x14ac:dyDescent="0.15">
      <c r="A86" s="347" t="s">
        <v>1123</v>
      </c>
      <c r="B86" s="347">
        <v>1</v>
      </c>
      <c r="C86" s="347" t="s">
        <v>1007</v>
      </c>
      <c r="E86" s="347" t="s">
        <v>631</v>
      </c>
      <c r="F86" s="348" t="s">
        <v>941</v>
      </c>
      <c r="G86" s="347" t="s">
        <v>709</v>
      </c>
      <c r="H86" s="347" t="s">
        <v>970</v>
      </c>
      <c r="I86" s="347" t="s">
        <v>971</v>
      </c>
      <c r="J86" s="347" t="s">
        <v>989</v>
      </c>
      <c r="K86" s="350" t="s">
        <v>1124</v>
      </c>
      <c r="L86" s="349" t="s">
        <v>979</v>
      </c>
      <c r="M86" s="350" t="s">
        <v>1125</v>
      </c>
      <c r="N86" s="350" t="s">
        <v>1126</v>
      </c>
      <c r="P86" s="347" t="s">
        <v>631</v>
      </c>
      <c r="R86" s="347" t="s">
        <v>631</v>
      </c>
      <c r="Z86" s="349" t="s">
        <v>975</v>
      </c>
    </row>
    <row r="87" spans="1:26" ht="16.899999999999999" customHeight="1" x14ac:dyDescent="0.15">
      <c r="A87" s="347" t="s">
        <v>1127</v>
      </c>
      <c r="B87" s="347">
        <v>1</v>
      </c>
      <c r="C87" s="347" t="s">
        <v>968</v>
      </c>
      <c r="F87" s="348" t="s">
        <v>941</v>
      </c>
      <c r="G87" s="347" t="s">
        <v>978</v>
      </c>
      <c r="H87" s="347" t="s">
        <v>970</v>
      </c>
      <c r="I87" s="347" t="s">
        <v>971</v>
      </c>
      <c r="K87" s="350"/>
      <c r="L87" s="349" t="s">
        <v>972</v>
      </c>
      <c r="M87" s="350" t="s">
        <v>1128</v>
      </c>
      <c r="N87" s="350" t="s">
        <v>1129</v>
      </c>
      <c r="T87" s="347" t="s">
        <v>631</v>
      </c>
      <c r="V87" s="347" t="s">
        <v>631</v>
      </c>
      <c r="Z87" s="349" t="s">
        <v>975</v>
      </c>
    </row>
    <row r="88" spans="1:26" ht="16.899999999999999" customHeight="1" x14ac:dyDescent="0.15">
      <c r="A88" s="347" t="s">
        <v>1130</v>
      </c>
      <c r="B88" s="347">
        <v>1</v>
      </c>
      <c r="C88" s="347" t="s">
        <v>1007</v>
      </c>
      <c r="F88" s="348" t="s">
        <v>941</v>
      </c>
      <c r="G88" s="347" t="s">
        <v>709</v>
      </c>
      <c r="H88" s="347" t="s">
        <v>970</v>
      </c>
      <c r="I88" s="347" t="s">
        <v>971</v>
      </c>
      <c r="K88" s="350"/>
      <c r="L88" s="349" t="s">
        <v>1016</v>
      </c>
      <c r="M88" s="350" t="s">
        <v>1131</v>
      </c>
      <c r="N88" s="350" t="s">
        <v>1132</v>
      </c>
      <c r="O88" s="347" t="s">
        <v>631</v>
      </c>
      <c r="Q88" s="347" t="s">
        <v>631</v>
      </c>
      <c r="T88" s="347" t="s">
        <v>631</v>
      </c>
      <c r="U88" s="347" t="s">
        <v>631</v>
      </c>
      <c r="V88" s="347" t="s">
        <v>631</v>
      </c>
      <c r="Z88" s="349" t="s">
        <v>975</v>
      </c>
    </row>
    <row r="89" spans="1:26" ht="16.899999999999999" customHeight="1" x14ac:dyDescent="0.15">
      <c r="A89" s="347" t="s">
        <v>1133</v>
      </c>
      <c r="B89" s="347">
        <v>1</v>
      </c>
      <c r="C89" s="347" t="s">
        <v>968</v>
      </c>
      <c r="F89" s="348" t="s">
        <v>941</v>
      </c>
      <c r="G89" s="347" t="s">
        <v>1134</v>
      </c>
      <c r="H89" s="347" t="s">
        <v>970</v>
      </c>
      <c r="I89" s="347" t="s">
        <v>971</v>
      </c>
      <c r="J89" s="347" t="s">
        <v>989</v>
      </c>
      <c r="K89" s="350" t="s">
        <v>1135</v>
      </c>
      <c r="L89" s="349" t="s">
        <v>972</v>
      </c>
      <c r="M89" s="350" t="s">
        <v>1136</v>
      </c>
      <c r="N89" s="350" t="s">
        <v>1137</v>
      </c>
      <c r="T89" s="347" t="s">
        <v>631</v>
      </c>
      <c r="V89" s="347" t="s">
        <v>631</v>
      </c>
      <c r="Z89" s="349" t="s">
        <v>975</v>
      </c>
    </row>
    <row r="90" spans="1:26" ht="16.899999999999999" customHeight="1" x14ac:dyDescent="0.15">
      <c r="A90" s="347" t="s">
        <v>1138</v>
      </c>
      <c r="B90" s="347">
        <v>1</v>
      </c>
      <c r="C90" s="347" t="s">
        <v>987</v>
      </c>
      <c r="F90" s="348" t="s">
        <v>941</v>
      </c>
      <c r="G90" s="347" t="s">
        <v>978</v>
      </c>
      <c r="H90" s="347" t="s">
        <v>970</v>
      </c>
      <c r="I90" s="347" t="s">
        <v>971</v>
      </c>
      <c r="J90" s="347" t="s">
        <v>989</v>
      </c>
      <c r="K90" s="350" t="s">
        <v>1139</v>
      </c>
      <c r="L90" s="349" t="s">
        <v>972</v>
      </c>
      <c r="M90" s="350" t="s">
        <v>1140</v>
      </c>
      <c r="N90" s="350" t="s">
        <v>1141</v>
      </c>
      <c r="O90" s="347" t="s">
        <v>631</v>
      </c>
      <c r="T90" s="347" t="s">
        <v>631</v>
      </c>
      <c r="V90" s="347" t="s">
        <v>631</v>
      </c>
      <c r="Z90" s="349" t="s">
        <v>975</v>
      </c>
    </row>
    <row r="91" spans="1:26" ht="16.899999999999999" customHeight="1" x14ac:dyDescent="0.15">
      <c r="A91" s="347" t="s">
        <v>1142</v>
      </c>
      <c r="B91" s="347">
        <v>1</v>
      </c>
      <c r="C91" s="347" t="s">
        <v>1007</v>
      </c>
      <c r="F91" s="348" t="s">
        <v>941</v>
      </c>
      <c r="G91" s="347" t="s">
        <v>969</v>
      </c>
      <c r="H91" s="347" t="s">
        <v>970</v>
      </c>
      <c r="K91" s="350"/>
      <c r="L91" s="349" t="s">
        <v>972</v>
      </c>
      <c r="M91" s="350" t="s">
        <v>1143</v>
      </c>
      <c r="N91" s="350" t="s">
        <v>1144</v>
      </c>
      <c r="O91" s="347" t="s">
        <v>631</v>
      </c>
      <c r="P91" s="347" t="s">
        <v>631</v>
      </c>
      <c r="R91" s="347" t="s">
        <v>631</v>
      </c>
      <c r="Z91" s="349" t="s">
        <v>975</v>
      </c>
    </row>
    <row r="92" spans="1:26" ht="16.899999999999999" customHeight="1" x14ac:dyDescent="0.15">
      <c r="A92" s="347" t="s">
        <v>1145</v>
      </c>
      <c r="B92" s="347">
        <v>1</v>
      </c>
      <c r="C92" s="347" t="s">
        <v>1007</v>
      </c>
      <c r="E92" s="347" t="s">
        <v>631</v>
      </c>
      <c r="F92" s="348" t="s">
        <v>1047</v>
      </c>
      <c r="G92" s="347" t="s">
        <v>709</v>
      </c>
      <c r="H92" s="347" t="s">
        <v>970</v>
      </c>
      <c r="K92" s="350"/>
      <c r="L92" s="349" t="s">
        <v>979</v>
      </c>
      <c r="M92" s="350" t="s">
        <v>1146</v>
      </c>
      <c r="N92" s="350" t="s">
        <v>1147</v>
      </c>
      <c r="R92" s="347" t="s">
        <v>631</v>
      </c>
      <c r="Z92" s="349" t="s">
        <v>975</v>
      </c>
    </row>
    <row r="93" spans="1:26" ht="16.899999999999999" customHeight="1" x14ac:dyDescent="0.15">
      <c r="A93" s="347" t="s">
        <v>1148</v>
      </c>
      <c r="B93" s="347">
        <v>1</v>
      </c>
      <c r="C93" s="347" t="s">
        <v>1013</v>
      </c>
      <c r="D93" s="347" t="s">
        <v>631</v>
      </c>
      <c r="F93" s="348" t="s">
        <v>1149</v>
      </c>
      <c r="G93" s="347" t="s">
        <v>978</v>
      </c>
      <c r="H93" s="347" t="s">
        <v>970</v>
      </c>
      <c r="I93" s="347" t="s">
        <v>971</v>
      </c>
      <c r="J93" s="347" t="s">
        <v>989</v>
      </c>
      <c r="K93" s="350" t="s">
        <v>1150</v>
      </c>
      <c r="L93" s="349" t="s">
        <v>1016</v>
      </c>
      <c r="M93" s="350" t="s">
        <v>1151</v>
      </c>
      <c r="N93" s="350" t="s">
        <v>1152</v>
      </c>
      <c r="O93" s="347" t="s">
        <v>631</v>
      </c>
      <c r="T93" s="347" t="s">
        <v>631</v>
      </c>
      <c r="U93" s="347" t="s">
        <v>631</v>
      </c>
      <c r="V93" s="347" t="s">
        <v>631</v>
      </c>
      <c r="Y93" s="347" t="s">
        <v>631</v>
      </c>
      <c r="Z93" s="349" t="s">
        <v>975</v>
      </c>
    </row>
    <row r="94" spans="1:26" ht="16.899999999999999" customHeight="1" x14ac:dyDescent="0.15">
      <c r="A94" s="347" t="s">
        <v>1153</v>
      </c>
      <c r="B94" s="347">
        <v>1</v>
      </c>
      <c r="C94" s="347" t="s">
        <v>994</v>
      </c>
      <c r="F94" s="348" t="s">
        <v>941</v>
      </c>
      <c r="G94" s="347" t="s">
        <v>709</v>
      </c>
      <c r="H94" s="347" t="s">
        <v>970</v>
      </c>
      <c r="I94" s="347" t="s">
        <v>971</v>
      </c>
      <c r="J94" s="347" t="s">
        <v>989</v>
      </c>
      <c r="K94" s="350" t="s">
        <v>1154</v>
      </c>
      <c r="L94" s="349" t="s">
        <v>972</v>
      </c>
      <c r="M94" s="350" t="s">
        <v>1155</v>
      </c>
      <c r="N94" s="350" t="s">
        <v>1156</v>
      </c>
      <c r="P94" s="347" t="s">
        <v>631</v>
      </c>
      <c r="Q94" s="347" t="s">
        <v>631</v>
      </c>
      <c r="Y94" s="347" t="s">
        <v>631</v>
      </c>
      <c r="Z94" s="349" t="s">
        <v>975</v>
      </c>
    </row>
    <row r="95" spans="1:26" ht="16.899999999999999" customHeight="1" x14ac:dyDescent="0.15">
      <c r="A95" s="347" t="s">
        <v>1157</v>
      </c>
      <c r="B95" s="347">
        <v>1</v>
      </c>
      <c r="C95" s="347" t="s">
        <v>977</v>
      </c>
      <c r="F95" s="348" t="s">
        <v>941</v>
      </c>
      <c r="G95" s="347" t="s">
        <v>984</v>
      </c>
      <c r="H95" s="347" t="s">
        <v>970</v>
      </c>
      <c r="I95" s="347" t="s">
        <v>971</v>
      </c>
      <c r="K95" s="350"/>
      <c r="L95" s="349" t="s">
        <v>972</v>
      </c>
      <c r="M95" s="350" t="s">
        <v>1158</v>
      </c>
      <c r="N95" s="350" t="s">
        <v>1159</v>
      </c>
      <c r="O95" s="347" t="s">
        <v>631</v>
      </c>
      <c r="P95" s="347" t="s">
        <v>631</v>
      </c>
      <c r="Q95" s="347" t="s">
        <v>631</v>
      </c>
      <c r="R95" s="347" t="s">
        <v>631</v>
      </c>
      <c r="S95" s="347" t="s">
        <v>631</v>
      </c>
      <c r="W95" s="347" t="s">
        <v>631</v>
      </c>
      <c r="Y95" s="347" t="s">
        <v>631</v>
      </c>
      <c r="Z95" s="349" t="s">
        <v>975</v>
      </c>
    </row>
    <row r="96" spans="1:26" ht="16.899999999999999" customHeight="1" x14ac:dyDescent="0.15">
      <c r="A96" s="347" t="s">
        <v>1160</v>
      </c>
      <c r="B96" s="347">
        <v>1</v>
      </c>
      <c r="C96" s="347" t="s">
        <v>1013</v>
      </c>
      <c r="E96" s="347" t="s">
        <v>631</v>
      </c>
      <c r="F96" s="348" t="s">
        <v>941</v>
      </c>
      <c r="G96" s="347" t="s">
        <v>978</v>
      </c>
      <c r="H96" s="347" t="s">
        <v>970</v>
      </c>
      <c r="I96" s="347" t="s">
        <v>971</v>
      </c>
      <c r="K96" s="350"/>
      <c r="L96" s="349" t="s">
        <v>1161</v>
      </c>
      <c r="M96" s="350" t="s">
        <v>1162</v>
      </c>
      <c r="N96" s="350" t="s">
        <v>1163</v>
      </c>
      <c r="P96" s="347" t="s">
        <v>631</v>
      </c>
      <c r="R96" s="347" t="s">
        <v>631</v>
      </c>
      <c r="Y96" s="347" t="s">
        <v>631</v>
      </c>
      <c r="Z96" s="349" t="s">
        <v>975</v>
      </c>
    </row>
    <row r="97" spans="1:26" ht="16.899999999999999" customHeight="1" x14ac:dyDescent="0.15">
      <c r="A97" s="347" t="s">
        <v>149</v>
      </c>
      <c r="B97" s="347">
        <v>1</v>
      </c>
      <c r="C97" s="347" t="s">
        <v>1013</v>
      </c>
      <c r="D97" s="347" t="s">
        <v>631</v>
      </c>
      <c r="E97" s="347" t="s">
        <v>631</v>
      </c>
      <c r="F97" s="348" t="s">
        <v>1149</v>
      </c>
      <c r="G97" s="347" t="s">
        <v>978</v>
      </c>
      <c r="H97" s="347" t="s">
        <v>970</v>
      </c>
      <c r="I97" s="347" t="s">
        <v>971</v>
      </c>
      <c r="K97" s="350"/>
      <c r="L97" s="349" t="s">
        <v>1161</v>
      </c>
      <c r="M97" s="350" t="s">
        <v>1164</v>
      </c>
      <c r="N97" s="350" t="s">
        <v>1165</v>
      </c>
      <c r="O97" s="347" t="s">
        <v>631</v>
      </c>
      <c r="P97" s="347" t="s">
        <v>631</v>
      </c>
      <c r="Q97" s="347" t="s">
        <v>631</v>
      </c>
      <c r="R97" s="347" t="s">
        <v>631</v>
      </c>
      <c r="S97" s="347" t="s">
        <v>631</v>
      </c>
      <c r="T97" s="347" t="s">
        <v>631</v>
      </c>
      <c r="U97" s="347" t="s">
        <v>631</v>
      </c>
      <c r="V97" s="347" t="s">
        <v>631</v>
      </c>
      <c r="W97" s="347" t="s">
        <v>631</v>
      </c>
      <c r="Y97" s="347" t="s">
        <v>631</v>
      </c>
      <c r="Z97" s="349" t="s">
        <v>975</v>
      </c>
    </row>
    <row r="98" spans="1:26" ht="16.899999999999999" customHeight="1" x14ac:dyDescent="0.15">
      <c r="A98" s="347" t="s">
        <v>1166</v>
      </c>
      <c r="B98" s="347">
        <v>1</v>
      </c>
      <c r="C98" s="347" t="s">
        <v>1013</v>
      </c>
      <c r="D98" s="347" t="s">
        <v>631</v>
      </c>
      <c r="E98" s="347" t="s">
        <v>631</v>
      </c>
      <c r="F98" s="348" t="s">
        <v>1149</v>
      </c>
      <c r="G98" s="347" t="s">
        <v>978</v>
      </c>
      <c r="H98" s="347" t="s">
        <v>970</v>
      </c>
      <c r="I98" s="347" t="s">
        <v>971</v>
      </c>
      <c r="J98" s="347" t="s">
        <v>989</v>
      </c>
      <c r="K98" s="350" t="s">
        <v>1167</v>
      </c>
      <c r="L98" s="349" t="s">
        <v>1161</v>
      </c>
      <c r="M98" s="350" t="s">
        <v>1168</v>
      </c>
      <c r="N98" s="350" t="s">
        <v>1169</v>
      </c>
      <c r="P98" s="347" t="s">
        <v>631</v>
      </c>
      <c r="Q98" s="347" t="s">
        <v>631</v>
      </c>
      <c r="R98" s="347" t="s">
        <v>631</v>
      </c>
      <c r="S98" s="347" t="s">
        <v>631</v>
      </c>
      <c r="Y98" s="347" t="s">
        <v>631</v>
      </c>
      <c r="Z98" s="349" t="s">
        <v>975</v>
      </c>
    </row>
    <row r="99" spans="1:26" ht="16.899999999999999" customHeight="1" x14ac:dyDescent="0.15">
      <c r="A99" s="347" t="s">
        <v>1170</v>
      </c>
      <c r="B99" s="347">
        <v>1</v>
      </c>
      <c r="C99" s="347" t="s">
        <v>987</v>
      </c>
      <c r="F99" s="348" t="s">
        <v>941</v>
      </c>
      <c r="G99" s="347" t="s">
        <v>978</v>
      </c>
      <c r="H99" s="347" t="s">
        <v>970</v>
      </c>
      <c r="I99" s="347" t="s">
        <v>971</v>
      </c>
      <c r="K99" s="350"/>
      <c r="L99" s="349" t="s">
        <v>1016</v>
      </c>
      <c r="M99" s="350" t="s">
        <v>1171</v>
      </c>
      <c r="N99" s="350" t="s">
        <v>1172</v>
      </c>
      <c r="O99" s="347" t="s">
        <v>631</v>
      </c>
      <c r="T99" s="347" t="s">
        <v>631</v>
      </c>
      <c r="V99" s="347" t="s">
        <v>631</v>
      </c>
      <c r="W99" s="347" t="s">
        <v>631</v>
      </c>
      <c r="Z99" s="349" t="s">
        <v>975</v>
      </c>
    </row>
    <row r="100" spans="1:26" ht="16.899999999999999" customHeight="1" x14ac:dyDescent="0.15">
      <c r="A100" s="347" t="s">
        <v>1173</v>
      </c>
      <c r="B100" s="347">
        <v>1</v>
      </c>
      <c r="C100" s="347" t="s">
        <v>1007</v>
      </c>
      <c r="F100" s="348" t="s">
        <v>941</v>
      </c>
      <c r="G100" s="347" t="s">
        <v>969</v>
      </c>
      <c r="H100" s="347" t="s">
        <v>970</v>
      </c>
      <c r="K100" s="350"/>
      <c r="L100" s="349" t="s">
        <v>972</v>
      </c>
      <c r="M100" s="350" t="s">
        <v>1174</v>
      </c>
      <c r="N100" s="350" t="s">
        <v>1175</v>
      </c>
      <c r="O100" s="347" t="s">
        <v>631</v>
      </c>
      <c r="Z100" s="349" t="s">
        <v>975</v>
      </c>
    </row>
    <row r="101" spans="1:26" ht="16.899999999999999" customHeight="1" x14ac:dyDescent="0.15">
      <c r="A101" s="347" t="s">
        <v>1176</v>
      </c>
      <c r="B101" s="347">
        <v>1</v>
      </c>
      <c r="C101" s="347" t="s">
        <v>994</v>
      </c>
      <c r="F101" s="348" t="s">
        <v>1047</v>
      </c>
      <c r="G101" s="347" t="s">
        <v>978</v>
      </c>
      <c r="H101" s="347" t="s">
        <v>970</v>
      </c>
      <c r="I101" s="347" t="s">
        <v>971</v>
      </c>
      <c r="K101" s="350"/>
      <c r="L101" s="349" t="s">
        <v>1020</v>
      </c>
      <c r="M101" s="350" t="s">
        <v>1177</v>
      </c>
      <c r="N101" s="350" t="s">
        <v>1178</v>
      </c>
      <c r="R101" s="347" t="s">
        <v>631</v>
      </c>
      <c r="Z101" s="349" t="s">
        <v>975</v>
      </c>
    </row>
    <row r="102" spans="1:26" ht="16.899999999999999" customHeight="1" x14ac:dyDescent="0.15">
      <c r="A102" s="347" t="s">
        <v>1179</v>
      </c>
      <c r="B102" s="347">
        <v>1</v>
      </c>
      <c r="C102" s="347" t="s">
        <v>968</v>
      </c>
      <c r="F102" s="348" t="s">
        <v>1180</v>
      </c>
      <c r="G102" s="347" t="s">
        <v>978</v>
      </c>
      <c r="H102" s="347" t="s">
        <v>970</v>
      </c>
      <c r="K102" s="350"/>
      <c r="L102" s="349" t="s">
        <v>972</v>
      </c>
      <c r="M102" s="350" t="s">
        <v>1181</v>
      </c>
      <c r="N102" s="350" t="s">
        <v>1182</v>
      </c>
      <c r="R102" s="347" t="s">
        <v>631</v>
      </c>
      <c r="Z102" s="349" t="s">
        <v>975</v>
      </c>
    </row>
    <row r="103" spans="1:26" ht="16.899999999999999" customHeight="1" x14ac:dyDescent="0.15">
      <c r="A103" s="347" t="s">
        <v>1183</v>
      </c>
      <c r="B103" s="347">
        <v>1</v>
      </c>
      <c r="C103" s="347" t="s">
        <v>1019</v>
      </c>
      <c r="E103" s="347" t="s">
        <v>631</v>
      </c>
      <c r="F103" s="348" t="s">
        <v>1184</v>
      </c>
      <c r="G103" s="347" t="s">
        <v>978</v>
      </c>
      <c r="H103" s="347" t="s">
        <v>970</v>
      </c>
      <c r="K103" s="350"/>
      <c r="L103" s="349" t="s">
        <v>979</v>
      </c>
      <c r="M103" s="350" t="s">
        <v>1185</v>
      </c>
      <c r="N103" s="350" t="s">
        <v>1186</v>
      </c>
      <c r="S103" s="347" t="s">
        <v>631</v>
      </c>
      <c r="Z103" s="349" t="s">
        <v>975</v>
      </c>
    </row>
    <row r="104" spans="1:26" ht="16.899999999999999" customHeight="1" x14ac:dyDescent="0.15">
      <c r="A104" s="347" t="s">
        <v>1187</v>
      </c>
      <c r="B104" s="347">
        <v>1</v>
      </c>
      <c r="C104" s="347" t="s">
        <v>1019</v>
      </c>
      <c r="E104" s="347" t="s">
        <v>631</v>
      </c>
      <c r="F104" s="348" t="s">
        <v>941</v>
      </c>
      <c r="G104" s="347" t="s">
        <v>1134</v>
      </c>
      <c r="H104" s="347" t="s">
        <v>970</v>
      </c>
      <c r="I104" s="347" t="s">
        <v>971</v>
      </c>
      <c r="K104" s="350"/>
      <c r="L104" s="349" t="s">
        <v>979</v>
      </c>
      <c r="M104" s="350" t="s">
        <v>1188</v>
      </c>
      <c r="N104" s="350" t="s">
        <v>1189</v>
      </c>
      <c r="Q104" s="347" t="s">
        <v>631</v>
      </c>
      <c r="S104" s="347" t="s">
        <v>631</v>
      </c>
      <c r="Z104" s="349" t="s">
        <v>975</v>
      </c>
    </row>
    <row r="105" spans="1:26" ht="16.899999999999999" customHeight="1" x14ac:dyDescent="0.15">
      <c r="A105" s="347" t="s">
        <v>1190</v>
      </c>
      <c r="B105" s="347">
        <v>1</v>
      </c>
      <c r="C105" s="347" t="s">
        <v>994</v>
      </c>
      <c r="E105" s="347" t="s">
        <v>631</v>
      </c>
      <c r="F105" s="348" t="s">
        <v>1047</v>
      </c>
      <c r="G105" s="347" t="s">
        <v>978</v>
      </c>
      <c r="H105" s="347" t="s">
        <v>970</v>
      </c>
      <c r="I105" s="347" t="s">
        <v>971</v>
      </c>
      <c r="K105" s="350"/>
      <c r="L105" s="349" t="s">
        <v>1161</v>
      </c>
      <c r="M105" s="350" t="s">
        <v>1191</v>
      </c>
      <c r="N105" s="350" t="s">
        <v>1192</v>
      </c>
      <c r="T105" s="347" t="s">
        <v>631</v>
      </c>
      <c r="U105" s="347" t="s">
        <v>631</v>
      </c>
      <c r="V105" s="347" t="s">
        <v>631</v>
      </c>
      <c r="W105" s="347" t="s">
        <v>631</v>
      </c>
      <c r="Z105" s="349" t="s">
        <v>975</v>
      </c>
    </row>
    <row r="106" spans="1:26" ht="16.899999999999999" customHeight="1" x14ac:dyDescent="0.15">
      <c r="A106" s="347" t="s">
        <v>1193</v>
      </c>
      <c r="B106" s="347">
        <v>1</v>
      </c>
      <c r="C106" s="347" t="s">
        <v>968</v>
      </c>
      <c r="E106" s="347" t="s">
        <v>631</v>
      </c>
      <c r="F106" s="348" t="s">
        <v>941</v>
      </c>
      <c r="G106" s="347" t="s">
        <v>969</v>
      </c>
      <c r="H106" s="347" t="s">
        <v>970</v>
      </c>
      <c r="K106" s="350"/>
      <c r="L106" s="349" t="s">
        <v>979</v>
      </c>
      <c r="M106" s="350" t="s">
        <v>1194</v>
      </c>
      <c r="N106" s="350" t="s">
        <v>1195</v>
      </c>
      <c r="O106" s="347" t="s">
        <v>631</v>
      </c>
      <c r="Q106" s="347" t="s">
        <v>631</v>
      </c>
      <c r="W106" s="347" t="s">
        <v>631</v>
      </c>
      <c r="Z106" s="349" t="s">
        <v>975</v>
      </c>
    </row>
    <row r="107" spans="1:26" ht="16.899999999999999" customHeight="1" x14ac:dyDescent="0.15">
      <c r="A107" s="347" t="s">
        <v>1196</v>
      </c>
      <c r="B107" s="347">
        <v>1</v>
      </c>
      <c r="C107" s="347" t="s">
        <v>983</v>
      </c>
      <c r="F107" s="348" t="s">
        <v>941</v>
      </c>
      <c r="G107" s="347" t="s">
        <v>978</v>
      </c>
      <c r="H107" s="347" t="s">
        <v>970</v>
      </c>
      <c r="I107" s="347" t="s">
        <v>971</v>
      </c>
      <c r="J107" s="347" t="s">
        <v>989</v>
      </c>
      <c r="K107" s="350" t="s">
        <v>1197</v>
      </c>
      <c r="L107" s="349" t="s">
        <v>972</v>
      </c>
      <c r="M107" s="350" t="s">
        <v>1198</v>
      </c>
      <c r="N107" s="350" t="s">
        <v>1199</v>
      </c>
      <c r="T107" s="347" t="s">
        <v>631</v>
      </c>
      <c r="V107" s="347" t="s">
        <v>631</v>
      </c>
      <c r="W107" s="347" t="s">
        <v>631</v>
      </c>
      <c r="Y107" s="347" t="s">
        <v>631</v>
      </c>
      <c r="Z107" s="349" t="s">
        <v>975</v>
      </c>
    </row>
    <row r="108" spans="1:26" ht="16.899999999999999" customHeight="1" x14ac:dyDescent="0.15">
      <c r="A108" s="347" t="s">
        <v>1200</v>
      </c>
      <c r="B108" s="347">
        <v>1</v>
      </c>
      <c r="C108" s="347" t="s">
        <v>994</v>
      </c>
      <c r="F108" s="348" t="s">
        <v>1201</v>
      </c>
      <c r="G108" s="347" t="s">
        <v>969</v>
      </c>
      <c r="H108" s="347" t="s">
        <v>970</v>
      </c>
      <c r="J108" s="347" t="s">
        <v>989</v>
      </c>
      <c r="K108" s="350" t="s">
        <v>1202</v>
      </c>
      <c r="L108" s="349" t="s">
        <v>1020</v>
      </c>
      <c r="M108" s="350" t="s">
        <v>1203</v>
      </c>
      <c r="N108" s="350" t="s">
        <v>1204</v>
      </c>
      <c r="O108" s="347" t="s">
        <v>631</v>
      </c>
      <c r="T108" s="347" t="s">
        <v>631</v>
      </c>
      <c r="V108" s="347" t="s">
        <v>631</v>
      </c>
      <c r="W108" s="347" t="s">
        <v>631</v>
      </c>
      <c r="Y108" s="347" t="s">
        <v>631</v>
      </c>
      <c r="Z108" s="349" t="s">
        <v>975</v>
      </c>
    </row>
    <row r="109" spans="1:26" ht="16.899999999999999" customHeight="1" x14ac:dyDescent="0.15">
      <c r="A109" s="347" t="s">
        <v>1205</v>
      </c>
      <c r="B109" s="347">
        <v>1</v>
      </c>
      <c r="C109" s="347" t="s">
        <v>1019</v>
      </c>
      <c r="D109" s="347" t="s">
        <v>631</v>
      </c>
      <c r="F109" s="348" t="s">
        <v>1206</v>
      </c>
      <c r="G109" s="347" t="s">
        <v>1008</v>
      </c>
      <c r="H109" s="347" t="s">
        <v>970</v>
      </c>
      <c r="I109" s="347" t="s">
        <v>971</v>
      </c>
      <c r="J109" s="347" t="s">
        <v>989</v>
      </c>
      <c r="K109" s="350" t="s">
        <v>1207</v>
      </c>
      <c r="L109" s="349" t="s">
        <v>972</v>
      </c>
      <c r="M109" s="350" t="s">
        <v>1208</v>
      </c>
      <c r="N109" s="350" t="s">
        <v>1209</v>
      </c>
      <c r="V109" s="347" t="s">
        <v>631</v>
      </c>
      <c r="Z109" s="349" t="s">
        <v>975</v>
      </c>
    </row>
    <row r="110" spans="1:26" ht="16.899999999999999" customHeight="1" x14ac:dyDescent="0.15">
      <c r="A110" s="347" t="s">
        <v>1210</v>
      </c>
      <c r="B110" s="347">
        <v>1</v>
      </c>
      <c r="C110" s="347" t="s">
        <v>1019</v>
      </c>
      <c r="E110" s="347" t="s">
        <v>631</v>
      </c>
      <c r="F110" s="348" t="s">
        <v>941</v>
      </c>
      <c r="G110" s="347" t="s">
        <v>988</v>
      </c>
      <c r="H110" s="347" t="s">
        <v>970</v>
      </c>
      <c r="I110" s="347" t="s">
        <v>971</v>
      </c>
      <c r="K110" s="350"/>
      <c r="L110" s="349" t="s">
        <v>1211</v>
      </c>
      <c r="M110" s="350" t="s">
        <v>1212</v>
      </c>
      <c r="N110" s="350" t="s">
        <v>1213</v>
      </c>
      <c r="Q110" s="347" t="s">
        <v>631</v>
      </c>
      <c r="S110" s="347" t="s">
        <v>631</v>
      </c>
      <c r="T110" s="347" t="s">
        <v>631</v>
      </c>
      <c r="V110" s="347" t="s">
        <v>631</v>
      </c>
      <c r="Y110" s="347" t="s">
        <v>631</v>
      </c>
      <c r="Z110" s="349" t="s">
        <v>975</v>
      </c>
    </row>
    <row r="111" spans="1:26" ht="16.899999999999999" customHeight="1" x14ac:dyDescent="0.15">
      <c r="A111" s="347" t="s">
        <v>1214</v>
      </c>
      <c r="B111" s="347">
        <v>1</v>
      </c>
      <c r="C111" s="347" t="s">
        <v>1019</v>
      </c>
      <c r="F111" s="348" t="s">
        <v>941</v>
      </c>
      <c r="G111" s="347" t="s">
        <v>978</v>
      </c>
      <c r="H111" s="347" t="s">
        <v>970</v>
      </c>
      <c r="I111" s="347" t="s">
        <v>971</v>
      </c>
      <c r="J111" s="347" t="s">
        <v>989</v>
      </c>
      <c r="K111" s="350" t="s">
        <v>1215</v>
      </c>
      <c r="L111" s="349" t="s">
        <v>1109</v>
      </c>
      <c r="M111" s="350" t="s">
        <v>1216</v>
      </c>
      <c r="N111" s="350" t="s">
        <v>1217</v>
      </c>
      <c r="Q111" s="347" t="s">
        <v>631</v>
      </c>
      <c r="S111" s="347" t="s">
        <v>631</v>
      </c>
      <c r="Z111" s="349" t="s">
        <v>975</v>
      </c>
    </row>
    <row r="112" spans="1:26" ht="16.899999999999999" customHeight="1" x14ac:dyDescent="0.15">
      <c r="A112" s="347" t="s">
        <v>1218</v>
      </c>
      <c r="B112" s="347">
        <v>1</v>
      </c>
      <c r="C112" s="347" t="s">
        <v>1019</v>
      </c>
      <c r="F112" s="348" t="s">
        <v>941</v>
      </c>
      <c r="G112" s="347" t="s">
        <v>969</v>
      </c>
      <c r="H112" s="347" t="s">
        <v>970</v>
      </c>
      <c r="I112" s="347" t="s">
        <v>971</v>
      </c>
      <c r="J112" s="347" t="s">
        <v>989</v>
      </c>
      <c r="K112" s="350" t="s">
        <v>1219</v>
      </c>
      <c r="L112" s="349" t="s">
        <v>1020</v>
      </c>
      <c r="M112" s="350" t="s">
        <v>1220</v>
      </c>
      <c r="N112" s="350" t="s">
        <v>1221</v>
      </c>
      <c r="T112" s="347" t="s">
        <v>631</v>
      </c>
      <c r="V112" s="347" t="s">
        <v>631</v>
      </c>
      <c r="W112" s="347" t="s">
        <v>631</v>
      </c>
      <c r="Y112" s="347" t="s">
        <v>631</v>
      </c>
      <c r="Z112" s="349" t="s">
        <v>975</v>
      </c>
    </row>
    <row r="113" spans="1:26" ht="16.899999999999999" customHeight="1" x14ac:dyDescent="0.15">
      <c r="A113" s="347" t="s">
        <v>1222</v>
      </c>
      <c r="B113" s="347">
        <v>1</v>
      </c>
      <c r="C113" s="347" t="s">
        <v>968</v>
      </c>
      <c r="F113" s="348" t="s">
        <v>941</v>
      </c>
      <c r="G113" s="347" t="s">
        <v>988</v>
      </c>
      <c r="H113" s="347" t="s">
        <v>970</v>
      </c>
      <c r="I113" s="347" t="s">
        <v>971</v>
      </c>
      <c r="K113" s="350"/>
      <c r="L113" s="349" t="s">
        <v>1032</v>
      </c>
      <c r="M113" s="350" t="s">
        <v>1223</v>
      </c>
      <c r="N113" s="350" t="s">
        <v>1224</v>
      </c>
      <c r="P113" s="347" t="s">
        <v>631</v>
      </c>
      <c r="Z113" s="349" t="s">
        <v>975</v>
      </c>
    </row>
    <row r="114" spans="1:26" ht="16.899999999999999" customHeight="1" x14ac:dyDescent="0.15">
      <c r="A114" s="347" t="s">
        <v>1225</v>
      </c>
      <c r="B114" s="347">
        <v>1</v>
      </c>
      <c r="C114" s="347" t="s">
        <v>1019</v>
      </c>
      <c r="F114" s="348" t="s">
        <v>2975</v>
      </c>
      <c r="G114" s="347" t="s">
        <v>978</v>
      </c>
      <c r="H114" s="347" t="s">
        <v>970</v>
      </c>
      <c r="K114" s="350"/>
      <c r="L114" s="349" t="s">
        <v>972</v>
      </c>
      <c r="M114" s="350" t="s">
        <v>1226</v>
      </c>
      <c r="N114" s="350" t="s">
        <v>1227</v>
      </c>
      <c r="S114" s="347" t="s">
        <v>631</v>
      </c>
      <c r="Z114" s="349" t="s">
        <v>975</v>
      </c>
    </row>
    <row r="115" spans="1:26" ht="16.899999999999999" customHeight="1" x14ac:dyDescent="0.15">
      <c r="A115" s="347" t="s">
        <v>1228</v>
      </c>
      <c r="B115" s="347">
        <v>1</v>
      </c>
      <c r="C115" s="347" t="s">
        <v>977</v>
      </c>
      <c r="F115" s="348" t="s">
        <v>1047</v>
      </c>
      <c r="G115" s="347" t="s">
        <v>969</v>
      </c>
      <c r="H115" s="347" t="s">
        <v>970</v>
      </c>
      <c r="K115" s="350"/>
      <c r="L115" s="349" t="s">
        <v>972</v>
      </c>
      <c r="M115" s="350" t="s">
        <v>1229</v>
      </c>
      <c r="N115" s="350" t="s">
        <v>1230</v>
      </c>
      <c r="O115" s="347" t="s">
        <v>631</v>
      </c>
      <c r="P115" s="347" t="s">
        <v>631</v>
      </c>
      <c r="Q115" s="347" t="s">
        <v>631</v>
      </c>
      <c r="Y115" s="347" t="s">
        <v>631</v>
      </c>
      <c r="Z115" s="349" t="s">
        <v>975</v>
      </c>
    </row>
    <row r="116" spans="1:26" ht="16.899999999999999" customHeight="1" x14ac:dyDescent="0.15">
      <c r="A116" s="347" t="s">
        <v>1231</v>
      </c>
      <c r="B116" s="347">
        <v>1</v>
      </c>
      <c r="C116" s="347" t="s">
        <v>968</v>
      </c>
      <c r="F116" s="348" t="s">
        <v>1232</v>
      </c>
      <c r="G116" s="347" t="s">
        <v>969</v>
      </c>
      <c r="H116" s="347" t="s">
        <v>970</v>
      </c>
      <c r="I116" s="347" t="s">
        <v>971</v>
      </c>
      <c r="K116" s="350"/>
      <c r="L116" s="349" t="s">
        <v>972</v>
      </c>
      <c r="M116" s="350" t="s">
        <v>1233</v>
      </c>
      <c r="N116" s="350" t="s">
        <v>1234</v>
      </c>
      <c r="U116" s="347" t="s">
        <v>631</v>
      </c>
      <c r="Z116" s="349" t="s">
        <v>975</v>
      </c>
    </row>
    <row r="117" spans="1:26" ht="16.899999999999999" customHeight="1" x14ac:dyDescent="0.15">
      <c r="A117" s="347" t="s">
        <v>1235</v>
      </c>
      <c r="B117" s="347">
        <v>1</v>
      </c>
      <c r="C117" s="347" t="s">
        <v>1007</v>
      </c>
      <c r="E117" s="347" t="s">
        <v>631</v>
      </c>
      <c r="F117" s="348" t="s">
        <v>941</v>
      </c>
      <c r="G117" s="347" t="s">
        <v>984</v>
      </c>
      <c r="H117" s="347" t="s">
        <v>970</v>
      </c>
      <c r="I117" s="347" t="s">
        <v>971</v>
      </c>
      <c r="K117" s="350"/>
      <c r="L117" s="349" t="s">
        <v>979</v>
      </c>
      <c r="M117" s="350" t="s">
        <v>1236</v>
      </c>
      <c r="N117" s="350" t="s">
        <v>1237</v>
      </c>
      <c r="O117" s="347" t="s">
        <v>631</v>
      </c>
      <c r="R117" s="347" t="s">
        <v>631</v>
      </c>
      <c r="Z117" s="349" t="s">
        <v>975</v>
      </c>
    </row>
    <row r="118" spans="1:26" ht="16.899999999999999" customHeight="1" x14ac:dyDescent="0.15">
      <c r="A118" s="347" t="s">
        <v>1238</v>
      </c>
      <c r="B118" s="347">
        <v>1</v>
      </c>
      <c r="C118" s="347" t="s">
        <v>1007</v>
      </c>
      <c r="E118" s="347" t="s">
        <v>631</v>
      </c>
      <c r="F118" s="348" t="s">
        <v>1047</v>
      </c>
      <c r="G118" s="347" t="s">
        <v>1134</v>
      </c>
      <c r="H118" s="347" t="s">
        <v>970</v>
      </c>
      <c r="I118" s="347" t="s">
        <v>971</v>
      </c>
      <c r="J118" s="347" t="s">
        <v>989</v>
      </c>
      <c r="K118" s="350" t="s">
        <v>1239</v>
      </c>
      <c r="L118" s="349" t="s">
        <v>1211</v>
      </c>
      <c r="M118" s="350" t="s">
        <v>1240</v>
      </c>
      <c r="N118" s="350" t="s">
        <v>1241</v>
      </c>
      <c r="U118" s="347" t="s">
        <v>631</v>
      </c>
      <c r="Z118" s="349" t="s">
        <v>975</v>
      </c>
    </row>
    <row r="119" spans="1:26" ht="16.899999999999999" customHeight="1" x14ac:dyDescent="0.15">
      <c r="A119" s="347" t="s">
        <v>1242</v>
      </c>
      <c r="B119" s="347">
        <v>1</v>
      </c>
      <c r="C119" s="347" t="s">
        <v>1013</v>
      </c>
      <c r="E119" s="347" t="s">
        <v>631</v>
      </c>
      <c r="F119" s="348" t="s">
        <v>1047</v>
      </c>
      <c r="G119" s="347" t="s">
        <v>1134</v>
      </c>
      <c r="H119" s="347" t="s">
        <v>970</v>
      </c>
      <c r="K119" s="350"/>
      <c r="L119" s="349" t="s">
        <v>1211</v>
      </c>
      <c r="M119" s="350" t="s">
        <v>1243</v>
      </c>
      <c r="N119" s="350" t="s">
        <v>1244</v>
      </c>
      <c r="S119" s="347" t="s">
        <v>631</v>
      </c>
      <c r="Z119" s="349" t="s">
        <v>975</v>
      </c>
    </row>
    <row r="120" spans="1:26" ht="16.899999999999999" customHeight="1" x14ac:dyDescent="0.15">
      <c r="A120" s="347" t="s">
        <v>1245</v>
      </c>
      <c r="B120" s="347">
        <v>1</v>
      </c>
      <c r="C120" s="347" t="s">
        <v>1019</v>
      </c>
      <c r="F120" s="348" t="s">
        <v>941</v>
      </c>
      <c r="G120" s="347" t="s">
        <v>969</v>
      </c>
      <c r="I120" s="347" t="s">
        <v>971</v>
      </c>
      <c r="J120" s="347" t="s">
        <v>989</v>
      </c>
      <c r="K120" s="350" t="s">
        <v>1246</v>
      </c>
      <c r="L120" s="349" t="s">
        <v>972</v>
      </c>
      <c r="M120" s="350" t="s">
        <v>1247</v>
      </c>
      <c r="N120" s="350" t="s">
        <v>1248</v>
      </c>
      <c r="Q120" s="347" t="s">
        <v>631</v>
      </c>
      <c r="T120" s="347" t="s">
        <v>631</v>
      </c>
      <c r="V120" s="347" t="s">
        <v>631</v>
      </c>
      <c r="Z120" s="349" t="s">
        <v>975</v>
      </c>
    </row>
    <row r="121" spans="1:26" ht="16.899999999999999" customHeight="1" x14ac:dyDescent="0.15">
      <c r="A121" s="347" t="s">
        <v>1249</v>
      </c>
      <c r="B121" s="347">
        <v>1</v>
      </c>
      <c r="C121" s="347" t="s">
        <v>1013</v>
      </c>
      <c r="D121" s="347" t="s">
        <v>631</v>
      </c>
      <c r="F121" s="348" t="s">
        <v>1250</v>
      </c>
      <c r="G121" s="347" t="s">
        <v>984</v>
      </c>
      <c r="H121" s="347" t="s">
        <v>970</v>
      </c>
      <c r="I121" s="347" t="s">
        <v>971</v>
      </c>
      <c r="J121" s="347" t="s">
        <v>989</v>
      </c>
      <c r="K121" s="350" t="s">
        <v>1251</v>
      </c>
      <c r="L121" s="349" t="s">
        <v>972</v>
      </c>
      <c r="M121" s="350" t="s">
        <v>1252</v>
      </c>
      <c r="N121" s="350" t="s">
        <v>1253</v>
      </c>
      <c r="O121" s="347" t="s">
        <v>631</v>
      </c>
      <c r="V121" s="347" t="s">
        <v>631</v>
      </c>
      <c r="W121" s="347" t="s">
        <v>631</v>
      </c>
      <c r="Y121" s="347" t="s">
        <v>631</v>
      </c>
      <c r="Z121" s="349" t="s">
        <v>975</v>
      </c>
    </row>
    <row r="122" spans="1:26" ht="16.899999999999999" customHeight="1" x14ac:dyDescent="0.15">
      <c r="A122" s="347" t="s">
        <v>1254</v>
      </c>
      <c r="B122" s="347">
        <v>1</v>
      </c>
      <c r="C122" s="347" t="s">
        <v>987</v>
      </c>
      <c r="D122" s="347" t="s">
        <v>631</v>
      </c>
      <c r="F122" s="348" t="s">
        <v>1250</v>
      </c>
      <c r="G122" s="347" t="s">
        <v>984</v>
      </c>
      <c r="H122" s="347" t="s">
        <v>970</v>
      </c>
      <c r="I122" s="347" t="s">
        <v>971</v>
      </c>
      <c r="J122" s="347" t="s">
        <v>989</v>
      </c>
      <c r="K122" s="350" t="s">
        <v>1255</v>
      </c>
      <c r="L122" s="349" t="s">
        <v>1256</v>
      </c>
      <c r="M122" s="350" t="s">
        <v>1257</v>
      </c>
      <c r="N122" s="350" t="s">
        <v>1258</v>
      </c>
      <c r="O122" s="347" t="s">
        <v>631</v>
      </c>
      <c r="V122" s="347" t="s">
        <v>631</v>
      </c>
      <c r="Y122" s="347" t="s">
        <v>631</v>
      </c>
      <c r="Z122" s="349" t="s">
        <v>975</v>
      </c>
    </row>
    <row r="123" spans="1:26" ht="16.899999999999999" customHeight="1" x14ac:dyDescent="0.15">
      <c r="A123" s="347" t="s">
        <v>1259</v>
      </c>
      <c r="B123" s="347">
        <v>1</v>
      </c>
      <c r="C123" s="347" t="s">
        <v>983</v>
      </c>
      <c r="F123" s="348" t="s">
        <v>941</v>
      </c>
      <c r="G123" s="347" t="s">
        <v>984</v>
      </c>
      <c r="H123" s="347" t="s">
        <v>970</v>
      </c>
      <c r="I123" s="347" t="s">
        <v>971</v>
      </c>
      <c r="K123" s="350"/>
      <c r="L123" s="349" t="s">
        <v>972</v>
      </c>
      <c r="M123" s="350" t="s">
        <v>1260</v>
      </c>
      <c r="N123" s="350" t="s">
        <v>1261</v>
      </c>
      <c r="P123" s="347" t="s">
        <v>631</v>
      </c>
      <c r="Z123" s="349" t="s">
        <v>975</v>
      </c>
    </row>
    <row r="124" spans="1:26" ht="16.899999999999999" customHeight="1" x14ac:dyDescent="0.15">
      <c r="A124" s="347" t="s">
        <v>1262</v>
      </c>
      <c r="B124" s="347">
        <v>1</v>
      </c>
      <c r="C124" s="347" t="s">
        <v>994</v>
      </c>
      <c r="F124" s="348" t="s">
        <v>1047</v>
      </c>
      <c r="G124" s="347" t="s">
        <v>984</v>
      </c>
      <c r="H124" s="347" t="s">
        <v>970</v>
      </c>
      <c r="I124" s="347" t="s">
        <v>971</v>
      </c>
      <c r="J124" s="347" t="s">
        <v>989</v>
      </c>
      <c r="K124" s="350" t="s">
        <v>1263</v>
      </c>
      <c r="L124" s="349" t="s">
        <v>1020</v>
      </c>
      <c r="M124" s="350" t="s">
        <v>1264</v>
      </c>
      <c r="N124" s="350" t="s">
        <v>1265</v>
      </c>
      <c r="Q124" s="347" t="s">
        <v>631</v>
      </c>
      <c r="S124" s="347" t="s">
        <v>631</v>
      </c>
      <c r="T124" s="347" t="s">
        <v>631</v>
      </c>
      <c r="V124" s="347" t="s">
        <v>631</v>
      </c>
      <c r="Y124" s="347" t="s">
        <v>631</v>
      </c>
      <c r="Z124" s="349" t="s">
        <v>975</v>
      </c>
    </row>
    <row r="125" spans="1:26" ht="16.899999999999999" customHeight="1" x14ac:dyDescent="0.15">
      <c r="A125" s="347" t="s">
        <v>1266</v>
      </c>
      <c r="B125" s="347">
        <v>1</v>
      </c>
      <c r="C125" s="347" t="s">
        <v>994</v>
      </c>
      <c r="F125" s="348" t="s">
        <v>941</v>
      </c>
      <c r="G125" s="347" t="s">
        <v>984</v>
      </c>
      <c r="H125" s="347" t="s">
        <v>970</v>
      </c>
      <c r="I125" s="347" t="s">
        <v>971</v>
      </c>
      <c r="J125" s="347" t="s">
        <v>989</v>
      </c>
      <c r="K125" s="350" t="s">
        <v>1267</v>
      </c>
      <c r="L125" s="349" t="s">
        <v>1016</v>
      </c>
      <c r="M125" s="350" t="s">
        <v>1268</v>
      </c>
      <c r="N125" s="350" t="s">
        <v>1269</v>
      </c>
      <c r="O125" s="347" t="s">
        <v>631</v>
      </c>
      <c r="Q125" s="347" t="s">
        <v>631</v>
      </c>
      <c r="S125" s="347" t="s">
        <v>631</v>
      </c>
      <c r="V125" s="347" t="s">
        <v>631</v>
      </c>
      <c r="W125" s="347" t="s">
        <v>631</v>
      </c>
      <c r="Z125" s="349" t="s">
        <v>975</v>
      </c>
    </row>
    <row r="126" spans="1:26" ht="16.899999999999999" customHeight="1" x14ac:dyDescent="0.15">
      <c r="A126" s="347" t="s">
        <v>635</v>
      </c>
      <c r="B126" s="347">
        <v>1</v>
      </c>
      <c r="C126" s="347" t="s">
        <v>977</v>
      </c>
      <c r="F126" s="348" t="s">
        <v>941</v>
      </c>
      <c r="G126" s="347" t="s">
        <v>984</v>
      </c>
      <c r="H126" s="347" t="s">
        <v>970</v>
      </c>
      <c r="I126" s="347" t="s">
        <v>971</v>
      </c>
      <c r="J126" s="347" t="s">
        <v>989</v>
      </c>
      <c r="K126" s="350" t="s">
        <v>1270</v>
      </c>
      <c r="L126" s="349" t="s">
        <v>1104</v>
      </c>
      <c r="M126" s="350" t="s">
        <v>1271</v>
      </c>
      <c r="N126" s="350" t="s">
        <v>1272</v>
      </c>
      <c r="T126" s="347" t="s">
        <v>631</v>
      </c>
      <c r="V126" s="347" t="s">
        <v>631</v>
      </c>
      <c r="Z126" s="349" t="s">
        <v>975</v>
      </c>
    </row>
    <row r="127" spans="1:26" ht="16.899999999999999" customHeight="1" x14ac:dyDescent="0.15">
      <c r="A127" s="347" t="s">
        <v>1273</v>
      </c>
      <c r="B127" s="347">
        <v>1</v>
      </c>
      <c r="C127" s="347" t="s">
        <v>968</v>
      </c>
      <c r="F127" s="348" t="s">
        <v>941</v>
      </c>
      <c r="G127" s="347" t="s">
        <v>988</v>
      </c>
      <c r="H127" s="347" t="s">
        <v>970</v>
      </c>
      <c r="I127" s="347" t="s">
        <v>971</v>
      </c>
      <c r="K127" s="350"/>
      <c r="L127" s="349" t="s">
        <v>972</v>
      </c>
      <c r="M127" s="350" t="s">
        <v>1274</v>
      </c>
      <c r="N127" s="350" t="s">
        <v>1275</v>
      </c>
      <c r="T127" s="347" t="s">
        <v>631</v>
      </c>
      <c r="V127" s="347" t="s">
        <v>631</v>
      </c>
      <c r="Z127" s="349" t="s">
        <v>975</v>
      </c>
    </row>
    <row r="128" spans="1:26" ht="16.899999999999999" customHeight="1" x14ac:dyDescent="0.15">
      <c r="A128" s="347" t="s">
        <v>1276</v>
      </c>
      <c r="B128" s="347">
        <v>1</v>
      </c>
      <c r="C128" s="347" t="s">
        <v>977</v>
      </c>
      <c r="E128" s="347" t="s">
        <v>631</v>
      </c>
      <c r="F128" s="348" t="s">
        <v>941</v>
      </c>
      <c r="G128" s="347" t="s">
        <v>984</v>
      </c>
      <c r="H128" s="347" t="s">
        <v>970</v>
      </c>
      <c r="I128" s="347" t="s">
        <v>971</v>
      </c>
      <c r="J128" s="347" t="s">
        <v>989</v>
      </c>
      <c r="K128" s="350" t="s">
        <v>1277</v>
      </c>
      <c r="L128" s="349" t="s">
        <v>1161</v>
      </c>
      <c r="M128" s="350" t="s">
        <v>1278</v>
      </c>
      <c r="N128" s="350" t="s">
        <v>1279</v>
      </c>
      <c r="P128" s="347" t="s">
        <v>631</v>
      </c>
      <c r="Q128" s="347" t="s">
        <v>631</v>
      </c>
      <c r="R128" s="347" t="s">
        <v>631</v>
      </c>
      <c r="U128" s="347" t="s">
        <v>631</v>
      </c>
      <c r="V128" s="347" t="s">
        <v>631</v>
      </c>
      <c r="Y128" s="347" t="s">
        <v>631</v>
      </c>
      <c r="Z128" s="349" t="s">
        <v>975</v>
      </c>
    </row>
    <row r="129" spans="1:26" ht="16.899999999999999" customHeight="1" x14ac:dyDescent="0.15">
      <c r="A129" s="347" t="s">
        <v>1280</v>
      </c>
      <c r="B129" s="347">
        <v>1</v>
      </c>
      <c r="C129" s="347" t="s">
        <v>994</v>
      </c>
      <c r="D129" s="347" t="s">
        <v>631</v>
      </c>
      <c r="F129" s="348" t="s">
        <v>1149</v>
      </c>
      <c r="G129" s="347" t="s">
        <v>1008</v>
      </c>
      <c r="H129" s="347" t="s">
        <v>970</v>
      </c>
      <c r="I129" s="347" t="s">
        <v>971</v>
      </c>
      <c r="K129" s="350"/>
      <c r="L129" s="349" t="s">
        <v>972</v>
      </c>
      <c r="M129" s="350" t="s">
        <v>1281</v>
      </c>
      <c r="N129" s="350" t="s">
        <v>1282</v>
      </c>
      <c r="P129" s="347" t="s">
        <v>631</v>
      </c>
      <c r="Q129" s="347" t="s">
        <v>631</v>
      </c>
      <c r="R129" s="347" t="s">
        <v>631</v>
      </c>
      <c r="W129" s="347" t="s">
        <v>631</v>
      </c>
      <c r="Y129" s="347" t="s">
        <v>631</v>
      </c>
      <c r="Z129" s="349" t="s">
        <v>975</v>
      </c>
    </row>
    <row r="130" spans="1:26" ht="16.899999999999999" customHeight="1" x14ac:dyDescent="0.15">
      <c r="A130" s="347" t="s">
        <v>1283</v>
      </c>
      <c r="B130" s="347">
        <v>1</v>
      </c>
      <c r="C130" s="347" t="s">
        <v>983</v>
      </c>
      <c r="F130" s="348" t="s">
        <v>941</v>
      </c>
      <c r="G130" s="347" t="s">
        <v>969</v>
      </c>
      <c r="H130" s="347" t="s">
        <v>970</v>
      </c>
      <c r="I130" s="347" t="s">
        <v>971</v>
      </c>
      <c r="K130" s="350"/>
      <c r="L130" s="349" t="s">
        <v>972</v>
      </c>
      <c r="M130" s="350" t="s">
        <v>1284</v>
      </c>
      <c r="N130" s="350" t="s">
        <v>1285</v>
      </c>
      <c r="T130" s="347" t="s">
        <v>631</v>
      </c>
      <c r="V130" s="347" t="s">
        <v>631</v>
      </c>
      <c r="Y130" s="347" t="s">
        <v>631</v>
      </c>
      <c r="Z130" s="349" t="s">
        <v>975</v>
      </c>
    </row>
    <row r="131" spans="1:26" ht="16.899999999999999" customHeight="1" x14ac:dyDescent="0.15">
      <c r="A131" s="347" t="s">
        <v>1286</v>
      </c>
      <c r="B131" s="347">
        <v>1</v>
      </c>
      <c r="C131" s="347" t="s">
        <v>977</v>
      </c>
      <c r="F131" s="348" t="s">
        <v>1047</v>
      </c>
      <c r="G131" s="347" t="s">
        <v>709</v>
      </c>
      <c r="H131" s="347" t="s">
        <v>970</v>
      </c>
      <c r="I131" s="347" t="s">
        <v>971</v>
      </c>
      <c r="J131" s="347" t="s">
        <v>989</v>
      </c>
      <c r="K131" s="350" t="s">
        <v>1287</v>
      </c>
      <c r="L131" s="349" t="s">
        <v>1020</v>
      </c>
      <c r="M131" s="350" t="s">
        <v>1288</v>
      </c>
      <c r="N131" s="350" t="s">
        <v>1289</v>
      </c>
      <c r="P131" s="347" t="s">
        <v>631</v>
      </c>
      <c r="W131" s="347" t="s">
        <v>631</v>
      </c>
      <c r="Z131" s="349" t="s">
        <v>975</v>
      </c>
    </row>
    <row r="132" spans="1:26" ht="16.899999999999999" customHeight="1" x14ac:dyDescent="0.15">
      <c r="A132" s="347" t="s">
        <v>1290</v>
      </c>
      <c r="B132" s="347">
        <v>1</v>
      </c>
      <c r="C132" s="347" t="s">
        <v>968</v>
      </c>
      <c r="F132" s="348" t="s">
        <v>1180</v>
      </c>
      <c r="G132" s="347" t="s">
        <v>978</v>
      </c>
      <c r="H132" s="347" t="s">
        <v>970</v>
      </c>
      <c r="K132" s="350"/>
      <c r="L132" s="349" t="s">
        <v>1020</v>
      </c>
      <c r="M132" s="350" t="s">
        <v>1291</v>
      </c>
      <c r="N132" s="350" t="s">
        <v>1292</v>
      </c>
      <c r="R132" s="347" t="s">
        <v>631</v>
      </c>
      <c r="Z132" s="349" t="s">
        <v>975</v>
      </c>
    </row>
    <row r="133" spans="1:26" ht="16.899999999999999" customHeight="1" x14ac:dyDescent="0.15">
      <c r="A133" s="347" t="s">
        <v>1293</v>
      </c>
      <c r="B133" s="347">
        <v>1</v>
      </c>
      <c r="C133" s="347" t="s">
        <v>977</v>
      </c>
      <c r="F133" s="348" t="s">
        <v>1294</v>
      </c>
      <c r="G133" s="347" t="s">
        <v>978</v>
      </c>
      <c r="H133" s="347" t="s">
        <v>970</v>
      </c>
      <c r="I133" s="347" t="s">
        <v>971</v>
      </c>
      <c r="K133" s="350"/>
      <c r="L133" s="349" t="s">
        <v>1032</v>
      </c>
      <c r="M133" s="350" t="s">
        <v>1295</v>
      </c>
      <c r="N133" s="350" t="s">
        <v>1296</v>
      </c>
      <c r="T133" s="347" t="s">
        <v>631</v>
      </c>
      <c r="V133" s="347" t="s">
        <v>631</v>
      </c>
      <c r="Z133" s="349" t="s">
        <v>975</v>
      </c>
    </row>
    <row r="134" spans="1:26" ht="16.899999999999999" customHeight="1" x14ac:dyDescent="0.15">
      <c r="A134" s="347" t="s">
        <v>1297</v>
      </c>
      <c r="B134" s="347">
        <v>1</v>
      </c>
      <c r="C134" s="347" t="s">
        <v>977</v>
      </c>
      <c r="E134" s="347" t="s">
        <v>631</v>
      </c>
      <c r="F134" s="348" t="s">
        <v>1047</v>
      </c>
      <c r="G134" s="347" t="s">
        <v>969</v>
      </c>
      <c r="H134" s="347" t="s">
        <v>970</v>
      </c>
      <c r="I134" s="347" t="s">
        <v>971</v>
      </c>
      <c r="J134" s="347" t="s">
        <v>989</v>
      </c>
      <c r="K134" s="350" t="s">
        <v>1298</v>
      </c>
      <c r="L134" s="349" t="s">
        <v>1161</v>
      </c>
      <c r="M134" s="350" t="s">
        <v>1299</v>
      </c>
      <c r="N134" s="350" t="s">
        <v>1300</v>
      </c>
      <c r="P134" s="347" t="s">
        <v>631</v>
      </c>
      <c r="R134" s="347" t="s">
        <v>631</v>
      </c>
      <c r="Z134" s="349" t="s">
        <v>975</v>
      </c>
    </row>
    <row r="135" spans="1:26" ht="16.899999999999999" customHeight="1" x14ac:dyDescent="0.15">
      <c r="A135" s="347" t="s">
        <v>1301</v>
      </c>
      <c r="B135" s="347">
        <v>1</v>
      </c>
      <c r="C135" s="347" t="s">
        <v>987</v>
      </c>
      <c r="E135" s="347" t="s">
        <v>631</v>
      </c>
      <c r="F135" s="348" t="s">
        <v>941</v>
      </c>
      <c r="G135" s="347" t="s">
        <v>969</v>
      </c>
      <c r="H135" s="347" t="s">
        <v>970</v>
      </c>
      <c r="I135" s="347" t="s">
        <v>971</v>
      </c>
      <c r="J135" s="347" t="s">
        <v>989</v>
      </c>
      <c r="K135" s="350" t="s">
        <v>1302</v>
      </c>
      <c r="L135" s="349" t="s">
        <v>1161</v>
      </c>
      <c r="M135" s="350" t="s">
        <v>1303</v>
      </c>
      <c r="N135" s="350" t="s">
        <v>1304</v>
      </c>
      <c r="O135" s="347" t="s">
        <v>631</v>
      </c>
      <c r="T135" s="347" t="s">
        <v>631</v>
      </c>
      <c r="V135" s="347" t="s">
        <v>631</v>
      </c>
      <c r="Z135" s="349" t="s">
        <v>975</v>
      </c>
    </row>
    <row r="136" spans="1:26" ht="16.899999999999999" customHeight="1" x14ac:dyDescent="0.15">
      <c r="A136" s="347" t="s">
        <v>1305</v>
      </c>
      <c r="B136" s="347">
        <v>1</v>
      </c>
      <c r="C136" s="347" t="s">
        <v>1007</v>
      </c>
      <c r="E136" s="347" t="s">
        <v>631</v>
      </c>
      <c r="F136" s="348" t="s">
        <v>941</v>
      </c>
      <c r="G136" s="347" t="s">
        <v>969</v>
      </c>
      <c r="H136" s="347" t="s">
        <v>970</v>
      </c>
      <c r="I136" s="347" t="s">
        <v>971</v>
      </c>
      <c r="J136" s="347" t="s">
        <v>989</v>
      </c>
      <c r="K136" s="350" t="s">
        <v>1306</v>
      </c>
      <c r="L136" s="349" t="s">
        <v>979</v>
      </c>
      <c r="M136" s="350" t="s">
        <v>1307</v>
      </c>
      <c r="N136" s="350" t="s">
        <v>1308</v>
      </c>
      <c r="O136" s="347" t="s">
        <v>631</v>
      </c>
      <c r="T136" s="347" t="s">
        <v>631</v>
      </c>
      <c r="V136" s="347" t="s">
        <v>631</v>
      </c>
      <c r="Y136" s="347" t="s">
        <v>631</v>
      </c>
      <c r="Z136" s="349" t="s">
        <v>975</v>
      </c>
    </row>
    <row r="137" spans="1:26" ht="16.899999999999999" customHeight="1" x14ac:dyDescent="0.15">
      <c r="A137" s="347" t="s">
        <v>1309</v>
      </c>
      <c r="B137" s="347">
        <v>1</v>
      </c>
      <c r="C137" s="347" t="s">
        <v>1013</v>
      </c>
      <c r="D137" s="347" t="s">
        <v>631</v>
      </c>
      <c r="F137" s="348" t="s">
        <v>1149</v>
      </c>
      <c r="G137" s="347" t="s">
        <v>978</v>
      </c>
      <c r="H137" s="347" t="s">
        <v>970</v>
      </c>
      <c r="I137" s="347" t="s">
        <v>971</v>
      </c>
      <c r="K137" s="350"/>
      <c r="L137" s="349" t="s">
        <v>1048</v>
      </c>
      <c r="M137" s="350" t="s">
        <v>1310</v>
      </c>
      <c r="N137" s="350" t="s">
        <v>1311</v>
      </c>
      <c r="O137" s="347" t="s">
        <v>631</v>
      </c>
      <c r="Q137" s="347" t="s">
        <v>631</v>
      </c>
      <c r="S137" s="347" t="s">
        <v>631</v>
      </c>
      <c r="U137" s="347" t="s">
        <v>631</v>
      </c>
      <c r="Z137" s="349" t="s">
        <v>975</v>
      </c>
    </row>
    <row r="138" spans="1:26" ht="16.899999999999999" customHeight="1" x14ac:dyDescent="0.15">
      <c r="A138" s="347" t="s">
        <v>1312</v>
      </c>
      <c r="B138" s="347">
        <v>1</v>
      </c>
      <c r="C138" s="347" t="s">
        <v>1007</v>
      </c>
      <c r="E138" s="347" t="s">
        <v>631</v>
      </c>
      <c r="F138" s="348" t="s">
        <v>941</v>
      </c>
      <c r="G138" s="347" t="s">
        <v>709</v>
      </c>
      <c r="H138" s="347" t="s">
        <v>970</v>
      </c>
      <c r="I138" s="347" t="s">
        <v>971</v>
      </c>
      <c r="J138" s="347" t="s">
        <v>989</v>
      </c>
      <c r="K138" s="350" t="s">
        <v>1313</v>
      </c>
      <c r="L138" s="349" t="s">
        <v>979</v>
      </c>
      <c r="M138" s="350" t="s">
        <v>1314</v>
      </c>
      <c r="N138" s="350" t="s">
        <v>1315</v>
      </c>
      <c r="O138" s="347" t="s">
        <v>631</v>
      </c>
      <c r="U138" s="347" t="s">
        <v>631</v>
      </c>
      <c r="V138" s="347" t="s">
        <v>631</v>
      </c>
      <c r="Y138" s="347" t="s">
        <v>631</v>
      </c>
      <c r="Z138" s="349" t="s">
        <v>975</v>
      </c>
    </row>
    <row r="139" spans="1:26" ht="16.899999999999999" customHeight="1" x14ac:dyDescent="0.15">
      <c r="A139" s="347" t="s">
        <v>1316</v>
      </c>
      <c r="B139" s="347">
        <v>1</v>
      </c>
      <c r="C139" s="347" t="s">
        <v>1019</v>
      </c>
      <c r="D139" s="347" t="s">
        <v>631</v>
      </c>
      <c r="F139" s="348" t="s">
        <v>1149</v>
      </c>
      <c r="G139" s="347" t="s">
        <v>709</v>
      </c>
      <c r="H139" s="347" t="s">
        <v>970</v>
      </c>
      <c r="I139" s="347" t="s">
        <v>971</v>
      </c>
      <c r="J139" s="347" t="s">
        <v>989</v>
      </c>
      <c r="K139" s="350" t="s">
        <v>1317</v>
      </c>
      <c r="L139" s="349" t="s">
        <v>1016</v>
      </c>
      <c r="M139" s="350" t="s">
        <v>1318</v>
      </c>
      <c r="N139" s="350" t="s">
        <v>1319</v>
      </c>
      <c r="V139" s="347" t="s">
        <v>631</v>
      </c>
      <c r="Y139" s="347" t="s">
        <v>631</v>
      </c>
      <c r="Z139" s="349" t="s">
        <v>975</v>
      </c>
    </row>
    <row r="140" spans="1:26" ht="16.899999999999999" customHeight="1" x14ac:dyDescent="0.15">
      <c r="A140" s="347" t="s">
        <v>1320</v>
      </c>
      <c r="B140" s="347">
        <v>1</v>
      </c>
      <c r="C140" s="347" t="s">
        <v>968</v>
      </c>
      <c r="F140" s="348" t="s">
        <v>1180</v>
      </c>
      <c r="G140" s="347" t="s">
        <v>978</v>
      </c>
      <c r="H140" s="347" t="s">
        <v>970</v>
      </c>
      <c r="K140" s="350"/>
      <c r="L140" s="349" t="s">
        <v>972</v>
      </c>
      <c r="M140" s="350" t="s">
        <v>1321</v>
      </c>
      <c r="N140" s="350" t="s">
        <v>1322</v>
      </c>
      <c r="R140" s="347" t="s">
        <v>631</v>
      </c>
      <c r="Z140" s="349" t="s">
        <v>975</v>
      </c>
    </row>
    <row r="141" spans="1:26" ht="16.899999999999999" customHeight="1" x14ac:dyDescent="0.15">
      <c r="A141" s="347" t="s">
        <v>1323</v>
      </c>
      <c r="B141" s="347">
        <v>1</v>
      </c>
      <c r="C141" s="347" t="s">
        <v>968</v>
      </c>
      <c r="F141" s="348" t="s">
        <v>941</v>
      </c>
      <c r="G141" s="347" t="s">
        <v>978</v>
      </c>
      <c r="H141" s="347" t="s">
        <v>970</v>
      </c>
      <c r="I141" s="347" t="s">
        <v>971</v>
      </c>
      <c r="K141" s="350"/>
      <c r="L141" s="349" t="s">
        <v>972</v>
      </c>
      <c r="M141" s="350" t="s">
        <v>1324</v>
      </c>
      <c r="N141" s="350" t="s">
        <v>1325</v>
      </c>
      <c r="O141" s="347" t="s">
        <v>631</v>
      </c>
      <c r="Q141" s="347" t="s">
        <v>631</v>
      </c>
      <c r="T141" s="347" t="s">
        <v>631</v>
      </c>
      <c r="V141" s="347" t="s">
        <v>631</v>
      </c>
      <c r="Z141" s="349" t="s">
        <v>975</v>
      </c>
    </row>
    <row r="142" spans="1:26" ht="16.899999999999999" customHeight="1" x14ac:dyDescent="0.15">
      <c r="A142" s="347" t="s">
        <v>1326</v>
      </c>
      <c r="B142" s="347">
        <v>1</v>
      </c>
      <c r="C142" s="347" t="s">
        <v>1019</v>
      </c>
      <c r="D142" s="347" t="s">
        <v>631</v>
      </c>
      <c r="F142" s="348" t="s">
        <v>1149</v>
      </c>
      <c r="G142" s="347" t="s">
        <v>969</v>
      </c>
      <c r="H142" s="347" t="s">
        <v>970</v>
      </c>
      <c r="I142" s="347" t="s">
        <v>971</v>
      </c>
      <c r="J142" s="347" t="s">
        <v>989</v>
      </c>
      <c r="K142" s="350" t="s">
        <v>1327</v>
      </c>
      <c r="L142" s="349" t="s">
        <v>1016</v>
      </c>
      <c r="M142" s="350" t="s">
        <v>1328</v>
      </c>
      <c r="N142" s="350" t="s">
        <v>1329</v>
      </c>
      <c r="O142" s="347" t="s">
        <v>631</v>
      </c>
      <c r="U142" s="347" t="s">
        <v>631</v>
      </c>
      <c r="V142" s="347" t="s">
        <v>631</v>
      </c>
      <c r="Y142" s="347" t="s">
        <v>631</v>
      </c>
      <c r="Z142" s="349" t="s">
        <v>975</v>
      </c>
    </row>
    <row r="143" spans="1:26" ht="16.899999999999999" customHeight="1" x14ac:dyDescent="0.15">
      <c r="A143" s="347" t="s">
        <v>1330</v>
      </c>
      <c r="B143" s="347">
        <v>1</v>
      </c>
      <c r="C143" s="347" t="s">
        <v>968</v>
      </c>
      <c r="E143" s="347" t="s">
        <v>631</v>
      </c>
      <c r="F143" s="348" t="s">
        <v>941</v>
      </c>
      <c r="G143" s="347" t="s">
        <v>969</v>
      </c>
      <c r="H143" s="347" t="s">
        <v>970</v>
      </c>
      <c r="I143" s="347" t="s">
        <v>971</v>
      </c>
      <c r="J143" s="347" t="s">
        <v>989</v>
      </c>
      <c r="K143" s="350" t="s">
        <v>1331</v>
      </c>
      <c r="L143" s="349" t="s">
        <v>979</v>
      </c>
      <c r="M143" s="350" t="s">
        <v>1332</v>
      </c>
      <c r="N143" s="350" t="s">
        <v>1333</v>
      </c>
      <c r="T143" s="347" t="s">
        <v>631</v>
      </c>
      <c r="U143" s="347" t="s">
        <v>631</v>
      </c>
      <c r="V143" s="347" t="s">
        <v>631</v>
      </c>
      <c r="Z143" s="349" t="s">
        <v>975</v>
      </c>
    </row>
    <row r="144" spans="1:26" ht="16.899999999999999" customHeight="1" x14ac:dyDescent="0.15">
      <c r="A144" s="347" t="s">
        <v>1334</v>
      </c>
      <c r="B144" s="347">
        <v>1</v>
      </c>
      <c r="C144" s="347" t="s">
        <v>983</v>
      </c>
      <c r="F144" s="348" t="s">
        <v>1180</v>
      </c>
      <c r="G144" s="347" t="s">
        <v>978</v>
      </c>
      <c r="H144" s="347" t="s">
        <v>970</v>
      </c>
      <c r="K144" s="350"/>
      <c r="L144" s="349" t="s">
        <v>1020</v>
      </c>
      <c r="M144" s="350" t="s">
        <v>1335</v>
      </c>
      <c r="N144" s="350" t="s">
        <v>1336</v>
      </c>
      <c r="R144" s="347" t="s">
        <v>631</v>
      </c>
      <c r="Z144" s="349" t="s">
        <v>975</v>
      </c>
    </row>
    <row r="145" spans="1:26" ht="16.899999999999999" customHeight="1" x14ac:dyDescent="0.15">
      <c r="A145" s="347" t="s">
        <v>2410</v>
      </c>
      <c r="B145" s="347">
        <v>1</v>
      </c>
      <c r="C145" s="347" t="s">
        <v>968</v>
      </c>
      <c r="E145" s="347" t="s">
        <v>631</v>
      </c>
      <c r="F145" s="348" t="s">
        <v>941</v>
      </c>
      <c r="G145" s="347" t="s">
        <v>2411</v>
      </c>
      <c r="H145" s="347" t="s">
        <v>970</v>
      </c>
      <c r="I145" s="347" t="s">
        <v>971</v>
      </c>
      <c r="J145" s="347" t="s">
        <v>989</v>
      </c>
      <c r="K145" s="444" t="s">
        <v>2412</v>
      </c>
      <c r="L145" s="349" t="s">
        <v>2413</v>
      </c>
      <c r="M145" s="350" t="s">
        <v>2414</v>
      </c>
      <c r="N145" s="350" t="s">
        <v>2415</v>
      </c>
      <c r="T145" s="347" t="s">
        <v>631</v>
      </c>
      <c r="V145" s="347" t="s">
        <v>631</v>
      </c>
      <c r="W145" s="347" t="s">
        <v>631</v>
      </c>
      <c r="Z145" s="349" t="s">
        <v>2416</v>
      </c>
    </row>
    <row r="146" spans="1:26" ht="16.899999999999999" customHeight="1" x14ac:dyDescent="0.15">
      <c r="A146" s="347" t="s">
        <v>2484</v>
      </c>
      <c r="B146" s="347">
        <v>1</v>
      </c>
      <c r="C146" s="347" t="s">
        <v>977</v>
      </c>
      <c r="F146" s="348" t="s">
        <v>2485</v>
      </c>
      <c r="G146" s="347" t="s">
        <v>978</v>
      </c>
      <c r="I146" s="347" t="s">
        <v>971</v>
      </c>
      <c r="K146" s="444"/>
      <c r="L146" s="349" t="s">
        <v>1032</v>
      </c>
      <c r="M146" s="350" t="s">
        <v>2486</v>
      </c>
      <c r="N146" s="350" t="s">
        <v>2487</v>
      </c>
      <c r="Q146" s="347" t="s">
        <v>631</v>
      </c>
      <c r="S146" s="347" t="s">
        <v>631</v>
      </c>
      <c r="T146" s="347" t="s">
        <v>631</v>
      </c>
      <c r="V146" s="347" t="s">
        <v>631</v>
      </c>
      <c r="W146" s="347" t="s">
        <v>631</v>
      </c>
      <c r="Z146" s="446" t="s">
        <v>2457</v>
      </c>
    </row>
    <row r="147" spans="1:26" ht="16.899999999999999" customHeight="1" x14ac:dyDescent="0.15">
      <c r="A147" s="347" t="s">
        <v>2488</v>
      </c>
      <c r="B147" s="347">
        <v>1</v>
      </c>
      <c r="C147" s="347" t="s">
        <v>1013</v>
      </c>
      <c r="E147" s="347" t="s">
        <v>631</v>
      </c>
      <c r="F147" s="348" t="s">
        <v>941</v>
      </c>
      <c r="G147" s="347" t="s">
        <v>2472</v>
      </c>
      <c r="H147" s="347" t="s">
        <v>970</v>
      </c>
      <c r="I147" s="347" t="s">
        <v>971</v>
      </c>
      <c r="J147" s="347" t="s">
        <v>989</v>
      </c>
      <c r="K147" s="444" t="s">
        <v>2489</v>
      </c>
      <c r="L147" s="349" t="s">
        <v>2490</v>
      </c>
      <c r="M147" s="350" t="s">
        <v>2491</v>
      </c>
      <c r="N147" s="350" t="s">
        <v>2492</v>
      </c>
      <c r="Q147" s="347" t="s">
        <v>631</v>
      </c>
      <c r="S147" s="347" t="s">
        <v>631</v>
      </c>
      <c r="Z147" s="446" t="s">
        <v>2457</v>
      </c>
    </row>
    <row r="148" spans="1:26" ht="16.899999999999999" customHeight="1" x14ac:dyDescent="0.15">
      <c r="A148" s="347" t="s">
        <v>2493</v>
      </c>
      <c r="B148" s="347">
        <v>1</v>
      </c>
      <c r="C148" s="347" t="s">
        <v>994</v>
      </c>
      <c r="F148" s="348" t="s">
        <v>941</v>
      </c>
      <c r="G148" s="347" t="s">
        <v>969</v>
      </c>
      <c r="I148" s="347" t="s">
        <v>971</v>
      </c>
      <c r="K148" s="444"/>
      <c r="L148" s="349" t="s">
        <v>972</v>
      </c>
      <c r="M148" s="350" t="s">
        <v>2494</v>
      </c>
      <c r="N148" s="350" t="s">
        <v>2495</v>
      </c>
      <c r="T148" s="347" t="s">
        <v>631</v>
      </c>
      <c r="V148" s="347" t="s">
        <v>631</v>
      </c>
      <c r="W148" s="347" t="s">
        <v>631</v>
      </c>
      <c r="Z148" s="446" t="s">
        <v>2457</v>
      </c>
    </row>
    <row r="149" spans="1:26" ht="16.899999999999999" customHeight="1" x14ac:dyDescent="0.15">
      <c r="A149" s="347" t="s">
        <v>2496</v>
      </c>
      <c r="B149" s="347">
        <v>1</v>
      </c>
      <c r="C149" s="347" t="s">
        <v>983</v>
      </c>
      <c r="E149" s="347" t="s">
        <v>631</v>
      </c>
      <c r="F149" s="348" t="s">
        <v>941</v>
      </c>
      <c r="G149" s="347" t="s">
        <v>969</v>
      </c>
      <c r="H149" s="347" t="s">
        <v>970</v>
      </c>
      <c r="K149" s="444"/>
      <c r="L149" s="349" t="s">
        <v>2413</v>
      </c>
      <c r="M149" s="350" t="s">
        <v>2497</v>
      </c>
      <c r="N149" s="350" t="s">
        <v>2498</v>
      </c>
      <c r="U149" s="347" t="s">
        <v>631</v>
      </c>
      <c r="V149" s="347" t="s">
        <v>631</v>
      </c>
      <c r="Z149" s="446" t="s">
        <v>2457</v>
      </c>
    </row>
    <row r="150" spans="1:26" ht="16.899999999999999" customHeight="1" x14ac:dyDescent="0.15">
      <c r="A150" s="347" t="s">
        <v>2499</v>
      </c>
      <c r="B150" s="347">
        <v>1</v>
      </c>
      <c r="C150" s="347" t="s">
        <v>977</v>
      </c>
      <c r="D150" s="347" t="s">
        <v>631</v>
      </c>
      <c r="F150" s="348" t="s">
        <v>2942</v>
      </c>
      <c r="G150" s="347" t="s">
        <v>2472</v>
      </c>
      <c r="H150" s="347" t="s">
        <v>970</v>
      </c>
      <c r="I150" s="347" t="s">
        <v>971</v>
      </c>
      <c r="J150" s="347" t="s">
        <v>989</v>
      </c>
      <c r="K150" s="444" t="s">
        <v>2500</v>
      </c>
      <c r="L150" s="349" t="s">
        <v>972</v>
      </c>
      <c r="M150" s="350" t="s">
        <v>2501</v>
      </c>
      <c r="N150" s="350" t="s">
        <v>2502</v>
      </c>
      <c r="P150" s="347" t="s">
        <v>631</v>
      </c>
      <c r="R150" s="347" t="s">
        <v>631</v>
      </c>
      <c r="Z150" s="446" t="s">
        <v>2457</v>
      </c>
    </row>
    <row r="151" spans="1:26" ht="16.899999999999999" customHeight="1" x14ac:dyDescent="0.15">
      <c r="A151" s="347" t="s">
        <v>2503</v>
      </c>
      <c r="B151" s="347">
        <v>1</v>
      </c>
      <c r="C151" s="347" t="s">
        <v>968</v>
      </c>
      <c r="F151" s="348" t="s">
        <v>941</v>
      </c>
      <c r="G151" s="347" t="s">
        <v>988</v>
      </c>
      <c r="H151" s="347" t="s">
        <v>970</v>
      </c>
      <c r="I151" s="347" t="s">
        <v>971</v>
      </c>
      <c r="K151" s="444"/>
      <c r="L151" s="349" t="s">
        <v>972</v>
      </c>
      <c r="M151" s="350" t="s">
        <v>2504</v>
      </c>
      <c r="N151" s="350" t="s">
        <v>2505</v>
      </c>
      <c r="T151" s="347" t="s">
        <v>631</v>
      </c>
      <c r="Z151" s="446" t="s">
        <v>2457</v>
      </c>
    </row>
    <row r="152" spans="1:26" ht="16.899999999999999" customHeight="1" x14ac:dyDescent="0.15">
      <c r="A152" s="347" t="s">
        <v>2506</v>
      </c>
      <c r="B152" s="347">
        <v>1</v>
      </c>
      <c r="C152" s="347" t="s">
        <v>968</v>
      </c>
      <c r="F152" s="348" t="s">
        <v>941</v>
      </c>
      <c r="G152" s="347" t="s">
        <v>2507</v>
      </c>
      <c r="H152" s="347" t="s">
        <v>970</v>
      </c>
      <c r="I152" s="347" t="s">
        <v>971</v>
      </c>
      <c r="K152" s="444"/>
      <c r="L152" s="349" t="s">
        <v>972</v>
      </c>
      <c r="M152" s="350" t="s">
        <v>2508</v>
      </c>
      <c r="N152" s="350" t="s">
        <v>2509</v>
      </c>
      <c r="O152" s="347" t="s">
        <v>631</v>
      </c>
      <c r="Q152" s="347" t="s">
        <v>631</v>
      </c>
      <c r="T152" s="347" t="s">
        <v>631</v>
      </c>
      <c r="V152" s="347" t="s">
        <v>631</v>
      </c>
      <c r="Z152" s="446" t="s">
        <v>2457</v>
      </c>
    </row>
    <row r="153" spans="1:26" ht="16.899999999999999" customHeight="1" x14ac:dyDescent="0.15">
      <c r="A153" s="347" t="s">
        <v>2510</v>
      </c>
      <c r="B153" s="347">
        <v>1</v>
      </c>
      <c r="C153" s="347" t="s">
        <v>977</v>
      </c>
      <c r="F153" s="348" t="s">
        <v>1020</v>
      </c>
      <c r="G153" s="347" t="s">
        <v>2472</v>
      </c>
      <c r="I153" s="347" t="s">
        <v>971</v>
      </c>
      <c r="J153" s="347" t="s">
        <v>989</v>
      </c>
      <c r="K153" s="444" t="s">
        <v>2511</v>
      </c>
      <c r="L153" s="349" t="s">
        <v>1104</v>
      </c>
      <c r="M153" s="350" t="s">
        <v>2512</v>
      </c>
      <c r="N153" s="350" t="s">
        <v>2513</v>
      </c>
      <c r="Q153" s="347" t="s">
        <v>631</v>
      </c>
      <c r="S153" s="347" t="s">
        <v>631</v>
      </c>
      <c r="V153" s="347" t="s">
        <v>631</v>
      </c>
      <c r="W153" s="347" t="s">
        <v>631</v>
      </c>
      <c r="Z153" s="446" t="s">
        <v>2457</v>
      </c>
    </row>
    <row r="154" spans="1:26" ht="16.899999999999999" customHeight="1" x14ac:dyDescent="0.15">
      <c r="A154" s="347" t="s">
        <v>2514</v>
      </c>
      <c r="B154" s="347">
        <v>1</v>
      </c>
      <c r="C154" s="347" t="s">
        <v>994</v>
      </c>
      <c r="E154" s="347" t="s">
        <v>631</v>
      </c>
      <c r="F154" s="348" t="s">
        <v>1047</v>
      </c>
      <c r="G154" s="347" t="s">
        <v>978</v>
      </c>
      <c r="H154" s="347" t="s">
        <v>970</v>
      </c>
      <c r="K154" s="444"/>
      <c r="L154" s="349" t="s">
        <v>2413</v>
      </c>
      <c r="M154" s="350" t="s">
        <v>2515</v>
      </c>
      <c r="N154" s="350" t="s">
        <v>2516</v>
      </c>
      <c r="S154" s="347" t="s">
        <v>631</v>
      </c>
      <c r="Z154" s="446" t="s">
        <v>2457</v>
      </c>
    </row>
    <row r="155" spans="1:26" ht="16.899999999999999" customHeight="1" x14ac:dyDescent="0.15">
      <c r="A155" s="347" t="s">
        <v>2739</v>
      </c>
      <c r="B155" s="347">
        <v>1</v>
      </c>
      <c r="C155" s="347" t="s">
        <v>987</v>
      </c>
      <c r="F155" s="348" t="s">
        <v>1020</v>
      </c>
      <c r="G155" s="347" t="s">
        <v>2472</v>
      </c>
      <c r="H155" s="347" t="s">
        <v>970</v>
      </c>
      <c r="I155" s="347" t="s">
        <v>971</v>
      </c>
      <c r="K155" s="444"/>
      <c r="L155" s="349" t="s">
        <v>1104</v>
      </c>
      <c r="M155" s="350" t="s">
        <v>2740</v>
      </c>
      <c r="N155" s="350" t="s">
        <v>2741</v>
      </c>
      <c r="O155" s="347" t="s">
        <v>631</v>
      </c>
      <c r="U155" s="347" t="s">
        <v>631</v>
      </c>
      <c r="V155" s="347" t="s">
        <v>631</v>
      </c>
      <c r="Z155" s="446" t="s">
        <v>2742</v>
      </c>
    </row>
    <row r="156" spans="1:26" ht="16.899999999999999" customHeight="1" x14ac:dyDescent="0.15">
      <c r="A156" s="347" t="s">
        <v>2743</v>
      </c>
      <c r="B156" s="347">
        <v>1</v>
      </c>
      <c r="C156" s="347" t="s">
        <v>968</v>
      </c>
      <c r="F156" s="348" t="s">
        <v>941</v>
      </c>
      <c r="G156" s="347" t="s">
        <v>988</v>
      </c>
      <c r="H156" s="347" t="s">
        <v>970</v>
      </c>
      <c r="I156" s="347" t="s">
        <v>971</v>
      </c>
      <c r="K156" s="444" t="s">
        <v>2744</v>
      </c>
      <c r="L156" s="349" t="s">
        <v>972</v>
      </c>
      <c r="M156" s="350" t="s">
        <v>2745</v>
      </c>
      <c r="N156" s="350" t="s">
        <v>2746</v>
      </c>
      <c r="V156" s="347" t="s">
        <v>631</v>
      </c>
      <c r="Z156" s="446" t="s">
        <v>2742</v>
      </c>
    </row>
    <row r="157" spans="1:26" ht="16.899999999999999" customHeight="1" x14ac:dyDescent="0.15">
      <c r="A157" s="347" t="s">
        <v>2809</v>
      </c>
      <c r="B157" s="347">
        <v>1</v>
      </c>
      <c r="C157" s="347" t="s">
        <v>1007</v>
      </c>
      <c r="F157" s="348" t="s">
        <v>2810</v>
      </c>
      <c r="G157" s="347" t="s">
        <v>969</v>
      </c>
      <c r="H157" s="347" t="s">
        <v>970</v>
      </c>
      <c r="K157" s="444"/>
      <c r="L157" s="349" t="s">
        <v>972</v>
      </c>
      <c r="M157" s="350" t="s">
        <v>2811</v>
      </c>
      <c r="N157" s="350" t="s">
        <v>2812</v>
      </c>
      <c r="O157" s="347" t="s">
        <v>631</v>
      </c>
      <c r="T157" s="347" t="s">
        <v>631</v>
      </c>
      <c r="V157" s="347" t="s">
        <v>631</v>
      </c>
      <c r="Z157" s="446" t="s">
        <v>2813</v>
      </c>
    </row>
    <row r="158" spans="1:26" ht="16.899999999999999" customHeight="1" x14ac:dyDescent="0.15">
      <c r="A158" s="347" t="s">
        <v>2889</v>
      </c>
      <c r="B158" s="347">
        <v>1</v>
      </c>
      <c r="C158" s="347" t="s">
        <v>1013</v>
      </c>
      <c r="F158" s="348" t="s">
        <v>1020</v>
      </c>
      <c r="G158" s="347" t="s">
        <v>2472</v>
      </c>
      <c r="H158" s="347" t="s">
        <v>970</v>
      </c>
      <c r="I158" s="347" t="s">
        <v>971</v>
      </c>
      <c r="K158" s="349"/>
      <c r="L158" s="349" t="s">
        <v>1104</v>
      </c>
      <c r="M158" s="350" t="s">
        <v>2890</v>
      </c>
      <c r="N158" s="445" t="s">
        <v>2891</v>
      </c>
      <c r="V158" s="347" t="s">
        <v>631</v>
      </c>
      <c r="Z158" s="446" t="s">
        <v>2888</v>
      </c>
    </row>
    <row r="159" spans="1:26" ht="16.899999999999999" customHeight="1" x14ac:dyDescent="0.15">
      <c r="A159" s="347" t="s">
        <v>2892</v>
      </c>
      <c r="B159" s="347">
        <v>1</v>
      </c>
      <c r="C159" s="347" t="s">
        <v>994</v>
      </c>
      <c r="F159" s="348" t="s">
        <v>941</v>
      </c>
      <c r="G159" s="347" t="s">
        <v>969</v>
      </c>
      <c r="H159" s="347" t="s">
        <v>970</v>
      </c>
      <c r="I159" s="347" t="s">
        <v>971</v>
      </c>
      <c r="K159" s="349"/>
      <c r="L159" s="349" t="s">
        <v>1032</v>
      </c>
      <c r="M159" s="350" t="s">
        <v>2893</v>
      </c>
      <c r="N159" s="445" t="s">
        <v>2894</v>
      </c>
      <c r="V159" s="347" t="s">
        <v>631</v>
      </c>
      <c r="Z159" s="446" t="s">
        <v>2888</v>
      </c>
    </row>
    <row r="160" spans="1:26" ht="16.899999999999999" customHeight="1" x14ac:dyDescent="0.15">
      <c r="A160" s="347" t="s">
        <v>5551</v>
      </c>
      <c r="B160" s="347">
        <v>1</v>
      </c>
      <c r="C160" s="347" t="s">
        <v>994</v>
      </c>
      <c r="E160" s="347" t="s">
        <v>631</v>
      </c>
      <c r="F160" s="348" t="s">
        <v>941</v>
      </c>
      <c r="G160" s="347" t="s">
        <v>978</v>
      </c>
      <c r="I160" s="347" t="s">
        <v>971</v>
      </c>
      <c r="K160" s="350"/>
      <c r="L160" s="349" t="s">
        <v>2490</v>
      </c>
      <c r="M160" s="350" t="s">
        <v>5552</v>
      </c>
      <c r="N160" s="350" t="s">
        <v>5553</v>
      </c>
      <c r="T160" s="347" t="s">
        <v>631</v>
      </c>
      <c r="U160" s="347" t="s">
        <v>631</v>
      </c>
      <c r="V160" s="347" t="s">
        <v>631</v>
      </c>
      <c r="Z160" s="349" t="s">
        <v>3197</v>
      </c>
    </row>
    <row r="161" spans="1:26" ht="16.899999999999999" customHeight="1" x14ac:dyDescent="0.15">
      <c r="A161" s="347" t="s">
        <v>5554</v>
      </c>
      <c r="B161" s="347">
        <v>1</v>
      </c>
      <c r="C161" s="347" t="s">
        <v>1019</v>
      </c>
      <c r="E161" s="347" t="s">
        <v>631</v>
      </c>
      <c r="F161" s="348" t="s">
        <v>941</v>
      </c>
      <c r="G161" s="347" t="s">
        <v>988</v>
      </c>
      <c r="H161" s="347" t="s">
        <v>970</v>
      </c>
      <c r="I161" s="347" t="s">
        <v>971</v>
      </c>
      <c r="K161" s="350"/>
      <c r="L161" s="349" t="s">
        <v>2490</v>
      </c>
      <c r="M161" s="350" t="s">
        <v>5555</v>
      </c>
      <c r="N161" s="350" t="s">
        <v>5556</v>
      </c>
      <c r="T161" s="347" t="s">
        <v>631</v>
      </c>
      <c r="U161" s="347" t="s">
        <v>631</v>
      </c>
      <c r="V161" s="347" t="s">
        <v>631</v>
      </c>
      <c r="Z161" s="349" t="s">
        <v>3197</v>
      </c>
    </row>
    <row r="162" spans="1:26" ht="16.899999999999999" customHeight="1" x14ac:dyDescent="0.15">
      <c r="A162" s="347" t="s">
        <v>5557</v>
      </c>
      <c r="B162" s="347">
        <v>1</v>
      </c>
      <c r="C162" s="347" t="s">
        <v>1019</v>
      </c>
      <c r="F162" s="348" t="s">
        <v>941</v>
      </c>
      <c r="G162" s="347" t="s">
        <v>978</v>
      </c>
      <c r="H162" s="347" t="s">
        <v>970</v>
      </c>
      <c r="I162" s="347" t="s">
        <v>971</v>
      </c>
      <c r="K162" s="350"/>
      <c r="L162" s="349" t="s">
        <v>1032</v>
      </c>
      <c r="M162" s="350" t="s">
        <v>5558</v>
      </c>
      <c r="N162" s="350" t="s">
        <v>5559</v>
      </c>
      <c r="T162" s="347" t="s">
        <v>631</v>
      </c>
      <c r="U162" s="347" t="s">
        <v>631</v>
      </c>
      <c r="V162" s="347" t="s">
        <v>631</v>
      </c>
      <c r="Z162" s="349" t="s">
        <v>3197</v>
      </c>
    </row>
    <row r="163" spans="1:26" ht="16.899999999999999" customHeight="1" x14ac:dyDescent="0.15">
      <c r="A163" s="347" t="s">
        <v>5560</v>
      </c>
      <c r="B163" s="347">
        <v>1</v>
      </c>
      <c r="C163" s="347" t="s">
        <v>968</v>
      </c>
      <c r="F163" s="348" t="s">
        <v>941</v>
      </c>
      <c r="G163" s="347" t="s">
        <v>1541</v>
      </c>
      <c r="H163" s="347" t="s">
        <v>970</v>
      </c>
      <c r="I163" s="347" t="s">
        <v>971</v>
      </c>
      <c r="K163" s="350"/>
      <c r="L163" s="349" t="s">
        <v>972</v>
      </c>
      <c r="M163" s="350" t="s">
        <v>5561</v>
      </c>
      <c r="N163" s="350" t="s">
        <v>5562</v>
      </c>
      <c r="T163" s="347" t="s">
        <v>631</v>
      </c>
      <c r="U163" s="347" t="s">
        <v>631</v>
      </c>
      <c r="V163" s="347" t="s">
        <v>631</v>
      </c>
      <c r="Z163" s="349" t="s">
        <v>3197</v>
      </c>
    </row>
    <row r="164" spans="1:26" ht="16.899999999999999" customHeight="1" x14ac:dyDescent="0.15">
      <c r="A164" s="347" t="s">
        <v>6334</v>
      </c>
      <c r="B164" s="347">
        <v>1</v>
      </c>
      <c r="C164" s="347" t="s">
        <v>968</v>
      </c>
      <c r="F164" s="348" t="s">
        <v>941</v>
      </c>
      <c r="G164" s="347" t="s">
        <v>969</v>
      </c>
      <c r="H164" s="347" t="s">
        <v>970</v>
      </c>
      <c r="I164" s="347" t="s">
        <v>6323</v>
      </c>
      <c r="J164" s="347" t="s">
        <v>6335</v>
      </c>
      <c r="K164" s="350" t="s">
        <v>6336</v>
      </c>
      <c r="L164" s="349" t="s">
        <v>972</v>
      </c>
      <c r="M164" s="350" t="s">
        <v>6337</v>
      </c>
      <c r="N164" s="350" t="s">
        <v>6338</v>
      </c>
      <c r="S164" s="347" t="s">
        <v>631</v>
      </c>
      <c r="T164" s="347" t="s">
        <v>631</v>
      </c>
      <c r="U164" s="347" t="s">
        <v>631</v>
      </c>
      <c r="V164" s="347" t="s">
        <v>631</v>
      </c>
      <c r="Y164" s="347" t="s">
        <v>631</v>
      </c>
      <c r="Z164" s="349" t="s">
        <v>5820</v>
      </c>
    </row>
    <row r="165" spans="1:26" ht="16.899999999999999" customHeight="1" x14ac:dyDescent="0.15">
      <c r="A165" s="347" t="s">
        <v>6339</v>
      </c>
      <c r="B165" s="347">
        <v>1</v>
      </c>
      <c r="C165" s="347" t="s">
        <v>1019</v>
      </c>
      <c r="E165" s="347" t="s">
        <v>631</v>
      </c>
      <c r="F165" s="348" t="s">
        <v>941</v>
      </c>
      <c r="G165" s="347" t="s">
        <v>969</v>
      </c>
      <c r="H165" s="347" t="s">
        <v>970</v>
      </c>
      <c r="I165" s="347" t="s">
        <v>6323</v>
      </c>
      <c r="J165" s="347" t="s">
        <v>989</v>
      </c>
      <c r="K165" s="350" t="s">
        <v>6340</v>
      </c>
      <c r="L165" s="349" t="s">
        <v>979</v>
      </c>
      <c r="M165" s="350" t="s">
        <v>6341</v>
      </c>
      <c r="N165" s="350" t="s">
        <v>6342</v>
      </c>
      <c r="Q165" s="347" t="s">
        <v>631</v>
      </c>
      <c r="T165" s="347" t="s">
        <v>631</v>
      </c>
      <c r="V165" s="347" t="s">
        <v>631</v>
      </c>
      <c r="Y165" s="347" t="s">
        <v>631</v>
      </c>
      <c r="Z165" s="349" t="s">
        <v>5820</v>
      </c>
    </row>
    <row r="166" spans="1:26" ht="16.899999999999999" customHeight="1" x14ac:dyDescent="0.15">
      <c r="A166" s="347" t="s">
        <v>6343</v>
      </c>
      <c r="B166" s="347">
        <v>1</v>
      </c>
      <c r="C166" s="347" t="s">
        <v>983</v>
      </c>
      <c r="E166" s="347" t="s">
        <v>631</v>
      </c>
      <c r="F166" s="348" t="s">
        <v>941</v>
      </c>
      <c r="G166" s="347" t="s">
        <v>969</v>
      </c>
      <c r="H166" s="347" t="s">
        <v>970</v>
      </c>
      <c r="I166" s="347" t="s">
        <v>6323</v>
      </c>
      <c r="J166" s="347" t="s">
        <v>989</v>
      </c>
      <c r="K166" s="350" t="s">
        <v>6344</v>
      </c>
      <c r="L166" s="349" t="s">
        <v>979</v>
      </c>
      <c r="M166" s="350" t="s">
        <v>6345</v>
      </c>
      <c r="N166" s="350" t="s">
        <v>6346</v>
      </c>
      <c r="Q166" s="347" t="s">
        <v>631</v>
      </c>
      <c r="T166" s="347" t="s">
        <v>631</v>
      </c>
      <c r="V166" s="347" t="s">
        <v>631</v>
      </c>
      <c r="Y166" s="347" t="s">
        <v>631</v>
      </c>
      <c r="Z166" s="349" t="s">
        <v>5820</v>
      </c>
    </row>
    <row r="167" spans="1:26" ht="16.899999999999999" customHeight="1" x14ac:dyDescent="0.15">
      <c r="A167" s="347" t="s">
        <v>6347</v>
      </c>
      <c r="B167" s="347">
        <v>1</v>
      </c>
      <c r="C167" s="347" t="s">
        <v>983</v>
      </c>
      <c r="E167" s="347" t="s">
        <v>631</v>
      </c>
      <c r="F167" s="348" t="s">
        <v>941</v>
      </c>
      <c r="G167" s="347" t="s">
        <v>978</v>
      </c>
      <c r="H167" s="347" t="s">
        <v>970</v>
      </c>
      <c r="I167" s="347" t="s">
        <v>6323</v>
      </c>
      <c r="K167" s="350"/>
      <c r="L167" s="349" t="s">
        <v>979</v>
      </c>
      <c r="M167" s="350" t="s">
        <v>6348</v>
      </c>
      <c r="N167" s="350" t="s">
        <v>6349</v>
      </c>
      <c r="P167" s="347" t="s">
        <v>631</v>
      </c>
      <c r="V167" s="347" t="s">
        <v>631</v>
      </c>
      <c r="Y167" s="347" t="s">
        <v>631</v>
      </c>
      <c r="Z167" s="349" t="s">
        <v>5820</v>
      </c>
    </row>
    <row r="168" spans="1:26" ht="16.899999999999999" customHeight="1" x14ac:dyDescent="0.15">
      <c r="A168" s="347" t="s">
        <v>6350</v>
      </c>
      <c r="B168" s="347">
        <v>1</v>
      </c>
      <c r="C168" s="347" t="s">
        <v>1019</v>
      </c>
      <c r="E168" s="347" t="s">
        <v>631</v>
      </c>
      <c r="F168" s="348" t="s">
        <v>941</v>
      </c>
      <c r="G168" s="347" t="s">
        <v>978</v>
      </c>
      <c r="I168" s="347" t="s">
        <v>6323</v>
      </c>
      <c r="J168" s="347" t="s">
        <v>989</v>
      </c>
      <c r="K168" s="350" t="s">
        <v>6351</v>
      </c>
      <c r="L168" s="349" t="s">
        <v>979</v>
      </c>
      <c r="M168" s="350" t="s">
        <v>6352</v>
      </c>
      <c r="N168" s="350" t="s">
        <v>6353</v>
      </c>
      <c r="O168" s="347" t="s">
        <v>631</v>
      </c>
      <c r="R168" s="347" t="s">
        <v>631</v>
      </c>
      <c r="U168" s="347" t="s">
        <v>631</v>
      </c>
      <c r="Y168" s="347" t="s">
        <v>631</v>
      </c>
      <c r="Z168" s="349" t="s">
        <v>5820</v>
      </c>
    </row>
    <row r="169" spans="1:26" ht="16.899999999999999" customHeight="1" x14ac:dyDescent="0.15">
      <c r="A169" s="347" t="s">
        <v>7886</v>
      </c>
      <c r="B169" s="347">
        <v>1</v>
      </c>
      <c r="C169" s="347" t="s">
        <v>7883</v>
      </c>
      <c r="F169" s="348" t="s">
        <v>7887</v>
      </c>
      <c r="G169" s="347" t="s">
        <v>2972</v>
      </c>
      <c r="H169" s="347" t="s">
        <v>2953</v>
      </c>
      <c r="I169" s="347" t="s">
        <v>6323</v>
      </c>
      <c r="J169" s="347" t="s">
        <v>6335</v>
      </c>
      <c r="K169" s="350" t="s">
        <v>7888</v>
      </c>
      <c r="L169" s="349" t="s">
        <v>2987</v>
      </c>
      <c r="M169" s="350" t="s">
        <v>10166</v>
      </c>
      <c r="N169" s="350" t="s">
        <v>7889</v>
      </c>
      <c r="O169" s="347" t="s">
        <v>2950</v>
      </c>
      <c r="P169" s="347" t="s">
        <v>2950</v>
      </c>
      <c r="T169" s="347" t="s">
        <v>2950</v>
      </c>
      <c r="V169" s="347" t="s">
        <v>2950</v>
      </c>
      <c r="Z169" s="349" t="s">
        <v>7878</v>
      </c>
    </row>
    <row r="170" spans="1:26" ht="16.899999999999999" customHeight="1" x14ac:dyDescent="0.15">
      <c r="A170" s="347" t="s">
        <v>7890</v>
      </c>
      <c r="B170" s="347">
        <v>1</v>
      </c>
      <c r="C170" s="347" t="s">
        <v>2983</v>
      </c>
      <c r="F170" s="348" t="s">
        <v>7891</v>
      </c>
      <c r="G170" s="347" t="s">
        <v>2943</v>
      </c>
      <c r="H170" s="347" t="s">
        <v>2953</v>
      </c>
      <c r="K170" s="350"/>
      <c r="L170" s="349" t="s">
        <v>2987</v>
      </c>
      <c r="M170" s="350" t="s">
        <v>7892</v>
      </c>
      <c r="N170" s="350" t="s">
        <v>7893</v>
      </c>
      <c r="R170" s="347" t="s">
        <v>2950</v>
      </c>
      <c r="Z170" s="349" t="s">
        <v>7878</v>
      </c>
    </row>
    <row r="171" spans="1:26" ht="16.899999999999999" customHeight="1" x14ac:dyDescent="0.15">
      <c r="A171" s="347" t="s">
        <v>7894</v>
      </c>
      <c r="B171" s="347">
        <v>1</v>
      </c>
      <c r="C171" s="347" t="s">
        <v>7895</v>
      </c>
      <c r="D171" s="347" t="s">
        <v>2950</v>
      </c>
      <c r="F171" s="348" t="s">
        <v>7896</v>
      </c>
      <c r="G171" s="347" t="s">
        <v>7873</v>
      </c>
      <c r="H171" s="347" t="s">
        <v>2953</v>
      </c>
      <c r="I171" s="347" t="s">
        <v>6323</v>
      </c>
      <c r="J171" s="347" t="s">
        <v>6335</v>
      </c>
      <c r="K171" s="350" t="s">
        <v>7897</v>
      </c>
      <c r="L171" s="349" t="s">
        <v>7898</v>
      </c>
      <c r="M171" s="350" t="s">
        <v>7899</v>
      </c>
      <c r="N171" s="350" t="s">
        <v>7900</v>
      </c>
      <c r="O171" s="347" t="s">
        <v>2950</v>
      </c>
      <c r="P171" s="347" t="s">
        <v>2950</v>
      </c>
      <c r="Q171" s="347" t="s">
        <v>2950</v>
      </c>
      <c r="R171" s="347" t="s">
        <v>2950</v>
      </c>
      <c r="S171" s="347" t="s">
        <v>2950</v>
      </c>
      <c r="V171" s="347" t="s">
        <v>2950</v>
      </c>
      <c r="Z171" s="349" t="s">
        <v>7878</v>
      </c>
    </row>
    <row r="172" spans="1:26" ht="16.899999999999999" customHeight="1" x14ac:dyDescent="0.15">
      <c r="A172" s="347" t="s">
        <v>7901</v>
      </c>
      <c r="B172" s="347">
        <v>1</v>
      </c>
      <c r="C172" s="347" t="s">
        <v>2941</v>
      </c>
      <c r="E172" s="347" t="s">
        <v>2950</v>
      </c>
      <c r="F172" s="348" t="s">
        <v>6378</v>
      </c>
      <c r="G172" s="347" t="s">
        <v>2952</v>
      </c>
      <c r="H172" s="347" t="s">
        <v>2953</v>
      </c>
      <c r="I172" s="347" t="s">
        <v>6323</v>
      </c>
      <c r="J172" s="347" t="s">
        <v>6335</v>
      </c>
      <c r="K172" s="350" t="s">
        <v>7902</v>
      </c>
      <c r="L172" s="349" t="s">
        <v>7903</v>
      </c>
      <c r="M172" s="350" t="s">
        <v>7904</v>
      </c>
      <c r="N172" s="350" t="s">
        <v>7905</v>
      </c>
      <c r="Q172" s="347" t="s">
        <v>2950</v>
      </c>
      <c r="R172" s="347" t="s">
        <v>2950</v>
      </c>
      <c r="T172" s="347" t="s">
        <v>2950</v>
      </c>
      <c r="V172" s="347" t="s">
        <v>2950</v>
      </c>
      <c r="Z172" s="349" t="s">
        <v>7878</v>
      </c>
    </row>
    <row r="173" spans="1:26" ht="16.899999999999999" customHeight="1" x14ac:dyDescent="0.15">
      <c r="A173" s="347" t="s">
        <v>7906</v>
      </c>
      <c r="B173" s="347">
        <v>1</v>
      </c>
      <c r="C173" s="347" t="s">
        <v>2976</v>
      </c>
      <c r="D173" s="347" t="s">
        <v>2950</v>
      </c>
      <c r="F173" s="348" t="s">
        <v>7896</v>
      </c>
      <c r="G173" s="347" t="s">
        <v>7873</v>
      </c>
      <c r="H173" s="347" t="s">
        <v>2953</v>
      </c>
      <c r="I173" s="347" t="s">
        <v>6323</v>
      </c>
      <c r="J173" s="347" t="s">
        <v>6335</v>
      </c>
      <c r="K173" s="350" t="s">
        <v>7907</v>
      </c>
      <c r="L173" s="349" t="s">
        <v>2987</v>
      </c>
      <c r="M173" s="350" t="s">
        <v>7908</v>
      </c>
      <c r="N173" s="350" t="s">
        <v>7909</v>
      </c>
      <c r="O173" s="347" t="s">
        <v>2950</v>
      </c>
      <c r="P173" s="347" t="s">
        <v>2950</v>
      </c>
      <c r="V173" s="347" t="s">
        <v>2950</v>
      </c>
      <c r="Z173" s="349" t="s">
        <v>7878</v>
      </c>
    </row>
    <row r="174" spans="1:26" ht="16.899999999999999" customHeight="1" x14ac:dyDescent="0.15">
      <c r="A174" s="347" t="s">
        <v>7910</v>
      </c>
      <c r="B174" s="347">
        <v>1</v>
      </c>
      <c r="C174" s="347" t="s">
        <v>2983</v>
      </c>
      <c r="F174" s="348" t="s">
        <v>7911</v>
      </c>
      <c r="G174" s="347" t="s">
        <v>2943</v>
      </c>
      <c r="H174" s="347" t="s">
        <v>2953</v>
      </c>
      <c r="K174" s="350"/>
      <c r="L174" s="349" t="s">
        <v>2987</v>
      </c>
      <c r="M174" s="350" t="s">
        <v>7912</v>
      </c>
      <c r="N174" s="350" t="s">
        <v>7913</v>
      </c>
      <c r="R174" s="347" t="s">
        <v>2950</v>
      </c>
      <c r="S174" s="347" t="s">
        <v>2950</v>
      </c>
      <c r="Z174" s="349" t="s">
        <v>7878</v>
      </c>
    </row>
    <row r="175" spans="1:26" ht="16.899999999999999" customHeight="1" x14ac:dyDescent="0.15">
      <c r="A175" s="347" t="s">
        <v>7914</v>
      </c>
      <c r="B175" s="347">
        <v>1</v>
      </c>
      <c r="C175" s="347" t="s">
        <v>2976</v>
      </c>
      <c r="F175" s="348" t="s">
        <v>2995</v>
      </c>
      <c r="G175" s="347" t="s">
        <v>2943</v>
      </c>
      <c r="H175" s="347" t="s">
        <v>2953</v>
      </c>
      <c r="I175" s="347" t="s">
        <v>6323</v>
      </c>
      <c r="K175" s="350"/>
      <c r="L175" s="349" t="s">
        <v>7875</v>
      </c>
      <c r="M175" s="350" t="s">
        <v>7915</v>
      </c>
      <c r="N175" s="350" t="s">
        <v>7916</v>
      </c>
      <c r="O175" s="347" t="s">
        <v>2950</v>
      </c>
      <c r="V175" s="347" t="s">
        <v>2950</v>
      </c>
      <c r="Z175" s="349" t="s">
        <v>7878</v>
      </c>
    </row>
    <row r="176" spans="1:26" ht="16.899999999999999" customHeight="1" x14ac:dyDescent="0.15">
      <c r="A176" s="347" t="s">
        <v>7988</v>
      </c>
      <c r="B176" s="347">
        <v>1</v>
      </c>
      <c r="C176" s="347" t="s">
        <v>2941</v>
      </c>
      <c r="F176" s="348" t="s">
        <v>2995</v>
      </c>
      <c r="G176" s="347" t="s">
        <v>2952</v>
      </c>
      <c r="H176" s="347" t="s">
        <v>2953</v>
      </c>
      <c r="I176" s="347" t="s">
        <v>6323</v>
      </c>
      <c r="J176" s="347" t="s">
        <v>6335</v>
      </c>
      <c r="K176" s="350" t="s">
        <v>7989</v>
      </c>
      <c r="L176" s="349" t="s">
        <v>7935</v>
      </c>
      <c r="M176" s="350" t="s">
        <v>7990</v>
      </c>
      <c r="N176" s="350" t="s">
        <v>7991</v>
      </c>
      <c r="O176" s="347" t="s">
        <v>2950</v>
      </c>
      <c r="P176" s="347" t="s">
        <v>2950</v>
      </c>
      <c r="R176" s="347" t="s">
        <v>2950</v>
      </c>
      <c r="S176" s="347" t="s">
        <v>2950</v>
      </c>
      <c r="V176" s="347" t="s">
        <v>2950</v>
      </c>
      <c r="Z176" s="349" t="s">
        <v>7972</v>
      </c>
    </row>
    <row r="177" spans="1:26" ht="16.899999999999999" customHeight="1" x14ac:dyDescent="0.15">
      <c r="A177" s="347" t="s">
        <v>7992</v>
      </c>
      <c r="B177" s="347">
        <v>1</v>
      </c>
      <c r="C177" s="347" t="s">
        <v>2941</v>
      </c>
      <c r="F177" s="348" t="s">
        <v>2995</v>
      </c>
      <c r="G177" s="347" t="s">
        <v>2972</v>
      </c>
      <c r="H177" s="347" t="s">
        <v>2953</v>
      </c>
      <c r="K177" s="350"/>
      <c r="L177" s="349" t="s">
        <v>7963</v>
      </c>
      <c r="M177" s="350" t="s">
        <v>7993</v>
      </c>
      <c r="N177" s="350" t="s">
        <v>7994</v>
      </c>
      <c r="Q177" s="347" t="s">
        <v>2950</v>
      </c>
      <c r="T177" s="347" t="s">
        <v>2950</v>
      </c>
      <c r="V177" s="347" t="s">
        <v>2950</v>
      </c>
      <c r="Z177" s="349" t="s">
        <v>7972</v>
      </c>
    </row>
    <row r="178" spans="1:26" ht="16.899999999999999" customHeight="1" x14ac:dyDescent="0.15">
      <c r="A178" s="347" t="s">
        <v>7995</v>
      </c>
      <c r="B178" s="347">
        <v>1</v>
      </c>
      <c r="C178" s="347" t="s">
        <v>2941</v>
      </c>
      <c r="F178" s="348" t="s">
        <v>2995</v>
      </c>
      <c r="G178" s="347" t="s">
        <v>7974</v>
      </c>
      <c r="I178" s="347" t="s">
        <v>6323</v>
      </c>
      <c r="J178" s="347" t="s">
        <v>6335</v>
      </c>
      <c r="K178" s="350" t="s">
        <v>7996</v>
      </c>
      <c r="L178" s="349" t="s">
        <v>7963</v>
      </c>
      <c r="M178" s="350" t="s">
        <v>7997</v>
      </c>
      <c r="N178" s="350" t="s">
        <v>7998</v>
      </c>
      <c r="O178" s="347" t="s">
        <v>2950</v>
      </c>
      <c r="T178" s="347" t="s">
        <v>2950</v>
      </c>
      <c r="U178" s="347" t="s">
        <v>2950</v>
      </c>
      <c r="V178" s="347" t="s">
        <v>2950</v>
      </c>
      <c r="Z178" s="349" t="s">
        <v>7972</v>
      </c>
    </row>
    <row r="179" spans="1:26" ht="16.899999999999999" customHeight="1" x14ac:dyDescent="0.15">
      <c r="A179" s="347" t="s">
        <v>7999</v>
      </c>
      <c r="B179" s="347">
        <v>1</v>
      </c>
      <c r="C179" s="347" t="s">
        <v>2941</v>
      </c>
      <c r="F179" s="348" t="s">
        <v>2995</v>
      </c>
      <c r="G179" s="347" t="s">
        <v>2972</v>
      </c>
      <c r="H179" s="347" t="s">
        <v>2953</v>
      </c>
      <c r="I179" s="347" t="s">
        <v>6323</v>
      </c>
      <c r="K179" s="350"/>
      <c r="L179" s="349" t="s">
        <v>7898</v>
      </c>
      <c r="M179" s="350" t="s">
        <v>8000</v>
      </c>
      <c r="N179" s="350" t="s">
        <v>8001</v>
      </c>
      <c r="Q179" s="347" t="s">
        <v>2950</v>
      </c>
      <c r="S179" s="347" t="s">
        <v>2950</v>
      </c>
      <c r="T179" s="347" t="s">
        <v>2950</v>
      </c>
      <c r="Z179" s="349" t="s">
        <v>7972</v>
      </c>
    </row>
    <row r="180" spans="1:26" ht="16.899999999999999" customHeight="1" x14ac:dyDescent="0.15">
      <c r="A180" s="347" t="s">
        <v>8002</v>
      </c>
      <c r="B180" s="347">
        <v>1</v>
      </c>
      <c r="C180" s="347" t="s">
        <v>2983</v>
      </c>
      <c r="F180" s="348" t="s">
        <v>2995</v>
      </c>
      <c r="G180" s="347" t="s">
        <v>2970</v>
      </c>
      <c r="H180" s="347" t="s">
        <v>2953</v>
      </c>
      <c r="I180" s="347" t="s">
        <v>6323</v>
      </c>
      <c r="K180" s="350"/>
      <c r="L180" s="349" t="s">
        <v>2987</v>
      </c>
      <c r="M180" s="350" t="s">
        <v>8003</v>
      </c>
      <c r="N180" s="350" t="s">
        <v>8004</v>
      </c>
      <c r="O180" s="347" t="s">
        <v>2950</v>
      </c>
      <c r="R180" s="347" t="s">
        <v>2950</v>
      </c>
      <c r="S180" s="347" t="s">
        <v>2950</v>
      </c>
      <c r="T180" s="347" t="s">
        <v>2950</v>
      </c>
      <c r="U180" s="347" t="s">
        <v>2950</v>
      </c>
      <c r="V180" s="347" t="s">
        <v>2950</v>
      </c>
      <c r="Z180" s="349" t="s">
        <v>7972</v>
      </c>
    </row>
    <row r="181" spans="1:26" ht="16.899999999999999" customHeight="1" x14ac:dyDescent="0.15">
      <c r="A181" s="347" t="s">
        <v>8005</v>
      </c>
      <c r="B181" s="347">
        <v>1</v>
      </c>
      <c r="C181" s="347" t="s">
        <v>2976</v>
      </c>
      <c r="E181" s="347" t="s">
        <v>2950</v>
      </c>
      <c r="F181" s="348" t="s">
        <v>2995</v>
      </c>
      <c r="G181" s="347" t="s">
        <v>2972</v>
      </c>
      <c r="H181" s="347" t="s">
        <v>2953</v>
      </c>
      <c r="I181" s="347" t="s">
        <v>6323</v>
      </c>
      <c r="J181" s="347" t="s">
        <v>6335</v>
      </c>
      <c r="K181" s="350" t="s">
        <v>8006</v>
      </c>
      <c r="L181" s="349" t="s">
        <v>8007</v>
      </c>
      <c r="M181" s="350" t="s">
        <v>8008</v>
      </c>
      <c r="N181" s="350" t="s">
        <v>8009</v>
      </c>
      <c r="O181" s="347" t="s">
        <v>2950</v>
      </c>
      <c r="P181" s="347" t="s">
        <v>2950</v>
      </c>
      <c r="Q181" s="347" t="s">
        <v>2950</v>
      </c>
      <c r="T181" s="347" t="s">
        <v>2950</v>
      </c>
      <c r="U181" s="347" t="s">
        <v>2950</v>
      </c>
      <c r="V181" s="347" t="s">
        <v>2950</v>
      </c>
      <c r="Z181" s="349" t="s">
        <v>7972</v>
      </c>
    </row>
    <row r="182" spans="1:26" ht="16.899999999999999" customHeight="1" x14ac:dyDescent="0.15">
      <c r="A182" s="347" t="s">
        <v>8010</v>
      </c>
      <c r="B182" s="347">
        <v>1</v>
      </c>
      <c r="C182" s="347" t="s">
        <v>2983</v>
      </c>
      <c r="D182" s="347" t="s">
        <v>2950</v>
      </c>
      <c r="F182" s="348" t="s">
        <v>7896</v>
      </c>
      <c r="G182" s="347" t="s">
        <v>2970</v>
      </c>
      <c r="H182" s="347" t="s">
        <v>2953</v>
      </c>
      <c r="I182" s="347" t="s">
        <v>6323</v>
      </c>
      <c r="J182" s="347" t="s">
        <v>6335</v>
      </c>
      <c r="K182" s="350" t="s">
        <v>8011</v>
      </c>
      <c r="L182" s="349" t="s">
        <v>7875</v>
      </c>
      <c r="M182" s="350" t="s">
        <v>8012</v>
      </c>
      <c r="N182" s="350" t="s">
        <v>8013</v>
      </c>
      <c r="O182" s="347" t="s">
        <v>2950</v>
      </c>
      <c r="Q182" s="347" t="s">
        <v>2950</v>
      </c>
      <c r="S182" s="347" t="s">
        <v>2950</v>
      </c>
      <c r="T182" s="347" t="s">
        <v>2950</v>
      </c>
      <c r="U182" s="347" t="s">
        <v>2950</v>
      </c>
      <c r="V182" s="347" t="s">
        <v>2950</v>
      </c>
      <c r="Z182" s="349" t="s">
        <v>7972</v>
      </c>
    </row>
    <row r="183" spans="1:26" ht="16.899999999999999" customHeight="1" x14ac:dyDescent="0.15">
      <c r="A183" s="347" t="s">
        <v>8014</v>
      </c>
      <c r="B183" s="347">
        <v>1</v>
      </c>
      <c r="C183" s="347" t="s">
        <v>2941</v>
      </c>
      <c r="F183" s="348" t="s">
        <v>2995</v>
      </c>
      <c r="G183" s="347" t="s">
        <v>2943</v>
      </c>
      <c r="H183" s="347" t="s">
        <v>2953</v>
      </c>
      <c r="I183" s="347" t="s">
        <v>6323</v>
      </c>
      <c r="J183" s="347" t="s">
        <v>6335</v>
      </c>
      <c r="K183" s="350" t="s">
        <v>8015</v>
      </c>
      <c r="L183" s="349" t="s">
        <v>7963</v>
      </c>
      <c r="M183" s="350" t="s">
        <v>8016</v>
      </c>
      <c r="N183" s="350" t="s">
        <v>8017</v>
      </c>
      <c r="Q183" s="347" t="s">
        <v>2950</v>
      </c>
      <c r="S183" s="347" t="s">
        <v>2950</v>
      </c>
      <c r="V183" s="347" t="s">
        <v>2950</v>
      </c>
      <c r="Z183" s="349" t="s">
        <v>7972</v>
      </c>
    </row>
    <row r="184" spans="1:26" ht="16.899999999999999" customHeight="1" x14ac:dyDescent="0.15">
      <c r="A184" s="347" t="s">
        <v>8018</v>
      </c>
      <c r="B184" s="347">
        <v>1</v>
      </c>
      <c r="C184" s="347" t="s">
        <v>2941</v>
      </c>
      <c r="F184" s="348" t="s">
        <v>2995</v>
      </c>
      <c r="G184" s="347" t="s">
        <v>2970</v>
      </c>
      <c r="H184" s="347" t="s">
        <v>2953</v>
      </c>
      <c r="I184" s="347" t="s">
        <v>6323</v>
      </c>
      <c r="J184" s="347" t="s">
        <v>6335</v>
      </c>
      <c r="K184" s="350" t="s">
        <v>8019</v>
      </c>
      <c r="L184" s="349" t="s">
        <v>7898</v>
      </c>
      <c r="M184" s="350" t="s">
        <v>8020</v>
      </c>
      <c r="N184" s="350" t="s">
        <v>8021</v>
      </c>
      <c r="O184" s="347" t="s">
        <v>2950</v>
      </c>
      <c r="S184" s="347" t="s">
        <v>2950</v>
      </c>
      <c r="V184" s="347" t="s">
        <v>2950</v>
      </c>
      <c r="Z184" s="349" t="s">
        <v>7972</v>
      </c>
    </row>
    <row r="185" spans="1:26" ht="16.899999999999999" customHeight="1" x14ac:dyDescent="0.15">
      <c r="A185" s="347" t="s">
        <v>8022</v>
      </c>
      <c r="B185" s="347">
        <v>1</v>
      </c>
      <c r="C185" s="347" t="s">
        <v>7883</v>
      </c>
      <c r="F185" s="348" t="s">
        <v>8023</v>
      </c>
      <c r="G185" s="347" t="s">
        <v>2943</v>
      </c>
      <c r="I185" s="347" t="s">
        <v>6323</v>
      </c>
      <c r="K185" s="350"/>
      <c r="L185" s="349" t="s">
        <v>2987</v>
      </c>
      <c r="M185" s="350" t="s">
        <v>8024</v>
      </c>
      <c r="N185" s="350" t="s">
        <v>8025</v>
      </c>
      <c r="O185" s="347" t="s">
        <v>2950</v>
      </c>
      <c r="V185" s="347" t="s">
        <v>2950</v>
      </c>
      <c r="Z185" s="349" t="s">
        <v>7972</v>
      </c>
    </row>
    <row r="186" spans="1:26" ht="16.899999999999999" customHeight="1" x14ac:dyDescent="0.15">
      <c r="A186" s="347" t="s">
        <v>8026</v>
      </c>
      <c r="B186" s="347">
        <v>1</v>
      </c>
      <c r="C186" s="347" t="s">
        <v>2983</v>
      </c>
      <c r="F186" s="348" t="s">
        <v>2995</v>
      </c>
      <c r="G186" s="347" t="s">
        <v>2974</v>
      </c>
      <c r="H186" s="347" t="s">
        <v>2953</v>
      </c>
      <c r="I186" s="347" t="s">
        <v>6323</v>
      </c>
      <c r="K186" s="350"/>
      <c r="L186" s="349" t="s">
        <v>2987</v>
      </c>
      <c r="M186" s="350" t="s">
        <v>8027</v>
      </c>
      <c r="N186" s="350" t="s">
        <v>8028</v>
      </c>
      <c r="Q186" s="347" t="s">
        <v>2950</v>
      </c>
      <c r="S186" s="347" t="s">
        <v>2950</v>
      </c>
      <c r="T186" s="347" t="s">
        <v>2950</v>
      </c>
      <c r="V186" s="347" t="s">
        <v>2950</v>
      </c>
      <c r="Z186" s="349" t="s">
        <v>7972</v>
      </c>
    </row>
    <row r="187" spans="1:26" ht="16.899999999999999" customHeight="1" x14ac:dyDescent="0.15">
      <c r="A187" s="347" t="s">
        <v>10766</v>
      </c>
      <c r="B187" s="347">
        <v>1</v>
      </c>
      <c r="C187" s="347" t="s">
        <v>7883</v>
      </c>
      <c r="E187" s="347" t="s">
        <v>2950</v>
      </c>
      <c r="F187" s="348" t="s">
        <v>2995</v>
      </c>
      <c r="G187" s="347" t="s">
        <v>2972</v>
      </c>
      <c r="H187" s="347" t="s">
        <v>2953</v>
      </c>
      <c r="I187" s="347" t="s">
        <v>6323</v>
      </c>
      <c r="J187" s="347" t="s">
        <v>6335</v>
      </c>
      <c r="K187" s="350" t="s">
        <v>8029</v>
      </c>
      <c r="L187" s="349" t="s">
        <v>8007</v>
      </c>
      <c r="M187" s="350" t="s">
        <v>8030</v>
      </c>
      <c r="N187" s="350" t="s">
        <v>8031</v>
      </c>
      <c r="O187" s="347" t="s">
        <v>2950</v>
      </c>
      <c r="Q187" s="347" t="s">
        <v>2950</v>
      </c>
      <c r="S187" s="347" t="s">
        <v>2950</v>
      </c>
      <c r="T187" s="347" t="s">
        <v>2950</v>
      </c>
      <c r="V187" s="347" t="s">
        <v>2950</v>
      </c>
      <c r="Z187" s="349" t="s">
        <v>7972</v>
      </c>
    </row>
    <row r="188" spans="1:26" ht="16.899999999999999" customHeight="1" x14ac:dyDescent="0.15">
      <c r="A188" s="347" t="s">
        <v>8169</v>
      </c>
      <c r="B188" s="347">
        <v>1</v>
      </c>
      <c r="C188" s="347" t="s">
        <v>7895</v>
      </c>
      <c r="E188" s="347" t="s">
        <v>2950</v>
      </c>
      <c r="F188" s="348" t="s">
        <v>2995</v>
      </c>
      <c r="G188" s="347" t="s">
        <v>2943</v>
      </c>
      <c r="H188" s="347" t="s">
        <v>2953</v>
      </c>
      <c r="I188" s="347" t="s">
        <v>6323</v>
      </c>
      <c r="K188" s="350"/>
      <c r="L188" s="349" t="s">
        <v>8007</v>
      </c>
      <c r="M188" s="350" t="s">
        <v>8170</v>
      </c>
      <c r="N188" s="350" t="s">
        <v>8171</v>
      </c>
      <c r="P188" s="347" t="s">
        <v>2950</v>
      </c>
      <c r="Q188" s="347" t="s">
        <v>2950</v>
      </c>
      <c r="S188" s="347" t="s">
        <v>2950</v>
      </c>
      <c r="T188" s="347" t="s">
        <v>2950</v>
      </c>
      <c r="Z188" s="349" t="s">
        <v>8157</v>
      </c>
    </row>
    <row r="189" spans="1:26" ht="16.899999999999999" customHeight="1" x14ac:dyDescent="0.15">
      <c r="A189" s="347" t="s">
        <v>8172</v>
      </c>
      <c r="B189" s="347">
        <v>1</v>
      </c>
      <c r="C189" s="347" t="s">
        <v>8154</v>
      </c>
      <c r="E189" s="347" t="s">
        <v>2950</v>
      </c>
      <c r="F189" s="348" t="s">
        <v>2995</v>
      </c>
      <c r="G189" s="347" t="s">
        <v>2972</v>
      </c>
      <c r="H189" s="347" t="s">
        <v>2953</v>
      </c>
      <c r="I189" s="347" t="s">
        <v>6323</v>
      </c>
      <c r="J189" s="347" t="s">
        <v>6335</v>
      </c>
      <c r="K189" s="350" t="s">
        <v>8173</v>
      </c>
      <c r="L189" s="349" t="s">
        <v>7903</v>
      </c>
      <c r="M189" s="350" t="s">
        <v>8174</v>
      </c>
      <c r="N189" s="350" t="s">
        <v>8175</v>
      </c>
      <c r="O189" s="347" t="s">
        <v>2950</v>
      </c>
      <c r="P189" s="347" t="s">
        <v>2950</v>
      </c>
      <c r="T189" s="347" t="s">
        <v>2950</v>
      </c>
      <c r="U189" s="347" t="s">
        <v>2950</v>
      </c>
      <c r="V189" s="347" t="s">
        <v>2950</v>
      </c>
      <c r="Z189" s="349" t="s">
        <v>8157</v>
      </c>
    </row>
    <row r="190" spans="1:26" ht="16.899999999999999" customHeight="1" x14ac:dyDescent="0.15">
      <c r="A190" s="347" t="s">
        <v>8176</v>
      </c>
      <c r="B190" s="347">
        <v>1</v>
      </c>
      <c r="C190" s="347" t="s">
        <v>8154</v>
      </c>
      <c r="F190" s="348" t="s">
        <v>8177</v>
      </c>
      <c r="G190" s="347" t="s">
        <v>2970</v>
      </c>
      <c r="I190" s="347" t="s">
        <v>6323</v>
      </c>
      <c r="J190" s="347" t="s">
        <v>6335</v>
      </c>
      <c r="K190" s="350" t="s">
        <v>8178</v>
      </c>
      <c r="L190" s="349" t="s">
        <v>2987</v>
      </c>
      <c r="M190" s="350" t="s">
        <v>8179</v>
      </c>
      <c r="N190" s="350" t="s">
        <v>8180</v>
      </c>
      <c r="T190" s="347" t="s">
        <v>2950</v>
      </c>
      <c r="U190" s="347" t="s">
        <v>2950</v>
      </c>
      <c r="V190" s="347" t="s">
        <v>2950</v>
      </c>
      <c r="Z190" s="349" t="s">
        <v>8157</v>
      </c>
    </row>
    <row r="191" spans="1:26" ht="16.899999999999999" customHeight="1" x14ac:dyDescent="0.15">
      <c r="A191" s="347" t="s">
        <v>8181</v>
      </c>
      <c r="B191" s="347">
        <v>1</v>
      </c>
      <c r="C191" s="347" t="s">
        <v>8154</v>
      </c>
      <c r="F191" s="348" t="s">
        <v>6378</v>
      </c>
      <c r="G191" s="347" t="s">
        <v>2943</v>
      </c>
      <c r="H191" s="347" t="s">
        <v>2953</v>
      </c>
      <c r="I191" s="347" t="s">
        <v>6323</v>
      </c>
      <c r="K191" s="350"/>
      <c r="L191" s="349" t="s">
        <v>7875</v>
      </c>
      <c r="M191" s="350" t="s">
        <v>8182</v>
      </c>
      <c r="N191" s="350" t="s">
        <v>8183</v>
      </c>
      <c r="R191" s="347" t="s">
        <v>2950</v>
      </c>
      <c r="T191" s="347" t="s">
        <v>2950</v>
      </c>
      <c r="U191" s="347" t="s">
        <v>2950</v>
      </c>
      <c r="Z191" s="349" t="s">
        <v>8157</v>
      </c>
    </row>
    <row r="192" spans="1:26" ht="16.899999999999999" customHeight="1" x14ac:dyDescent="0.15">
      <c r="A192" s="347" t="s">
        <v>8495</v>
      </c>
      <c r="B192" s="347">
        <v>1</v>
      </c>
      <c r="C192" s="347" t="s">
        <v>968</v>
      </c>
      <c r="E192" s="347" t="s">
        <v>631</v>
      </c>
      <c r="F192" s="348" t="s">
        <v>2995</v>
      </c>
      <c r="G192" s="347" t="s">
        <v>6327</v>
      </c>
      <c r="H192" s="347" t="s">
        <v>970</v>
      </c>
      <c r="I192" s="347" t="s">
        <v>971</v>
      </c>
      <c r="J192" s="347" t="s">
        <v>989</v>
      </c>
      <c r="K192" s="350" t="s">
        <v>8496</v>
      </c>
      <c r="L192" s="349" t="s">
        <v>8007</v>
      </c>
      <c r="M192" s="350" t="s">
        <v>9596</v>
      </c>
      <c r="N192" s="350" t="s">
        <v>8497</v>
      </c>
      <c r="T192" s="347" t="s">
        <v>2950</v>
      </c>
      <c r="U192" s="347" t="s">
        <v>631</v>
      </c>
      <c r="V192" s="347" t="s">
        <v>631</v>
      </c>
      <c r="Z192" s="349" t="s">
        <v>8316</v>
      </c>
    </row>
    <row r="193" spans="1:26" ht="16.899999999999999" customHeight="1" x14ac:dyDescent="0.15">
      <c r="A193" s="347" t="s">
        <v>8514</v>
      </c>
      <c r="B193" s="347">
        <v>1</v>
      </c>
      <c r="C193" s="347" t="s">
        <v>994</v>
      </c>
      <c r="E193" s="347" t="s">
        <v>631</v>
      </c>
      <c r="F193" s="348" t="s">
        <v>941</v>
      </c>
      <c r="G193" s="347" t="s">
        <v>978</v>
      </c>
      <c r="H193" s="347" t="s">
        <v>970</v>
      </c>
      <c r="I193" s="347" t="s">
        <v>971</v>
      </c>
      <c r="K193" s="350"/>
      <c r="L193" s="349" t="s">
        <v>6522</v>
      </c>
      <c r="M193" s="350" t="s">
        <v>9601</v>
      </c>
      <c r="N193" s="350" t="s">
        <v>8515</v>
      </c>
      <c r="O193" s="347" t="s">
        <v>631</v>
      </c>
      <c r="T193" s="347" t="s">
        <v>631</v>
      </c>
      <c r="U193" s="347" t="s">
        <v>631</v>
      </c>
      <c r="V193" s="347" t="s">
        <v>631</v>
      </c>
      <c r="Z193" s="349" t="s">
        <v>8537</v>
      </c>
    </row>
    <row r="194" spans="1:26" ht="16.899999999999999" customHeight="1" x14ac:dyDescent="0.15">
      <c r="A194" s="347" t="s">
        <v>8850</v>
      </c>
      <c r="B194" s="347">
        <v>1</v>
      </c>
      <c r="C194" s="347" t="s">
        <v>1013</v>
      </c>
      <c r="E194" s="347" t="s">
        <v>631</v>
      </c>
      <c r="F194" s="348" t="s">
        <v>941</v>
      </c>
      <c r="G194" s="347" t="s">
        <v>978</v>
      </c>
      <c r="H194" s="347" t="s">
        <v>970</v>
      </c>
      <c r="I194" s="347" t="s">
        <v>971</v>
      </c>
      <c r="K194" s="350"/>
      <c r="L194" s="349" t="s">
        <v>8007</v>
      </c>
      <c r="M194" s="350" t="s">
        <v>9608</v>
      </c>
      <c r="N194" s="350" t="s">
        <v>8851</v>
      </c>
      <c r="P194" s="347" t="s">
        <v>631</v>
      </c>
      <c r="Q194" s="347" t="s">
        <v>631</v>
      </c>
      <c r="S194" s="347" t="s">
        <v>631</v>
      </c>
      <c r="U194" s="347" t="s">
        <v>631</v>
      </c>
      <c r="V194" s="347" t="s">
        <v>631</v>
      </c>
      <c r="Z194" s="349" t="s">
        <v>9101</v>
      </c>
    </row>
    <row r="195" spans="1:26" ht="16.899999999999999" customHeight="1" x14ac:dyDescent="0.15">
      <c r="A195" s="347" t="s">
        <v>8852</v>
      </c>
      <c r="B195" s="347">
        <v>1</v>
      </c>
      <c r="C195" s="347" t="s">
        <v>977</v>
      </c>
      <c r="F195" s="348" t="s">
        <v>8853</v>
      </c>
      <c r="G195" s="347" t="s">
        <v>978</v>
      </c>
      <c r="H195" s="347" t="s">
        <v>970</v>
      </c>
      <c r="I195" s="347" t="s">
        <v>971</v>
      </c>
      <c r="J195" s="347" t="s">
        <v>989</v>
      </c>
      <c r="K195" s="350" t="s">
        <v>8854</v>
      </c>
      <c r="L195" s="349" t="s">
        <v>8855</v>
      </c>
      <c r="M195" s="350" t="s">
        <v>9609</v>
      </c>
      <c r="N195" s="350" t="s">
        <v>8856</v>
      </c>
      <c r="Q195" s="347" t="s">
        <v>631</v>
      </c>
      <c r="S195" s="347" t="s">
        <v>631</v>
      </c>
      <c r="T195" s="347" t="s">
        <v>631</v>
      </c>
      <c r="V195" s="347" t="s">
        <v>631</v>
      </c>
      <c r="Z195" s="349" t="s">
        <v>9101</v>
      </c>
    </row>
    <row r="196" spans="1:26" ht="16.899999999999999" customHeight="1" x14ac:dyDescent="0.15">
      <c r="A196" s="347" t="s">
        <v>8857</v>
      </c>
      <c r="B196" s="347">
        <v>1</v>
      </c>
      <c r="C196" s="347" t="s">
        <v>977</v>
      </c>
      <c r="E196" s="347" t="s">
        <v>631</v>
      </c>
      <c r="F196" s="348" t="s">
        <v>1047</v>
      </c>
      <c r="G196" s="347" t="s">
        <v>969</v>
      </c>
      <c r="H196" s="347" t="s">
        <v>970</v>
      </c>
      <c r="I196" s="347" t="s">
        <v>971</v>
      </c>
      <c r="J196" s="347" t="s">
        <v>989</v>
      </c>
      <c r="K196" s="350" t="s">
        <v>8858</v>
      </c>
      <c r="L196" s="349" t="s">
        <v>1161</v>
      </c>
      <c r="M196" s="350" t="s">
        <v>8859</v>
      </c>
      <c r="N196" s="350" t="s">
        <v>8860</v>
      </c>
      <c r="Q196" s="347" t="s">
        <v>631</v>
      </c>
      <c r="U196" s="347" t="s">
        <v>631</v>
      </c>
      <c r="Z196" s="349" t="s">
        <v>9101</v>
      </c>
    </row>
    <row r="197" spans="1:26" ht="16.899999999999999" customHeight="1" x14ac:dyDescent="0.15">
      <c r="A197" s="347" t="s">
        <v>9303</v>
      </c>
      <c r="B197" s="347">
        <v>1</v>
      </c>
      <c r="C197" s="347" t="s">
        <v>983</v>
      </c>
      <c r="F197" s="348" t="s">
        <v>941</v>
      </c>
      <c r="G197" s="347" t="s">
        <v>978</v>
      </c>
      <c r="H197" s="347" t="s">
        <v>970</v>
      </c>
      <c r="I197" s="347" t="s">
        <v>971</v>
      </c>
      <c r="J197" s="347" t="s">
        <v>989</v>
      </c>
      <c r="K197" s="350" t="s">
        <v>9304</v>
      </c>
      <c r="L197" s="349" t="s">
        <v>1109</v>
      </c>
      <c r="M197" s="350" t="s">
        <v>9617</v>
      </c>
      <c r="N197" s="350" t="s">
        <v>9305</v>
      </c>
      <c r="R197" s="347" t="s">
        <v>631</v>
      </c>
      <c r="S197" s="347" t="s">
        <v>631</v>
      </c>
      <c r="U197" s="347" t="s">
        <v>631</v>
      </c>
      <c r="Z197" s="349" t="s">
        <v>9638</v>
      </c>
    </row>
    <row r="198" spans="1:26" ht="16.899999999999999" customHeight="1" x14ac:dyDescent="0.15">
      <c r="A198" s="347" t="s">
        <v>9306</v>
      </c>
      <c r="B198" s="347">
        <v>1</v>
      </c>
      <c r="C198" s="347" t="s">
        <v>983</v>
      </c>
      <c r="E198" s="347" t="s">
        <v>631</v>
      </c>
      <c r="F198" s="348" t="s">
        <v>941</v>
      </c>
      <c r="G198" s="347" t="s">
        <v>709</v>
      </c>
      <c r="H198" s="347" t="s">
        <v>970</v>
      </c>
      <c r="I198" s="347" t="s">
        <v>971</v>
      </c>
      <c r="J198" s="347" t="s">
        <v>989</v>
      </c>
      <c r="K198" s="350" t="s">
        <v>9307</v>
      </c>
      <c r="L198" s="349" t="s">
        <v>8007</v>
      </c>
      <c r="M198" s="350" t="s">
        <v>9618</v>
      </c>
      <c r="N198" s="350" t="s">
        <v>9308</v>
      </c>
      <c r="O198" s="347" t="s">
        <v>631</v>
      </c>
      <c r="R198" s="347" t="s">
        <v>631</v>
      </c>
      <c r="T198" s="347" t="s">
        <v>631</v>
      </c>
      <c r="V198" s="347" t="s">
        <v>631</v>
      </c>
      <c r="Z198" s="349" t="s">
        <v>9638</v>
      </c>
    </row>
    <row r="199" spans="1:26" ht="16.899999999999999" customHeight="1" x14ac:dyDescent="0.15">
      <c r="A199" s="347" t="s">
        <v>9309</v>
      </c>
      <c r="B199" s="347">
        <v>1</v>
      </c>
      <c r="C199" s="347" t="s">
        <v>1007</v>
      </c>
      <c r="E199" s="347" t="s">
        <v>631</v>
      </c>
      <c r="F199" s="348" t="s">
        <v>941</v>
      </c>
      <c r="G199" s="347" t="s">
        <v>969</v>
      </c>
      <c r="H199" s="347" t="s">
        <v>970</v>
      </c>
      <c r="I199" s="347" t="s">
        <v>971</v>
      </c>
      <c r="J199" s="347" t="s">
        <v>989</v>
      </c>
      <c r="K199" s="350" t="s">
        <v>9310</v>
      </c>
      <c r="L199" s="349" t="s">
        <v>9589</v>
      </c>
      <c r="M199" s="350" t="s">
        <v>9311</v>
      </c>
      <c r="N199" s="350" t="s">
        <v>9312</v>
      </c>
      <c r="O199" s="347" t="s">
        <v>631</v>
      </c>
      <c r="T199" s="347" t="s">
        <v>631</v>
      </c>
      <c r="V199" s="347" t="s">
        <v>631</v>
      </c>
      <c r="Z199" s="349" t="s">
        <v>9638</v>
      </c>
    </row>
    <row r="200" spans="1:26" ht="16.899999999999999" customHeight="1" x14ac:dyDescent="0.15">
      <c r="A200" s="347" t="s">
        <v>9313</v>
      </c>
      <c r="B200" s="347">
        <v>1</v>
      </c>
      <c r="C200" s="347" t="s">
        <v>977</v>
      </c>
      <c r="F200" s="348" t="s">
        <v>941</v>
      </c>
      <c r="G200" s="347" t="s">
        <v>984</v>
      </c>
      <c r="H200" s="347" t="s">
        <v>970</v>
      </c>
      <c r="I200" s="347" t="s">
        <v>971</v>
      </c>
      <c r="J200" s="347" t="s">
        <v>989</v>
      </c>
      <c r="K200" s="350" t="s">
        <v>9314</v>
      </c>
      <c r="L200" s="349" t="s">
        <v>1109</v>
      </c>
      <c r="M200" s="350" t="s">
        <v>9619</v>
      </c>
      <c r="N200" s="350" t="s">
        <v>9315</v>
      </c>
      <c r="P200" s="347" t="s">
        <v>631</v>
      </c>
      <c r="R200" s="347" t="s">
        <v>631</v>
      </c>
      <c r="V200" s="347" t="s">
        <v>631</v>
      </c>
      <c r="Z200" s="349" t="s">
        <v>9638</v>
      </c>
    </row>
    <row r="201" spans="1:26" ht="16.899999999999999" customHeight="1" x14ac:dyDescent="0.15">
      <c r="A201" s="347" t="s">
        <v>9316</v>
      </c>
      <c r="B201" s="347">
        <v>1</v>
      </c>
      <c r="C201" s="347" t="s">
        <v>968</v>
      </c>
      <c r="E201" s="347" t="s">
        <v>631</v>
      </c>
      <c r="F201" s="348" t="s">
        <v>941</v>
      </c>
      <c r="G201" s="347" t="s">
        <v>969</v>
      </c>
      <c r="H201" s="347" t="s">
        <v>970</v>
      </c>
      <c r="J201" s="347" t="s">
        <v>989</v>
      </c>
      <c r="K201" s="350" t="s">
        <v>9317</v>
      </c>
      <c r="L201" s="349" t="s">
        <v>8007</v>
      </c>
      <c r="M201" s="350" t="s">
        <v>9620</v>
      </c>
      <c r="N201" s="350" t="s">
        <v>9318</v>
      </c>
      <c r="T201" s="347" t="s">
        <v>631</v>
      </c>
      <c r="U201" s="347" t="s">
        <v>631</v>
      </c>
      <c r="V201" s="347" t="s">
        <v>631</v>
      </c>
      <c r="Z201" s="349" t="s">
        <v>9638</v>
      </c>
    </row>
    <row r="202" spans="1:26" ht="16.899999999999999" customHeight="1" x14ac:dyDescent="0.15">
      <c r="A202" s="347" t="s">
        <v>9319</v>
      </c>
      <c r="B202" s="347">
        <v>1</v>
      </c>
      <c r="C202" s="347" t="s">
        <v>968</v>
      </c>
      <c r="F202" s="348" t="s">
        <v>941</v>
      </c>
      <c r="G202" s="347" t="s">
        <v>969</v>
      </c>
      <c r="H202" s="347" t="s">
        <v>970</v>
      </c>
      <c r="I202" s="347" t="s">
        <v>971</v>
      </c>
      <c r="K202" s="350"/>
      <c r="L202" s="349" t="s">
        <v>1016</v>
      </c>
      <c r="M202" s="350" t="s">
        <v>9320</v>
      </c>
      <c r="N202" s="350" t="s">
        <v>9321</v>
      </c>
      <c r="P202" s="347" t="s">
        <v>631</v>
      </c>
      <c r="Q202" s="347" t="s">
        <v>631</v>
      </c>
      <c r="Z202" s="349" t="s">
        <v>9638</v>
      </c>
    </row>
    <row r="203" spans="1:26" ht="16.899999999999999" customHeight="1" x14ac:dyDescent="0.15">
      <c r="A203" s="347" t="s">
        <v>9322</v>
      </c>
      <c r="B203" s="347">
        <v>1</v>
      </c>
      <c r="C203" s="347" t="s">
        <v>1019</v>
      </c>
      <c r="F203" s="348" t="s">
        <v>941</v>
      </c>
      <c r="G203" s="347" t="s">
        <v>969</v>
      </c>
      <c r="H203" s="347" t="s">
        <v>970</v>
      </c>
      <c r="I203" s="347" t="s">
        <v>971</v>
      </c>
      <c r="K203" s="350"/>
      <c r="L203" s="349" t="s">
        <v>972</v>
      </c>
      <c r="M203" s="350" t="s">
        <v>9621</v>
      </c>
      <c r="N203" s="350" t="s">
        <v>9323</v>
      </c>
      <c r="O203" s="347" t="s">
        <v>631</v>
      </c>
      <c r="T203" s="347" t="s">
        <v>631</v>
      </c>
      <c r="U203" s="347" t="s">
        <v>631</v>
      </c>
      <c r="V203" s="347" t="s">
        <v>631</v>
      </c>
      <c r="Z203" s="349" t="s">
        <v>9638</v>
      </c>
    </row>
    <row r="204" spans="1:26" ht="16.899999999999999" customHeight="1" x14ac:dyDescent="0.15">
      <c r="A204" s="347" t="s">
        <v>10056</v>
      </c>
      <c r="B204" s="347">
        <v>1</v>
      </c>
      <c r="C204" s="347" t="s">
        <v>968</v>
      </c>
      <c r="F204" s="348" t="s">
        <v>941</v>
      </c>
      <c r="G204" s="347" t="s">
        <v>969</v>
      </c>
      <c r="H204" s="347" t="s">
        <v>970</v>
      </c>
      <c r="I204" s="347" t="s">
        <v>971</v>
      </c>
      <c r="K204" s="350"/>
      <c r="L204" s="349" t="s">
        <v>972</v>
      </c>
      <c r="M204" s="350" t="s">
        <v>10108</v>
      </c>
      <c r="N204" s="350" t="s">
        <v>10057</v>
      </c>
      <c r="T204" s="347" t="s">
        <v>10123</v>
      </c>
      <c r="V204" s="347" t="s">
        <v>10123</v>
      </c>
      <c r="Z204" s="349" t="s">
        <v>10124</v>
      </c>
    </row>
    <row r="205" spans="1:26" ht="16.899999999999999" customHeight="1" x14ac:dyDescent="0.15">
      <c r="A205" s="347" t="s">
        <v>10058</v>
      </c>
      <c r="B205" s="347">
        <v>1</v>
      </c>
      <c r="C205" s="347" t="s">
        <v>977</v>
      </c>
      <c r="F205" s="348" t="s">
        <v>941</v>
      </c>
      <c r="G205" s="347" t="s">
        <v>969</v>
      </c>
      <c r="H205" s="347" t="s">
        <v>970</v>
      </c>
      <c r="I205" s="347" t="s">
        <v>971</v>
      </c>
      <c r="J205" s="347" t="s">
        <v>989</v>
      </c>
      <c r="K205" s="350" t="s">
        <v>10059</v>
      </c>
      <c r="L205" s="349" t="s">
        <v>972</v>
      </c>
      <c r="M205" s="350" t="s">
        <v>10109</v>
      </c>
      <c r="N205" s="350" t="s">
        <v>10060</v>
      </c>
      <c r="O205" s="347" t="s">
        <v>10123</v>
      </c>
      <c r="P205" s="347" t="s">
        <v>10123</v>
      </c>
      <c r="R205" s="347" t="s">
        <v>10123</v>
      </c>
      <c r="V205" s="347" t="s">
        <v>10123</v>
      </c>
      <c r="Z205" s="349" t="s">
        <v>10124</v>
      </c>
    </row>
    <row r="206" spans="1:26" ht="16.899999999999999" customHeight="1" x14ac:dyDescent="0.15">
      <c r="A206" s="347" t="s">
        <v>1337</v>
      </c>
      <c r="B206" s="347">
        <v>2</v>
      </c>
      <c r="C206" s="347" t="s">
        <v>977</v>
      </c>
      <c r="F206" s="348" t="s">
        <v>941</v>
      </c>
      <c r="G206" s="347" t="s">
        <v>709</v>
      </c>
      <c r="H206" s="347" t="s">
        <v>970</v>
      </c>
      <c r="I206" s="347" t="s">
        <v>971</v>
      </c>
      <c r="J206" s="347" t="s">
        <v>989</v>
      </c>
      <c r="K206" s="350" t="s">
        <v>1338</v>
      </c>
      <c r="L206" s="349" t="s">
        <v>1339</v>
      </c>
      <c r="M206" s="350" t="s">
        <v>1340</v>
      </c>
      <c r="N206" s="350" t="s">
        <v>1341</v>
      </c>
      <c r="O206" s="347" t="s">
        <v>631</v>
      </c>
      <c r="P206" s="347" t="s">
        <v>631</v>
      </c>
      <c r="Q206" s="347" t="s">
        <v>631</v>
      </c>
      <c r="R206" s="347" t="s">
        <v>631</v>
      </c>
      <c r="S206" s="347" t="s">
        <v>631</v>
      </c>
      <c r="W206" s="347" t="s">
        <v>631</v>
      </c>
      <c r="Y206" s="347" t="s">
        <v>631</v>
      </c>
      <c r="Z206" s="349" t="s">
        <v>975</v>
      </c>
    </row>
    <row r="207" spans="1:26" ht="16.899999999999999" customHeight="1" x14ac:dyDescent="0.15">
      <c r="A207" s="347" t="s">
        <v>1342</v>
      </c>
      <c r="B207" s="347">
        <v>2</v>
      </c>
      <c r="C207" s="347" t="s">
        <v>994</v>
      </c>
      <c r="E207" s="347" t="s">
        <v>631</v>
      </c>
      <c r="F207" s="348" t="s">
        <v>941</v>
      </c>
      <c r="G207" s="347" t="s">
        <v>978</v>
      </c>
      <c r="H207" s="347" t="s">
        <v>970</v>
      </c>
      <c r="I207" s="347" t="s">
        <v>971</v>
      </c>
      <c r="K207" s="350"/>
      <c r="L207" s="349" t="s">
        <v>1211</v>
      </c>
      <c r="M207" s="350" t="s">
        <v>1343</v>
      </c>
      <c r="N207" s="350" t="s">
        <v>1344</v>
      </c>
      <c r="T207" s="347" t="s">
        <v>631</v>
      </c>
      <c r="V207" s="347" t="s">
        <v>631</v>
      </c>
      <c r="W207" s="347" t="s">
        <v>631</v>
      </c>
      <c r="Z207" s="349" t="s">
        <v>975</v>
      </c>
    </row>
    <row r="208" spans="1:26" ht="16.899999999999999" customHeight="1" x14ac:dyDescent="0.15">
      <c r="A208" s="347" t="s">
        <v>1345</v>
      </c>
      <c r="B208" s="347">
        <v>2</v>
      </c>
      <c r="C208" s="347" t="s">
        <v>1007</v>
      </c>
      <c r="D208" s="347" t="s">
        <v>631</v>
      </c>
      <c r="F208" s="348" t="s">
        <v>1149</v>
      </c>
      <c r="G208" s="347" t="s">
        <v>709</v>
      </c>
      <c r="H208" s="347" t="s">
        <v>970</v>
      </c>
      <c r="I208" s="347" t="s">
        <v>971</v>
      </c>
      <c r="J208" s="347" t="s">
        <v>989</v>
      </c>
      <c r="K208" s="350" t="s">
        <v>1108</v>
      </c>
      <c r="L208" s="349" t="s">
        <v>1109</v>
      </c>
      <c r="M208" s="350" t="s">
        <v>1346</v>
      </c>
      <c r="N208" s="350" t="s">
        <v>1347</v>
      </c>
      <c r="O208" s="347" t="s">
        <v>631</v>
      </c>
      <c r="Q208" s="347" t="s">
        <v>631</v>
      </c>
      <c r="S208" s="347" t="s">
        <v>631</v>
      </c>
      <c r="Z208" s="349" t="s">
        <v>975</v>
      </c>
    </row>
    <row r="209" spans="1:26" ht="16.899999999999999" customHeight="1" x14ac:dyDescent="0.15">
      <c r="A209" s="347" t="s">
        <v>1348</v>
      </c>
      <c r="B209" s="347">
        <v>2</v>
      </c>
      <c r="C209" s="347" t="s">
        <v>977</v>
      </c>
      <c r="F209" s="348" t="s">
        <v>941</v>
      </c>
      <c r="G209" s="347" t="s">
        <v>984</v>
      </c>
      <c r="H209" s="347" t="s">
        <v>970</v>
      </c>
      <c r="I209" s="347" t="s">
        <v>971</v>
      </c>
      <c r="J209" s="347" t="s">
        <v>989</v>
      </c>
      <c r="K209" s="350" t="s">
        <v>1349</v>
      </c>
      <c r="L209" s="349" t="s">
        <v>1350</v>
      </c>
      <c r="M209" s="350" t="s">
        <v>1351</v>
      </c>
      <c r="N209" s="350" t="s">
        <v>1352</v>
      </c>
      <c r="V209" s="347" t="s">
        <v>631</v>
      </c>
      <c r="W209" s="347" t="s">
        <v>631</v>
      </c>
      <c r="Z209" s="349" t="s">
        <v>975</v>
      </c>
    </row>
    <row r="210" spans="1:26" ht="16.899999999999999" customHeight="1" x14ac:dyDescent="0.15">
      <c r="A210" s="347" t="s">
        <v>1353</v>
      </c>
      <c r="B210" s="347">
        <v>2</v>
      </c>
      <c r="C210" s="347" t="s">
        <v>977</v>
      </c>
      <c r="F210" s="348" t="s">
        <v>1047</v>
      </c>
      <c r="G210" s="347" t="s">
        <v>978</v>
      </c>
      <c r="H210" s="347" t="s">
        <v>970</v>
      </c>
      <c r="I210" s="347" t="s">
        <v>971</v>
      </c>
      <c r="K210" s="350"/>
      <c r="L210" s="349" t="s">
        <v>972</v>
      </c>
      <c r="M210" s="350" t="s">
        <v>1354</v>
      </c>
      <c r="N210" s="350" t="s">
        <v>1355</v>
      </c>
      <c r="T210" s="347" t="s">
        <v>631</v>
      </c>
      <c r="V210" s="347" t="s">
        <v>631</v>
      </c>
      <c r="W210" s="347" t="s">
        <v>631</v>
      </c>
      <c r="Z210" s="349" t="s">
        <v>975</v>
      </c>
    </row>
    <row r="211" spans="1:26" ht="16.899999999999999" customHeight="1" x14ac:dyDescent="0.15">
      <c r="A211" s="347" t="s">
        <v>1356</v>
      </c>
      <c r="B211" s="347">
        <v>2</v>
      </c>
      <c r="C211" s="347" t="s">
        <v>1013</v>
      </c>
      <c r="D211" s="347" t="s">
        <v>631</v>
      </c>
      <c r="F211" s="348" t="s">
        <v>1250</v>
      </c>
      <c r="G211" s="347" t="s">
        <v>978</v>
      </c>
      <c r="H211" s="347" t="s">
        <v>970</v>
      </c>
      <c r="I211" s="347" t="s">
        <v>971</v>
      </c>
      <c r="J211" s="347" t="s">
        <v>989</v>
      </c>
      <c r="K211" s="350" t="s">
        <v>1357</v>
      </c>
      <c r="L211" s="349" t="s">
        <v>972</v>
      </c>
      <c r="M211" s="350" t="s">
        <v>1358</v>
      </c>
      <c r="N211" s="350" t="s">
        <v>1359</v>
      </c>
      <c r="P211" s="347" t="s">
        <v>631</v>
      </c>
      <c r="Q211" s="347" t="s">
        <v>631</v>
      </c>
      <c r="V211" s="347" t="s">
        <v>631</v>
      </c>
      <c r="Z211" s="349" t="s">
        <v>975</v>
      </c>
    </row>
    <row r="212" spans="1:26" ht="16.899999999999999" customHeight="1" x14ac:dyDescent="0.15">
      <c r="A212" s="347" t="s">
        <v>1360</v>
      </c>
      <c r="B212" s="347">
        <v>2</v>
      </c>
      <c r="C212" s="347" t="s">
        <v>994</v>
      </c>
      <c r="F212" s="348" t="s">
        <v>1047</v>
      </c>
      <c r="G212" s="347" t="s">
        <v>984</v>
      </c>
      <c r="H212" s="347" t="s">
        <v>970</v>
      </c>
      <c r="I212" s="347" t="s">
        <v>971</v>
      </c>
      <c r="J212" s="347" t="s">
        <v>989</v>
      </c>
      <c r="K212" s="350" t="s">
        <v>1361</v>
      </c>
      <c r="L212" s="349" t="s">
        <v>1016</v>
      </c>
      <c r="M212" s="350" t="s">
        <v>1362</v>
      </c>
      <c r="N212" s="350" t="s">
        <v>1363</v>
      </c>
      <c r="Q212" s="347" t="s">
        <v>631</v>
      </c>
      <c r="S212" s="347" t="s">
        <v>631</v>
      </c>
      <c r="Z212" s="349" t="s">
        <v>975</v>
      </c>
    </row>
    <row r="213" spans="1:26" ht="16.899999999999999" customHeight="1" x14ac:dyDescent="0.15">
      <c r="A213" s="347" t="s">
        <v>1364</v>
      </c>
      <c r="B213" s="347">
        <v>2</v>
      </c>
      <c r="C213" s="347" t="s">
        <v>1013</v>
      </c>
      <c r="D213" s="347" t="s">
        <v>631</v>
      </c>
      <c r="E213" s="347" t="s">
        <v>631</v>
      </c>
      <c r="F213" s="348" t="s">
        <v>1149</v>
      </c>
      <c r="G213" s="347" t="s">
        <v>984</v>
      </c>
      <c r="I213" s="347" t="s">
        <v>971</v>
      </c>
      <c r="K213" s="350"/>
      <c r="L213" s="349" t="s">
        <v>1211</v>
      </c>
      <c r="M213" s="350" t="s">
        <v>1365</v>
      </c>
      <c r="N213" s="350" t="s">
        <v>1366</v>
      </c>
      <c r="Q213" s="347" t="s">
        <v>631</v>
      </c>
      <c r="S213" s="347" t="s">
        <v>631</v>
      </c>
      <c r="Z213" s="349" t="s">
        <v>975</v>
      </c>
    </row>
    <row r="214" spans="1:26" ht="16.899999999999999" customHeight="1" x14ac:dyDescent="0.15">
      <c r="A214" s="347" t="s">
        <v>1367</v>
      </c>
      <c r="B214" s="347">
        <v>2</v>
      </c>
      <c r="C214" s="347" t="s">
        <v>994</v>
      </c>
      <c r="F214" s="348" t="s">
        <v>941</v>
      </c>
      <c r="G214" s="347" t="s">
        <v>988</v>
      </c>
      <c r="H214" s="347" t="s">
        <v>970</v>
      </c>
      <c r="K214" s="350"/>
      <c r="L214" s="349" t="s">
        <v>1020</v>
      </c>
      <c r="M214" s="350" t="s">
        <v>1368</v>
      </c>
      <c r="N214" s="350" t="s">
        <v>1369</v>
      </c>
      <c r="O214" s="347" t="s">
        <v>631</v>
      </c>
      <c r="P214" s="347" t="s">
        <v>631</v>
      </c>
      <c r="T214" s="347" t="s">
        <v>631</v>
      </c>
      <c r="V214" s="347" t="s">
        <v>631</v>
      </c>
      <c r="Y214" s="347" t="s">
        <v>631</v>
      </c>
      <c r="Z214" s="349" t="s">
        <v>975</v>
      </c>
    </row>
    <row r="215" spans="1:26" ht="16.899999999999999" customHeight="1" x14ac:dyDescent="0.15">
      <c r="A215" s="347" t="s">
        <v>1370</v>
      </c>
      <c r="B215" s="347">
        <v>2</v>
      </c>
      <c r="C215" s="347" t="s">
        <v>987</v>
      </c>
      <c r="E215" s="347" t="s">
        <v>631</v>
      </c>
      <c r="F215" s="348" t="s">
        <v>941</v>
      </c>
      <c r="G215" s="347" t="s">
        <v>978</v>
      </c>
      <c r="H215" s="347" t="s">
        <v>970</v>
      </c>
      <c r="K215" s="350"/>
      <c r="L215" s="349" t="s">
        <v>979</v>
      </c>
      <c r="M215" s="350" t="s">
        <v>1371</v>
      </c>
      <c r="N215" s="350" t="s">
        <v>1372</v>
      </c>
      <c r="T215" s="347" t="s">
        <v>631</v>
      </c>
      <c r="V215" s="347" t="s">
        <v>631</v>
      </c>
      <c r="W215" s="347" t="s">
        <v>631</v>
      </c>
      <c r="Z215" s="349" t="s">
        <v>975</v>
      </c>
    </row>
    <row r="216" spans="1:26" ht="16.899999999999999" customHeight="1" x14ac:dyDescent="0.15">
      <c r="A216" s="347" t="s">
        <v>1373</v>
      </c>
      <c r="B216" s="347">
        <v>2</v>
      </c>
      <c r="C216" s="347" t="s">
        <v>1007</v>
      </c>
      <c r="E216" s="347" t="s">
        <v>631</v>
      </c>
      <c r="F216" s="348" t="s">
        <v>941</v>
      </c>
      <c r="G216" s="347" t="s">
        <v>969</v>
      </c>
      <c r="H216" s="347" t="s">
        <v>970</v>
      </c>
      <c r="I216" s="347" t="s">
        <v>971</v>
      </c>
      <c r="K216" s="350"/>
      <c r="L216" s="349" t="s">
        <v>979</v>
      </c>
      <c r="M216" s="350" t="s">
        <v>1374</v>
      </c>
      <c r="N216" s="350" t="s">
        <v>1375</v>
      </c>
      <c r="O216" s="347" t="s">
        <v>631</v>
      </c>
      <c r="P216" s="347" t="s">
        <v>631</v>
      </c>
      <c r="Z216" s="349" t="s">
        <v>975</v>
      </c>
    </row>
    <row r="217" spans="1:26" ht="16.899999999999999" customHeight="1" x14ac:dyDescent="0.15">
      <c r="A217" s="347" t="s">
        <v>1376</v>
      </c>
      <c r="B217" s="347">
        <v>2</v>
      </c>
      <c r="C217" s="347" t="s">
        <v>1019</v>
      </c>
      <c r="E217" s="347" t="s">
        <v>631</v>
      </c>
      <c r="F217" s="348" t="s">
        <v>941</v>
      </c>
      <c r="G217" s="347" t="s">
        <v>969</v>
      </c>
      <c r="H217" s="347" t="s">
        <v>970</v>
      </c>
      <c r="I217" s="347" t="s">
        <v>971</v>
      </c>
      <c r="J217" s="347" t="s">
        <v>989</v>
      </c>
      <c r="K217" s="350" t="s">
        <v>1377</v>
      </c>
      <c r="L217" s="349" t="s">
        <v>979</v>
      </c>
      <c r="M217" s="350" t="s">
        <v>10935</v>
      </c>
      <c r="N217" s="350" t="s">
        <v>1378</v>
      </c>
      <c r="O217" s="347" t="s">
        <v>631</v>
      </c>
      <c r="T217" s="347" t="s">
        <v>631</v>
      </c>
      <c r="U217" s="347" t="s">
        <v>631</v>
      </c>
      <c r="V217" s="347" t="s">
        <v>631</v>
      </c>
      <c r="Z217" s="349" t="s">
        <v>975</v>
      </c>
    </row>
    <row r="218" spans="1:26" ht="16.899999999999999" customHeight="1" x14ac:dyDescent="0.15">
      <c r="A218" s="347" t="s">
        <v>1379</v>
      </c>
      <c r="B218" s="347">
        <v>2</v>
      </c>
      <c r="C218" s="347" t="s">
        <v>968</v>
      </c>
      <c r="F218" s="348" t="s">
        <v>941</v>
      </c>
      <c r="G218" s="347" t="s">
        <v>984</v>
      </c>
      <c r="H218" s="347" t="s">
        <v>970</v>
      </c>
      <c r="I218" s="347" t="s">
        <v>971</v>
      </c>
      <c r="J218" s="347" t="s">
        <v>989</v>
      </c>
      <c r="K218" s="350" t="s">
        <v>1380</v>
      </c>
      <c r="L218" s="349" t="s">
        <v>1381</v>
      </c>
      <c r="M218" s="350" t="s">
        <v>1382</v>
      </c>
      <c r="N218" s="350" t="s">
        <v>1383</v>
      </c>
      <c r="P218" s="347" t="s">
        <v>631</v>
      </c>
      <c r="Q218" s="347" t="s">
        <v>631</v>
      </c>
      <c r="V218" s="347" t="s">
        <v>631</v>
      </c>
      <c r="W218" s="347" t="s">
        <v>631</v>
      </c>
      <c r="Z218" s="349" t="s">
        <v>975</v>
      </c>
    </row>
    <row r="219" spans="1:26" ht="16.899999999999999" customHeight="1" x14ac:dyDescent="0.15">
      <c r="A219" s="347" t="s">
        <v>1384</v>
      </c>
      <c r="B219" s="347">
        <v>2</v>
      </c>
      <c r="C219" s="347" t="s">
        <v>994</v>
      </c>
      <c r="F219" s="348" t="s">
        <v>941</v>
      </c>
      <c r="G219" s="347" t="s">
        <v>984</v>
      </c>
      <c r="H219" s="347" t="s">
        <v>970</v>
      </c>
      <c r="I219" s="347" t="s">
        <v>971</v>
      </c>
      <c r="J219" s="347" t="s">
        <v>989</v>
      </c>
      <c r="K219" s="350" t="s">
        <v>1385</v>
      </c>
      <c r="L219" s="349" t="s">
        <v>1104</v>
      </c>
      <c r="M219" s="350" t="s">
        <v>1386</v>
      </c>
      <c r="N219" s="350" t="s">
        <v>1387</v>
      </c>
      <c r="S219" s="347" t="s">
        <v>631</v>
      </c>
      <c r="Z219" s="349" t="s">
        <v>975</v>
      </c>
    </row>
    <row r="220" spans="1:26" ht="16.899999999999999" customHeight="1" x14ac:dyDescent="0.15">
      <c r="A220" s="347" t="s">
        <v>1388</v>
      </c>
      <c r="B220" s="347">
        <v>2</v>
      </c>
      <c r="C220" s="347" t="s">
        <v>1007</v>
      </c>
      <c r="E220" s="347" t="s">
        <v>631</v>
      </c>
      <c r="F220" s="348" t="s">
        <v>941</v>
      </c>
      <c r="G220" s="347" t="s">
        <v>988</v>
      </c>
      <c r="H220" s="347" t="s">
        <v>970</v>
      </c>
      <c r="I220" s="347" t="s">
        <v>971</v>
      </c>
      <c r="K220" s="350"/>
      <c r="L220" s="349" t="s">
        <v>979</v>
      </c>
      <c r="M220" s="350" t="s">
        <v>1389</v>
      </c>
      <c r="N220" s="350" t="s">
        <v>1390</v>
      </c>
      <c r="O220" s="347" t="s">
        <v>631</v>
      </c>
      <c r="T220" s="347" t="s">
        <v>631</v>
      </c>
      <c r="U220" s="347" t="s">
        <v>631</v>
      </c>
      <c r="V220" s="347" t="s">
        <v>631</v>
      </c>
      <c r="Z220" s="349" t="s">
        <v>975</v>
      </c>
    </row>
    <row r="221" spans="1:26" ht="16.899999999999999" customHeight="1" x14ac:dyDescent="0.15">
      <c r="A221" s="347" t="s">
        <v>1391</v>
      </c>
      <c r="B221" s="347">
        <v>2</v>
      </c>
      <c r="C221" s="347" t="s">
        <v>968</v>
      </c>
      <c r="E221" s="347" t="s">
        <v>631</v>
      </c>
      <c r="F221" s="348" t="s">
        <v>941</v>
      </c>
      <c r="G221" s="347" t="s">
        <v>969</v>
      </c>
      <c r="H221" s="347" t="s">
        <v>970</v>
      </c>
      <c r="I221" s="347" t="s">
        <v>971</v>
      </c>
      <c r="J221" s="347" t="s">
        <v>989</v>
      </c>
      <c r="K221" s="350" t="s">
        <v>1392</v>
      </c>
      <c r="L221" s="349" t="s">
        <v>1161</v>
      </c>
      <c r="M221" s="350" t="s">
        <v>1393</v>
      </c>
      <c r="N221" s="350" t="s">
        <v>1394</v>
      </c>
      <c r="T221" s="347" t="s">
        <v>631</v>
      </c>
      <c r="U221" s="347" t="s">
        <v>631</v>
      </c>
      <c r="V221" s="347" t="s">
        <v>631</v>
      </c>
      <c r="Z221" s="349" t="s">
        <v>975</v>
      </c>
    </row>
    <row r="222" spans="1:26" ht="16.899999999999999" customHeight="1" x14ac:dyDescent="0.15">
      <c r="A222" s="347" t="s">
        <v>746</v>
      </c>
      <c r="B222" s="347">
        <v>2</v>
      </c>
      <c r="C222" s="347" t="s">
        <v>994</v>
      </c>
      <c r="F222" s="348" t="s">
        <v>941</v>
      </c>
      <c r="G222" s="347" t="s">
        <v>984</v>
      </c>
      <c r="H222" s="347" t="s">
        <v>970</v>
      </c>
      <c r="I222" s="347" t="s">
        <v>971</v>
      </c>
      <c r="J222" s="347" t="s">
        <v>989</v>
      </c>
      <c r="K222" s="350" t="s">
        <v>1395</v>
      </c>
      <c r="L222" s="349" t="s">
        <v>1104</v>
      </c>
      <c r="M222" s="350" t="s">
        <v>1396</v>
      </c>
      <c r="N222" s="350" t="s">
        <v>1397</v>
      </c>
      <c r="Q222" s="347" t="s">
        <v>631</v>
      </c>
      <c r="S222" s="347" t="s">
        <v>631</v>
      </c>
      <c r="T222" s="347" t="s">
        <v>631</v>
      </c>
      <c r="V222" s="347" t="s">
        <v>631</v>
      </c>
      <c r="W222" s="347" t="s">
        <v>631</v>
      </c>
      <c r="Z222" s="349" t="s">
        <v>975</v>
      </c>
    </row>
    <row r="223" spans="1:26" ht="16.899999999999999" customHeight="1" x14ac:dyDescent="0.15">
      <c r="A223" s="347" t="s">
        <v>1398</v>
      </c>
      <c r="B223" s="347">
        <v>2</v>
      </c>
      <c r="C223" s="347" t="s">
        <v>1013</v>
      </c>
      <c r="E223" s="347" t="s">
        <v>631</v>
      </c>
      <c r="F223" s="348" t="s">
        <v>941</v>
      </c>
      <c r="G223" s="347" t="s">
        <v>978</v>
      </c>
      <c r="H223" s="347" t="s">
        <v>970</v>
      </c>
      <c r="I223" s="347" t="s">
        <v>971</v>
      </c>
      <c r="J223" s="347" t="s">
        <v>989</v>
      </c>
      <c r="K223" s="350" t="s">
        <v>1399</v>
      </c>
      <c r="L223" s="349" t="s">
        <v>979</v>
      </c>
      <c r="M223" s="350" t="s">
        <v>1400</v>
      </c>
      <c r="N223" s="350" t="s">
        <v>1401</v>
      </c>
      <c r="O223" s="347" t="s">
        <v>631</v>
      </c>
      <c r="T223" s="347" t="s">
        <v>631</v>
      </c>
      <c r="V223" s="347" t="s">
        <v>631</v>
      </c>
      <c r="Z223" s="349" t="s">
        <v>975</v>
      </c>
    </row>
    <row r="224" spans="1:26" ht="16.899999999999999" customHeight="1" x14ac:dyDescent="0.15">
      <c r="A224" s="347" t="s">
        <v>1402</v>
      </c>
      <c r="B224" s="347">
        <v>2</v>
      </c>
      <c r="C224" s="347" t="s">
        <v>994</v>
      </c>
      <c r="E224" s="347" t="s">
        <v>631</v>
      </c>
      <c r="F224" s="348" t="s">
        <v>1047</v>
      </c>
      <c r="G224" s="347" t="s">
        <v>984</v>
      </c>
      <c r="H224" s="347" t="s">
        <v>970</v>
      </c>
      <c r="I224" s="347" t="s">
        <v>971</v>
      </c>
      <c r="J224" s="347" t="s">
        <v>989</v>
      </c>
      <c r="K224" s="350" t="s">
        <v>1403</v>
      </c>
      <c r="L224" s="349" t="s">
        <v>979</v>
      </c>
      <c r="M224" s="350" t="s">
        <v>1404</v>
      </c>
      <c r="N224" s="350" t="s">
        <v>1405</v>
      </c>
      <c r="T224" s="347" t="s">
        <v>631</v>
      </c>
      <c r="V224" s="347" t="s">
        <v>631</v>
      </c>
      <c r="W224" s="347" t="s">
        <v>631</v>
      </c>
      <c r="Z224" s="349" t="s">
        <v>975</v>
      </c>
    </row>
    <row r="225" spans="1:26" ht="16.899999999999999" customHeight="1" x14ac:dyDescent="0.15">
      <c r="A225" s="347" t="s">
        <v>1406</v>
      </c>
      <c r="B225" s="347">
        <v>2</v>
      </c>
      <c r="C225" s="347" t="s">
        <v>994</v>
      </c>
      <c r="E225" s="347" t="s">
        <v>631</v>
      </c>
      <c r="F225" s="348" t="s">
        <v>941</v>
      </c>
      <c r="G225" s="347" t="s">
        <v>984</v>
      </c>
      <c r="H225" s="347" t="s">
        <v>970</v>
      </c>
      <c r="I225" s="347" t="s">
        <v>971</v>
      </c>
      <c r="J225" s="347" t="s">
        <v>989</v>
      </c>
      <c r="K225" s="350" t="s">
        <v>1407</v>
      </c>
      <c r="L225" s="349" t="s">
        <v>1211</v>
      </c>
      <c r="M225" s="350" t="s">
        <v>1408</v>
      </c>
      <c r="N225" s="350" t="s">
        <v>1409</v>
      </c>
      <c r="O225" s="347" t="s">
        <v>631</v>
      </c>
      <c r="P225" s="347" t="s">
        <v>631</v>
      </c>
      <c r="Q225" s="347" t="s">
        <v>631</v>
      </c>
      <c r="S225" s="347" t="s">
        <v>631</v>
      </c>
      <c r="T225" s="347" t="s">
        <v>631</v>
      </c>
      <c r="V225" s="347" t="s">
        <v>631</v>
      </c>
      <c r="W225" s="347" t="s">
        <v>631</v>
      </c>
      <c r="Y225" s="347" t="s">
        <v>631</v>
      </c>
      <c r="Z225" s="349" t="s">
        <v>975</v>
      </c>
    </row>
    <row r="226" spans="1:26" ht="16.899999999999999" customHeight="1" x14ac:dyDescent="0.15">
      <c r="A226" s="347" t="s">
        <v>1410</v>
      </c>
      <c r="B226" s="347">
        <v>2</v>
      </c>
      <c r="C226" s="347" t="s">
        <v>994</v>
      </c>
      <c r="E226" s="347" t="s">
        <v>631</v>
      </c>
      <c r="F226" s="348" t="s">
        <v>941</v>
      </c>
      <c r="G226" s="347" t="s">
        <v>709</v>
      </c>
      <c r="H226" s="347" t="s">
        <v>970</v>
      </c>
      <c r="I226" s="347" t="s">
        <v>971</v>
      </c>
      <c r="J226" s="347" t="s">
        <v>989</v>
      </c>
      <c r="K226" s="350" t="s">
        <v>1411</v>
      </c>
      <c r="L226" s="349" t="s">
        <v>979</v>
      </c>
      <c r="M226" s="350" t="s">
        <v>1412</v>
      </c>
      <c r="N226" s="350" t="s">
        <v>1413</v>
      </c>
      <c r="O226" s="347" t="s">
        <v>631</v>
      </c>
      <c r="Q226" s="347" t="s">
        <v>631</v>
      </c>
      <c r="T226" s="347" t="s">
        <v>631</v>
      </c>
      <c r="V226" s="347" t="s">
        <v>631</v>
      </c>
      <c r="W226" s="347" t="s">
        <v>631</v>
      </c>
      <c r="Y226" s="347" t="s">
        <v>631</v>
      </c>
      <c r="Z226" s="349" t="s">
        <v>975</v>
      </c>
    </row>
    <row r="227" spans="1:26" ht="16.899999999999999" customHeight="1" x14ac:dyDescent="0.15">
      <c r="A227" s="347" t="s">
        <v>1414</v>
      </c>
      <c r="B227" s="347">
        <v>2</v>
      </c>
      <c r="C227" s="347" t="s">
        <v>1007</v>
      </c>
      <c r="E227" s="347" t="s">
        <v>631</v>
      </c>
      <c r="F227" s="348" t="s">
        <v>941</v>
      </c>
      <c r="G227" s="347" t="s">
        <v>969</v>
      </c>
      <c r="H227" s="347" t="s">
        <v>970</v>
      </c>
      <c r="I227" s="347" t="s">
        <v>971</v>
      </c>
      <c r="K227" s="350"/>
      <c r="L227" s="349" t="s">
        <v>979</v>
      </c>
      <c r="M227" s="350" t="s">
        <v>1415</v>
      </c>
      <c r="N227" s="350" t="s">
        <v>1416</v>
      </c>
      <c r="O227" s="347" t="s">
        <v>631</v>
      </c>
      <c r="U227" s="347" t="s">
        <v>631</v>
      </c>
      <c r="Z227" s="349" t="s">
        <v>975</v>
      </c>
    </row>
    <row r="228" spans="1:26" ht="16.899999999999999" customHeight="1" x14ac:dyDescent="0.15">
      <c r="A228" s="347" t="s">
        <v>1417</v>
      </c>
      <c r="B228" s="347">
        <v>2</v>
      </c>
      <c r="C228" s="347" t="s">
        <v>1019</v>
      </c>
      <c r="F228" s="348" t="s">
        <v>941</v>
      </c>
      <c r="G228" s="347" t="s">
        <v>709</v>
      </c>
      <c r="H228" s="347" t="s">
        <v>970</v>
      </c>
      <c r="I228" s="347" t="s">
        <v>971</v>
      </c>
      <c r="K228" s="350"/>
      <c r="L228" s="349" t="s">
        <v>972</v>
      </c>
      <c r="M228" s="350" t="s">
        <v>1418</v>
      </c>
      <c r="N228" s="350" t="s">
        <v>1419</v>
      </c>
      <c r="R228" s="347" t="s">
        <v>631</v>
      </c>
      <c r="Z228" s="349" t="s">
        <v>975</v>
      </c>
    </row>
    <row r="229" spans="1:26" ht="16.899999999999999" customHeight="1" x14ac:dyDescent="0.15">
      <c r="A229" s="347" t="s">
        <v>1420</v>
      </c>
      <c r="B229" s="347">
        <v>2</v>
      </c>
      <c r="C229" s="347" t="s">
        <v>1013</v>
      </c>
      <c r="F229" s="348" t="s">
        <v>941</v>
      </c>
      <c r="G229" s="347" t="s">
        <v>988</v>
      </c>
      <c r="H229" s="347" t="s">
        <v>970</v>
      </c>
      <c r="I229" s="347" t="s">
        <v>971</v>
      </c>
      <c r="K229" s="350"/>
      <c r="L229" s="349" t="s">
        <v>972</v>
      </c>
      <c r="M229" s="350" t="s">
        <v>1421</v>
      </c>
      <c r="N229" s="350" t="s">
        <v>1422</v>
      </c>
      <c r="P229" s="347" t="s">
        <v>631</v>
      </c>
      <c r="Q229" s="347" t="s">
        <v>631</v>
      </c>
      <c r="S229" s="347" t="s">
        <v>631</v>
      </c>
      <c r="Z229" s="349" t="s">
        <v>975</v>
      </c>
    </row>
    <row r="230" spans="1:26" ht="16.899999999999999" customHeight="1" x14ac:dyDescent="0.15">
      <c r="A230" s="347" t="s">
        <v>1423</v>
      </c>
      <c r="B230" s="347">
        <v>2</v>
      </c>
      <c r="C230" s="347" t="s">
        <v>968</v>
      </c>
      <c r="E230" s="347" t="s">
        <v>631</v>
      </c>
      <c r="F230" s="348" t="s">
        <v>1047</v>
      </c>
      <c r="G230" s="347" t="s">
        <v>978</v>
      </c>
      <c r="H230" s="347" t="s">
        <v>970</v>
      </c>
      <c r="I230" s="347" t="s">
        <v>971</v>
      </c>
      <c r="J230" s="347" t="s">
        <v>989</v>
      </c>
      <c r="K230" s="350" t="s">
        <v>1424</v>
      </c>
      <c r="L230" s="349" t="s">
        <v>1161</v>
      </c>
      <c r="M230" s="350" t="s">
        <v>1425</v>
      </c>
      <c r="N230" s="350" t="s">
        <v>1426</v>
      </c>
      <c r="Q230" s="347" t="s">
        <v>631</v>
      </c>
      <c r="T230" s="347" t="s">
        <v>631</v>
      </c>
      <c r="Z230" s="349" t="s">
        <v>975</v>
      </c>
    </row>
    <row r="231" spans="1:26" ht="16.899999999999999" customHeight="1" x14ac:dyDescent="0.15">
      <c r="A231" s="347" t="s">
        <v>1427</v>
      </c>
      <c r="B231" s="347">
        <v>2</v>
      </c>
      <c r="C231" s="347" t="s">
        <v>1019</v>
      </c>
      <c r="E231" s="347" t="s">
        <v>631</v>
      </c>
      <c r="F231" s="348" t="s">
        <v>941</v>
      </c>
      <c r="G231" s="347" t="s">
        <v>969</v>
      </c>
      <c r="H231" s="347" t="s">
        <v>970</v>
      </c>
      <c r="I231" s="347" t="s">
        <v>971</v>
      </c>
      <c r="J231" s="347" t="s">
        <v>989</v>
      </c>
      <c r="K231" s="350" t="s">
        <v>1428</v>
      </c>
      <c r="L231" s="349" t="s">
        <v>979</v>
      </c>
      <c r="M231" s="350" t="s">
        <v>1429</v>
      </c>
      <c r="N231" s="350" t="s">
        <v>1430</v>
      </c>
      <c r="Q231" s="347" t="s">
        <v>631</v>
      </c>
      <c r="T231" s="347" t="s">
        <v>631</v>
      </c>
      <c r="V231" s="347" t="s">
        <v>631</v>
      </c>
      <c r="Z231" s="349" t="s">
        <v>975</v>
      </c>
    </row>
    <row r="232" spans="1:26" ht="16.899999999999999" customHeight="1" x14ac:dyDescent="0.15">
      <c r="A232" s="347" t="s">
        <v>1431</v>
      </c>
      <c r="B232" s="347">
        <v>2</v>
      </c>
      <c r="C232" s="347" t="s">
        <v>983</v>
      </c>
      <c r="D232" s="347" t="s">
        <v>2950</v>
      </c>
      <c r="F232" s="348" t="s">
        <v>1149</v>
      </c>
      <c r="G232" s="347" t="s">
        <v>984</v>
      </c>
      <c r="H232" s="347" t="s">
        <v>970</v>
      </c>
      <c r="I232" s="347" t="s">
        <v>971</v>
      </c>
      <c r="J232" s="347" t="s">
        <v>989</v>
      </c>
      <c r="K232" s="350" t="s">
        <v>1432</v>
      </c>
      <c r="L232" s="349" t="s">
        <v>1256</v>
      </c>
      <c r="M232" s="350" t="s">
        <v>1433</v>
      </c>
      <c r="N232" s="350" t="s">
        <v>1434</v>
      </c>
      <c r="P232" s="347" t="s">
        <v>631</v>
      </c>
      <c r="R232" s="347" t="s">
        <v>631</v>
      </c>
      <c r="V232" s="347" t="s">
        <v>631</v>
      </c>
      <c r="Y232" s="347" t="s">
        <v>631</v>
      </c>
      <c r="Z232" s="349" t="s">
        <v>975</v>
      </c>
    </row>
    <row r="233" spans="1:26" ht="16.899999999999999" customHeight="1" x14ac:dyDescent="0.15">
      <c r="A233" s="347" t="s">
        <v>1435</v>
      </c>
      <c r="B233" s="347">
        <v>2</v>
      </c>
      <c r="C233" s="347" t="s">
        <v>968</v>
      </c>
      <c r="E233" s="347" t="s">
        <v>631</v>
      </c>
      <c r="F233" s="348" t="s">
        <v>941</v>
      </c>
      <c r="G233" s="347" t="s">
        <v>978</v>
      </c>
      <c r="H233" s="347" t="s">
        <v>970</v>
      </c>
      <c r="I233" s="347" t="s">
        <v>971</v>
      </c>
      <c r="J233" s="347" t="s">
        <v>989</v>
      </c>
      <c r="K233" s="350" t="s">
        <v>1436</v>
      </c>
      <c r="L233" s="349" t="s">
        <v>979</v>
      </c>
      <c r="M233" s="350" t="s">
        <v>1437</v>
      </c>
      <c r="N233" s="350" t="s">
        <v>1438</v>
      </c>
      <c r="Q233" s="347" t="s">
        <v>631</v>
      </c>
      <c r="S233" s="347" t="s">
        <v>631</v>
      </c>
      <c r="T233" s="347" t="s">
        <v>631</v>
      </c>
      <c r="V233" s="347" t="s">
        <v>631</v>
      </c>
      <c r="Z233" s="349" t="s">
        <v>975</v>
      </c>
    </row>
    <row r="234" spans="1:26" ht="16.899999999999999" customHeight="1" x14ac:dyDescent="0.15">
      <c r="A234" s="347" t="s">
        <v>1439</v>
      </c>
      <c r="B234" s="347">
        <v>2</v>
      </c>
      <c r="C234" s="347" t="s">
        <v>994</v>
      </c>
      <c r="E234" s="347" t="s">
        <v>631</v>
      </c>
      <c r="F234" s="348" t="s">
        <v>941</v>
      </c>
      <c r="G234" s="347" t="s">
        <v>969</v>
      </c>
      <c r="H234" s="347" t="s">
        <v>970</v>
      </c>
      <c r="I234" s="347" t="s">
        <v>971</v>
      </c>
      <c r="J234" s="347" t="s">
        <v>989</v>
      </c>
      <c r="K234" s="350" t="s">
        <v>1440</v>
      </c>
      <c r="L234" s="349" t="s">
        <v>979</v>
      </c>
      <c r="M234" s="350" t="s">
        <v>1441</v>
      </c>
      <c r="N234" s="350" t="s">
        <v>1442</v>
      </c>
      <c r="O234" s="347" t="s">
        <v>631</v>
      </c>
      <c r="Q234" s="347" t="s">
        <v>631</v>
      </c>
      <c r="W234" s="347" t="s">
        <v>631</v>
      </c>
      <c r="Z234" s="349" t="s">
        <v>975</v>
      </c>
    </row>
    <row r="235" spans="1:26" ht="16.899999999999999" customHeight="1" x14ac:dyDescent="0.15">
      <c r="A235" s="347" t="s">
        <v>1443</v>
      </c>
      <c r="B235" s="347">
        <v>2</v>
      </c>
      <c r="C235" s="347" t="s">
        <v>1007</v>
      </c>
      <c r="E235" s="347" t="s">
        <v>631</v>
      </c>
      <c r="F235" s="348" t="s">
        <v>941</v>
      </c>
      <c r="G235" s="347" t="s">
        <v>969</v>
      </c>
      <c r="H235" s="347" t="s">
        <v>2953</v>
      </c>
      <c r="I235" s="347" t="s">
        <v>971</v>
      </c>
      <c r="J235" s="347" t="s">
        <v>989</v>
      </c>
      <c r="K235" s="350" t="s">
        <v>1444</v>
      </c>
      <c r="L235" s="349" t="s">
        <v>979</v>
      </c>
      <c r="M235" s="350" t="s">
        <v>1445</v>
      </c>
      <c r="N235" s="350" t="s">
        <v>1446</v>
      </c>
      <c r="O235" s="347" t="s">
        <v>631</v>
      </c>
      <c r="P235" s="347" t="s">
        <v>631</v>
      </c>
      <c r="Q235" s="347" t="s">
        <v>631</v>
      </c>
      <c r="T235" s="347" t="s">
        <v>631</v>
      </c>
      <c r="U235" s="347" t="s">
        <v>631</v>
      </c>
      <c r="V235" s="347" t="s">
        <v>631</v>
      </c>
      <c r="Y235" s="347" t="s">
        <v>631</v>
      </c>
      <c r="Z235" s="349" t="s">
        <v>975</v>
      </c>
    </row>
    <row r="236" spans="1:26" ht="16.899999999999999" customHeight="1" x14ac:dyDescent="0.15">
      <c r="A236" s="347" t="s">
        <v>1447</v>
      </c>
      <c r="B236" s="347">
        <v>2</v>
      </c>
      <c r="C236" s="347" t="s">
        <v>987</v>
      </c>
      <c r="E236" s="347" t="s">
        <v>631</v>
      </c>
      <c r="F236" s="348" t="s">
        <v>941</v>
      </c>
      <c r="G236" s="347" t="s">
        <v>984</v>
      </c>
      <c r="H236" s="347" t="s">
        <v>970</v>
      </c>
      <c r="I236" s="347" t="s">
        <v>971</v>
      </c>
      <c r="J236" s="347" t="s">
        <v>989</v>
      </c>
      <c r="K236" s="350" t="s">
        <v>1448</v>
      </c>
      <c r="L236" s="349" t="s">
        <v>1211</v>
      </c>
      <c r="M236" s="350" t="s">
        <v>1449</v>
      </c>
      <c r="N236" s="350" t="s">
        <v>1450</v>
      </c>
      <c r="O236" s="347" t="s">
        <v>631</v>
      </c>
      <c r="T236" s="347" t="s">
        <v>631</v>
      </c>
      <c r="U236" s="347" t="s">
        <v>631</v>
      </c>
      <c r="V236" s="347" t="s">
        <v>631</v>
      </c>
      <c r="W236" s="347" t="s">
        <v>631</v>
      </c>
      <c r="Z236" s="349" t="s">
        <v>975</v>
      </c>
    </row>
    <row r="237" spans="1:26" ht="16.899999999999999" customHeight="1" x14ac:dyDescent="0.15">
      <c r="A237" s="347" t="s">
        <v>1451</v>
      </c>
      <c r="B237" s="347">
        <v>2</v>
      </c>
      <c r="C237" s="347" t="s">
        <v>994</v>
      </c>
      <c r="F237" s="348" t="s">
        <v>941</v>
      </c>
      <c r="G237" s="347" t="s">
        <v>969</v>
      </c>
      <c r="H237" s="347" t="s">
        <v>970</v>
      </c>
      <c r="K237" s="350"/>
      <c r="L237" s="349" t="s">
        <v>972</v>
      </c>
      <c r="M237" s="350" t="s">
        <v>1452</v>
      </c>
      <c r="N237" s="350" t="s">
        <v>1453</v>
      </c>
      <c r="O237" s="347" t="s">
        <v>631</v>
      </c>
      <c r="T237" s="347" t="s">
        <v>631</v>
      </c>
      <c r="V237" s="347" t="s">
        <v>631</v>
      </c>
      <c r="Z237" s="349" t="s">
        <v>975</v>
      </c>
    </row>
    <row r="238" spans="1:26" ht="16.899999999999999" customHeight="1" x14ac:dyDescent="0.15">
      <c r="A238" s="347" t="s">
        <v>1454</v>
      </c>
      <c r="B238" s="347">
        <v>2</v>
      </c>
      <c r="C238" s="347" t="s">
        <v>977</v>
      </c>
      <c r="F238" s="348" t="s">
        <v>1047</v>
      </c>
      <c r="G238" s="347" t="s">
        <v>984</v>
      </c>
      <c r="H238" s="347" t="s">
        <v>970</v>
      </c>
      <c r="I238" s="347" t="s">
        <v>971</v>
      </c>
      <c r="K238" s="350"/>
      <c r="L238" s="349" t="s">
        <v>972</v>
      </c>
      <c r="M238" s="350" t="s">
        <v>1455</v>
      </c>
      <c r="N238" s="350" t="s">
        <v>1456</v>
      </c>
      <c r="O238" s="347" t="s">
        <v>631</v>
      </c>
      <c r="P238" s="347" t="s">
        <v>631</v>
      </c>
      <c r="Q238" s="347" t="s">
        <v>631</v>
      </c>
      <c r="R238" s="347" t="s">
        <v>631</v>
      </c>
      <c r="S238" s="347" t="s">
        <v>631</v>
      </c>
      <c r="Y238" s="347" t="s">
        <v>631</v>
      </c>
      <c r="Z238" s="349" t="s">
        <v>975</v>
      </c>
    </row>
    <row r="239" spans="1:26" ht="16.899999999999999" customHeight="1" x14ac:dyDescent="0.15">
      <c r="A239" s="347" t="s">
        <v>1457</v>
      </c>
      <c r="B239" s="347">
        <v>2</v>
      </c>
      <c r="C239" s="347" t="s">
        <v>994</v>
      </c>
      <c r="E239" s="347" t="s">
        <v>631</v>
      </c>
      <c r="F239" s="348" t="s">
        <v>941</v>
      </c>
      <c r="G239" s="347" t="s">
        <v>969</v>
      </c>
      <c r="H239" s="347" t="s">
        <v>970</v>
      </c>
      <c r="I239" s="347" t="s">
        <v>971</v>
      </c>
      <c r="J239" s="347" t="s">
        <v>989</v>
      </c>
      <c r="K239" s="350" t="s">
        <v>1458</v>
      </c>
      <c r="L239" s="349" t="s">
        <v>1161</v>
      </c>
      <c r="M239" s="350" t="s">
        <v>1459</v>
      </c>
      <c r="N239" s="350" t="s">
        <v>1460</v>
      </c>
      <c r="T239" s="347" t="s">
        <v>631</v>
      </c>
      <c r="V239" s="347" t="s">
        <v>631</v>
      </c>
      <c r="W239" s="347" t="s">
        <v>631</v>
      </c>
      <c r="Z239" s="349" t="s">
        <v>975</v>
      </c>
    </row>
    <row r="240" spans="1:26" ht="16.899999999999999" customHeight="1" x14ac:dyDescent="0.15">
      <c r="A240" s="347" t="s">
        <v>1461</v>
      </c>
      <c r="B240" s="347">
        <v>2</v>
      </c>
      <c r="C240" s="347" t="s">
        <v>1013</v>
      </c>
      <c r="D240" s="347" t="s">
        <v>631</v>
      </c>
      <c r="F240" s="348" t="s">
        <v>1149</v>
      </c>
      <c r="G240" s="347" t="s">
        <v>978</v>
      </c>
      <c r="H240" s="347" t="s">
        <v>970</v>
      </c>
      <c r="I240" s="347" t="s">
        <v>971</v>
      </c>
      <c r="J240" s="347" t="s">
        <v>989</v>
      </c>
      <c r="K240" s="350" t="s">
        <v>1462</v>
      </c>
      <c r="L240" s="349" t="s">
        <v>972</v>
      </c>
      <c r="M240" s="350" t="s">
        <v>1463</v>
      </c>
      <c r="N240" s="350" t="s">
        <v>1464</v>
      </c>
      <c r="O240" s="347" t="s">
        <v>631</v>
      </c>
      <c r="Q240" s="347" t="s">
        <v>631</v>
      </c>
      <c r="S240" s="347" t="s">
        <v>631</v>
      </c>
      <c r="Z240" s="349" t="s">
        <v>975</v>
      </c>
    </row>
    <row r="241" spans="1:26" ht="16.899999999999999" customHeight="1" x14ac:dyDescent="0.15">
      <c r="A241" s="347" t="s">
        <v>1465</v>
      </c>
      <c r="B241" s="347">
        <v>2</v>
      </c>
      <c r="C241" s="347" t="s">
        <v>1013</v>
      </c>
      <c r="E241" s="347" t="s">
        <v>631</v>
      </c>
      <c r="F241" s="348" t="s">
        <v>941</v>
      </c>
      <c r="G241" s="347" t="s">
        <v>978</v>
      </c>
      <c r="H241" s="347" t="s">
        <v>970</v>
      </c>
      <c r="I241" s="347" t="s">
        <v>971</v>
      </c>
      <c r="J241" s="347" t="s">
        <v>989</v>
      </c>
      <c r="K241" s="350" t="s">
        <v>1466</v>
      </c>
      <c r="L241" s="349" t="s">
        <v>1161</v>
      </c>
      <c r="M241" s="350" t="s">
        <v>1467</v>
      </c>
      <c r="N241" s="350" t="s">
        <v>1468</v>
      </c>
      <c r="O241" s="347" t="s">
        <v>631</v>
      </c>
      <c r="P241" s="347" t="s">
        <v>631</v>
      </c>
      <c r="Q241" s="347" t="s">
        <v>631</v>
      </c>
      <c r="R241" s="347" t="s">
        <v>631</v>
      </c>
      <c r="S241" s="347" t="s">
        <v>631</v>
      </c>
      <c r="V241" s="347" t="s">
        <v>631</v>
      </c>
      <c r="Z241" s="349" t="s">
        <v>975</v>
      </c>
    </row>
    <row r="242" spans="1:26" ht="16.899999999999999" customHeight="1" x14ac:dyDescent="0.15">
      <c r="A242" s="347" t="s">
        <v>1469</v>
      </c>
      <c r="B242" s="347">
        <v>2</v>
      </c>
      <c r="C242" s="347" t="s">
        <v>987</v>
      </c>
      <c r="D242" s="347" t="s">
        <v>631</v>
      </c>
      <c r="F242" s="348" t="s">
        <v>1250</v>
      </c>
      <c r="G242" s="347" t="s">
        <v>709</v>
      </c>
      <c r="H242" s="347" t="s">
        <v>970</v>
      </c>
      <c r="I242" s="347" t="s">
        <v>971</v>
      </c>
      <c r="J242" s="347" t="s">
        <v>989</v>
      </c>
      <c r="K242" s="350" t="s">
        <v>1470</v>
      </c>
      <c r="L242" s="349" t="s">
        <v>1350</v>
      </c>
      <c r="M242" s="350" t="s">
        <v>1471</v>
      </c>
      <c r="N242" s="350" t="s">
        <v>1472</v>
      </c>
      <c r="O242" s="347" t="s">
        <v>631</v>
      </c>
      <c r="V242" s="347" t="s">
        <v>631</v>
      </c>
      <c r="W242" s="347" t="s">
        <v>631</v>
      </c>
      <c r="Z242" s="349" t="s">
        <v>975</v>
      </c>
    </row>
    <row r="243" spans="1:26" ht="16.899999999999999" customHeight="1" x14ac:dyDescent="0.15">
      <c r="A243" s="347" t="s">
        <v>1473</v>
      </c>
      <c r="B243" s="347">
        <v>2</v>
      </c>
      <c r="C243" s="347" t="s">
        <v>994</v>
      </c>
      <c r="F243" s="348" t="s">
        <v>1047</v>
      </c>
      <c r="G243" s="347" t="s">
        <v>984</v>
      </c>
      <c r="H243" s="347" t="s">
        <v>970</v>
      </c>
      <c r="I243" s="347" t="s">
        <v>971</v>
      </c>
      <c r="K243" s="350"/>
      <c r="L243" s="349" t="s">
        <v>1016</v>
      </c>
      <c r="M243" s="350" t="s">
        <v>1474</v>
      </c>
      <c r="N243" s="350" t="s">
        <v>1475</v>
      </c>
      <c r="R243" s="347" t="s">
        <v>631</v>
      </c>
      <c r="S243" s="347" t="s">
        <v>631</v>
      </c>
      <c r="T243" s="347" t="s">
        <v>631</v>
      </c>
      <c r="V243" s="347" t="s">
        <v>631</v>
      </c>
      <c r="W243" s="347" t="s">
        <v>631</v>
      </c>
      <c r="Z243" s="349" t="s">
        <v>975</v>
      </c>
    </row>
    <row r="244" spans="1:26" ht="16.899999999999999" customHeight="1" x14ac:dyDescent="0.15">
      <c r="A244" s="347" t="s">
        <v>1476</v>
      </c>
      <c r="B244" s="347">
        <v>2</v>
      </c>
      <c r="C244" s="347" t="s">
        <v>968</v>
      </c>
      <c r="F244" s="348" t="s">
        <v>941</v>
      </c>
      <c r="G244" s="347" t="s">
        <v>1134</v>
      </c>
      <c r="H244" s="347" t="s">
        <v>970</v>
      </c>
      <c r="I244" s="347" t="s">
        <v>971</v>
      </c>
      <c r="J244" s="347" t="s">
        <v>989</v>
      </c>
      <c r="K244" s="350" t="s">
        <v>1477</v>
      </c>
      <c r="L244" s="349" t="s">
        <v>972</v>
      </c>
      <c r="M244" s="350" t="s">
        <v>1478</v>
      </c>
      <c r="N244" s="350" t="s">
        <v>1479</v>
      </c>
      <c r="V244" s="347" t="s">
        <v>631</v>
      </c>
      <c r="Y244" s="347" t="s">
        <v>631</v>
      </c>
      <c r="Z244" s="349" t="s">
        <v>975</v>
      </c>
    </row>
    <row r="245" spans="1:26" ht="16.899999999999999" customHeight="1" x14ac:dyDescent="0.15">
      <c r="A245" s="347" t="s">
        <v>1480</v>
      </c>
      <c r="B245" s="347">
        <v>2</v>
      </c>
      <c r="C245" s="347" t="s">
        <v>1013</v>
      </c>
      <c r="E245" s="347" t="s">
        <v>631</v>
      </c>
      <c r="F245" s="348" t="s">
        <v>941</v>
      </c>
      <c r="G245" s="347" t="s">
        <v>988</v>
      </c>
      <c r="I245" s="347" t="s">
        <v>971</v>
      </c>
      <c r="K245" s="350"/>
      <c r="L245" s="349" t="s">
        <v>1211</v>
      </c>
      <c r="M245" s="350" t="s">
        <v>1481</v>
      </c>
      <c r="N245" s="350" t="s">
        <v>1482</v>
      </c>
      <c r="T245" s="347" t="s">
        <v>631</v>
      </c>
      <c r="U245" s="347" t="s">
        <v>631</v>
      </c>
      <c r="V245" s="347" t="s">
        <v>631</v>
      </c>
      <c r="Z245" s="349" t="s">
        <v>975</v>
      </c>
    </row>
    <row r="246" spans="1:26" ht="16.899999999999999" customHeight="1" x14ac:dyDescent="0.15">
      <c r="A246" s="347" t="s">
        <v>1483</v>
      </c>
      <c r="B246" s="347">
        <v>2</v>
      </c>
      <c r="C246" s="347" t="s">
        <v>987</v>
      </c>
      <c r="F246" s="348" t="s">
        <v>941</v>
      </c>
      <c r="G246" s="347" t="s">
        <v>978</v>
      </c>
      <c r="H246" s="347" t="s">
        <v>970</v>
      </c>
      <c r="I246" s="347" t="s">
        <v>971</v>
      </c>
      <c r="K246" s="350"/>
      <c r="L246" s="349" t="s">
        <v>1020</v>
      </c>
      <c r="M246" s="350" t="s">
        <v>1484</v>
      </c>
      <c r="N246" s="350" t="s">
        <v>1485</v>
      </c>
      <c r="O246" s="347" t="s">
        <v>631</v>
      </c>
      <c r="T246" s="347" t="s">
        <v>631</v>
      </c>
      <c r="U246" s="347" t="s">
        <v>631</v>
      </c>
      <c r="V246" s="347" t="s">
        <v>631</v>
      </c>
      <c r="Z246" s="349" t="s">
        <v>975</v>
      </c>
    </row>
    <row r="247" spans="1:26" ht="16.899999999999999" customHeight="1" x14ac:dyDescent="0.15">
      <c r="A247" s="347" t="s">
        <v>1486</v>
      </c>
      <c r="B247" s="347">
        <v>2</v>
      </c>
      <c r="C247" s="347" t="s">
        <v>1019</v>
      </c>
      <c r="F247" s="348" t="s">
        <v>1047</v>
      </c>
      <c r="G247" s="347" t="s">
        <v>978</v>
      </c>
      <c r="H247" s="347" t="s">
        <v>970</v>
      </c>
      <c r="K247" s="350"/>
      <c r="L247" s="349" t="s">
        <v>972</v>
      </c>
      <c r="M247" s="350" t="s">
        <v>1487</v>
      </c>
      <c r="N247" s="350" t="s">
        <v>1488</v>
      </c>
      <c r="T247" s="347" t="s">
        <v>631</v>
      </c>
      <c r="U247" s="347" t="s">
        <v>631</v>
      </c>
      <c r="V247" s="347" t="s">
        <v>631</v>
      </c>
      <c r="Z247" s="349" t="s">
        <v>975</v>
      </c>
    </row>
    <row r="248" spans="1:26" ht="16.899999999999999" customHeight="1" x14ac:dyDescent="0.15">
      <c r="A248" s="347" t="s">
        <v>1489</v>
      </c>
      <c r="B248" s="347">
        <v>2</v>
      </c>
      <c r="C248" s="347" t="s">
        <v>968</v>
      </c>
      <c r="E248" s="347" t="s">
        <v>631</v>
      </c>
      <c r="F248" s="348" t="s">
        <v>941</v>
      </c>
      <c r="G248" s="347" t="s">
        <v>988</v>
      </c>
      <c r="H248" s="347" t="s">
        <v>970</v>
      </c>
      <c r="I248" s="347" t="s">
        <v>971</v>
      </c>
      <c r="J248" s="347" t="s">
        <v>989</v>
      </c>
      <c r="K248" s="350" t="s">
        <v>1490</v>
      </c>
      <c r="L248" s="349" t="s">
        <v>979</v>
      </c>
      <c r="M248" s="350" t="s">
        <v>1491</v>
      </c>
      <c r="N248" s="350" t="s">
        <v>1492</v>
      </c>
      <c r="Q248" s="347" t="s">
        <v>631</v>
      </c>
      <c r="Z248" s="349" t="s">
        <v>975</v>
      </c>
    </row>
    <row r="249" spans="1:26" ht="16.899999999999999" customHeight="1" x14ac:dyDescent="0.15">
      <c r="A249" s="347" t="s">
        <v>1493</v>
      </c>
      <c r="B249" s="347">
        <v>2</v>
      </c>
      <c r="C249" s="347" t="s">
        <v>987</v>
      </c>
      <c r="F249" s="348" t="s">
        <v>941</v>
      </c>
      <c r="G249" s="347" t="s">
        <v>984</v>
      </c>
      <c r="H249" s="347" t="s">
        <v>970</v>
      </c>
      <c r="I249" s="347" t="s">
        <v>971</v>
      </c>
      <c r="J249" s="347" t="s">
        <v>989</v>
      </c>
      <c r="K249" s="350" t="s">
        <v>1494</v>
      </c>
      <c r="L249" s="349" t="s">
        <v>1109</v>
      </c>
      <c r="M249" s="350" t="s">
        <v>1495</v>
      </c>
      <c r="N249" s="350" t="s">
        <v>1496</v>
      </c>
      <c r="V249" s="347" t="s">
        <v>631</v>
      </c>
      <c r="Z249" s="349" t="s">
        <v>975</v>
      </c>
    </row>
    <row r="250" spans="1:26" ht="16.899999999999999" customHeight="1" x14ac:dyDescent="0.15">
      <c r="A250" s="347" t="s">
        <v>1497</v>
      </c>
      <c r="B250" s="347">
        <v>2</v>
      </c>
      <c r="C250" s="347" t="s">
        <v>977</v>
      </c>
      <c r="E250" s="347" t="s">
        <v>631</v>
      </c>
      <c r="F250" s="348" t="s">
        <v>941</v>
      </c>
      <c r="G250" s="347" t="s">
        <v>978</v>
      </c>
      <c r="H250" s="347" t="s">
        <v>970</v>
      </c>
      <c r="I250" s="347" t="s">
        <v>971</v>
      </c>
      <c r="J250" s="347" t="s">
        <v>989</v>
      </c>
      <c r="K250" s="350" t="s">
        <v>1498</v>
      </c>
      <c r="L250" s="349" t="s">
        <v>1211</v>
      </c>
      <c r="M250" s="350" t="s">
        <v>1499</v>
      </c>
      <c r="N250" s="350" t="s">
        <v>1500</v>
      </c>
      <c r="Q250" s="347" t="s">
        <v>631</v>
      </c>
      <c r="S250" s="347" t="s">
        <v>631</v>
      </c>
      <c r="Z250" s="349" t="s">
        <v>975</v>
      </c>
    </row>
    <row r="251" spans="1:26" ht="16.899999999999999" customHeight="1" x14ac:dyDescent="0.15">
      <c r="A251" s="347" t="s">
        <v>1501</v>
      </c>
      <c r="B251" s="347">
        <v>2</v>
      </c>
      <c r="C251" s="347" t="s">
        <v>987</v>
      </c>
      <c r="E251" s="347" t="s">
        <v>631</v>
      </c>
      <c r="F251" s="348" t="s">
        <v>941</v>
      </c>
      <c r="G251" s="347" t="s">
        <v>969</v>
      </c>
      <c r="H251" s="347" t="s">
        <v>970</v>
      </c>
      <c r="I251" s="347" t="s">
        <v>971</v>
      </c>
      <c r="J251" s="347" t="s">
        <v>989</v>
      </c>
      <c r="K251" s="350" t="s">
        <v>1502</v>
      </c>
      <c r="L251" s="349" t="s">
        <v>979</v>
      </c>
      <c r="M251" s="350" t="s">
        <v>1503</v>
      </c>
      <c r="N251" s="350" t="s">
        <v>1504</v>
      </c>
      <c r="O251" s="347" t="s">
        <v>631</v>
      </c>
      <c r="T251" s="347" t="s">
        <v>631</v>
      </c>
      <c r="V251" s="347" t="s">
        <v>631</v>
      </c>
      <c r="Z251" s="349" t="s">
        <v>975</v>
      </c>
    </row>
    <row r="252" spans="1:26" ht="16.899999999999999" customHeight="1" x14ac:dyDescent="0.15">
      <c r="A252" s="347" t="s">
        <v>1505</v>
      </c>
      <c r="B252" s="347">
        <v>2</v>
      </c>
      <c r="C252" s="347" t="s">
        <v>977</v>
      </c>
      <c r="F252" s="348" t="s">
        <v>1048</v>
      </c>
      <c r="G252" s="347" t="s">
        <v>709</v>
      </c>
      <c r="H252" s="347" t="s">
        <v>970</v>
      </c>
      <c r="K252" s="350"/>
      <c r="L252" s="349" t="s">
        <v>972</v>
      </c>
      <c r="M252" s="350" t="s">
        <v>1506</v>
      </c>
      <c r="N252" s="350" t="s">
        <v>1507</v>
      </c>
      <c r="P252" s="347" t="s">
        <v>631</v>
      </c>
      <c r="R252" s="347" t="s">
        <v>631</v>
      </c>
      <c r="Z252" s="349" t="s">
        <v>975</v>
      </c>
    </row>
    <row r="253" spans="1:26" ht="16.899999999999999" customHeight="1" x14ac:dyDescent="0.15">
      <c r="A253" s="347" t="s">
        <v>1508</v>
      </c>
      <c r="B253" s="347">
        <v>2</v>
      </c>
      <c r="C253" s="347" t="s">
        <v>977</v>
      </c>
      <c r="F253" s="348" t="s">
        <v>941</v>
      </c>
      <c r="G253" s="347" t="s">
        <v>984</v>
      </c>
      <c r="H253" s="347" t="s">
        <v>970</v>
      </c>
      <c r="I253" s="347" t="s">
        <v>971</v>
      </c>
      <c r="K253" s="350"/>
      <c r="L253" s="349" t="s">
        <v>1016</v>
      </c>
      <c r="M253" s="350" t="s">
        <v>1509</v>
      </c>
      <c r="N253" s="350" t="s">
        <v>1510</v>
      </c>
      <c r="P253" s="347" t="s">
        <v>631</v>
      </c>
      <c r="Q253" s="347" t="s">
        <v>631</v>
      </c>
      <c r="R253" s="347" t="s">
        <v>631</v>
      </c>
      <c r="S253" s="347" t="s">
        <v>631</v>
      </c>
      <c r="W253" s="347" t="s">
        <v>631</v>
      </c>
      <c r="Y253" s="347" t="s">
        <v>631</v>
      </c>
      <c r="Z253" s="349" t="s">
        <v>975</v>
      </c>
    </row>
    <row r="254" spans="1:26" ht="16.899999999999999" customHeight="1" x14ac:dyDescent="0.15">
      <c r="A254" s="347" t="s">
        <v>1511</v>
      </c>
      <c r="B254" s="347">
        <v>2</v>
      </c>
      <c r="C254" s="347" t="s">
        <v>983</v>
      </c>
      <c r="E254" s="347" t="s">
        <v>631</v>
      </c>
      <c r="F254" s="348" t="s">
        <v>941</v>
      </c>
      <c r="G254" s="347" t="s">
        <v>969</v>
      </c>
      <c r="H254" s="347" t="s">
        <v>970</v>
      </c>
      <c r="I254" s="347" t="s">
        <v>971</v>
      </c>
      <c r="K254" s="350"/>
      <c r="L254" s="349" t="s">
        <v>979</v>
      </c>
      <c r="M254" s="350" t="s">
        <v>1512</v>
      </c>
      <c r="N254" s="350" t="s">
        <v>1513</v>
      </c>
      <c r="U254" s="347" t="s">
        <v>631</v>
      </c>
      <c r="V254" s="347" t="s">
        <v>631</v>
      </c>
      <c r="Y254" s="347" t="s">
        <v>631</v>
      </c>
      <c r="Z254" s="349" t="s">
        <v>975</v>
      </c>
    </row>
    <row r="255" spans="1:26" ht="16.899999999999999" customHeight="1" x14ac:dyDescent="0.15">
      <c r="A255" s="347" t="s">
        <v>1514</v>
      </c>
      <c r="B255" s="347">
        <v>2</v>
      </c>
      <c r="C255" s="347" t="s">
        <v>994</v>
      </c>
      <c r="F255" s="348" t="s">
        <v>941</v>
      </c>
      <c r="G255" s="347" t="s">
        <v>984</v>
      </c>
      <c r="H255" s="347" t="s">
        <v>970</v>
      </c>
      <c r="I255" s="347" t="s">
        <v>971</v>
      </c>
      <c r="J255" s="347" t="s">
        <v>989</v>
      </c>
      <c r="K255" s="350" t="s">
        <v>1515</v>
      </c>
      <c r="L255" s="349" t="s">
        <v>1016</v>
      </c>
      <c r="M255" s="350" t="s">
        <v>1516</v>
      </c>
      <c r="N255" s="350" t="s">
        <v>1517</v>
      </c>
      <c r="V255" s="347" t="s">
        <v>631</v>
      </c>
      <c r="W255" s="347" t="s">
        <v>631</v>
      </c>
      <c r="Z255" s="349" t="s">
        <v>975</v>
      </c>
    </row>
    <row r="256" spans="1:26" ht="16.899999999999999" customHeight="1" x14ac:dyDescent="0.15">
      <c r="A256" s="347" t="s">
        <v>1518</v>
      </c>
      <c r="B256" s="347">
        <v>2</v>
      </c>
      <c r="C256" s="347" t="s">
        <v>968</v>
      </c>
      <c r="F256" s="348" t="s">
        <v>941</v>
      </c>
      <c r="G256" s="347" t="s">
        <v>988</v>
      </c>
      <c r="H256" s="347" t="s">
        <v>970</v>
      </c>
      <c r="I256" s="347" t="s">
        <v>971</v>
      </c>
      <c r="K256" s="350"/>
      <c r="L256" s="349" t="s">
        <v>972</v>
      </c>
      <c r="M256" s="350" t="s">
        <v>1519</v>
      </c>
      <c r="N256" s="350" t="s">
        <v>1520</v>
      </c>
      <c r="T256" s="347" t="s">
        <v>631</v>
      </c>
      <c r="V256" s="347" t="s">
        <v>631</v>
      </c>
      <c r="Z256" s="349" t="s">
        <v>975</v>
      </c>
    </row>
    <row r="257" spans="1:26" ht="16.899999999999999" customHeight="1" x14ac:dyDescent="0.15">
      <c r="A257" s="347" t="s">
        <v>1521</v>
      </c>
      <c r="B257" s="347">
        <v>2</v>
      </c>
      <c r="C257" s="347" t="s">
        <v>1013</v>
      </c>
      <c r="F257" s="348" t="s">
        <v>941</v>
      </c>
      <c r="G257" s="347" t="s">
        <v>978</v>
      </c>
      <c r="H257" s="347" t="s">
        <v>970</v>
      </c>
      <c r="I257" s="347" t="s">
        <v>971</v>
      </c>
      <c r="J257" s="347" t="s">
        <v>989</v>
      </c>
      <c r="K257" s="350" t="s">
        <v>1522</v>
      </c>
      <c r="L257" s="349" t="s">
        <v>1523</v>
      </c>
      <c r="M257" s="350" t="s">
        <v>1524</v>
      </c>
      <c r="N257" s="350" t="s">
        <v>1525</v>
      </c>
      <c r="O257" s="347" t="s">
        <v>631</v>
      </c>
      <c r="T257" s="347" t="s">
        <v>631</v>
      </c>
      <c r="V257" s="347" t="s">
        <v>631</v>
      </c>
      <c r="W257" s="347" t="s">
        <v>631</v>
      </c>
      <c r="Y257" s="347" t="s">
        <v>631</v>
      </c>
      <c r="Z257" s="349" t="s">
        <v>975</v>
      </c>
    </row>
    <row r="258" spans="1:26" ht="16.899999999999999" customHeight="1" x14ac:dyDescent="0.15">
      <c r="A258" s="347" t="s">
        <v>1526</v>
      </c>
      <c r="B258" s="347">
        <v>2</v>
      </c>
      <c r="C258" s="347" t="s">
        <v>968</v>
      </c>
      <c r="F258" s="348" t="s">
        <v>941</v>
      </c>
      <c r="G258" s="347" t="s">
        <v>969</v>
      </c>
      <c r="H258" s="347" t="s">
        <v>970</v>
      </c>
      <c r="I258" s="347" t="s">
        <v>971</v>
      </c>
      <c r="J258" s="347" t="s">
        <v>989</v>
      </c>
      <c r="K258" s="350" t="s">
        <v>1527</v>
      </c>
      <c r="L258" s="349" t="s">
        <v>972</v>
      </c>
      <c r="M258" s="350" t="s">
        <v>1528</v>
      </c>
      <c r="N258" s="350" t="s">
        <v>1529</v>
      </c>
      <c r="O258" s="347" t="s">
        <v>631</v>
      </c>
      <c r="T258" s="347" t="s">
        <v>631</v>
      </c>
      <c r="V258" s="347" t="s">
        <v>631</v>
      </c>
      <c r="Z258" s="349" t="s">
        <v>975</v>
      </c>
    </row>
    <row r="259" spans="1:26" ht="16.899999999999999" customHeight="1" x14ac:dyDescent="0.15">
      <c r="A259" s="347" t="s">
        <v>1530</v>
      </c>
      <c r="B259" s="347">
        <v>2</v>
      </c>
      <c r="C259" s="347" t="s">
        <v>994</v>
      </c>
      <c r="E259" s="347" t="s">
        <v>631</v>
      </c>
      <c r="F259" s="348" t="s">
        <v>1180</v>
      </c>
      <c r="G259" s="347" t="s">
        <v>978</v>
      </c>
      <c r="H259" s="347" t="s">
        <v>970</v>
      </c>
      <c r="K259" s="350"/>
      <c r="L259" s="349" t="s">
        <v>979</v>
      </c>
      <c r="M259" s="350" t="s">
        <v>1531</v>
      </c>
      <c r="N259" s="350" t="s">
        <v>1532</v>
      </c>
      <c r="R259" s="347" t="s">
        <v>631</v>
      </c>
      <c r="Z259" s="349" t="s">
        <v>975</v>
      </c>
    </row>
    <row r="260" spans="1:26" ht="16.899999999999999" customHeight="1" x14ac:dyDescent="0.15">
      <c r="A260" s="347" t="s">
        <v>1533</v>
      </c>
      <c r="B260" s="347">
        <v>2</v>
      </c>
      <c r="C260" s="347" t="s">
        <v>987</v>
      </c>
      <c r="D260" s="347" t="s">
        <v>631</v>
      </c>
      <c r="E260" s="347" t="s">
        <v>631</v>
      </c>
      <c r="F260" s="348" t="s">
        <v>1149</v>
      </c>
      <c r="G260" s="347" t="s">
        <v>988</v>
      </c>
      <c r="H260" s="347" t="s">
        <v>970</v>
      </c>
      <c r="I260" s="347" t="s">
        <v>971</v>
      </c>
      <c r="K260" s="350"/>
      <c r="L260" s="349" t="s">
        <v>1161</v>
      </c>
      <c r="M260" s="350" t="s">
        <v>1534</v>
      </c>
      <c r="N260" s="350" t="s">
        <v>1535</v>
      </c>
      <c r="O260" s="347" t="s">
        <v>631</v>
      </c>
      <c r="P260" s="347" t="s">
        <v>631</v>
      </c>
      <c r="S260" s="347" t="s">
        <v>631</v>
      </c>
      <c r="Y260" s="347" t="s">
        <v>631</v>
      </c>
      <c r="Z260" s="349" t="s">
        <v>975</v>
      </c>
    </row>
    <row r="261" spans="1:26" ht="16.899999999999999" customHeight="1" x14ac:dyDescent="0.15">
      <c r="A261" s="347" t="s">
        <v>1536</v>
      </c>
      <c r="B261" s="347">
        <v>2</v>
      </c>
      <c r="C261" s="347" t="s">
        <v>994</v>
      </c>
      <c r="E261" s="347" t="s">
        <v>631</v>
      </c>
      <c r="F261" s="348" t="s">
        <v>941</v>
      </c>
      <c r="G261" s="347" t="s">
        <v>984</v>
      </c>
      <c r="H261" s="347" t="s">
        <v>970</v>
      </c>
      <c r="I261" s="347" t="s">
        <v>971</v>
      </c>
      <c r="J261" s="347" t="s">
        <v>989</v>
      </c>
      <c r="K261" s="350" t="s">
        <v>1537</v>
      </c>
      <c r="L261" s="349" t="s">
        <v>1211</v>
      </c>
      <c r="M261" s="350" t="s">
        <v>1538</v>
      </c>
      <c r="N261" s="350" t="s">
        <v>1539</v>
      </c>
      <c r="T261" s="347" t="s">
        <v>631</v>
      </c>
      <c r="U261" s="347" t="s">
        <v>631</v>
      </c>
      <c r="V261" s="347" t="s">
        <v>631</v>
      </c>
      <c r="W261" s="347" t="s">
        <v>631</v>
      </c>
      <c r="Y261" s="347" t="s">
        <v>631</v>
      </c>
      <c r="Z261" s="349" t="s">
        <v>975</v>
      </c>
    </row>
    <row r="262" spans="1:26" ht="16.899999999999999" customHeight="1" x14ac:dyDescent="0.15">
      <c r="A262" s="347" t="s">
        <v>1540</v>
      </c>
      <c r="B262" s="347">
        <v>2</v>
      </c>
      <c r="C262" s="347" t="s">
        <v>994</v>
      </c>
      <c r="E262" s="347" t="s">
        <v>631</v>
      </c>
      <c r="F262" s="348" t="s">
        <v>941</v>
      </c>
      <c r="G262" s="347" t="s">
        <v>1541</v>
      </c>
      <c r="H262" s="347" t="s">
        <v>970</v>
      </c>
      <c r="I262" s="347" t="s">
        <v>971</v>
      </c>
      <c r="J262" s="347" t="s">
        <v>989</v>
      </c>
      <c r="K262" s="350" t="s">
        <v>1542</v>
      </c>
      <c r="L262" s="349" t="s">
        <v>1161</v>
      </c>
      <c r="M262" s="350" t="s">
        <v>1543</v>
      </c>
      <c r="N262" s="350" t="s">
        <v>1544</v>
      </c>
      <c r="Q262" s="347" t="s">
        <v>631</v>
      </c>
      <c r="S262" s="347" t="s">
        <v>631</v>
      </c>
      <c r="Z262" s="349" t="s">
        <v>975</v>
      </c>
    </row>
    <row r="263" spans="1:26" ht="16.899999999999999" customHeight="1" x14ac:dyDescent="0.15">
      <c r="A263" s="347" t="s">
        <v>1545</v>
      </c>
      <c r="B263" s="347">
        <v>2</v>
      </c>
      <c r="C263" s="347" t="s">
        <v>968</v>
      </c>
      <c r="E263" s="347" t="s">
        <v>631</v>
      </c>
      <c r="F263" s="348" t="s">
        <v>1047</v>
      </c>
      <c r="G263" s="347" t="s">
        <v>969</v>
      </c>
      <c r="H263" s="347" t="s">
        <v>970</v>
      </c>
      <c r="I263" s="347" t="s">
        <v>971</v>
      </c>
      <c r="K263" s="350"/>
      <c r="L263" s="349" t="s">
        <v>979</v>
      </c>
      <c r="M263" s="350" t="s">
        <v>1546</v>
      </c>
      <c r="N263" s="350" t="s">
        <v>1547</v>
      </c>
      <c r="P263" s="347" t="s">
        <v>631</v>
      </c>
      <c r="Z263" s="349" t="s">
        <v>975</v>
      </c>
    </row>
    <row r="264" spans="1:26" ht="16.899999999999999" customHeight="1" x14ac:dyDescent="0.15">
      <c r="A264" s="347" t="s">
        <v>1548</v>
      </c>
      <c r="B264" s="347">
        <v>2</v>
      </c>
      <c r="C264" s="347" t="s">
        <v>1007</v>
      </c>
      <c r="E264" s="347" t="s">
        <v>631</v>
      </c>
      <c r="F264" s="348" t="s">
        <v>941</v>
      </c>
      <c r="G264" s="347" t="s">
        <v>709</v>
      </c>
      <c r="H264" s="347" t="s">
        <v>970</v>
      </c>
      <c r="J264" s="347" t="s">
        <v>989</v>
      </c>
      <c r="K264" s="350" t="s">
        <v>1549</v>
      </c>
      <c r="L264" s="349" t="s">
        <v>1550</v>
      </c>
      <c r="M264" s="350" t="s">
        <v>1551</v>
      </c>
      <c r="N264" s="350" t="s">
        <v>1552</v>
      </c>
      <c r="O264" s="347" t="s">
        <v>631</v>
      </c>
      <c r="T264" s="347" t="s">
        <v>631</v>
      </c>
      <c r="U264" s="347" t="s">
        <v>631</v>
      </c>
      <c r="V264" s="347" t="s">
        <v>631</v>
      </c>
      <c r="Z264" s="349" t="s">
        <v>975</v>
      </c>
    </row>
    <row r="265" spans="1:26" ht="16.899999999999999" customHeight="1" x14ac:dyDescent="0.15">
      <c r="A265" s="347" t="s">
        <v>1553</v>
      </c>
      <c r="B265" s="347">
        <v>2</v>
      </c>
      <c r="C265" s="347" t="s">
        <v>1019</v>
      </c>
      <c r="E265" s="347" t="s">
        <v>631</v>
      </c>
      <c r="F265" s="348" t="s">
        <v>941</v>
      </c>
      <c r="G265" s="347" t="s">
        <v>1134</v>
      </c>
      <c r="H265" s="347" t="s">
        <v>970</v>
      </c>
      <c r="I265" s="347" t="s">
        <v>971</v>
      </c>
      <c r="J265" s="347" t="s">
        <v>989</v>
      </c>
      <c r="K265" s="350" t="s">
        <v>1554</v>
      </c>
      <c r="L265" s="349" t="s">
        <v>1211</v>
      </c>
      <c r="M265" s="350" t="s">
        <v>1555</v>
      </c>
      <c r="N265" s="350" t="s">
        <v>1556</v>
      </c>
      <c r="Q265" s="347" t="s">
        <v>631</v>
      </c>
      <c r="S265" s="347" t="s">
        <v>631</v>
      </c>
      <c r="Z265" s="349" t="s">
        <v>975</v>
      </c>
    </row>
    <row r="266" spans="1:26" ht="16.899999999999999" customHeight="1" x14ac:dyDescent="0.15">
      <c r="A266" s="347" t="s">
        <v>1557</v>
      </c>
      <c r="B266" s="347">
        <v>2</v>
      </c>
      <c r="C266" s="347" t="s">
        <v>977</v>
      </c>
      <c r="F266" s="348" t="s">
        <v>941</v>
      </c>
      <c r="G266" s="347" t="s">
        <v>984</v>
      </c>
      <c r="H266" s="347" t="s">
        <v>970</v>
      </c>
      <c r="I266" s="347" t="s">
        <v>971</v>
      </c>
      <c r="J266" s="347" t="s">
        <v>989</v>
      </c>
      <c r="K266" s="350" t="s">
        <v>1558</v>
      </c>
      <c r="L266" s="349" t="s">
        <v>1016</v>
      </c>
      <c r="M266" s="350" t="s">
        <v>1559</v>
      </c>
      <c r="N266" s="350" t="s">
        <v>1560</v>
      </c>
      <c r="P266" s="347" t="s">
        <v>631</v>
      </c>
      <c r="R266" s="347" t="s">
        <v>631</v>
      </c>
      <c r="Z266" s="349" t="s">
        <v>975</v>
      </c>
    </row>
    <row r="267" spans="1:26" ht="16.899999999999999" customHeight="1" x14ac:dyDescent="0.15">
      <c r="A267" s="347" t="s">
        <v>1561</v>
      </c>
      <c r="B267" s="347">
        <v>2</v>
      </c>
      <c r="C267" s="347" t="s">
        <v>1019</v>
      </c>
      <c r="E267" s="347" t="s">
        <v>631</v>
      </c>
      <c r="F267" s="348" t="s">
        <v>941</v>
      </c>
      <c r="G267" s="347" t="s">
        <v>969</v>
      </c>
      <c r="H267" s="347" t="s">
        <v>970</v>
      </c>
      <c r="I267" s="347" t="s">
        <v>971</v>
      </c>
      <c r="J267" s="347" t="s">
        <v>989</v>
      </c>
      <c r="K267" s="350" t="s">
        <v>1562</v>
      </c>
      <c r="L267" s="349" t="s">
        <v>1211</v>
      </c>
      <c r="M267" s="350" t="s">
        <v>1563</v>
      </c>
      <c r="N267" s="350" t="s">
        <v>1564</v>
      </c>
      <c r="T267" s="347" t="s">
        <v>631</v>
      </c>
      <c r="V267" s="347" t="s">
        <v>631</v>
      </c>
      <c r="W267" s="347" t="s">
        <v>631</v>
      </c>
      <c r="Y267" s="347" t="s">
        <v>631</v>
      </c>
      <c r="Z267" s="349" t="s">
        <v>975</v>
      </c>
    </row>
    <row r="268" spans="1:26" ht="16.899999999999999" customHeight="1" x14ac:dyDescent="0.15">
      <c r="A268" s="347" t="s">
        <v>1565</v>
      </c>
      <c r="B268" s="347">
        <v>2</v>
      </c>
      <c r="C268" s="347" t="s">
        <v>1007</v>
      </c>
      <c r="F268" s="348" t="s">
        <v>941</v>
      </c>
      <c r="G268" s="347" t="s">
        <v>969</v>
      </c>
      <c r="H268" s="347" t="s">
        <v>970</v>
      </c>
      <c r="I268" s="347" t="s">
        <v>971</v>
      </c>
      <c r="L268" s="349" t="s">
        <v>1048</v>
      </c>
      <c r="M268" s="350" t="s">
        <v>1566</v>
      </c>
      <c r="N268" s="350" t="s">
        <v>1567</v>
      </c>
      <c r="O268" s="347" t="s">
        <v>631</v>
      </c>
      <c r="P268" s="347" t="s">
        <v>631</v>
      </c>
      <c r="R268" s="347" t="s">
        <v>631</v>
      </c>
      <c r="Z268" s="349" t="s">
        <v>975</v>
      </c>
    </row>
    <row r="269" spans="1:26" ht="16.899999999999999" customHeight="1" x14ac:dyDescent="0.15">
      <c r="A269" s="347" t="s">
        <v>2417</v>
      </c>
      <c r="B269" s="347">
        <v>2</v>
      </c>
      <c r="C269" s="347" t="s">
        <v>1007</v>
      </c>
      <c r="F269" s="348" t="s">
        <v>941</v>
      </c>
      <c r="G269" s="347" t="s">
        <v>1134</v>
      </c>
      <c r="H269" s="347" t="s">
        <v>970</v>
      </c>
      <c r="K269" s="444"/>
      <c r="L269" s="349" t="s">
        <v>1032</v>
      </c>
      <c r="M269" s="350" t="s">
        <v>2418</v>
      </c>
      <c r="N269" s="350" t="s">
        <v>2419</v>
      </c>
      <c r="T269" s="347" t="s">
        <v>631</v>
      </c>
      <c r="V269" s="347" t="s">
        <v>631</v>
      </c>
      <c r="Z269" s="349" t="s">
        <v>2416</v>
      </c>
    </row>
    <row r="270" spans="1:26" ht="16.899999999999999" customHeight="1" x14ac:dyDescent="0.15">
      <c r="A270" s="347" t="s">
        <v>2517</v>
      </c>
      <c r="B270" s="347">
        <v>2</v>
      </c>
      <c r="C270" s="347" t="s">
        <v>968</v>
      </c>
      <c r="F270" s="348" t="s">
        <v>941</v>
      </c>
      <c r="G270" s="347" t="s">
        <v>709</v>
      </c>
      <c r="H270" s="347" t="s">
        <v>970</v>
      </c>
      <c r="I270" s="347" t="s">
        <v>971</v>
      </c>
      <c r="J270" s="347" t="s">
        <v>989</v>
      </c>
      <c r="K270" s="444" t="s">
        <v>2518</v>
      </c>
      <c r="L270" s="349" t="s">
        <v>972</v>
      </c>
      <c r="M270" s="350" t="s">
        <v>2519</v>
      </c>
      <c r="N270" s="350" t="s">
        <v>2520</v>
      </c>
      <c r="T270" s="347" t="s">
        <v>631</v>
      </c>
      <c r="V270" s="347" t="s">
        <v>631</v>
      </c>
      <c r="Z270" s="446" t="s">
        <v>2457</v>
      </c>
    </row>
    <row r="271" spans="1:26" ht="16.899999999999999" customHeight="1" x14ac:dyDescent="0.15">
      <c r="A271" s="347" t="s">
        <v>10765</v>
      </c>
      <c r="B271" s="347">
        <v>2</v>
      </c>
      <c r="C271" s="347" t="s">
        <v>1019</v>
      </c>
      <c r="E271" s="347" t="s">
        <v>631</v>
      </c>
      <c r="F271" s="348" t="s">
        <v>941</v>
      </c>
      <c r="G271" s="347" t="s">
        <v>969</v>
      </c>
      <c r="H271" s="347" t="s">
        <v>970</v>
      </c>
      <c r="I271" s="347" t="s">
        <v>971</v>
      </c>
      <c r="J271" s="347" t="s">
        <v>989</v>
      </c>
      <c r="K271" s="444" t="s">
        <v>2521</v>
      </c>
      <c r="L271" s="349" t="s">
        <v>2413</v>
      </c>
      <c r="M271" s="350" t="s">
        <v>2522</v>
      </c>
      <c r="N271" s="350" t="s">
        <v>2523</v>
      </c>
      <c r="Q271" s="347" t="s">
        <v>631</v>
      </c>
      <c r="T271" s="347" t="s">
        <v>631</v>
      </c>
      <c r="V271" s="347" t="s">
        <v>631</v>
      </c>
      <c r="Z271" s="446" t="s">
        <v>2457</v>
      </c>
    </row>
    <row r="272" spans="1:26" ht="16.899999999999999" customHeight="1" x14ac:dyDescent="0.15">
      <c r="A272" s="347" t="s">
        <v>2524</v>
      </c>
      <c r="B272" s="347">
        <v>2</v>
      </c>
      <c r="C272" s="347" t="s">
        <v>994</v>
      </c>
      <c r="E272" s="347" t="s">
        <v>631</v>
      </c>
      <c r="F272" s="348" t="s">
        <v>941</v>
      </c>
      <c r="G272" s="347" t="s">
        <v>1793</v>
      </c>
      <c r="H272" s="347" t="s">
        <v>970</v>
      </c>
      <c r="K272" s="444"/>
      <c r="L272" s="349" t="s">
        <v>2413</v>
      </c>
      <c r="M272" s="350" t="s">
        <v>2525</v>
      </c>
      <c r="N272" s="350" t="s">
        <v>2526</v>
      </c>
      <c r="Q272" s="347" t="s">
        <v>631</v>
      </c>
      <c r="T272" s="347" t="s">
        <v>631</v>
      </c>
      <c r="U272" s="347" t="s">
        <v>631</v>
      </c>
      <c r="V272" s="347" t="s">
        <v>631</v>
      </c>
      <c r="Z272" s="446" t="s">
        <v>2457</v>
      </c>
    </row>
    <row r="273" spans="1:26" ht="16.899999999999999" customHeight="1" x14ac:dyDescent="0.15">
      <c r="A273" s="347" t="s">
        <v>2527</v>
      </c>
      <c r="B273" s="347">
        <v>2</v>
      </c>
      <c r="C273" s="347" t="s">
        <v>1019</v>
      </c>
      <c r="E273" s="347" t="s">
        <v>631</v>
      </c>
      <c r="F273" s="348" t="s">
        <v>1047</v>
      </c>
      <c r="G273" s="347" t="s">
        <v>969</v>
      </c>
      <c r="H273" s="347" t="s">
        <v>970</v>
      </c>
      <c r="I273" s="347" t="s">
        <v>971</v>
      </c>
      <c r="K273" s="444"/>
      <c r="L273" s="349" t="s">
        <v>2413</v>
      </c>
      <c r="M273" s="350" t="s">
        <v>2528</v>
      </c>
      <c r="N273" s="350" t="s">
        <v>2529</v>
      </c>
      <c r="Q273" s="347" t="s">
        <v>631</v>
      </c>
      <c r="S273" s="347" t="s">
        <v>631</v>
      </c>
      <c r="Z273" s="446" t="s">
        <v>2457</v>
      </c>
    </row>
    <row r="274" spans="1:26" ht="16.899999999999999" customHeight="1" x14ac:dyDescent="0.15">
      <c r="A274" s="347" t="s">
        <v>2530</v>
      </c>
      <c r="B274" s="347">
        <v>2</v>
      </c>
      <c r="C274" s="347" t="s">
        <v>994</v>
      </c>
      <c r="E274" s="347" t="s">
        <v>631</v>
      </c>
      <c r="F274" s="348" t="s">
        <v>941</v>
      </c>
      <c r="G274" s="347" t="s">
        <v>709</v>
      </c>
      <c r="H274" s="347" t="s">
        <v>970</v>
      </c>
      <c r="I274" s="347" t="s">
        <v>971</v>
      </c>
      <c r="J274" s="347" t="s">
        <v>989</v>
      </c>
      <c r="K274" s="444" t="s">
        <v>2531</v>
      </c>
      <c r="L274" s="349" t="s">
        <v>2413</v>
      </c>
      <c r="M274" s="350" t="s">
        <v>2532</v>
      </c>
      <c r="N274" s="350" t="s">
        <v>2533</v>
      </c>
      <c r="T274" s="347" t="s">
        <v>631</v>
      </c>
      <c r="V274" s="347" t="s">
        <v>631</v>
      </c>
      <c r="Z274" s="446" t="s">
        <v>2457</v>
      </c>
    </row>
    <row r="275" spans="1:26" ht="16.899999999999999" customHeight="1" x14ac:dyDescent="0.15">
      <c r="A275" s="347" t="s">
        <v>2534</v>
      </c>
      <c r="B275" s="347">
        <v>2</v>
      </c>
      <c r="C275" s="347" t="s">
        <v>994</v>
      </c>
      <c r="F275" s="348" t="s">
        <v>941</v>
      </c>
      <c r="G275" s="347" t="s">
        <v>969</v>
      </c>
      <c r="H275" s="347" t="s">
        <v>970</v>
      </c>
      <c r="I275" s="347" t="s">
        <v>971</v>
      </c>
      <c r="K275" s="444"/>
      <c r="L275" s="349" t="s">
        <v>972</v>
      </c>
      <c r="M275" s="350" t="s">
        <v>2535</v>
      </c>
      <c r="N275" s="350" t="s">
        <v>2536</v>
      </c>
      <c r="O275" s="347" t="s">
        <v>631</v>
      </c>
      <c r="T275" s="347" t="s">
        <v>631</v>
      </c>
      <c r="V275" s="347" t="s">
        <v>631</v>
      </c>
      <c r="W275" s="347" t="s">
        <v>631</v>
      </c>
      <c r="Z275" s="446" t="s">
        <v>2457</v>
      </c>
    </row>
    <row r="276" spans="1:26" ht="16.899999999999999" customHeight="1" x14ac:dyDescent="0.15">
      <c r="A276" s="347" t="s">
        <v>2537</v>
      </c>
      <c r="B276" s="347">
        <v>2</v>
      </c>
      <c r="C276" s="347" t="s">
        <v>987</v>
      </c>
      <c r="E276" s="347" t="s">
        <v>631</v>
      </c>
      <c r="F276" s="348" t="s">
        <v>1047</v>
      </c>
      <c r="G276" s="347" t="s">
        <v>978</v>
      </c>
      <c r="H276" s="347" t="s">
        <v>970</v>
      </c>
      <c r="I276" s="347" t="s">
        <v>971</v>
      </c>
      <c r="K276" s="444"/>
      <c r="L276" s="349" t="s">
        <v>2413</v>
      </c>
      <c r="M276" s="350" t="s">
        <v>2538</v>
      </c>
      <c r="N276" s="350" t="s">
        <v>2539</v>
      </c>
      <c r="T276" s="347" t="s">
        <v>631</v>
      </c>
      <c r="U276" s="347" t="s">
        <v>631</v>
      </c>
      <c r="V276" s="347" t="s">
        <v>631</v>
      </c>
      <c r="Z276" s="446" t="s">
        <v>2457</v>
      </c>
    </row>
    <row r="277" spans="1:26" ht="16.899999999999999" customHeight="1" x14ac:dyDescent="0.15">
      <c r="A277" s="347" t="s">
        <v>2540</v>
      </c>
      <c r="B277" s="347">
        <v>2</v>
      </c>
      <c r="C277" s="347" t="s">
        <v>994</v>
      </c>
      <c r="D277" s="347" t="s">
        <v>631</v>
      </c>
      <c r="E277" s="347" t="s">
        <v>631</v>
      </c>
      <c r="F277" s="348" t="s">
        <v>1149</v>
      </c>
      <c r="G277" s="347" t="s">
        <v>2541</v>
      </c>
      <c r="H277" s="347" t="s">
        <v>970</v>
      </c>
      <c r="I277" s="347" t="s">
        <v>971</v>
      </c>
      <c r="K277" s="444"/>
      <c r="L277" s="349" t="s">
        <v>2421</v>
      </c>
      <c r="M277" s="350" t="s">
        <v>2542</v>
      </c>
      <c r="N277" s="350" t="s">
        <v>2543</v>
      </c>
      <c r="O277" s="347" t="s">
        <v>631</v>
      </c>
      <c r="Q277" s="347" t="s">
        <v>631</v>
      </c>
      <c r="V277" s="347" t="s">
        <v>631</v>
      </c>
      <c r="W277" s="347" t="s">
        <v>631</v>
      </c>
      <c r="Z277" s="446" t="s">
        <v>2457</v>
      </c>
    </row>
    <row r="278" spans="1:26" ht="16.899999999999999" customHeight="1" x14ac:dyDescent="0.15">
      <c r="A278" s="347" t="s">
        <v>2544</v>
      </c>
      <c r="B278" s="347">
        <v>2</v>
      </c>
      <c r="C278" s="347" t="s">
        <v>968</v>
      </c>
      <c r="F278" s="348" t="s">
        <v>941</v>
      </c>
      <c r="G278" s="347" t="s">
        <v>1134</v>
      </c>
      <c r="H278" s="347" t="s">
        <v>970</v>
      </c>
      <c r="I278" s="347" t="s">
        <v>971</v>
      </c>
      <c r="J278" s="347" t="s">
        <v>989</v>
      </c>
      <c r="K278" s="444" t="s">
        <v>2545</v>
      </c>
      <c r="L278" s="349" t="s">
        <v>972</v>
      </c>
      <c r="M278" s="350" t="s">
        <v>2546</v>
      </c>
      <c r="N278" s="350" t="s">
        <v>2547</v>
      </c>
      <c r="T278" s="347" t="s">
        <v>631</v>
      </c>
      <c r="V278" s="347" t="s">
        <v>631</v>
      </c>
      <c r="Z278" s="446" t="s">
        <v>2457</v>
      </c>
    </row>
    <row r="279" spans="1:26" ht="16.899999999999999" customHeight="1" x14ac:dyDescent="0.15">
      <c r="A279" s="347" t="s">
        <v>2548</v>
      </c>
      <c r="B279" s="347">
        <v>2</v>
      </c>
      <c r="C279" s="347" t="s">
        <v>968</v>
      </c>
      <c r="E279" s="347" t="s">
        <v>631</v>
      </c>
      <c r="F279" s="348" t="s">
        <v>941</v>
      </c>
      <c r="G279" s="347" t="s">
        <v>978</v>
      </c>
      <c r="H279" s="347" t="s">
        <v>970</v>
      </c>
      <c r="K279" s="444"/>
      <c r="L279" s="349" t="s">
        <v>2490</v>
      </c>
      <c r="M279" s="350" t="s">
        <v>2549</v>
      </c>
      <c r="N279" s="350" t="s">
        <v>2550</v>
      </c>
      <c r="O279" s="347" t="s">
        <v>631</v>
      </c>
      <c r="Q279" s="347" t="s">
        <v>631</v>
      </c>
      <c r="T279" s="347" t="s">
        <v>631</v>
      </c>
      <c r="V279" s="347" t="s">
        <v>631</v>
      </c>
      <c r="Z279" s="446" t="s">
        <v>2457</v>
      </c>
    </row>
    <row r="280" spans="1:26" ht="16.899999999999999" customHeight="1" x14ac:dyDescent="0.15">
      <c r="A280" s="347" t="s">
        <v>2747</v>
      </c>
      <c r="B280" s="347">
        <v>2</v>
      </c>
      <c r="C280" s="347" t="s">
        <v>1007</v>
      </c>
      <c r="F280" s="348" t="s">
        <v>2748</v>
      </c>
      <c r="G280" s="347" t="s">
        <v>978</v>
      </c>
      <c r="H280" s="347" t="s">
        <v>970</v>
      </c>
      <c r="I280" s="347" t="s">
        <v>971</v>
      </c>
      <c r="K280" s="444"/>
      <c r="L280" s="349" t="s">
        <v>972</v>
      </c>
      <c r="M280" s="350" t="s">
        <v>2749</v>
      </c>
      <c r="N280" s="350" t="s">
        <v>2750</v>
      </c>
      <c r="O280" s="347" t="s">
        <v>631</v>
      </c>
      <c r="V280" s="347" t="s">
        <v>631</v>
      </c>
      <c r="Z280" s="446" t="s">
        <v>2742</v>
      </c>
    </row>
    <row r="281" spans="1:26" ht="16.899999999999999" customHeight="1" x14ac:dyDescent="0.15">
      <c r="A281" s="347" t="s">
        <v>2751</v>
      </c>
      <c r="B281" s="347">
        <v>2</v>
      </c>
      <c r="C281" s="347" t="s">
        <v>1007</v>
      </c>
      <c r="F281" s="348" t="s">
        <v>941</v>
      </c>
      <c r="G281" s="347" t="s">
        <v>969</v>
      </c>
      <c r="I281" s="347" t="s">
        <v>971</v>
      </c>
      <c r="J281" s="347" t="s">
        <v>989</v>
      </c>
      <c r="K281" s="444" t="s">
        <v>2752</v>
      </c>
      <c r="L281" s="349" t="s">
        <v>1020</v>
      </c>
      <c r="M281" s="350" t="s">
        <v>2753</v>
      </c>
      <c r="N281" s="350" t="s">
        <v>2754</v>
      </c>
      <c r="V281" s="347" t="s">
        <v>631</v>
      </c>
      <c r="Z281" s="446" t="s">
        <v>2742</v>
      </c>
    </row>
    <row r="282" spans="1:26" ht="16.899999999999999" customHeight="1" x14ac:dyDescent="0.15">
      <c r="A282" s="347" t="s">
        <v>2765</v>
      </c>
      <c r="B282" s="347">
        <v>2</v>
      </c>
      <c r="C282" s="347" t="s">
        <v>987</v>
      </c>
      <c r="E282" s="347" t="s">
        <v>631</v>
      </c>
      <c r="F282" s="348" t="s">
        <v>941</v>
      </c>
      <c r="G282" s="347" t="s">
        <v>969</v>
      </c>
      <c r="H282" s="347" t="s">
        <v>970</v>
      </c>
      <c r="I282" s="347" t="s">
        <v>971</v>
      </c>
      <c r="J282" s="347" t="s">
        <v>989</v>
      </c>
      <c r="K282" s="444" t="s">
        <v>2766</v>
      </c>
      <c r="L282" s="349" t="s">
        <v>2413</v>
      </c>
      <c r="M282" s="350" t="s">
        <v>2767</v>
      </c>
      <c r="N282" s="350" t="s">
        <v>2768</v>
      </c>
      <c r="O282" s="347" t="s">
        <v>631</v>
      </c>
      <c r="T282" s="347" t="s">
        <v>631</v>
      </c>
      <c r="V282" s="347" t="s">
        <v>631</v>
      </c>
      <c r="Z282" s="446" t="s">
        <v>2769</v>
      </c>
    </row>
    <row r="283" spans="1:26" ht="16.899999999999999" customHeight="1" x14ac:dyDescent="0.15">
      <c r="A283" s="347" t="s">
        <v>2770</v>
      </c>
      <c r="B283" s="347">
        <v>2</v>
      </c>
      <c r="C283" s="347" t="s">
        <v>968</v>
      </c>
      <c r="F283" s="348" t="s">
        <v>941</v>
      </c>
      <c r="G283" s="347" t="s">
        <v>2771</v>
      </c>
      <c r="I283" s="347" t="s">
        <v>971</v>
      </c>
      <c r="J283" s="347" t="s">
        <v>989</v>
      </c>
      <c r="K283" s="444" t="s">
        <v>2772</v>
      </c>
      <c r="L283" s="349" t="s">
        <v>972</v>
      </c>
      <c r="M283" s="350" t="s">
        <v>2773</v>
      </c>
      <c r="N283" s="350" t="s">
        <v>2774</v>
      </c>
      <c r="T283" s="347" t="s">
        <v>631</v>
      </c>
      <c r="V283" s="347" t="s">
        <v>631</v>
      </c>
      <c r="Z283" s="446" t="s">
        <v>2769</v>
      </c>
    </row>
    <row r="284" spans="1:26" ht="16.899999999999999" customHeight="1" x14ac:dyDescent="0.15">
      <c r="A284" s="347" t="s">
        <v>2793</v>
      </c>
      <c r="B284" s="347">
        <v>2</v>
      </c>
      <c r="C284" s="347" t="s">
        <v>1019</v>
      </c>
      <c r="E284" s="347" t="s">
        <v>631</v>
      </c>
      <c r="F284" s="348" t="s">
        <v>1020</v>
      </c>
      <c r="G284" s="347" t="s">
        <v>2472</v>
      </c>
      <c r="H284" s="347" t="s">
        <v>970</v>
      </c>
      <c r="I284" s="347" t="s">
        <v>971</v>
      </c>
      <c r="K284" s="444"/>
      <c r="L284" s="349" t="s">
        <v>2421</v>
      </c>
      <c r="M284" s="350" t="s">
        <v>2794</v>
      </c>
      <c r="N284" s="350" t="s">
        <v>2795</v>
      </c>
      <c r="U284" s="347" t="s">
        <v>631</v>
      </c>
      <c r="V284" s="347" t="s">
        <v>631</v>
      </c>
      <c r="Z284" s="446" t="s">
        <v>2796</v>
      </c>
    </row>
    <row r="285" spans="1:26" ht="16.899999999999999" customHeight="1" x14ac:dyDescent="0.15">
      <c r="A285" s="347" t="s">
        <v>2814</v>
      </c>
      <c r="B285" s="347">
        <v>2</v>
      </c>
      <c r="C285" s="347" t="s">
        <v>1013</v>
      </c>
      <c r="F285" s="348" t="s">
        <v>941</v>
      </c>
      <c r="G285" s="347" t="s">
        <v>978</v>
      </c>
      <c r="H285" s="347" t="s">
        <v>970</v>
      </c>
      <c r="I285" s="347" t="s">
        <v>971</v>
      </c>
      <c r="J285" s="347" t="s">
        <v>989</v>
      </c>
      <c r="K285" s="444" t="s">
        <v>2815</v>
      </c>
      <c r="L285" s="349" t="s">
        <v>1016</v>
      </c>
      <c r="M285" s="350" t="s">
        <v>2816</v>
      </c>
      <c r="N285" s="350" t="s">
        <v>2817</v>
      </c>
      <c r="O285" s="347" t="s">
        <v>631</v>
      </c>
      <c r="P285" s="347" t="s">
        <v>631</v>
      </c>
      <c r="U285" s="347" t="s">
        <v>631</v>
      </c>
      <c r="V285" s="347" t="s">
        <v>631</v>
      </c>
      <c r="Z285" s="446" t="s">
        <v>2813</v>
      </c>
    </row>
    <row r="286" spans="1:26" ht="16.899999999999999" customHeight="1" x14ac:dyDescent="0.15">
      <c r="A286" s="347" t="s">
        <v>2818</v>
      </c>
      <c r="B286" s="347">
        <v>2</v>
      </c>
      <c r="C286" s="347" t="s">
        <v>994</v>
      </c>
      <c r="E286" s="347" t="s">
        <v>631</v>
      </c>
      <c r="F286" s="348" t="s">
        <v>1047</v>
      </c>
      <c r="G286" s="347" t="s">
        <v>978</v>
      </c>
      <c r="I286" s="347" t="s">
        <v>971</v>
      </c>
      <c r="K286" s="444"/>
      <c r="L286" s="349" t="s">
        <v>2413</v>
      </c>
      <c r="M286" s="350" t="s">
        <v>2819</v>
      </c>
      <c r="N286" s="350" t="s">
        <v>2820</v>
      </c>
      <c r="O286" s="347" t="s">
        <v>631</v>
      </c>
      <c r="T286" s="347" t="s">
        <v>631</v>
      </c>
      <c r="V286" s="347" t="s">
        <v>631</v>
      </c>
      <c r="W286" s="347" t="s">
        <v>631</v>
      </c>
      <c r="Z286" s="446" t="s">
        <v>2813</v>
      </c>
    </row>
    <row r="287" spans="1:26" ht="16.899999999999999" customHeight="1" x14ac:dyDescent="0.15">
      <c r="A287" s="347" t="s">
        <v>2821</v>
      </c>
      <c r="B287" s="347">
        <v>2</v>
      </c>
      <c r="C287" s="347" t="s">
        <v>1019</v>
      </c>
      <c r="F287" s="348" t="s">
        <v>941</v>
      </c>
      <c r="G287" s="347" t="s">
        <v>1134</v>
      </c>
      <c r="H287" s="347" t="s">
        <v>970</v>
      </c>
      <c r="I287" s="347" t="s">
        <v>971</v>
      </c>
      <c r="K287" s="444"/>
      <c r="L287" s="349" t="s">
        <v>972</v>
      </c>
      <c r="M287" s="350" t="s">
        <v>2979</v>
      </c>
      <c r="N287" s="350" t="s">
        <v>2822</v>
      </c>
      <c r="T287" s="347" t="s">
        <v>631</v>
      </c>
      <c r="V287" s="347" t="s">
        <v>631</v>
      </c>
      <c r="W287" s="347" t="s">
        <v>631</v>
      </c>
      <c r="Z287" s="446" t="s">
        <v>2813</v>
      </c>
    </row>
    <row r="288" spans="1:26" ht="16.899999999999999" customHeight="1" x14ac:dyDescent="0.15">
      <c r="A288" s="347" t="s">
        <v>2823</v>
      </c>
      <c r="B288" s="347">
        <v>2</v>
      </c>
      <c r="C288" s="347" t="s">
        <v>983</v>
      </c>
      <c r="F288" s="348" t="s">
        <v>941</v>
      </c>
      <c r="G288" s="347" t="s">
        <v>969</v>
      </c>
      <c r="H288" s="347" t="s">
        <v>970</v>
      </c>
      <c r="I288" s="347" t="s">
        <v>971</v>
      </c>
      <c r="J288" s="347" t="s">
        <v>989</v>
      </c>
      <c r="K288" s="444" t="s">
        <v>2824</v>
      </c>
      <c r="L288" s="349" t="s">
        <v>972</v>
      </c>
      <c r="M288" s="350" t="s">
        <v>2825</v>
      </c>
      <c r="N288" s="350" t="s">
        <v>2826</v>
      </c>
      <c r="Q288" s="347" t="s">
        <v>631</v>
      </c>
      <c r="T288" s="347" t="s">
        <v>631</v>
      </c>
      <c r="V288" s="347" t="s">
        <v>631</v>
      </c>
      <c r="Z288" s="446" t="s">
        <v>2813</v>
      </c>
    </row>
    <row r="289" spans="1:26" ht="16.899999999999999" customHeight="1" x14ac:dyDescent="0.15">
      <c r="A289" s="347" t="s">
        <v>2827</v>
      </c>
      <c r="B289" s="347">
        <v>2</v>
      </c>
      <c r="C289" s="347" t="s">
        <v>1019</v>
      </c>
      <c r="F289" s="348" t="s">
        <v>941</v>
      </c>
      <c r="G289" s="347" t="s">
        <v>2828</v>
      </c>
      <c r="H289" s="347" t="s">
        <v>970</v>
      </c>
      <c r="I289" s="347" t="s">
        <v>971</v>
      </c>
      <c r="J289" s="347" t="s">
        <v>989</v>
      </c>
      <c r="K289" s="444" t="s">
        <v>2829</v>
      </c>
      <c r="L289" s="349" t="s">
        <v>972</v>
      </c>
      <c r="M289" s="350" t="s">
        <v>2830</v>
      </c>
      <c r="N289" s="350" t="s">
        <v>2831</v>
      </c>
      <c r="O289" s="347" t="s">
        <v>631</v>
      </c>
      <c r="T289" s="347" t="s">
        <v>631</v>
      </c>
      <c r="U289" s="347" t="s">
        <v>631</v>
      </c>
      <c r="V289" s="347" t="s">
        <v>631</v>
      </c>
      <c r="Z289" s="446" t="s">
        <v>2832</v>
      </c>
    </row>
    <row r="290" spans="1:26" ht="16.899999999999999" customHeight="1" x14ac:dyDescent="0.15">
      <c r="A290" s="347" t="s">
        <v>2841</v>
      </c>
      <c r="B290" s="347">
        <v>2</v>
      </c>
      <c r="C290" s="347" t="s">
        <v>1019</v>
      </c>
      <c r="F290" s="348" t="s">
        <v>941</v>
      </c>
      <c r="G290" s="347" t="s">
        <v>969</v>
      </c>
      <c r="I290" s="347" t="s">
        <v>971</v>
      </c>
      <c r="K290" s="444"/>
      <c r="L290" s="349" t="s">
        <v>1109</v>
      </c>
      <c r="M290" s="350" t="s">
        <v>2842</v>
      </c>
      <c r="N290" s="350" t="s">
        <v>2843</v>
      </c>
      <c r="Q290" s="347" t="s">
        <v>631</v>
      </c>
      <c r="S290" s="347" t="s">
        <v>631</v>
      </c>
      <c r="T290" s="347" t="s">
        <v>631</v>
      </c>
      <c r="V290" s="347" t="s">
        <v>631</v>
      </c>
      <c r="W290" s="347" t="s">
        <v>631</v>
      </c>
      <c r="Z290" s="446" t="s">
        <v>2844</v>
      </c>
    </row>
    <row r="291" spans="1:26" ht="16.899999999999999" customHeight="1" x14ac:dyDescent="0.15">
      <c r="A291" s="347" t="s">
        <v>2849</v>
      </c>
      <c r="B291" s="347">
        <v>2</v>
      </c>
      <c r="C291" s="347" t="s">
        <v>1013</v>
      </c>
      <c r="E291" s="347" t="s">
        <v>631</v>
      </c>
      <c r="F291" s="348" t="s">
        <v>941</v>
      </c>
      <c r="G291" s="347" t="s">
        <v>978</v>
      </c>
      <c r="H291" s="347" t="s">
        <v>970</v>
      </c>
      <c r="I291" s="347" t="s">
        <v>971</v>
      </c>
      <c r="J291" s="347" t="s">
        <v>989</v>
      </c>
      <c r="K291" s="444" t="s">
        <v>2850</v>
      </c>
      <c r="L291" s="349" t="s">
        <v>979</v>
      </c>
      <c r="M291" s="350" t="s">
        <v>2851</v>
      </c>
      <c r="N291" s="350" t="s">
        <v>2852</v>
      </c>
      <c r="T291" s="347" t="s">
        <v>631</v>
      </c>
      <c r="U291" s="347" t="s">
        <v>631</v>
      </c>
      <c r="V291" s="347" t="s">
        <v>631</v>
      </c>
      <c r="Z291" s="446" t="s">
        <v>2853</v>
      </c>
    </row>
    <row r="292" spans="1:26" ht="16.899999999999999" customHeight="1" x14ac:dyDescent="0.15">
      <c r="A292" s="347" t="s">
        <v>2895</v>
      </c>
      <c r="B292" s="347">
        <v>2</v>
      </c>
      <c r="C292" s="347" t="s">
        <v>1013</v>
      </c>
      <c r="F292" s="348" t="s">
        <v>1020</v>
      </c>
      <c r="G292" s="347" t="s">
        <v>969</v>
      </c>
      <c r="H292" s="347" t="s">
        <v>970</v>
      </c>
      <c r="I292" s="347" t="s">
        <v>971</v>
      </c>
      <c r="J292" s="347" t="s">
        <v>989</v>
      </c>
      <c r="K292" s="349" t="s">
        <v>2896</v>
      </c>
      <c r="L292" s="349" t="s">
        <v>1016</v>
      </c>
      <c r="M292" s="350" t="s">
        <v>2897</v>
      </c>
      <c r="N292" s="445" t="s">
        <v>2898</v>
      </c>
      <c r="V292" s="347" t="s">
        <v>631</v>
      </c>
      <c r="Z292" s="446" t="s">
        <v>2888</v>
      </c>
    </row>
    <row r="293" spans="1:26" ht="16.899999999999999" customHeight="1" x14ac:dyDescent="0.15">
      <c r="A293" s="347" t="s">
        <v>2899</v>
      </c>
      <c r="B293" s="347">
        <v>2</v>
      </c>
      <c r="C293" s="347" t="s">
        <v>994</v>
      </c>
      <c r="F293" s="348" t="s">
        <v>941</v>
      </c>
      <c r="G293" s="347" t="s">
        <v>2472</v>
      </c>
      <c r="H293" s="347" t="s">
        <v>970</v>
      </c>
      <c r="I293" s="347" t="s">
        <v>971</v>
      </c>
      <c r="J293" s="347" t="s">
        <v>989</v>
      </c>
      <c r="K293" s="349" t="s">
        <v>2900</v>
      </c>
      <c r="L293" s="349" t="s">
        <v>1016</v>
      </c>
      <c r="M293" s="350" t="s">
        <v>2901</v>
      </c>
      <c r="N293" s="445" t="s">
        <v>2902</v>
      </c>
      <c r="V293" s="347" t="s">
        <v>631</v>
      </c>
      <c r="Z293" s="446" t="s">
        <v>2888</v>
      </c>
    </row>
    <row r="294" spans="1:26" ht="16.899999999999999" customHeight="1" x14ac:dyDescent="0.15">
      <c r="A294" s="347" t="s">
        <v>2903</v>
      </c>
      <c r="B294" s="347">
        <v>2</v>
      </c>
      <c r="C294" s="347" t="s">
        <v>2941</v>
      </c>
      <c r="D294" s="347" t="s">
        <v>631</v>
      </c>
      <c r="E294" s="347" t="s">
        <v>631</v>
      </c>
      <c r="F294" s="348" t="s">
        <v>1149</v>
      </c>
      <c r="G294" s="347" t="s">
        <v>978</v>
      </c>
      <c r="I294" s="347" t="s">
        <v>971</v>
      </c>
      <c r="K294" s="349"/>
      <c r="L294" s="349" t="s">
        <v>2421</v>
      </c>
      <c r="M294" s="350" t="s">
        <v>2904</v>
      </c>
      <c r="N294" s="445" t="s">
        <v>2905</v>
      </c>
      <c r="V294" s="347" t="s">
        <v>631</v>
      </c>
      <c r="Z294" s="446" t="s">
        <v>2888</v>
      </c>
    </row>
    <row r="295" spans="1:26" ht="16.899999999999999" customHeight="1" x14ac:dyDescent="0.15">
      <c r="A295" s="347" t="s">
        <v>5563</v>
      </c>
      <c r="B295" s="347">
        <v>2</v>
      </c>
      <c r="C295" s="347" t="s">
        <v>1019</v>
      </c>
      <c r="E295" s="347" t="s">
        <v>631</v>
      </c>
      <c r="F295" s="348" t="s">
        <v>941</v>
      </c>
      <c r="G295" s="347" t="s">
        <v>988</v>
      </c>
      <c r="H295" s="347" t="s">
        <v>970</v>
      </c>
      <c r="I295" s="347" t="s">
        <v>971</v>
      </c>
      <c r="K295" s="350"/>
      <c r="L295" s="349" t="s">
        <v>2490</v>
      </c>
      <c r="M295" s="350" t="s">
        <v>5564</v>
      </c>
      <c r="N295" s="350" t="s">
        <v>5565</v>
      </c>
      <c r="T295" s="347" t="s">
        <v>631</v>
      </c>
      <c r="U295" s="347" t="s">
        <v>631</v>
      </c>
      <c r="V295" s="347" t="s">
        <v>631</v>
      </c>
      <c r="Z295" s="349" t="s">
        <v>3197</v>
      </c>
    </row>
    <row r="296" spans="1:26" ht="16.899999999999999" customHeight="1" x14ac:dyDescent="0.15">
      <c r="A296" s="347" t="s">
        <v>5566</v>
      </c>
      <c r="B296" s="347">
        <v>2</v>
      </c>
      <c r="C296" s="347" t="s">
        <v>1019</v>
      </c>
      <c r="E296" s="347" t="s">
        <v>631</v>
      </c>
      <c r="F296" s="348" t="s">
        <v>1047</v>
      </c>
      <c r="G296" s="347" t="s">
        <v>988</v>
      </c>
      <c r="H296" s="347" t="s">
        <v>970</v>
      </c>
      <c r="I296" s="347" t="s">
        <v>971</v>
      </c>
      <c r="K296" s="350"/>
      <c r="L296" s="349" t="s">
        <v>2413</v>
      </c>
      <c r="M296" s="350" t="s">
        <v>5567</v>
      </c>
      <c r="N296" s="350" t="s">
        <v>5568</v>
      </c>
      <c r="T296" s="347" t="s">
        <v>631</v>
      </c>
      <c r="U296" s="347" t="s">
        <v>631</v>
      </c>
      <c r="V296" s="347" t="s">
        <v>631</v>
      </c>
      <c r="Z296" s="349" t="s">
        <v>3197</v>
      </c>
    </row>
    <row r="297" spans="1:26" ht="16.899999999999999" customHeight="1" x14ac:dyDescent="0.15">
      <c r="A297" s="347" t="s">
        <v>5569</v>
      </c>
      <c r="B297" s="347">
        <v>2</v>
      </c>
      <c r="C297" s="347" t="s">
        <v>1019</v>
      </c>
      <c r="F297" s="348" t="s">
        <v>1047</v>
      </c>
      <c r="G297" s="347" t="s">
        <v>978</v>
      </c>
      <c r="H297" s="347" t="s">
        <v>970</v>
      </c>
      <c r="K297" s="350"/>
      <c r="L297" s="349" t="s">
        <v>1016</v>
      </c>
      <c r="M297" s="350" t="s">
        <v>5570</v>
      </c>
      <c r="N297" s="350" t="s">
        <v>5571</v>
      </c>
      <c r="O297" s="347" t="s">
        <v>631</v>
      </c>
      <c r="Q297" s="347" t="s">
        <v>631</v>
      </c>
      <c r="S297" s="347" t="s">
        <v>631</v>
      </c>
      <c r="T297" s="347" t="s">
        <v>631</v>
      </c>
      <c r="U297" s="347" t="s">
        <v>631</v>
      </c>
      <c r="V297" s="347" t="s">
        <v>631</v>
      </c>
      <c r="Z297" s="349" t="s">
        <v>3197</v>
      </c>
    </row>
    <row r="298" spans="1:26" ht="16.899999999999999" customHeight="1" x14ac:dyDescent="0.15">
      <c r="A298" s="347" t="s">
        <v>6354</v>
      </c>
      <c r="B298" s="347">
        <v>2</v>
      </c>
      <c r="C298" s="347" t="s">
        <v>1019</v>
      </c>
      <c r="F298" s="348" t="s">
        <v>941</v>
      </c>
      <c r="G298" s="347" t="s">
        <v>988</v>
      </c>
      <c r="H298" s="347" t="s">
        <v>970</v>
      </c>
      <c r="I298" s="347" t="s">
        <v>6323</v>
      </c>
      <c r="J298" s="347" t="s">
        <v>989</v>
      </c>
      <c r="K298" s="350" t="s">
        <v>6355</v>
      </c>
      <c r="L298" s="349" t="s">
        <v>1020</v>
      </c>
      <c r="M298" s="350" t="s">
        <v>6356</v>
      </c>
      <c r="N298" s="350" t="s">
        <v>6357</v>
      </c>
      <c r="Q298" s="347" t="s">
        <v>631</v>
      </c>
      <c r="S298" s="347" t="s">
        <v>631</v>
      </c>
      <c r="T298" s="347" t="s">
        <v>631</v>
      </c>
      <c r="V298" s="347" t="s">
        <v>631</v>
      </c>
      <c r="Y298" s="347" t="s">
        <v>631</v>
      </c>
      <c r="Z298" s="349" t="s">
        <v>5820</v>
      </c>
    </row>
    <row r="299" spans="1:26" ht="16.899999999999999" customHeight="1" x14ac:dyDescent="0.15">
      <c r="A299" s="347" t="s">
        <v>6358</v>
      </c>
      <c r="B299" s="347">
        <v>2</v>
      </c>
      <c r="C299" s="347" t="s">
        <v>968</v>
      </c>
      <c r="E299" s="347" t="s">
        <v>631</v>
      </c>
      <c r="F299" s="348" t="s">
        <v>941</v>
      </c>
      <c r="G299" s="347" t="s">
        <v>978</v>
      </c>
      <c r="I299" s="347" t="s">
        <v>6323</v>
      </c>
      <c r="K299" s="350"/>
      <c r="L299" s="349" t="s">
        <v>979</v>
      </c>
      <c r="M299" s="350" t="s">
        <v>6359</v>
      </c>
      <c r="N299" s="350" t="s">
        <v>6360</v>
      </c>
      <c r="T299" s="347" t="s">
        <v>631</v>
      </c>
      <c r="U299" s="347" t="s">
        <v>631</v>
      </c>
      <c r="V299" s="347" t="s">
        <v>631</v>
      </c>
      <c r="Y299" s="347" t="s">
        <v>631</v>
      </c>
      <c r="Z299" s="349" t="s">
        <v>5820</v>
      </c>
    </row>
    <row r="300" spans="1:26" ht="16.899999999999999" customHeight="1" x14ac:dyDescent="0.15">
      <c r="A300" s="347" t="s">
        <v>6361</v>
      </c>
      <c r="B300" s="347">
        <v>2</v>
      </c>
      <c r="C300" s="347" t="s">
        <v>983</v>
      </c>
      <c r="F300" s="348" t="s">
        <v>941</v>
      </c>
      <c r="G300" s="347" t="s">
        <v>969</v>
      </c>
      <c r="I300" s="347" t="s">
        <v>6323</v>
      </c>
      <c r="J300" s="347" t="s">
        <v>989</v>
      </c>
      <c r="K300" s="350" t="s">
        <v>6362</v>
      </c>
      <c r="L300" s="349" t="s">
        <v>972</v>
      </c>
      <c r="M300" s="350" t="s">
        <v>6363</v>
      </c>
      <c r="N300" s="350" t="s">
        <v>6364</v>
      </c>
      <c r="O300" s="347" t="s">
        <v>631</v>
      </c>
      <c r="P300" s="347" t="s">
        <v>631</v>
      </c>
      <c r="U300" s="347" t="s">
        <v>631</v>
      </c>
      <c r="Y300" s="347" t="s">
        <v>631</v>
      </c>
      <c r="Z300" s="349" t="s">
        <v>5820</v>
      </c>
    </row>
    <row r="301" spans="1:26" ht="16.899999999999999" customHeight="1" x14ac:dyDescent="0.15">
      <c r="A301" s="347" t="s">
        <v>6365</v>
      </c>
      <c r="B301" s="347">
        <v>2</v>
      </c>
      <c r="C301" s="347" t="s">
        <v>977</v>
      </c>
      <c r="F301" s="348" t="s">
        <v>941</v>
      </c>
      <c r="G301" s="347" t="s">
        <v>709</v>
      </c>
      <c r="I301" s="347" t="s">
        <v>6323</v>
      </c>
      <c r="J301" s="347" t="s">
        <v>989</v>
      </c>
      <c r="K301" s="350" t="s">
        <v>6366</v>
      </c>
      <c r="L301" s="349" t="s">
        <v>6367</v>
      </c>
      <c r="M301" s="350" t="s">
        <v>6368</v>
      </c>
      <c r="N301" s="350" t="s">
        <v>6369</v>
      </c>
      <c r="P301" s="347" t="s">
        <v>631</v>
      </c>
      <c r="Q301" s="347" t="s">
        <v>631</v>
      </c>
      <c r="R301" s="347" t="s">
        <v>631</v>
      </c>
      <c r="V301" s="347" t="s">
        <v>631</v>
      </c>
      <c r="Y301" s="347" t="s">
        <v>631</v>
      </c>
      <c r="Z301" s="349" t="s">
        <v>5820</v>
      </c>
    </row>
    <row r="302" spans="1:26" ht="16.899999999999999" customHeight="1" x14ac:dyDescent="0.15">
      <c r="A302" s="347" t="s">
        <v>6370</v>
      </c>
      <c r="B302" s="347">
        <v>2</v>
      </c>
      <c r="C302" s="347" t="s">
        <v>983</v>
      </c>
      <c r="F302" s="348" t="s">
        <v>941</v>
      </c>
      <c r="G302" s="347" t="s">
        <v>709</v>
      </c>
      <c r="H302" s="347" t="s">
        <v>970</v>
      </c>
      <c r="I302" s="347" t="s">
        <v>6323</v>
      </c>
      <c r="K302" s="350"/>
      <c r="L302" s="349" t="s">
        <v>972</v>
      </c>
      <c r="M302" s="350" t="s">
        <v>6371</v>
      </c>
      <c r="N302" s="350" t="s">
        <v>6372</v>
      </c>
      <c r="T302" s="347" t="s">
        <v>631</v>
      </c>
      <c r="V302" s="347" t="s">
        <v>631</v>
      </c>
      <c r="Y302" s="347" t="s">
        <v>631</v>
      </c>
      <c r="Z302" s="349" t="s">
        <v>5820</v>
      </c>
    </row>
    <row r="303" spans="1:26" ht="16.899999999999999" customHeight="1" x14ac:dyDescent="0.15">
      <c r="A303" s="347" t="s">
        <v>7917</v>
      </c>
      <c r="B303" s="347">
        <v>2</v>
      </c>
      <c r="C303" s="347" t="s">
        <v>2983</v>
      </c>
      <c r="F303" s="348" t="s">
        <v>2995</v>
      </c>
      <c r="G303" s="347" t="s">
        <v>2970</v>
      </c>
      <c r="H303" s="347" t="s">
        <v>2953</v>
      </c>
      <c r="I303" s="347" t="s">
        <v>6323</v>
      </c>
      <c r="K303" s="350"/>
      <c r="L303" s="349" t="s">
        <v>2987</v>
      </c>
      <c r="M303" s="350" t="s">
        <v>7918</v>
      </c>
      <c r="N303" s="350" t="s">
        <v>7919</v>
      </c>
      <c r="O303" s="347" t="s">
        <v>2950</v>
      </c>
      <c r="T303" s="347" t="s">
        <v>2950</v>
      </c>
      <c r="V303" s="347" t="s">
        <v>2950</v>
      </c>
      <c r="Z303" s="349" t="s">
        <v>7878</v>
      </c>
    </row>
    <row r="304" spans="1:26" ht="16.899999999999999" customHeight="1" x14ac:dyDescent="0.15">
      <c r="A304" s="347" t="s">
        <v>7920</v>
      </c>
      <c r="B304" s="347">
        <v>2</v>
      </c>
      <c r="C304" s="347" t="s">
        <v>7883</v>
      </c>
      <c r="F304" s="348" t="s">
        <v>2995</v>
      </c>
      <c r="G304" s="347" t="s">
        <v>2972</v>
      </c>
      <c r="H304" s="347" t="s">
        <v>2953</v>
      </c>
      <c r="I304" s="347" t="s">
        <v>6323</v>
      </c>
      <c r="J304" s="347" t="s">
        <v>6335</v>
      </c>
      <c r="K304" s="350" t="s">
        <v>7921</v>
      </c>
      <c r="L304" s="349" t="s">
        <v>2987</v>
      </c>
      <c r="M304" s="350" t="s">
        <v>7922</v>
      </c>
      <c r="N304" s="350" t="s">
        <v>7923</v>
      </c>
      <c r="O304" s="347" t="s">
        <v>2950</v>
      </c>
      <c r="T304" s="347" t="s">
        <v>2950</v>
      </c>
      <c r="V304" s="347" t="s">
        <v>2950</v>
      </c>
      <c r="Z304" s="349" t="s">
        <v>7878</v>
      </c>
    </row>
    <row r="305" spans="1:26" ht="16.899999999999999" customHeight="1" x14ac:dyDescent="0.15">
      <c r="A305" s="347" t="s">
        <v>7924</v>
      </c>
      <c r="B305" s="347">
        <v>2</v>
      </c>
      <c r="C305" s="347" t="s">
        <v>2976</v>
      </c>
      <c r="F305" s="348" t="s">
        <v>2995</v>
      </c>
      <c r="G305" s="347" t="s">
        <v>2970</v>
      </c>
      <c r="H305" s="347" t="s">
        <v>2953</v>
      </c>
      <c r="I305" s="347" t="s">
        <v>6323</v>
      </c>
      <c r="J305" s="347" t="s">
        <v>6335</v>
      </c>
      <c r="K305" s="350" t="s">
        <v>7925</v>
      </c>
      <c r="L305" s="349" t="s">
        <v>2987</v>
      </c>
      <c r="M305" s="350" t="s">
        <v>7926</v>
      </c>
      <c r="N305" s="350" t="s">
        <v>7927</v>
      </c>
      <c r="O305" s="347" t="s">
        <v>2950</v>
      </c>
      <c r="V305" s="347" t="s">
        <v>2950</v>
      </c>
      <c r="Z305" s="349" t="s">
        <v>7878</v>
      </c>
    </row>
    <row r="306" spans="1:26" ht="16.899999999999999" customHeight="1" x14ac:dyDescent="0.15">
      <c r="A306" s="347" t="s">
        <v>7928</v>
      </c>
      <c r="B306" s="347">
        <v>2</v>
      </c>
      <c r="C306" s="347" t="s">
        <v>7883</v>
      </c>
      <c r="F306" s="348" t="s">
        <v>7929</v>
      </c>
      <c r="G306" s="347" t="s">
        <v>2972</v>
      </c>
      <c r="H306" s="347" t="s">
        <v>2953</v>
      </c>
      <c r="I306" s="347" t="s">
        <v>6323</v>
      </c>
      <c r="J306" s="347" t="s">
        <v>6335</v>
      </c>
      <c r="K306" s="350" t="s">
        <v>7930</v>
      </c>
      <c r="L306" s="349" t="s">
        <v>2987</v>
      </c>
      <c r="M306" s="350" t="s">
        <v>7931</v>
      </c>
      <c r="N306" s="350" t="s">
        <v>7932</v>
      </c>
      <c r="O306" s="347" t="s">
        <v>2950</v>
      </c>
      <c r="V306" s="347" t="s">
        <v>2950</v>
      </c>
      <c r="Z306" s="349" t="s">
        <v>7878</v>
      </c>
    </row>
    <row r="307" spans="1:26" ht="16.899999999999999" customHeight="1" x14ac:dyDescent="0.15">
      <c r="A307" s="347" t="s">
        <v>7933</v>
      </c>
      <c r="B307" s="347">
        <v>2</v>
      </c>
      <c r="C307" s="347" t="s">
        <v>2941</v>
      </c>
      <c r="F307" s="348" t="s">
        <v>2995</v>
      </c>
      <c r="G307" s="347" t="s">
        <v>7873</v>
      </c>
      <c r="H307" s="347" t="s">
        <v>2953</v>
      </c>
      <c r="I307" s="347" t="s">
        <v>6323</v>
      </c>
      <c r="J307" s="347" t="s">
        <v>6335</v>
      </c>
      <c r="K307" s="350" t="s">
        <v>7934</v>
      </c>
      <c r="L307" s="349" t="s">
        <v>7935</v>
      </c>
      <c r="M307" s="350" t="s">
        <v>7936</v>
      </c>
      <c r="N307" s="350" t="s">
        <v>7937</v>
      </c>
      <c r="O307" s="347" t="s">
        <v>2950</v>
      </c>
      <c r="S307" s="347" t="s">
        <v>2950</v>
      </c>
      <c r="V307" s="347" t="s">
        <v>2950</v>
      </c>
      <c r="Z307" s="349" t="s">
        <v>7878</v>
      </c>
    </row>
    <row r="308" spans="1:26" ht="16.899999999999999" customHeight="1" x14ac:dyDescent="0.15">
      <c r="A308" s="347" t="s">
        <v>7938</v>
      </c>
      <c r="B308" s="347">
        <v>2</v>
      </c>
      <c r="C308" s="347" t="s">
        <v>2941</v>
      </c>
      <c r="F308" s="348" t="s">
        <v>6378</v>
      </c>
      <c r="G308" s="347" t="s">
        <v>2943</v>
      </c>
      <c r="H308" s="347" t="s">
        <v>2953</v>
      </c>
      <c r="I308" s="347" t="s">
        <v>6323</v>
      </c>
      <c r="K308" s="350"/>
      <c r="L308" s="349" t="s">
        <v>7939</v>
      </c>
      <c r="M308" s="350" t="s">
        <v>7940</v>
      </c>
      <c r="N308" s="350" t="s">
        <v>7941</v>
      </c>
      <c r="T308" s="347" t="s">
        <v>2950</v>
      </c>
      <c r="V308" s="347" t="s">
        <v>2950</v>
      </c>
      <c r="Z308" s="349" t="s">
        <v>7878</v>
      </c>
    </row>
    <row r="309" spans="1:26" ht="16.899999999999999" customHeight="1" x14ac:dyDescent="0.15">
      <c r="A309" s="347" t="s">
        <v>8032</v>
      </c>
      <c r="B309" s="347">
        <v>2</v>
      </c>
      <c r="C309" s="347" t="s">
        <v>7883</v>
      </c>
      <c r="F309" s="348" t="s">
        <v>2995</v>
      </c>
      <c r="G309" s="347" t="s">
        <v>2970</v>
      </c>
      <c r="H309" s="347" t="s">
        <v>2953</v>
      </c>
      <c r="I309" s="347" t="s">
        <v>6323</v>
      </c>
      <c r="K309" s="350"/>
      <c r="L309" s="349" t="s">
        <v>7963</v>
      </c>
      <c r="M309" s="350" t="s">
        <v>8033</v>
      </c>
      <c r="N309" s="350" t="s">
        <v>8034</v>
      </c>
      <c r="O309" s="347" t="s">
        <v>2950</v>
      </c>
      <c r="P309" s="347" t="s">
        <v>2950</v>
      </c>
      <c r="Q309" s="347" t="s">
        <v>2950</v>
      </c>
      <c r="S309" s="347" t="s">
        <v>2950</v>
      </c>
      <c r="V309" s="347" t="s">
        <v>2950</v>
      </c>
      <c r="Z309" s="349" t="s">
        <v>7972</v>
      </c>
    </row>
    <row r="310" spans="1:26" ht="16.899999999999999" customHeight="1" x14ac:dyDescent="0.15">
      <c r="A310" s="347" t="s">
        <v>8035</v>
      </c>
      <c r="B310" s="347">
        <v>2</v>
      </c>
      <c r="C310" s="347" t="s">
        <v>7883</v>
      </c>
      <c r="E310" s="347" t="s">
        <v>2950</v>
      </c>
      <c r="F310" s="348" t="s">
        <v>2995</v>
      </c>
      <c r="G310" s="347" t="s">
        <v>2970</v>
      </c>
      <c r="I310" s="347" t="s">
        <v>6323</v>
      </c>
      <c r="K310" s="350"/>
      <c r="L310" s="349" t="s">
        <v>7903</v>
      </c>
      <c r="M310" s="350" t="s">
        <v>8036</v>
      </c>
      <c r="N310" s="350" t="s">
        <v>8037</v>
      </c>
      <c r="O310" s="347" t="s">
        <v>2950</v>
      </c>
      <c r="Q310" s="347" t="s">
        <v>2950</v>
      </c>
      <c r="S310" s="347" t="s">
        <v>2950</v>
      </c>
      <c r="V310" s="347" t="s">
        <v>2950</v>
      </c>
      <c r="Z310" s="349" t="s">
        <v>7972</v>
      </c>
    </row>
    <row r="311" spans="1:26" ht="16.899999999999999" customHeight="1" x14ac:dyDescent="0.15">
      <c r="A311" s="347" t="s">
        <v>8038</v>
      </c>
      <c r="B311" s="347">
        <v>2</v>
      </c>
      <c r="C311" s="347" t="s">
        <v>2976</v>
      </c>
      <c r="E311" s="347" t="s">
        <v>2950</v>
      </c>
      <c r="F311" s="348" t="s">
        <v>2995</v>
      </c>
      <c r="G311" s="347" t="s">
        <v>2972</v>
      </c>
      <c r="H311" s="347" t="s">
        <v>2953</v>
      </c>
      <c r="I311" s="347" t="s">
        <v>6323</v>
      </c>
      <c r="J311" s="347" t="s">
        <v>6335</v>
      </c>
      <c r="K311" s="350" t="s">
        <v>8039</v>
      </c>
      <c r="L311" s="349" t="s">
        <v>7903</v>
      </c>
      <c r="M311" s="350" t="s">
        <v>8040</v>
      </c>
      <c r="N311" s="350" t="s">
        <v>8041</v>
      </c>
      <c r="Q311" s="347" t="s">
        <v>2950</v>
      </c>
      <c r="S311" s="347" t="s">
        <v>2950</v>
      </c>
      <c r="T311" s="347" t="s">
        <v>2950</v>
      </c>
      <c r="Z311" s="349" t="s">
        <v>7972</v>
      </c>
    </row>
    <row r="312" spans="1:26" ht="16.899999999999999" customHeight="1" x14ac:dyDescent="0.15">
      <c r="A312" s="347" t="s">
        <v>8042</v>
      </c>
      <c r="B312" s="347">
        <v>2</v>
      </c>
      <c r="C312" s="347" t="s">
        <v>6520</v>
      </c>
      <c r="F312" s="348" t="s">
        <v>7898</v>
      </c>
      <c r="G312" s="347" t="s">
        <v>7974</v>
      </c>
      <c r="H312" s="347" t="s">
        <v>2953</v>
      </c>
      <c r="I312" s="347" t="s">
        <v>6323</v>
      </c>
      <c r="J312" s="347" t="s">
        <v>6335</v>
      </c>
      <c r="K312" s="350" t="s">
        <v>8043</v>
      </c>
      <c r="L312" s="349" t="s">
        <v>7963</v>
      </c>
      <c r="M312" s="350" t="s">
        <v>8044</v>
      </c>
      <c r="N312" s="350" t="s">
        <v>8045</v>
      </c>
      <c r="O312" s="347" t="s">
        <v>2950</v>
      </c>
      <c r="P312" s="347" t="s">
        <v>2950</v>
      </c>
      <c r="Q312" s="347" t="s">
        <v>2950</v>
      </c>
      <c r="U312" s="347" t="s">
        <v>2950</v>
      </c>
      <c r="V312" s="347" t="s">
        <v>2950</v>
      </c>
      <c r="Z312" s="349" t="s">
        <v>7972</v>
      </c>
    </row>
    <row r="313" spans="1:26" ht="16.899999999999999" customHeight="1" x14ac:dyDescent="0.15">
      <c r="A313" s="347" t="s">
        <v>8046</v>
      </c>
      <c r="B313" s="347">
        <v>2</v>
      </c>
      <c r="C313" s="347" t="s">
        <v>2983</v>
      </c>
      <c r="F313" s="348" t="s">
        <v>2995</v>
      </c>
      <c r="G313" s="347" t="s">
        <v>2943</v>
      </c>
      <c r="I313" s="347" t="s">
        <v>6323</v>
      </c>
      <c r="J313" s="347" t="s">
        <v>6335</v>
      </c>
      <c r="K313" s="350" t="s">
        <v>8047</v>
      </c>
      <c r="L313" s="349" t="s">
        <v>7935</v>
      </c>
      <c r="M313" s="350" t="s">
        <v>8048</v>
      </c>
      <c r="N313" s="350" t="s">
        <v>8049</v>
      </c>
      <c r="O313" s="347" t="s">
        <v>2950</v>
      </c>
      <c r="S313" s="347" t="s">
        <v>2950</v>
      </c>
      <c r="T313" s="347" t="s">
        <v>2950</v>
      </c>
      <c r="V313" s="347" t="s">
        <v>2950</v>
      </c>
      <c r="Z313" s="349" t="s">
        <v>7972</v>
      </c>
    </row>
    <row r="314" spans="1:26" ht="16.899999999999999" customHeight="1" x14ac:dyDescent="0.15">
      <c r="A314" s="347" t="s">
        <v>8050</v>
      </c>
      <c r="B314" s="347">
        <v>2</v>
      </c>
      <c r="C314" s="347" t="s">
        <v>2983</v>
      </c>
      <c r="E314" s="347" t="s">
        <v>2950</v>
      </c>
      <c r="F314" s="348" t="s">
        <v>2995</v>
      </c>
      <c r="G314" s="347" t="s">
        <v>2986</v>
      </c>
      <c r="H314" s="347" t="s">
        <v>2953</v>
      </c>
      <c r="I314" s="347" t="s">
        <v>6323</v>
      </c>
      <c r="K314" s="350"/>
      <c r="L314" s="349" t="s">
        <v>8007</v>
      </c>
      <c r="M314" s="350" t="s">
        <v>8051</v>
      </c>
      <c r="N314" s="350" t="s">
        <v>8052</v>
      </c>
      <c r="Q314" s="347" t="s">
        <v>2950</v>
      </c>
      <c r="S314" s="347" t="s">
        <v>2950</v>
      </c>
      <c r="T314" s="347" t="s">
        <v>2950</v>
      </c>
      <c r="Z314" s="349" t="s">
        <v>7972</v>
      </c>
    </row>
    <row r="315" spans="1:26" ht="16.899999999999999" customHeight="1" x14ac:dyDescent="0.15">
      <c r="A315" s="347" t="s">
        <v>8053</v>
      </c>
      <c r="B315" s="347">
        <v>2</v>
      </c>
      <c r="C315" s="347" t="s">
        <v>7883</v>
      </c>
      <c r="F315" s="348" t="s">
        <v>6378</v>
      </c>
      <c r="G315" s="347" t="s">
        <v>7873</v>
      </c>
      <c r="H315" s="347" t="s">
        <v>2953</v>
      </c>
      <c r="K315" s="350"/>
      <c r="L315" s="349" t="s">
        <v>7963</v>
      </c>
      <c r="M315" s="350" t="s">
        <v>8054</v>
      </c>
      <c r="N315" s="350" t="s">
        <v>8055</v>
      </c>
      <c r="Q315" s="347" t="s">
        <v>2950</v>
      </c>
      <c r="S315" s="347" t="s">
        <v>2950</v>
      </c>
      <c r="Z315" s="349" t="s">
        <v>7972</v>
      </c>
    </row>
    <row r="316" spans="1:26" ht="16.899999999999999" customHeight="1" x14ac:dyDescent="0.15">
      <c r="A316" s="347" t="s">
        <v>8056</v>
      </c>
      <c r="B316" s="347">
        <v>2</v>
      </c>
      <c r="C316" s="347" t="s">
        <v>7872</v>
      </c>
      <c r="E316" s="347" t="s">
        <v>2950</v>
      </c>
      <c r="F316" s="348" t="s">
        <v>2995</v>
      </c>
      <c r="G316" s="347" t="s">
        <v>2970</v>
      </c>
      <c r="H316" s="347" t="s">
        <v>2953</v>
      </c>
      <c r="I316" s="347" t="s">
        <v>6323</v>
      </c>
      <c r="K316" s="350"/>
      <c r="L316" s="349" t="s">
        <v>7903</v>
      </c>
      <c r="M316" s="350" t="s">
        <v>8057</v>
      </c>
      <c r="N316" s="350" t="s">
        <v>8058</v>
      </c>
      <c r="O316" s="347" t="s">
        <v>2950</v>
      </c>
      <c r="T316" s="347" t="s">
        <v>2950</v>
      </c>
      <c r="U316" s="347" t="s">
        <v>2950</v>
      </c>
      <c r="V316" s="347" t="s">
        <v>2950</v>
      </c>
      <c r="Z316" s="349" t="s">
        <v>7972</v>
      </c>
    </row>
    <row r="317" spans="1:26" ht="16.899999999999999" customHeight="1" x14ac:dyDescent="0.15">
      <c r="A317" s="347" t="s">
        <v>8059</v>
      </c>
      <c r="B317" s="347">
        <v>2</v>
      </c>
      <c r="C317" s="347" t="s">
        <v>2983</v>
      </c>
      <c r="F317" s="348" t="s">
        <v>941</v>
      </c>
      <c r="G317" s="347" t="s">
        <v>2970</v>
      </c>
      <c r="I317" s="347" t="s">
        <v>6323</v>
      </c>
      <c r="K317" s="350"/>
      <c r="L317" s="349" t="s">
        <v>2987</v>
      </c>
      <c r="M317" s="350" t="s">
        <v>8060</v>
      </c>
      <c r="N317" s="350" t="s">
        <v>8061</v>
      </c>
      <c r="O317" s="347" t="s">
        <v>2950</v>
      </c>
      <c r="Q317" s="347" t="s">
        <v>2950</v>
      </c>
      <c r="S317" s="347" t="s">
        <v>2950</v>
      </c>
      <c r="T317" s="347" t="s">
        <v>2950</v>
      </c>
      <c r="Z317" s="349" t="s">
        <v>7972</v>
      </c>
    </row>
    <row r="318" spans="1:26" ht="16.899999999999999" customHeight="1" x14ac:dyDescent="0.15">
      <c r="A318" s="347" t="s">
        <v>8062</v>
      </c>
      <c r="B318" s="347">
        <v>2</v>
      </c>
      <c r="C318" s="347" t="s">
        <v>2983</v>
      </c>
      <c r="F318" s="348" t="s">
        <v>6378</v>
      </c>
      <c r="G318" s="347" t="s">
        <v>2972</v>
      </c>
      <c r="H318" s="347" t="s">
        <v>2953</v>
      </c>
      <c r="I318" s="347" t="s">
        <v>6323</v>
      </c>
      <c r="J318" s="347" t="s">
        <v>6335</v>
      </c>
      <c r="K318" s="350" t="s">
        <v>8063</v>
      </c>
      <c r="L318" s="349" t="s">
        <v>7875</v>
      </c>
      <c r="M318" s="350" t="s">
        <v>8064</v>
      </c>
      <c r="N318" s="350" t="s">
        <v>8065</v>
      </c>
      <c r="Q318" s="347" t="s">
        <v>2950</v>
      </c>
      <c r="S318" s="347" t="s">
        <v>2950</v>
      </c>
      <c r="T318" s="347" t="s">
        <v>2950</v>
      </c>
      <c r="V318" s="347" t="s">
        <v>2950</v>
      </c>
      <c r="Z318" s="349" t="s">
        <v>7972</v>
      </c>
    </row>
    <row r="319" spans="1:26" ht="16.899999999999999" customHeight="1" x14ac:dyDescent="0.15">
      <c r="A319" s="347" t="s">
        <v>8066</v>
      </c>
      <c r="B319" s="347">
        <v>2</v>
      </c>
      <c r="C319" s="347" t="s">
        <v>7895</v>
      </c>
      <c r="F319" s="348" t="s">
        <v>7898</v>
      </c>
      <c r="G319" s="347" t="s">
        <v>2970</v>
      </c>
      <c r="H319" s="347" t="s">
        <v>2953</v>
      </c>
      <c r="I319" s="347" t="s">
        <v>6323</v>
      </c>
      <c r="J319" s="347" t="s">
        <v>6335</v>
      </c>
      <c r="K319" s="350" t="s">
        <v>8067</v>
      </c>
      <c r="L319" s="349" t="s">
        <v>2987</v>
      </c>
      <c r="M319" s="350" t="s">
        <v>8068</v>
      </c>
      <c r="N319" s="350" t="s">
        <v>8069</v>
      </c>
      <c r="O319" s="347" t="s">
        <v>2950</v>
      </c>
      <c r="P319" s="347" t="s">
        <v>2950</v>
      </c>
      <c r="Q319" s="347" t="s">
        <v>2950</v>
      </c>
      <c r="R319" s="347" t="s">
        <v>2950</v>
      </c>
      <c r="S319" s="347" t="s">
        <v>2950</v>
      </c>
      <c r="T319" s="347" t="s">
        <v>2950</v>
      </c>
      <c r="U319" s="347" t="s">
        <v>2950</v>
      </c>
      <c r="V319" s="347" t="s">
        <v>2950</v>
      </c>
      <c r="Z319" s="349" t="s">
        <v>7972</v>
      </c>
    </row>
    <row r="320" spans="1:26" ht="16.899999999999999" customHeight="1" x14ac:dyDescent="0.15">
      <c r="A320" s="347" t="s">
        <v>8070</v>
      </c>
      <c r="B320" s="347">
        <v>2</v>
      </c>
      <c r="C320" s="347" t="s">
        <v>7895</v>
      </c>
      <c r="E320" s="347" t="s">
        <v>2950</v>
      </c>
      <c r="F320" s="348" t="s">
        <v>2995</v>
      </c>
      <c r="G320" s="347" t="s">
        <v>8071</v>
      </c>
      <c r="I320" s="347" t="s">
        <v>6323</v>
      </c>
      <c r="J320" s="347" t="s">
        <v>6335</v>
      </c>
      <c r="K320" s="350" t="s">
        <v>8072</v>
      </c>
      <c r="L320" s="349" t="s">
        <v>6522</v>
      </c>
      <c r="M320" s="350" t="s">
        <v>8073</v>
      </c>
      <c r="N320" s="350" t="s">
        <v>8074</v>
      </c>
      <c r="O320" s="347" t="s">
        <v>2950</v>
      </c>
      <c r="P320" s="347" t="s">
        <v>2950</v>
      </c>
      <c r="T320" s="347" t="s">
        <v>2950</v>
      </c>
      <c r="V320" s="347" t="s">
        <v>2950</v>
      </c>
      <c r="Z320" s="349" t="s">
        <v>7972</v>
      </c>
    </row>
    <row r="321" spans="1:26" ht="16.899999999999999" customHeight="1" x14ac:dyDescent="0.15">
      <c r="A321" s="347" t="s">
        <v>8075</v>
      </c>
      <c r="B321" s="347">
        <v>2</v>
      </c>
      <c r="C321" s="347" t="s">
        <v>7872</v>
      </c>
      <c r="F321" s="348" t="s">
        <v>2995</v>
      </c>
      <c r="G321" s="347" t="s">
        <v>2970</v>
      </c>
      <c r="H321" s="347" t="s">
        <v>2953</v>
      </c>
      <c r="I321" s="347" t="s">
        <v>6323</v>
      </c>
      <c r="K321" s="350"/>
      <c r="L321" s="349" t="s">
        <v>7963</v>
      </c>
      <c r="M321" s="350" t="s">
        <v>8076</v>
      </c>
      <c r="N321" s="350" t="s">
        <v>8077</v>
      </c>
      <c r="O321" s="347" t="s">
        <v>2950</v>
      </c>
      <c r="T321" s="347" t="s">
        <v>2950</v>
      </c>
      <c r="U321" s="347" t="s">
        <v>2950</v>
      </c>
      <c r="V321" s="347" t="s">
        <v>2950</v>
      </c>
      <c r="Z321" s="349" t="s">
        <v>7972</v>
      </c>
    </row>
    <row r="322" spans="1:26" ht="16.899999999999999" customHeight="1" x14ac:dyDescent="0.15">
      <c r="A322" s="347" t="s">
        <v>8078</v>
      </c>
      <c r="B322" s="347">
        <v>2</v>
      </c>
      <c r="C322" s="347" t="s">
        <v>7872</v>
      </c>
      <c r="F322" s="348" t="s">
        <v>8079</v>
      </c>
      <c r="G322" s="347" t="s">
        <v>2943</v>
      </c>
      <c r="I322" s="347" t="s">
        <v>6323</v>
      </c>
      <c r="K322" s="350"/>
      <c r="L322" s="349" t="s">
        <v>7939</v>
      </c>
      <c r="M322" s="350" t="s">
        <v>8080</v>
      </c>
      <c r="N322" s="350" t="s">
        <v>8081</v>
      </c>
      <c r="O322" s="347" t="s">
        <v>2950</v>
      </c>
      <c r="T322" s="347" t="s">
        <v>2950</v>
      </c>
      <c r="U322" s="347" t="s">
        <v>2950</v>
      </c>
      <c r="V322" s="347" t="s">
        <v>2950</v>
      </c>
      <c r="Z322" s="349" t="s">
        <v>7972</v>
      </c>
    </row>
    <row r="323" spans="1:26" ht="16.899999999999999" customHeight="1" x14ac:dyDescent="0.15">
      <c r="A323" s="347" t="s">
        <v>8082</v>
      </c>
      <c r="B323" s="347">
        <v>2</v>
      </c>
      <c r="C323" s="347" t="s">
        <v>2983</v>
      </c>
      <c r="F323" s="348" t="s">
        <v>6378</v>
      </c>
      <c r="G323" s="347" t="s">
        <v>2972</v>
      </c>
      <c r="H323" s="347" t="s">
        <v>2953</v>
      </c>
      <c r="K323" s="350"/>
      <c r="L323" s="349" t="s">
        <v>2987</v>
      </c>
      <c r="M323" s="350" t="s">
        <v>8083</v>
      </c>
      <c r="N323" s="350" t="s">
        <v>8084</v>
      </c>
      <c r="R323" s="347" t="s">
        <v>2950</v>
      </c>
      <c r="S323" s="347" t="s">
        <v>2950</v>
      </c>
      <c r="V323" s="347" t="s">
        <v>2950</v>
      </c>
      <c r="Z323" s="349" t="s">
        <v>7972</v>
      </c>
    </row>
    <row r="324" spans="1:26" ht="16.899999999999999" customHeight="1" x14ac:dyDescent="0.15">
      <c r="A324" s="347" t="s">
        <v>8184</v>
      </c>
      <c r="B324" s="347">
        <v>2</v>
      </c>
      <c r="C324" s="347" t="s">
        <v>8154</v>
      </c>
      <c r="F324" s="348" t="s">
        <v>6378</v>
      </c>
      <c r="G324" s="347" t="s">
        <v>2943</v>
      </c>
      <c r="H324" s="347" t="s">
        <v>2953</v>
      </c>
      <c r="I324" s="347" t="s">
        <v>6323</v>
      </c>
      <c r="J324" s="347" t="s">
        <v>6335</v>
      </c>
      <c r="K324" s="350" t="s">
        <v>8185</v>
      </c>
      <c r="L324" s="349" t="s">
        <v>7875</v>
      </c>
      <c r="M324" s="350" t="s">
        <v>8186</v>
      </c>
      <c r="N324" s="350" t="s">
        <v>8187</v>
      </c>
      <c r="T324" s="347" t="s">
        <v>2950</v>
      </c>
      <c r="U324" s="347" t="s">
        <v>2950</v>
      </c>
      <c r="V324" s="347" t="s">
        <v>2950</v>
      </c>
      <c r="Z324" s="349" t="s">
        <v>8157</v>
      </c>
    </row>
    <row r="325" spans="1:26" ht="16.899999999999999" customHeight="1" x14ac:dyDescent="0.15">
      <c r="A325" s="347" t="s">
        <v>8188</v>
      </c>
      <c r="B325" s="347">
        <v>2</v>
      </c>
      <c r="C325" s="347" t="s">
        <v>2941</v>
      </c>
      <c r="F325" s="348" t="s">
        <v>6378</v>
      </c>
      <c r="G325" s="347" t="s">
        <v>2970</v>
      </c>
      <c r="I325" s="347" t="s">
        <v>6323</v>
      </c>
      <c r="K325" s="350"/>
      <c r="L325" s="349" t="s">
        <v>7875</v>
      </c>
      <c r="M325" s="350" t="s">
        <v>8189</v>
      </c>
      <c r="N325" s="350" t="s">
        <v>8190</v>
      </c>
      <c r="R325" s="347" t="s">
        <v>2950</v>
      </c>
      <c r="U325" s="347" t="s">
        <v>2950</v>
      </c>
      <c r="Z325" s="349" t="s">
        <v>8157</v>
      </c>
    </row>
    <row r="326" spans="1:26" ht="16.899999999999999" customHeight="1" x14ac:dyDescent="0.15">
      <c r="A326" s="347" t="s">
        <v>8191</v>
      </c>
      <c r="B326" s="347">
        <v>2</v>
      </c>
      <c r="C326" s="347" t="s">
        <v>8154</v>
      </c>
      <c r="E326" s="347" t="s">
        <v>2950</v>
      </c>
      <c r="F326" s="348" t="s">
        <v>2995</v>
      </c>
      <c r="G326" s="347" t="s">
        <v>2972</v>
      </c>
      <c r="H326" s="347" t="s">
        <v>2953</v>
      </c>
      <c r="I326" s="347" t="s">
        <v>6323</v>
      </c>
      <c r="J326" s="347" t="s">
        <v>6335</v>
      </c>
      <c r="K326" s="350" t="s">
        <v>8192</v>
      </c>
      <c r="L326" s="349" t="s">
        <v>8007</v>
      </c>
      <c r="M326" s="350" t="s">
        <v>8193</v>
      </c>
      <c r="N326" s="350" t="s">
        <v>8194</v>
      </c>
      <c r="O326" s="347" t="s">
        <v>2950</v>
      </c>
      <c r="P326" s="347" t="s">
        <v>2950</v>
      </c>
      <c r="T326" s="347" t="s">
        <v>2950</v>
      </c>
      <c r="U326" s="347" t="s">
        <v>2950</v>
      </c>
      <c r="V326" s="347" t="s">
        <v>2950</v>
      </c>
      <c r="Z326" s="349" t="s">
        <v>8157</v>
      </c>
    </row>
    <row r="327" spans="1:26" ht="16.899999999999999" customHeight="1" x14ac:dyDescent="0.15">
      <c r="A327" s="347" t="s">
        <v>8195</v>
      </c>
      <c r="B327" s="347">
        <v>2</v>
      </c>
      <c r="C327" s="347" t="s">
        <v>2976</v>
      </c>
      <c r="E327" s="347" t="s">
        <v>2950</v>
      </c>
      <c r="F327" s="348" t="s">
        <v>6378</v>
      </c>
      <c r="G327" s="347" t="s">
        <v>2986</v>
      </c>
      <c r="H327" s="347" t="s">
        <v>2953</v>
      </c>
      <c r="I327" s="347" t="s">
        <v>6323</v>
      </c>
      <c r="K327" s="350"/>
      <c r="L327" s="349" t="s">
        <v>8007</v>
      </c>
      <c r="M327" s="350" t="s">
        <v>8196</v>
      </c>
      <c r="N327" s="350" t="s">
        <v>8197</v>
      </c>
      <c r="O327" s="347" t="s">
        <v>2950</v>
      </c>
      <c r="T327" s="347" t="s">
        <v>2950</v>
      </c>
      <c r="V327" s="347" t="s">
        <v>2950</v>
      </c>
      <c r="Z327" s="349" t="s">
        <v>8157</v>
      </c>
    </row>
    <row r="328" spans="1:26" ht="16.899999999999999" customHeight="1" x14ac:dyDescent="0.15">
      <c r="A328" s="347" t="s">
        <v>8198</v>
      </c>
      <c r="B328" s="347">
        <v>2</v>
      </c>
      <c r="C328" s="347" t="s">
        <v>7895</v>
      </c>
      <c r="F328" s="348" t="s">
        <v>6378</v>
      </c>
      <c r="G328" s="347" t="s">
        <v>2970</v>
      </c>
      <c r="H328" s="347" t="s">
        <v>2953</v>
      </c>
      <c r="I328" s="347" t="s">
        <v>6323</v>
      </c>
      <c r="J328" s="347" t="s">
        <v>6335</v>
      </c>
      <c r="K328" s="350" t="s">
        <v>8199</v>
      </c>
      <c r="L328" s="349" t="s">
        <v>7939</v>
      </c>
      <c r="M328" s="350" t="s">
        <v>8200</v>
      </c>
      <c r="N328" s="350" t="s">
        <v>8201</v>
      </c>
      <c r="S328" s="347" t="s">
        <v>2950</v>
      </c>
      <c r="T328" s="347" t="s">
        <v>2950</v>
      </c>
      <c r="U328" s="347" t="s">
        <v>2950</v>
      </c>
      <c r="V328" s="347" t="s">
        <v>2950</v>
      </c>
      <c r="Z328" s="349" t="s">
        <v>8157</v>
      </c>
    </row>
    <row r="329" spans="1:26" ht="16.899999999999999" customHeight="1" x14ac:dyDescent="0.15">
      <c r="A329" s="347" t="s">
        <v>8202</v>
      </c>
      <c r="B329" s="347">
        <v>2</v>
      </c>
      <c r="C329" s="347" t="s">
        <v>2983</v>
      </c>
      <c r="F329" s="348" t="s">
        <v>2995</v>
      </c>
      <c r="G329" s="347" t="s">
        <v>2943</v>
      </c>
      <c r="H329" s="347" t="s">
        <v>2953</v>
      </c>
      <c r="I329" s="347" t="s">
        <v>6323</v>
      </c>
      <c r="K329" s="350"/>
      <c r="L329" s="349" t="s">
        <v>2987</v>
      </c>
      <c r="M329" s="350" t="s">
        <v>8203</v>
      </c>
      <c r="N329" s="350" t="s">
        <v>8204</v>
      </c>
      <c r="P329" s="347" t="s">
        <v>2950</v>
      </c>
      <c r="Q329" s="347" t="s">
        <v>2950</v>
      </c>
      <c r="R329" s="347" t="s">
        <v>2950</v>
      </c>
      <c r="S329" s="347" t="s">
        <v>2950</v>
      </c>
      <c r="Z329" s="349" t="s">
        <v>8157</v>
      </c>
    </row>
    <row r="330" spans="1:26" ht="16.899999999999999" customHeight="1" x14ac:dyDescent="0.15">
      <c r="A330" s="347" t="s">
        <v>8205</v>
      </c>
      <c r="B330" s="347">
        <v>2</v>
      </c>
      <c r="C330" s="347" t="s">
        <v>2976</v>
      </c>
      <c r="F330" s="348" t="s">
        <v>2995</v>
      </c>
      <c r="G330" s="347" t="s">
        <v>2970</v>
      </c>
      <c r="H330" s="347" t="s">
        <v>2953</v>
      </c>
      <c r="I330" s="347" t="s">
        <v>6323</v>
      </c>
      <c r="K330" s="350"/>
      <c r="L330" s="349" t="s">
        <v>7939</v>
      </c>
      <c r="M330" s="350" t="s">
        <v>8206</v>
      </c>
      <c r="N330" s="350" t="s">
        <v>8207</v>
      </c>
      <c r="O330" s="347" t="s">
        <v>2950</v>
      </c>
      <c r="T330" s="347" t="s">
        <v>2950</v>
      </c>
      <c r="U330" s="347" t="s">
        <v>2950</v>
      </c>
      <c r="V330" s="347" t="s">
        <v>2950</v>
      </c>
      <c r="Z330" s="349" t="s">
        <v>8157</v>
      </c>
    </row>
    <row r="331" spans="1:26" ht="16.899999999999999" customHeight="1" x14ac:dyDescent="0.15">
      <c r="A331" s="347" t="s">
        <v>8208</v>
      </c>
      <c r="B331" s="347">
        <v>2</v>
      </c>
      <c r="C331" s="347" t="s">
        <v>7872</v>
      </c>
      <c r="E331" s="347" t="s">
        <v>2950</v>
      </c>
      <c r="F331" s="348" t="s">
        <v>6378</v>
      </c>
      <c r="G331" s="347" t="s">
        <v>2943</v>
      </c>
      <c r="H331" s="347" t="s">
        <v>2953</v>
      </c>
      <c r="I331" s="347" t="s">
        <v>6323</v>
      </c>
      <c r="J331" s="347" t="s">
        <v>6335</v>
      </c>
      <c r="K331" s="350" t="s">
        <v>8209</v>
      </c>
      <c r="L331" s="349" t="s">
        <v>8007</v>
      </c>
      <c r="M331" s="350" t="s">
        <v>8210</v>
      </c>
      <c r="N331" s="350" t="s">
        <v>8211</v>
      </c>
      <c r="S331" s="347" t="s">
        <v>2950</v>
      </c>
      <c r="T331" s="347" t="s">
        <v>2950</v>
      </c>
      <c r="U331" s="347" t="s">
        <v>2950</v>
      </c>
      <c r="V331" s="347" t="s">
        <v>2950</v>
      </c>
      <c r="Z331" s="349" t="s">
        <v>8157</v>
      </c>
    </row>
    <row r="332" spans="1:26" ht="16.899999999999999" customHeight="1" x14ac:dyDescent="0.15">
      <c r="A332" s="347" t="s">
        <v>8498</v>
      </c>
      <c r="B332" s="347">
        <v>2</v>
      </c>
      <c r="C332" s="347" t="s">
        <v>1007</v>
      </c>
      <c r="E332" s="347" t="s">
        <v>631</v>
      </c>
      <c r="F332" s="348" t="s">
        <v>941</v>
      </c>
      <c r="G332" s="347" t="s">
        <v>6327</v>
      </c>
      <c r="H332" s="347" t="s">
        <v>970</v>
      </c>
      <c r="K332" s="350"/>
      <c r="L332" s="349" t="s">
        <v>8007</v>
      </c>
      <c r="M332" s="350" t="s">
        <v>9597</v>
      </c>
      <c r="N332" s="350" t="s">
        <v>8499</v>
      </c>
      <c r="R332" s="347" t="s">
        <v>2950</v>
      </c>
      <c r="Z332" s="349" t="s">
        <v>8316</v>
      </c>
    </row>
    <row r="333" spans="1:26" ht="16.899999999999999" customHeight="1" x14ac:dyDescent="0.15">
      <c r="A333" s="347" t="s">
        <v>8516</v>
      </c>
      <c r="B333" s="347">
        <v>2</v>
      </c>
      <c r="C333" s="347" t="s">
        <v>983</v>
      </c>
      <c r="E333" s="347" t="s">
        <v>631</v>
      </c>
      <c r="F333" s="348" t="s">
        <v>1047</v>
      </c>
      <c r="G333" s="347" t="s">
        <v>984</v>
      </c>
      <c r="H333" s="347" t="s">
        <v>970</v>
      </c>
      <c r="I333" s="347" t="s">
        <v>971</v>
      </c>
      <c r="K333" s="350"/>
      <c r="L333" s="349" t="s">
        <v>8007</v>
      </c>
      <c r="M333" s="350" t="s">
        <v>9602</v>
      </c>
      <c r="N333" s="350" t="s">
        <v>8517</v>
      </c>
      <c r="P333" s="347" t="s">
        <v>631</v>
      </c>
      <c r="R333" s="347" t="s">
        <v>631</v>
      </c>
      <c r="S333" s="347" t="s">
        <v>631</v>
      </c>
      <c r="Z333" s="349" t="s">
        <v>8537</v>
      </c>
    </row>
    <row r="334" spans="1:26" ht="16.899999999999999" customHeight="1" x14ac:dyDescent="0.15">
      <c r="A334" s="347" t="s">
        <v>8518</v>
      </c>
      <c r="B334" s="347">
        <v>2</v>
      </c>
      <c r="C334" s="347" t="s">
        <v>983</v>
      </c>
      <c r="E334" s="347" t="s">
        <v>631</v>
      </c>
      <c r="F334" s="348" t="s">
        <v>8536</v>
      </c>
      <c r="G334" s="347" t="s">
        <v>988</v>
      </c>
      <c r="H334" s="347" t="s">
        <v>970</v>
      </c>
      <c r="I334" s="347" t="s">
        <v>971</v>
      </c>
      <c r="K334" s="350"/>
      <c r="L334" s="349" t="s">
        <v>979</v>
      </c>
      <c r="M334" s="350" t="s">
        <v>9603</v>
      </c>
      <c r="N334" s="350" t="s">
        <v>8519</v>
      </c>
      <c r="P334" s="347" t="s">
        <v>631</v>
      </c>
      <c r="T334" s="347" t="s">
        <v>631</v>
      </c>
      <c r="U334" s="347" t="s">
        <v>631</v>
      </c>
      <c r="V334" s="347" t="s">
        <v>631</v>
      </c>
      <c r="Z334" s="349" t="s">
        <v>8537</v>
      </c>
    </row>
    <row r="335" spans="1:26" ht="16.899999999999999" customHeight="1" x14ac:dyDescent="0.15">
      <c r="A335" s="347" t="s">
        <v>8861</v>
      </c>
      <c r="B335" s="347">
        <v>2</v>
      </c>
      <c r="C335" s="347" t="s">
        <v>987</v>
      </c>
      <c r="F335" s="348" t="s">
        <v>941</v>
      </c>
      <c r="G335" s="347" t="s">
        <v>978</v>
      </c>
      <c r="I335" s="347" t="s">
        <v>971</v>
      </c>
      <c r="J335" s="347" t="s">
        <v>989</v>
      </c>
      <c r="K335" s="350" t="s">
        <v>8862</v>
      </c>
      <c r="L335" s="349" t="s">
        <v>1016</v>
      </c>
      <c r="M335" s="350" t="s">
        <v>9610</v>
      </c>
      <c r="N335" s="350" t="s">
        <v>8863</v>
      </c>
      <c r="S335" s="347" t="s">
        <v>631</v>
      </c>
      <c r="Z335" s="349" t="s">
        <v>9101</v>
      </c>
    </row>
    <row r="336" spans="1:26" ht="16.899999999999999" customHeight="1" x14ac:dyDescent="0.15">
      <c r="A336" s="347" t="s">
        <v>9324</v>
      </c>
      <c r="B336" s="347">
        <v>2</v>
      </c>
      <c r="C336" s="347" t="s">
        <v>1019</v>
      </c>
      <c r="E336" s="347" t="s">
        <v>631</v>
      </c>
      <c r="F336" s="348" t="s">
        <v>941</v>
      </c>
      <c r="G336" s="347" t="s">
        <v>1134</v>
      </c>
      <c r="H336" s="347" t="s">
        <v>970</v>
      </c>
      <c r="I336" s="347" t="s">
        <v>971</v>
      </c>
      <c r="J336" s="347" t="s">
        <v>989</v>
      </c>
      <c r="K336" s="350" t="s">
        <v>9325</v>
      </c>
      <c r="L336" s="349" t="s">
        <v>7903</v>
      </c>
      <c r="M336" s="350" t="s">
        <v>9622</v>
      </c>
      <c r="N336" s="350" t="s">
        <v>9326</v>
      </c>
      <c r="P336" s="347" t="s">
        <v>631</v>
      </c>
      <c r="V336" s="347" t="s">
        <v>631</v>
      </c>
      <c r="Z336" s="349" t="s">
        <v>9638</v>
      </c>
    </row>
    <row r="337" spans="1:26" ht="16.899999999999999" customHeight="1" x14ac:dyDescent="0.15">
      <c r="A337" s="347" t="s">
        <v>9327</v>
      </c>
      <c r="B337" s="347">
        <v>2</v>
      </c>
      <c r="C337" s="347" t="s">
        <v>994</v>
      </c>
      <c r="E337" s="347" t="s">
        <v>631</v>
      </c>
      <c r="F337" s="348" t="s">
        <v>941</v>
      </c>
      <c r="G337" s="347" t="s">
        <v>709</v>
      </c>
      <c r="H337" s="347" t="s">
        <v>970</v>
      </c>
      <c r="I337" s="347" t="s">
        <v>971</v>
      </c>
      <c r="J337" s="347" t="s">
        <v>989</v>
      </c>
      <c r="K337" s="350" t="s">
        <v>9328</v>
      </c>
      <c r="L337" s="349" t="s">
        <v>8007</v>
      </c>
      <c r="M337" s="350" t="s">
        <v>9329</v>
      </c>
      <c r="N337" s="350" t="s">
        <v>9330</v>
      </c>
      <c r="O337" s="347" t="s">
        <v>631</v>
      </c>
      <c r="P337" s="347" t="s">
        <v>631</v>
      </c>
      <c r="R337" s="347" t="s">
        <v>631</v>
      </c>
      <c r="S337" s="347" t="s">
        <v>631</v>
      </c>
      <c r="T337" s="347" t="s">
        <v>631</v>
      </c>
      <c r="U337" s="347" t="s">
        <v>631</v>
      </c>
      <c r="V337" s="347" t="s">
        <v>631</v>
      </c>
      <c r="Z337" s="349" t="s">
        <v>9638</v>
      </c>
    </row>
    <row r="338" spans="1:26" ht="16.899999999999999" customHeight="1" x14ac:dyDescent="0.15">
      <c r="A338" s="347" t="s">
        <v>9331</v>
      </c>
      <c r="B338" s="347">
        <v>2</v>
      </c>
      <c r="C338" s="347" t="s">
        <v>983</v>
      </c>
      <c r="F338" s="348" t="s">
        <v>941</v>
      </c>
      <c r="G338" s="347" t="s">
        <v>984</v>
      </c>
      <c r="H338" s="347" t="s">
        <v>970</v>
      </c>
      <c r="J338" s="347" t="s">
        <v>989</v>
      </c>
      <c r="K338" s="350" t="s">
        <v>9332</v>
      </c>
      <c r="L338" s="349" t="s">
        <v>9333</v>
      </c>
      <c r="M338" s="350" t="s">
        <v>9623</v>
      </c>
      <c r="N338" s="350" t="s">
        <v>9334</v>
      </c>
      <c r="Q338" s="347" t="s">
        <v>631</v>
      </c>
      <c r="S338" s="347" t="s">
        <v>631</v>
      </c>
      <c r="Z338" s="349" t="s">
        <v>9638</v>
      </c>
    </row>
    <row r="339" spans="1:26" ht="16.899999999999999" customHeight="1" x14ac:dyDescent="0.15">
      <c r="A339" s="347" t="s">
        <v>9335</v>
      </c>
      <c r="B339" s="347">
        <v>2</v>
      </c>
      <c r="C339" s="347" t="s">
        <v>983</v>
      </c>
      <c r="E339" s="347" t="s">
        <v>2950</v>
      </c>
      <c r="F339" s="348" t="s">
        <v>941</v>
      </c>
      <c r="G339" s="347" t="s">
        <v>969</v>
      </c>
      <c r="I339" s="347" t="s">
        <v>971</v>
      </c>
      <c r="J339" s="347" t="s">
        <v>989</v>
      </c>
      <c r="K339" s="350" t="s">
        <v>9336</v>
      </c>
      <c r="L339" s="349" t="s">
        <v>8007</v>
      </c>
      <c r="M339" s="350" t="s">
        <v>9624</v>
      </c>
      <c r="N339" s="350" t="s">
        <v>9337</v>
      </c>
      <c r="Q339" s="347" t="s">
        <v>631</v>
      </c>
      <c r="S339" s="347" t="s">
        <v>631</v>
      </c>
      <c r="U339" s="347" t="s">
        <v>631</v>
      </c>
      <c r="Z339" s="349" t="s">
        <v>9638</v>
      </c>
    </row>
    <row r="340" spans="1:26" ht="16.899999999999999" customHeight="1" x14ac:dyDescent="0.15">
      <c r="A340" s="347" t="s">
        <v>9338</v>
      </c>
      <c r="B340" s="347">
        <v>2</v>
      </c>
      <c r="C340" s="347" t="s">
        <v>983</v>
      </c>
      <c r="F340" s="348" t="s">
        <v>9592</v>
      </c>
      <c r="G340" s="347" t="s">
        <v>984</v>
      </c>
      <c r="I340" s="347" t="s">
        <v>971</v>
      </c>
      <c r="K340" s="350"/>
      <c r="L340" s="349" t="s">
        <v>972</v>
      </c>
      <c r="M340" s="350" t="s">
        <v>9625</v>
      </c>
      <c r="N340" s="350" t="s">
        <v>9339</v>
      </c>
      <c r="Q340" s="347" t="s">
        <v>631</v>
      </c>
      <c r="R340" s="347" t="s">
        <v>631</v>
      </c>
      <c r="S340" s="347" t="s">
        <v>631</v>
      </c>
      <c r="T340" s="347" t="s">
        <v>631</v>
      </c>
      <c r="U340" s="347" t="s">
        <v>631</v>
      </c>
      <c r="V340" s="347" t="s">
        <v>631</v>
      </c>
      <c r="Z340" s="349" t="s">
        <v>9638</v>
      </c>
    </row>
    <row r="341" spans="1:26" ht="16.899999999999999" customHeight="1" x14ac:dyDescent="0.15">
      <c r="A341" s="347" t="s">
        <v>9340</v>
      </c>
      <c r="B341" s="347">
        <v>2</v>
      </c>
      <c r="C341" s="347" t="s">
        <v>1007</v>
      </c>
      <c r="E341" s="347" t="s">
        <v>631</v>
      </c>
      <c r="F341" s="348" t="s">
        <v>941</v>
      </c>
      <c r="G341" s="347" t="s">
        <v>978</v>
      </c>
      <c r="H341" s="347" t="s">
        <v>970</v>
      </c>
      <c r="J341" s="347" t="s">
        <v>989</v>
      </c>
      <c r="K341" s="350" t="s">
        <v>9341</v>
      </c>
      <c r="L341" s="349" t="s">
        <v>8007</v>
      </c>
      <c r="M341" s="350" t="s">
        <v>9342</v>
      </c>
      <c r="N341" s="350" t="s">
        <v>9343</v>
      </c>
      <c r="O341" s="347" t="s">
        <v>631</v>
      </c>
      <c r="U341" s="347" t="s">
        <v>631</v>
      </c>
      <c r="Z341" s="349" t="s">
        <v>9638</v>
      </c>
    </row>
    <row r="342" spans="1:26" ht="16.899999999999999" customHeight="1" x14ac:dyDescent="0.15">
      <c r="A342" s="347" t="s">
        <v>9344</v>
      </c>
      <c r="B342" s="347">
        <v>2</v>
      </c>
      <c r="C342" s="347" t="s">
        <v>1007</v>
      </c>
      <c r="E342" s="347" t="s">
        <v>631</v>
      </c>
      <c r="F342" s="348" t="s">
        <v>941</v>
      </c>
      <c r="G342" s="347" t="s">
        <v>969</v>
      </c>
      <c r="H342" s="347" t="s">
        <v>970</v>
      </c>
      <c r="I342" s="347" t="s">
        <v>971</v>
      </c>
      <c r="J342" s="347" t="s">
        <v>989</v>
      </c>
      <c r="K342" s="350" t="s">
        <v>9345</v>
      </c>
      <c r="L342" s="349" t="s">
        <v>8007</v>
      </c>
      <c r="M342" s="350" t="s">
        <v>9626</v>
      </c>
      <c r="N342" s="350" t="s">
        <v>9346</v>
      </c>
      <c r="O342" s="347" t="s">
        <v>631</v>
      </c>
      <c r="P342" s="347" t="s">
        <v>631</v>
      </c>
      <c r="Q342" s="347" t="s">
        <v>631</v>
      </c>
      <c r="T342" s="347" t="s">
        <v>631</v>
      </c>
      <c r="V342" s="347" t="s">
        <v>631</v>
      </c>
      <c r="Z342" s="349" t="s">
        <v>9638</v>
      </c>
    </row>
    <row r="343" spans="1:26" ht="16.899999999999999" customHeight="1" x14ac:dyDescent="0.15">
      <c r="A343" s="347" t="s">
        <v>9347</v>
      </c>
      <c r="B343" s="347">
        <v>2</v>
      </c>
      <c r="C343" s="347" t="s">
        <v>977</v>
      </c>
      <c r="F343" s="348" t="s">
        <v>941</v>
      </c>
      <c r="G343" s="347" t="s">
        <v>978</v>
      </c>
      <c r="H343" s="347" t="s">
        <v>970</v>
      </c>
      <c r="I343" s="347" t="s">
        <v>971</v>
      </c>
      <c r="J343" s="347" t="s">
        <v>989</v>
      </c>
      <c r="K343" s="350" t="s">
        <v>9348</v>
      </c>
      <c r="L343" s="349" t="s">
        <v>1104</v>
      </c>
      <c r="M343" s="350" t="s">
        <v>9349</v>
      </c>
      <c r="N343" s="350" t="s">
        <v>9350</v>
      </c>
      <c r="T343" s="347" t="s">
        <v>631</v>
      </c>
      <c r="U343" s="347" t="s">
        <v>631</v>
      </c>
      <c r="V343" s="347" t="s">
        <v>631</v>
      </c>
      <c r="Z343" s="349" t="s">
        <v>9638</v>
      </c>
    </row>
    <row r="344" spans="1:26" ht="16.899999999999999" customHeight="1" x14ac:dyDescent="0.15">
      <c r="A344" s="347" t="s">
        <v>9351</v>
      </c>
      <c r="B344" s="347">
        <v>2</v>
      </c>
      <c r="C344" s="347" t="s">
        <v>1007</v>
      </c>
      <c r="E344" s="347" t="s">
        <v>631</v>
      </c>
      <c r="F344" s="348" t="s">
        <v>941</v>
      </c>
      <c r="G344" s="347" t="s">
        <v>709</v>
      </c>
      <c r="H344" s="347" t="s">
        <v>970</v>
      </c>
      <c r="I344" s="347" t="s">
        <v>971</v>
      </c>
      <c r="J344" s="347" t="s">
        <v>989</v>
      </c>
      <c r="K344" s="350" t="s">
        <v>9352</v>
      </c>
      <c r="L344" s="349" t="s">
        <v>7903</v>
      </c>
      <c r="M344" s="350" t="s">
        <v>9627</v>
      </c>
      <c r="N344" s="350" t="s">
        <v>9353</v>
      </c>
      <c r="O344" s="347" t="s">
        <v>631</v>
      </c>
      <c r="T344" s="347" t="s">
        <v>631</v>
      </c>
      <c r="V344" s="347" t="s">
        <v>631</v>
      </c>
      <c r="Z344" s="349" t="s">
        <v>9638</v>
      </c>
    </row>
    <row r="345" spans="1:26" ht="16.899999999999999" customHeight="1" x14ac:dyDescent="0.15">
      <c r="A345" s="347" t="s">
        <v>10061</v>
      </c>
      <c r="B345" s="347">
        <v>2</v>
      </c>
      <c r="C345" s="347" t="s">
        <v>983</v>
      </c>
      <c r="F345" s="348" t="s">
        <v>941</v>
      </c>
      <c r="G345" s="347" t="s">
        <v>984</v>
      </c>
      <c r="H345" s="347" t="s">
        <v>970</v>
      </c>
      <c r="I345" s="347" t="s">
        <v>971</v>
      </c>
      <c r="J345" s="347" t="s">
        <v>989</v>
      </c>
      <c r="K345" s="350" t="s">
        <v>10062</v>
      </c>
      <c r="L345" s="349" t="s">
        <v>1016</v>
      </c>
      <c r="M345" s="350" t="s">
        <v>10063</v>
      </c>
      <c r="N345" s="350" t="s">
        <v>10064</v>
      </c>
      <c r="T345" s="347" t="s">
        <v>10123</v>
      </c>
      <c r="V345" s="347" t="s">
        <v>10123</v>
      </c>
      <c r="Z345" s="349" t="s">
        <v>10124</v>
      </c>
    </row>
    <row r="346" spans="1:26" ht="16.899999999999999" customHeight="1" x14ac:dyDescent="0.15">
      <c r="A346" s="347" t="s">
        <v>10065</v>
      </c>
      <c r="B346" s="347">
        <v>2</v>
      </c>
      <c r="C346" s="347" t="s">
        <v>1019</v>
      </c>
      <c r="D346" s="347" t="s">
        <v>631</v>
      </c>
      <c r="F346" s="348" t="s">
        <v>1149</v>
      </c>
      <c r="G346" s="347" t="s">
        <v>978</v>
      </c>
      <c r="H346" s="347" t="s">
        <v>970</v>
      </c>
      <c r="I346" s="347" t="s">
        <v>971</v>
      </c>
      <c r="J346" s="347" t="s">
        <v>989</v>
      </c>
      <c r="K346" s="350" t="s">
        <v>10066</v>
      </c>
      <c r="L346" s="349" t="s">
        <v>1104</v>
      </c>
      <c r="M346" s="350" t="s">
        <v>10110</v>
      </c>
      <c r="N346" s="350" t="s">
        <v>10067</v>
      </c>
      <c r="P346" s="347" t="s">
        <v>10123</v>
      </c>
      <c r="V346" s="347" t="s">
        <v>10123</v>
      </c>
      <c r="Z346" s="349" t="s">
        <v>10124</v>
      </c>
    </row>
    <row r="347" spans="1:26" ht="16.899999999999999" customHeight="1" x14ac:dyDescent="0.15">
      <c r="A347" s="347" t="s">
        <v>10068</v>
      </c>
      <c r="B347" s="347">
        <v>2</v>
      </c>
      <c r="C347" s="347" t="s">
        <v>977</v>
      </c>
      <c r="E347" s="347" t="s">
        <v>631</v>
      </c>
      <c r="F347" s="348" t="s">
        <v>1047</v>
      </c>
      <c r="G347" s="347" t="s">
        <v>978</v>
      </c>
      <c r="H347" s="347" t="s">
        <v>970</v>
      </c>
      <c r="I347" s="347" t="s">
        <v>971</v>
      </c>
      <c r="K347" s="350"/>
      <c r="L347" s="349" t="s">
        <v>1161</v>
      </c>
      <c r="M347" s="350" t="s">
        <v>10069</v>
      </c>
      <c r="N347" s="350" t="s">
        <v>10070</v>
      </c>
      <c r="V347" s="347" t="s">
        <v>10123</v>
      </c>
      <c r="Z347" s="349" t="s">
        <v>10124</v>
      </c>
    </row>
    <row r="348" spans="1:26" ht="16.899999999999999" customHeight="1" x14ac:dyDescent="0.15">
      <c r="A348" s="347" t="s">
        <v>2949</v>
      </c>
      <c r="B348" s="347">
        <v>2</v>
      </c>
      <c r="C348" s="347" t="s">
        <v>1019</v>
      </c>
      <c r="D348" s="347" t="s">
        <v>631</v>
      </c>
      <c r="F348" s="348" t="s">
        <v>2951</v>
      </c>
      <c r="G348" s="347" t="s">
        <v>2952</v>
      </c>
      <c r="H348" s="347" t="s">
        <v>970</v>
      </c>
      <c r="I348" s="347" t="s">
        <v>971</v>
      </c>
      <c r="J348" s="347" t="s">
        <v>989</v>
      </c>
      <c r="K348" s="350" t="s">
        <v>10271</v>
      </c>
      <c r="L348" s="349" t="s">
        <v>972</v>
      </c>
      <c r="M348" s="350" t="s">
        <v>10272</v>
      </c>
      <c r="N348" s="350" t="s">
        <v>2954</v>
      </c>
      <c r="W348" s="347" t="s">
        <v>631</v>
      </c>
      <c r="Z348" s="349" t="s">
        <v>10270</v>
      </c>
    </row>
    <row r="349" spans="1:26" ht="16.899999999999999" customHeight="1" x14ac:dyDescent="0.15">
      <c r="A349" s="347" t="s">
        <v>1568</v>
      </c>
      <c r="B349" s="347">
        <v>3</v>
      </c>
      <c r="C349" s="347" t="s">
        <v>983</v>
      </c>
      <c r="F349" s="348" t="s">
        <v>1020</v>
      </c>
      <c r="G349" s="347" t="s">
        <v>1008</v>
      </c>
      <c r="H349" s="347" t="s">
        <v>970</v>
      </c>
      <c r="I349" s="347" t="s">
        <v>971</v>
      </c>
      <c r="J349" s="347" t="s">
        <v>989</v>
      </c>
      <c r="K349" s="350" t="s">
        <v>1569</v>
      </c>
      <c r="L349" s="349" t="s">
        <v>972</v>
      </c>
      <c r="M349" s="350" t="s">
        <v>1570</v>
      </c>
      <c r="N349" s="350" t="s">
        <v>1571</v>
      </c>
      <c r="P349" s="347" t="s">
        <v>631</v>
      </c>
      <c r="V349" s="347" t="s">
        <v>631</v>
      </c>
      <c r="Z349" s="349" t="s">
        <v>975</v>
      </c>
    </row>
    <row r="350" spans="1:26" ht="16.899999999999999" customHeight="1" x14ac:dyDescent="0.15">
      <c r="A350" s="347" t="s">
        <v>1572</v>
      </c>
      <c r="B350" s="347">
        <v>3</v>
      </c>
      <c r="C350" s="347" t="s">
        <v>968</v>
      </c>
      <c r="E350" s="347" t="s">
        <v>631</v>
      </c>
      <c r="F350" s="348" t="s">
        <v>941</v>
      </c>
      <c r="G350" s="347" t="s">
        <v>978</v>
      </c>
      <c r="H350" s="347" t="s">
        <v>970</v>
      </c>
      <c r="K350" s="350"/>
      <c r="L350" s="349" t="s">
        <v>979</v>
      </c>
      <c r="M350" s="350" t="s">
        <v>1573</v>
      </c>
      <c r="N350" s="350" t="s">
        <v>1574</v>
      </c>
      <c r="P350" s="347" t="s">
        <v>631</v>
      </c>
      <c r="Q350" s="347" t="s">
        <v>631</v>
      </c>
      <c r="R350" s="347" t="s">
        <v>631</v>
      </c>
      <c r="Z350" s="349" t="s">
        <v>975</v>
      </c>
    </row>
    <row r="351" spans="1:26" ht="16.899999999999999" customHeight="1" x14ac:dyDescent="0.15">
      <c r="A351" s="347" t="s">
        <v>1575</v>
      </c>
      <c r="B351" s="347">
        <v>3</v>
      </c>
      <c r="C351" s="347" t="s">
        <v>977</v>
      </c>
      <c r="E351" s="347" t="s">
        <v>631</v>
      </c>
      <c r="F351" s="348" t="s">
        <v>941</v>
      </c>
      <c r="G351" s="347" t="s">
        <v>709</v>
      </c>
      <c r="H351" s="347" t="s">
        <v>970</v>
      </c>
      <c r="I351" s="347" t="s">
        <v>971</v>
      </c>
      <c r="K351" s="350"/>
      <c r="L351" s="349" t="s">
        <v>979</v>
      </c>
      <c r="M351" s="350" t="s">
        <v>1576</v>
      </c>
      <c r="N351" s="350" t="s">
        <v>1577</v>
      </c>
      <c r="P351" s="347" t="s">
        <v>631</v>
      </c>
      <c r="Z351" s="349" t="s">
        <v>975</v>
      </c>
    </row>
    <row r="352" spans="1:26" ht="16.899999999999999" customHeight="1" x14ac:dyDescent="0.15">
      <c r="A352" s="347" t="s">
        <v>1578</v>
      </c>
      <c r="B352" s="347">
        <v>3</v>
      </c>
      <c r="C352" s="347" t="s">
        <v>983</v>
      </c>
      <c r="E352" s="347" t="s">
        <v>631</v>
      </c>
      <c r="F352" s="348" t="s">
        <v>941</v>
      </c>
      <c r="G352" s="347" t="s">
        <v>984</v>
      </c>
      <c r="H352" s="347" t="s">
        <v>970</v>
      </c>
      <c r="I352" s="347" t="s">
        <v>971</v>
      </c>
      <c r="K352" s="350"/>
      <c r="L352" s="349" t="s">
        <v>979</v>
      </c>
      <c r="M352" s="350" t="s">
        <v>1579</v>
      </c>
      <c r="N352" s="350" t="s">
        <v>1580</v>
      </c>
      <c r="O352" s="347" t="s">
        <v>631</v>
      </c>
      <c r="P352" s="347" t="s">
        <v>631</v>
      </c>
      <c r="V352" s="347" t="s">
        <v>631</v>
      </c>
      <c r="Y352" s="347" t="s">
        <v>631</v>
      </c>
      <c r="Z352" s="349" t="s">
        <v>975</v>
      </c>
    </row>
    <row r="353" spans="1:26" ht="16.899999999999999" customHeight="1" x14ac:dyDescent="0.15">
      <c r="A353" s="347" t="s">
        <v>1581</v>
      </c>
      <c r="B353" s="347">
        <v>3</v>
      </c>
      <c r="C353" s="347" t="s">
        <v>968</v>
      </c>
      <c r="F353" s="348" t="s">
        <v>1180</v>
      </c>
      <c r="G353" s="347" t="s">
        <v>978</v>
      </c>
      <c r="H353" s="347" t="s">
        <v>970</v>
      </c>
      <c r="K353" s="350"/>
      <c r="L353" s="349" t="s">
        <v>1020</v>
      </c>
      <c r="M353" s="350" t="s">
        <v>1582</v>
      </c>
      <c r="N353" s="350" t="s">
        <v>1583</v>
      </c>
      <c r="R353" s="347" t="s">
        <v>631</v>
      </c>
      <c r="Z353" s="349" t="s">
        <v>975</v>
      </c>
    </row>
    <row r="354" spans="1:26" ht="16.899999999999999" customHeight="1" x14ac:dyDescent="0.15">
      <c r="A354" s="347" t="s">
        <v>1584</v>
      </c>
      <c r="B354" s="347">
        <v>3</v>
      </c>
      <c r="C354" s="347" t="s">
        <v>994</v>
      </c>
      <c r="F354" s="348" t="s">
        <v>941</v>
      </c>
      <c r="G354" s="347" t="s">
        <v>978</v>
      </c>
      <c r="H354" s="347" t="s">
        <v>970</v>
      </c>
      <c r="I354" s="347" t="s">
        <v>971</v>
      </c>
      <c r="K354" s="350"/>
      <c r="L354" s="349" t="s">
        <v>1020</v>
      </c>
      <c r="M354" s="350" t="s">
        <v>1585</v>
      </c>
      <c r="N354" s="350" t="s">
        <v>1586</v>
      </c>
      <c r="T354" s="347" t="s">
        <v>631</v>
      </c>
      <c r="V354" s="347" t="s">
        <v>631</v>
      </c>
      <c r="W354" s="347" t="s">
        <v>631</v>
      </c>
      <c r="Z354" s="349" t="s">
        <v>975</v>
      </c>
    </row>
    <row r="355" spans="1:26" ht="16.899999999999999" customHeight="1" x14ac:dyDescent="0.15">
      <c r="A355" s="347" t="s">
        <v>1587</v>
      </c>
      <c r="B355" s="347">
        <v>3</v>
      </c>
      <c r="C355" s="347" t="s">
        <v>1019</v>
      </c>
      <c r="E355" s="347" t="s">
        <v>631</v>
      </c>
      <c r="F355" s="348" t="s">
        <v>941</v>
      </c>
      <c r="G355" s="347" t="s">
        <v>988</v>
      </c>
      <c r="H355" s="347" t="s">
        <v>970</v>
      </c>
      <c r="I355" s="347" t="s">
        <v>971</v>
      </c>
      <c r="L355" s="349" t="s">
        <v>1161</v>
      </c>
      <c r="M355" s="350" t="s">
        <v>1588</v>
      </c>
      <c r="N355" s="350" t="s">
        <v>1589</v>
      </c>
      <c r="Q355" s="347" t="s">
        <v>631</v>
      </c>
      <c r="Z355" s="349" t="s">
        <v>975</v>
      </c>
    </row>
    <row r="356" spans="1:26" ht="16.899999999999999" customHeight="1" x14ac:dyDescent="0.15">
      <c r="A356" s="347" t="s">
        <v>1590</v>
      </c>
      <c r="B356" s="347">
        <v>3</v>
      </c>
      <c r="C356" s="347" t="s">
        <v>1013</v>
      </c>
      <c r="E356" s="347" t="s">
        <v>631</v>
      </c>
      <c r="F356" s="348" t="s">
        <v>1048</v>
      </c>
      <c r="G356" s="347" t="s">
        <v>1591</v>
      </c>
      <c r="H356" s="347" t="s">
        <v>970</v>
      </c>
      <c r="I356" s="347" t="s">
        <v>971</v>
      </c>
      <c r="J356" s="347" t="s">
        <v>989</v>
      </c>
      <c r="K356" s="350" t="s">
        <v>1592</v>
      </c>
      <c r="L356" s="349" t="s">
        <v>1161</v>
      </c>
      <c r="M356" s="350" t="s">
        <v>1593</v>
      </c>
      <c r="N356" s="350" t="s">
        <v>1594</v>
      </c>
      <c r="O356" s="347" t="s">
        <v>631</v>
      </c>
      <c r="P356" s="347" t="s">
        <v>631</v>
      </c>
      <c r="T356" s="347" t="s">
        <v>631</v>
      </c>
      <c r="V356" s="347" t="s">
        <v>631</v>
      </c>
      <c r="Z356" s="349" t="s">
        <v>975</v>
      </c>
    </row>
    <row r="357" spans="1:26" ht="16.899999999999999" customHeight="1" x14ac:dyDescent="0.15">
      <c r="A357" s="347" t="s">
        <v>1595</v>
      </c>
      <c r="B357" s="347">
        <v>3</v>
      </c>
      <c r="C357" s="347" t="s">
        <v>1019</v>
      </c>
      <c r="E357" s="347" t="s">
        <v>631</v>
      </c>
      <c r="F357" s="348" t="s">
        <v>941</v>
      </c>
      <c r="G357" s="347" t="s">
        <v>969</v>
      </c>
      <c r="H357" s="347" t="s">
        <v>970</v>
      </c>
      <c r="I357" s="347" t="s">
        <v>971</v>
      </c>
      <c r="L357" s="349" t="s">
        <v>1161</v>
      </c>
      <c r="M357" s="350" t="s">
        <v>1596</v>
      </c>
      <c r="N357" s="350" t="s">
        <v>1597</v>
      </c>
      <c r="Q357" s="347" t="s">
        <v>631</v>
      </c>
      <c r="S357" s="347" t="s">
        <v>631</v>
      </c>
      <c r="Z357" s="349" t="s">
        <v>975</v>
      </c>
    </row>
    <row r="358" spans="1:26" ht="16.899999999999999" customHeight="1" x14ac:dyDescent="0.15">
      <c r="A358" s="347" t="s">
        <v>1598</v>
      </c>
      <c r="B358" s="347">
        <v>3</v>
      </c>
      <c r="C358" s="347" t="s">
        <v>1019</v>
      </c>
      <c r="F358" s="348" t="s">
        <v>941</v>
      </c>
      <c r="G358" s="347" t="s">
        <v>978</v>
      </c>
      <c r="H358" s="347" t="s">
        <v>970</v>
      </c>
      <c r="I358" s="347" t="s">
        <v>971</v>
      </c>
      <c r="J358" s="347" t="s">
        <v>989</v>
      </c>
      <c r="K358" s="350" t="s">
        <v>1599</v>
      </c>
      <c r="L358" s="349" t="s">
        <v>972</v>
      </c>
      <c r="M358" s="350" t="s">
        <v>1600</v>
      </c>
      <c r="N358" s="350" t="s">
        <v>1601</v>
      </c>
      <c r="S358" s="347" t="s">
        <v>631</v>
      </c>
      <c r="Z358" s="349" t="s">
        <v>975</v>
      </c>
    </row>
    <row r="359" spans="1:26" ht="16.899999999999999" customHeight="1" x14ac:dyDescent="0.15">
      <c r="A359" s="347" t="s">
        <v>1602</v>
      </c>
      <c r="B359" s="347">
        <v>3</v>
      </c>
      <c r="C359" s="347" t="s">
        <v>977</v>
      </c>
      <c r="F359" s="348" t="s">
        <v>1603</v>
      </c>
      <c r="G359" s="347" t="s">
        <v>969</v>
      </c>
      <c r="I359" s="347" t="s">
        <v>971</v>
      </c>
      <c r="K359" s="350"/>
      <c r="L359" s="349" t="s">
        <v>972</v>
      </c>
      <c r="M359" s="350" t="s">
        <v>1604</v>
      </c>
      <c r="N359" s="350" t="s">
        <v>1605</v>
      </c>
      <c r="T359" s="347" t="s">
        <v>631</v>
      </c>
      <c r="U359" s="347" t="s">
        <v>631</v>
      </c>
      <c r="V359" s="347" t="s">
        <v>631</v>
      </c>
      <c r="Z359" s="349" t="s">
        <v>975</v>
      </c>
    </row>
    <row r="360" spans="1:26" ht="16.899999999999999" customHeight="1" x14ac:dyDescent="0.15">
      <c r="A360" s="347" t="s">
        <v>1606</v>
      </c>
      <c r="B360" s="347">
        <v>3</v>
      </c>
      <c r="C360" s="347" t="s">
        <v>1019</v>
      </c>
      <c r="F360" s="348" t="s">
        <v>941</v>
      </c>
      <c r="G360" s="347" t="s">
        <v>709</v>
      </c>
      <c r="H360" s="347" t="s">
        <v>970</v>
      </c>
      <c r="I360" s="347" t="s">
        <v>971</v>
      </c>
      <c r="K360" s="350"/>
      <c r="L360" s="349" t="s">
        <v>972</v>
      </c>
      <c r="M360" s="350" t="s">
        <v>1607</v>
      </c>
      <c r="N360" s="350" t="s">
        <v>1608</v>
      </c>
      <c r="P360" s="347" t="s">
        <v>631</v>
      </c>
      <c r="R360" s="347" t="s">
        <v>631</v>
      </c>
      <c r="W360" s="347" t="s">
        <v>631</v>
      </c>
      <c r="Z360" s="349" t="s">
        <v>975</v>
      </c>
    </row>
    <row r="361" spans="1:26" ht="16.899999999999999" customHeight="1" x14ac:dyDescent="0.15">
      <c r="A361" s="347" t="s">
        <v>1609</v>
      </c>
      <c r="B361" s="347">
        <v>3</v>
      </c>
      <c r="C361" s="347" t="s">
        <v>968</v>
      </c>
      <c r="E361" s="347" t="s">
        <v>631</v>
      </c>
      <c r="F361" s="348" t="s">
        <v>941</v>
      </c>
      <c r="G361" s="347" t="s">
        <v>978</v>
      </c>
      <c r="H361" s="347" t="s">
        <v>970</v>
      </c>
      <c r="K361" s="350"/>
      <c r="L361" s="349" t="s">
        <v>979</v>
      </c>
      <c r="M361" s="350" t="s">
        <v>1610</v>
      </c>
      <c r="N361" s="350" t="s">
        <v>1611</v>
      </c>
      <c r="R361" s="347" t="s">
        <v>631</v>
      </c>
      <c r="Z361" s="349" t="s">
        <v>975</v>
      </c>
    </row>
    <row r="362" spans="1:26" ht="16.899999999999999" customHeight="1" x14ac:dyDescent="0.15">
      <c r="A362" s="347" t="s">
        <v>1612</v>
      </c>
      <c r="B362" s="347">
        <v>3</v>
      </c>
      <c r="C362" s="347" t="s">
        <v>968</v>
      </c>
      <c r="F362" s="348" t="s">
        <v>941</v>
      </c>
      <c r="G362" s="347" t="s">
        <v>969</v>
      </c>
      <c r="H362" s="347" t="s">
        <v>970</v>
      </c>
      <c r="I362" s="347" t="s">
        <v>971</v>
      </c>
      <c r="K362" s="350"/>
      <c r="L362" s="349" t="s">
        <v>1016</v>
      </c>
      <c r="M362" s="350" t="s">
        <v>1613</v>
      </c>
      <c r="N362" s="350" t="s">
        <v>1614</v>
      </c>
      <c r="P362" s="347" t="s">
        <v>631</v>
      </c>
      <c r="Q362" s="347" t="s">
        <v>631</v>
      </c>
      <c r="R362" s="347" t="s">
        <v>631</v>
      </c>
      <c r="S362" s="347" t="s">
        <v>631</v>
      </c>
      <c r="T362" s="347" t="s">
        <v>631</v>
      </c>
      <c r="Z362" s="349" t="s">
        <v>975</v>
      </c>
    </row>
    <row r="363" spans="1:26" ht="16.899999999999999" customHeight="1" x14ac:dyDescent="0.15">
      <c r="A363" s="347" t="s">
        <v>1615</v>
      </c>
      <c r="B363" s="347">
        <v>3</v>
      </c>
      <c r="C363" s="347" t="s">
        <v>977</v>
      </c>
      <c r="F363" s="348" t="s">
        <v>941</v>
      </c>
      <c r="G363" s="347" t="s">
        <v>988</v>
      </c>
      <c r="H363" s="347" t="s">
        <v>970</v>
      </c>
      <c r="I363" s="347" t="s">
        <v>971</v>
      </c>
      <c r="K363" s="350"/>
      <c r="L363" s="349" t="s">
        <v>972</v>
      </c>
      <c r="M363" s="350" t="s">
        <v>1616</v>
      </c>
      <c r="N363" s="350" t="s">
        <v>1617</v>
      </c>
      <c r="O363" s="347" t="s">
        <v>631</v>
      </c>
      <c r="P363" s="347" t="s">
        <v>631</v>
      </c>
      <c r="Q363" s="347" t="s">
        <v>631</v>
      </c>
      <c r="R363" s="347" t="s">
        <v>631</v>
      </c>
      <c r="S363" s="347" t="s">
        <v>631</v>
      </c>
      <c r="T363" s="347" t="s">
        <v>631</v>
      </c>
      <c r="U363" s="347" t="s">
        <v>631</v>
      </c>
      <c r="V363" s="347" t="s">
        <v>631</v>
      </c>
      <c r="W363" s="347" t="s">
        <v>631</v>
      </c>
      <c r="Y363" s="347" t="s">
        <v>631</v>
      </c>
      <c r="Z363" s="349" t="s">
        <v>975</v>
      </c>
    </row>
    <row r="364" spans="1:26" ht="16.899999999999999" customHeight="1" x14ac:dyDescent="0.15">
      <c r="A364" s="347" t="s">
        <v>1618</v>
      </c>
      <c r="B364" s="347">
        <v>3</v>
      </c>
      <c r="C364" s="347" t="s">
        <v>994</v>
      </c>
      <c r="E364" s="347" t="s">
        <v>631</v>
      </c>
      <c r="F364" s="348" t="s">
        <v>941</v>
      </c>
      <c r="G364" s="347" t="s">
        <v>984</v>
      </c>
      <c r="H364" s="347" t="s">
        <v>970</v>
      </c>
      <c r="I364" s="347" t="s">
        <v>971</v>
      </c>
      <c r="L364" s="349" t="s">
        <v>1211</v>
      </c>
      <c r="M364" s="350" t="s">
        <v>1619</v>
      </c>
      <c r="N364" s="350" t="s">
        <v>1620</v>
      </c>
      <c r="Q364" s="347" t="s">
        <v>631</v>
      </c>
      <c r="R364" s="347" t="s">
        <v>631</v>
      </c>
      <c r="S364" s="347" t="s">
        <v>631</v>
      </c>
      <c r="W364" s="347" t="s">
        <v>631</v>
      </c>
      <c r="Z364" s="349" t="s">
        <v>975</v>
      </c>
    </row>
    <row r="365" spans="1:26" ht="16.899999999999999" customHeight="1" x14ac:dyDescent="0.15">
      <c r="A365" s="347" t="s">
        <v>1621</v>
      </c>
      <c r="B365" s="347">
        <v>3</v>
      </c>
      <c r="C365" s="347" t="s">
        <v>987</v>
      </c>
      <c r="E365" s="347" t="s">
        <v>631</v>
      </c>
      <c r="F365" s="348" t="s">
        <v>941</v>
      </c>
      <c r="G365" s="347" t="s">
        <v>978</v>
      </c>
      <c r="H365" s="347" t="s">
        <v>970</v>
      </c>
      <c r="I365" s="347" t="s">
        <v>971</v>
      </c>
      <c r="J365" s="347" t="s">
        <v>989</v>
      </c>
      <c r="K365" s="350" t="s">
        <v>1622</v>
      </c>
      <c r="L365" s="349" t="s">
        <v>979</v>
      </c>
      <c r="M365" s="350" t="s">
        <v>1623</v>
      </c>
      <c r="N365" s="350" t="s">
        <v>1624</v>
      </c>
      <c r="O365" s="347" t="s">
        <v>631</v>
      </c>
      <c r="T365" s="347" t="s">
        <v>631</v>
      </c>
      <c r="U365" s="347" t="s">
        <v>631</v>
      </c>
      <c r="V365" s="347" t="s">
        <v>631</v>
      </c>
      <c r="Y365" s="347" t="s">
        <v>631</v>
      </c>
      <c r="Z365" s="349" t="s">
        <v>975</v>
      </c>
    </row>
    <row r="366" spans="1:26" ht="16.899999999999999" customHeight="1" x14ac:dyDescent="0.15">
      <c r="A366" s="347" t="s">
        <v>1625</v>
      </c>
      <c r="B366" s="347">
        <v>3</v>
      </c>
      <c r="C366" s="347" t="s">
        <v>983</v>
      </c>
      <c r="D366" s="347" t="s">
        <v>631</v>
      </c>
      <c r="F366" s="348" t="s">
        <v>1149</v>
      </c>
      <c r="G366" s="347" t="s">
        <v>984</v>
      </c>
      <c r="H366" s="347" t="s">
        <v>970</v>
      </c>
      <c r="I366" s="347" t="s">
        <v>971</v>
      </c>
      <c r="J366" s="347" t="s">
        <v>989</v>
      </c>
      <c r="K366" s="350" t="s">
        <v>1626</v>
      </c>
      <c r="L366" s="349" t="s">
        <v>1016</v>
      </c>
      <c r="M366" s="350" t="s">
        <v>1627</v>
      </c>
      <c r="N366" s="350" t="s">
        <v>1628</v>
      </c>
      <c r="O366" s="347" t="s">
        <v>631</v>
      </c>
      <c r="P366" s="347" t="s">
        <v>631</v>
      </c>
      <c r="Q366" s="347" t="s">
        <v>631</v>
      </c>
      <c r="V366" s="347" t="s">
        <v>631</v>
      </c>
      <c r="Z366" s="349" t="s">
        <v>975</v>
      </c>
    </row>
    <row r="367" spans="1:26" ht="16.899999999999999" customHeight="1" x14ac:dyDescent="0.15">
      <c r="A367" s="347" t="s">
        <v>1629</v>
      </c>
      <c r="B367" s="347">
        <v>3</v>
      </c>
      <c r="C367" s="347" t="s">
        <v>968</v>
      </c>
      <c r="F367" s="348" t="s">
        <v>941</v>
      </c>
      <c r="G367" s="347" t="s">
        <v>1541</v>
      </c>
      <c r="H367" s="347" t="s">
        <v>970</v>
      </c>
      <c r="I367" s="347" t="s">
        <v>971</v>
      </c>
      <c r="J367" s="347" t="s">
        <v>989</v>
      </c>
      <c r="K367" s="350" t="s">
        <v>1630</v>
      </c>
      <c r="L367" s="349" t="s">
        <v>972</v>
      </c>
      <c r="M367" s="350" t="s">
        <v>1631</v>
      </c>
      <c r="N367" s="350" t="s">
        <v>1632</v>
      </c>
      <c r="T367" s="347" t="s">
        <v>631</v>
      </c>
      <c r="V367" s="347" t="s">
        <v>631</v>
      </c>
      <c r="Z367" s="349" t="s">
        <v>975</v>
      </c>
    </row>
    <row r="368" spans="1:26" ht="16.899999999999999" customHeight="1" x14ac:dyDescent="0.15">
      <c r="A368" s="347" t="s">
        <v>1633</v>
      </c>
      <c r="B368" s="347">
        <v>3</v>
      </c>
      <c r="C368" s="347" t="s">
        <v>994</v>
      </c>
      <c r="E368" s="347" t="s">
        <v>631</v>
      </c>
      <c r="F368" s="348" t="s">
        <v>941</v>
      </c>
      <c r="G368" s="347" t="s">
        <v>984</v>
      </c>
      <c r="H368" s="347" t="s">
        <v>970</v>
      </c>
      <c r="I368" s="347" t="s">
        <v>971</v>
      </c>
      <c r="J368" s="347" t="s">
        <v>989</v>
      </c>
      <c r="K368" s="350" t="s">
        <v>1634</v>
      </c>
      <c r="L368" s="349" t="s">
        <v>1161</v>
      </c>
      <c r="M368" s="350" t="s">
        <v>1635</v>
      </c>
      <c r="N368" s="350" t="s">
        <v>1636</v>
      </c>
      <c r="T368" s="347" t="s">
        <v>631</v>
      </c>
      <c r="U368" s="347" t="s">
        <v>631</v>
      </c>
      <c r="V368" s="347" t="s">
        <v>631</v>
      </c>
      <c r="W368" s="347" t="s">
        <v>631</v>
      </c>
      <c r="Z368" s="349" t="s">
        <v>975</v>
      </c>
    </row>
    <row r="369" spans="1:26" ht="16.899999999999999" customHeight="1" x14ac:dyDescent="0.15">
      <c r="A369" s="347" t="s">
        <v>1637</v>
      </c>
      <c r="B369" s="347">
        <v>3</v>
      </c>
      <c r="C369" s="347" t="s">
        <v>994</v>
      </c>
      <c r="E369" s="347" t="s">
        <v>631</v>
      </c>
      <c r="F369" s="348" t="s">
        <v>941</v>
      </c>
      <c r="G369" s="347" t="s">
        <v>984</v>
      </c>
      <c r="H369" s="347" t="s">
        <v>970</v>
      </c>
      <c r="I369" s="347" t="s">
        <v>971</v>
      </c>
      <c r="J369" s="347" t="s">
        <v>989</v>
      </c>
      <c r="K369" s="350" t="s">
        <v>1638</v>
      </c>
      <c r="L369" s="349" t="s">
        <v>1211</v>
      </c>
      <c r="M369" s="350" t="s">
        <v>1639</v>
      </c>
      <c r="N369" s="350" t="s">
        <v>1640</v>
      </c>
      <c r="T369" s="347" t="s">
        <v>631</v>
      </c>
      <c r="U369" s="347" t="s">
        <v>631</v>
      </c>
      <c r="V369" s="347" t="s">
        <v>631</v>
      </c>
      <c r="Y369" s="347" t="s">
        <v>631</v>
      </c>
      <c r="Z369" s="349" t="s">
        <v>975</v>
      </c>
    </row>
    <row r="370" spans="1:26" ht="16.899999999999999" customHeight="1" x14ac:dyDescent="0.15">
      <c r="A370" s="347" t="s">
        <v>1641</v>
      </c>
      <c r="B370" s="347">
        <v>3</v>
      </c>
      <c r="C370" s="347" t="s">
        <v>977</v>
      </c>
      <c r="F370" s="348" t="s">
        <v>1016</v>
      </c>
      <c r="G370" s="347" t="s">
        <v>984</v>
      </c>
      <c r="H370" s="347" t="s">
        <v>970</v>
      </c>
      <c r="I370" s="347" t="s">
        <v>971</v>
      </c>
      <c r="J370" s="347" t="s">
        <v>989</v>
      </c>
      <c r="K370" s="350" t="s">
        <v>1642</v>
      </c>
      <c r="L370" s="349" t="s">
        <v>1643</v>
      </c>
      <c r="M370" s="350" t="s">
        <v>1644</v>
      </c>
      <c r="N370" s="350" t="s">
        <v>1645</v>
      </c>
      <c r="O370" s="347" t="s">
        <v>631</v>
      </c>
      <c r="P370" s="347" t="s">
        <v>631</v>
      </c>
      <c r="V370" s="347" t="s">
        <v>631</v>
      </c>
      <c r="W370" s="347" t="s">
        <v>631</v>
      </c>
      <c r="Y370" s="347" t="s">
        <v>631</v>
      </c>
      <c r="Z370" s="349" t="s">
        <v>975</v>
      </c>
    </row>
    <row r="371" spans="1:26" ht="16.899999999999999" customHeight="1" x14ac:dyDescent="0.15">
      <c r="A371" s="347" t="s">
        <v>1646</v>
      </c>
      <c r="B371" s="347">
        <v>3</v>
      </c>
      <c r="C371" s="347" t="s">
        <v>994</v>
      </c>
      <c r="E371" s="347" t="s">
        <v>631</v>
      </c>
      <c r="F371" s="348" t="s">
        <v>941</v>
      </c>
      <c r="G371" s="347" t="s">
        <v>709</v>
      </c>
      <c r="H371" s="347" t="s">
        <v>970</v>
      </c>
      <c r="I371" s="347" t="s">
        <v>971</v>
      </c>
      <c r="J371" s="347" t="s">
        <v>989</v>
      </c>
      <c r="K371" s="350" t="s">
        <v>1647</v>
      </c>
      <c r="L371" s="349" t="s">
        <v>979</v>
      </c>
      <c r="M371" s="350" t="s">
        <v>1648</v>
      </c>
      <c r="N371" s="350" t="s">
        <v>1649</v>
      </c>
      <c r="T371" s="347" t="s">
        <v>631</v>
      </c>
      <c r="V371" s="347" t="s">
        <v>631</v>
      </c>
      <c r="W371" s="347" t="s">
        <v>631</v>
      </c>
      <c r="Y371" s="347" t="s">
        <v>631</v>
      </c>
      <c r="Z371" s="349" t="s">
        <v>975</v>
      </c>
    </row>
    <row r="372" spans="1:26" ht="16.899999999999999" customHeight="1" x14ac:dyDescent="0.15">
      <c r="A372" s="347" t="s">
        <v>1650</v>
      </c>
      <c r="B372" s="347">
        <v>3</v>
      </c>
      <c r="C372" s="347" t="s">
        <v>1019</v>
      </c>
      <c r="E372" s="347" t="s">
        <v>631</v>
      </c>
      <c r="F372" s="348" t="s">
        <v>941</v>
      </c>
      <c r="G372" s="347" t="s">
        <v>1541</v>
      </c>
      <c r="H372" s="347" t="s">
        <v>970</v>
      </c>
      <c r="I372" s="347" t="s">
        <v>971</v>
      </c>
      <c r="J372" s="347" t="s">
        <v>989</v>
      </c>
      <c r="K372" s="350" t="s">
        <v>1651</v>
      </c>
      <c r="L372" s="349" t="s">
        <v>979</v>
      </c>
      <c r="M372" s="350" t="s">
        <v>1652</v>
      </c>
      <c r="N372" s="350" t="s">
        <v>1653</v>
      </c>
      <c r="U372" s="347" t="s">
        <v>631</v>
      </c>
      <c r="Z372" s="349" t="s">
        <v>975</v>
      </c>
    </row>
    <row r="373" spans="1:26" ht="16.899999999999999" customHeight="1" x14ac:dyDescent="0.15">
      <c r="A373" s="347" t="s">
        <v>1654</v>
      </c>
      <c r="B373" s="347">
        <v>3</v>
      </c>
      <c r="C373" s="347" t="s">
        <v>987</v>
      </c>
      <c r="E373" s="347" t="s">
        <v>631</v>
      </c>
      <c r="F373" s="348" t="s">
        <v>941</v>
      </c>
      <c r="G373" s="347" t="s">
        <v>988</v>
      </c>
      <c r="I373" s="347" t="s">
        <v>971</v>
      </c>
      <c r="J373" s="347" t="s">
        <v>989</v>
      </c>
      <c r="K373" s="350" t="s">
        <v>1655</v>
      </c>
      <c r="L373" s="349" t="s">
        <v>979</v>
      </c>
      <c r="M373" s="350" t="s">
        <v>1656</v>
      </c>
      <c r="N373" s="350" t="s">
        <v>1657</v>
      </c>
      <c r="O373" s="347" t="s">
        <v>631</v>
      </c>
      <c r="T373" s="347" t="s">
        <v>631</v>
      </c>
      <c r="U373" s="347" t="s">
        <v>631</v>
      </c>
      <c r="V373" s="347" t="s">
        <v>631</v>
      </c>
      <c r="Y373" s="347" t="s">
        <v>631</v>
      </c>
      <c r="Z373" s="349" t="s">
        <v>975</v>
      </c>
    </row>
    <row r="374" spans="1:26" ht="16.899999999999999" customHeight="1" x14ac:dyDescent="0.15">
      <c r="A374" s="347" t="s">
        <v>1658</v>
      </c>
      <c r="B374" s="347">
        <v>3</v>
      </c>
      <c r="C374" s="347" t="s">
        <v>968</v>
      </c>
      <c r="D374" s="347" t="s">
        <v>631</v>
      </c>
      <c r="F374" s="348" t="s">
        <v>1250</v>
      </c>
      <c r="G374" s="347" t="s">
        <v>978</v>
      </c>
      <c r="H374" s="347" t="s">
        <v>970</v>
      </c>
      <c r="I374" s="347" t="s">
        <v>971</v>
      </c>
      <c r="J374" s="347" t="s">
        <v>989</v>
      </c>
      <c r="K374" s="350" t="s">
        <v>1659</v>
      </c>
      <c r="L374" s="349" t="s">
        <v>1339</v>
      </c>
      <c r="M374" s="350" t="s">
        <v>1660</v>
      </c>
      <c r="N374" s="350" t="s">
        <v>1661</v>
      </c>
      <c r="O374" s="347" t="s">
        <v>631</v>
      </c>
      <c r="V374" s="347" t="s">
        <v>631</v>
      </c>
      <c r="Z374" s="349" t="s">
        <v>975</v>
      </c>
    </row>
    <row r="375" spans="1:26" ht="16.899999999999999" customHeight="1" x14ac:dyDescent="0.15">
      <c r="A375" s="347" t="s">
        <v>1662</v>
      </c>
      <c r="B375" s="347">
        <v>3</v>
      </c>
      <c r="C375" s="347" t="s">
        <v>994</v>
      </c>
      <c r="F375" s="348" t="s">
        <v>1663</v>
      </c>
      <c r="G375" s="347" t="s">
        <v>978</v>
      </c>
      <c r="H375" s="347" t="s">
        <v>970</v>
      </c>
      <c r="I375" s="347" t="s">
        <v>971</v>
      </c>
      <c r="L375" s="349" t="s">
        <v>972</v>
      </c>
      <c r="M375" s="350" t="s">
        <v>1664</v>
      </c>
      <c r="N375" s="350" t="s">
        <v>1665</v>
      </c>
      <c r="S375" s="347" t="s">
        <v>631</v>
      </c>
      <c r="Z375" s="349" t="s">
        <v>975</v>
      </c>
    </row>
    <row r="376" spans="1:26" ht="16.899999999999999" customHeight="1" x14ac:dyDescent="0.15">
      <c r="A376" s="347" t="s">
        <v>1666</v>
      </c>
      <c r="B376" s="347">
        <v>3</v>
      </c>
      <c r="C376" s="347" t="s">
        <v>968</v>
      </c>
      <c r="F376" s="348" t="s">
        <v>941</v>
      </c>
      <c r="G376" s="347" t="s">
        <v>978</v>
      </c>
      <c r="H376" s="347" t="s">
        <v>970</v>
      </c>
      <c r="I376" s="347" t="s">
        <v>971</v>
      </c>
      <c r="J376" s="347" t="s">
        <v>989</v>
      </c>
      <c r="K376" s="350" t="s">
        <v>1667</v>
      </c>
      <c r="L376" s="349" t="s">
        <v>972</v>
      </c>
      <c r="M376" s="350" t="s">
        <v>1668</v>
      </c>
      <c r="N376" s="350" t="s">
        <v>1669</v>
      </c>
      <c r="T376" s="347" t="s">
        <v>631</v>
      </c>
      <c r="V376" s="347" t="s">
        <v>631</v>
      </c>
      <c r="Z376" s="349" t="s">
        <v>975</v>
      </c>
    </row>
    <row r="377" spans="1:26" ht="16.899999999999999" customHeight="1" x14ac:dyDescent="0.15">
      <c r="A377" s="347" t="s">
        <v>1670</v>
      </c>
      <c r="B377" s="347">
        <v>3</v>
      </c>
      <c r="C377" s="347" t="s">
        <v>977</v>
      </c>
      <c r="F377" s="348" t="s">
        <v>1020</v>
      </c>
      <c r="G377" s="347" t="s">
        <v>1008</v>
      </c>
      <c r="H377" s="347" t="s">
        <v>970</v>
      </c>
      <c r="I377" s="347" t="s">
        <v>971</v>
      </c>
      <c r="J377" s="347" t="s">
        <v>989</v>
      </c>
      <c r="K377" s="350" t="s">
        <v>1671</v>
      </c>
      <c r="L377" s="349" t="s">
        <v>1016</v>
      </c>
      <c r="M377" s="350" t="s">
        <v>1672</v>
      </c>
      <c r="N377" s="350" t="s">
        <v>1673</v>
      </c>
      <c r="P377" s="347" t="s">
        <v>631</v>
      </c>
      <c r="R377" s="347" t="s">
        <v>631</v>
      </c>
      <c r="U377" s="347" t="s">
        <v>631</v>
      </c>
      <c r="V377" s="347" t="s">
        <v>631</v>
      </c>
      <c r="Y377" s="347" t="s">
        <v>631</v>
      </c>
      <c r="Z377" s="349" t="s">
        <v>975</v>
      </c>
    </row>
    <row r="378" spans="1:26" ht="16.899999999999999" customHeight="1" x14ac:dyDescent="0.15">
      <c r="A378" s="347" t="s">
        <v>1674</v>
      </c>
      <c r="B378" s="347">
        <v>3</v>
      </c>
      <c r="C378" s="347" t="s">
        <v>987</v>
      </c>
      <c r="E378" s="347" t="s">
        <v>631</v>
      </c>
      <c r="F378" s="348" t="s">
        <v>941</v>
      </c>
      <c r="G378" s="347" t="s">
        <v>988</v>
      </c>
      <c r="H378" s="347" t="s">
        <v>970</v>
      </c>
      <c r="I378" s="347" t="s">
        <v>971</v>
      </c>
      <c r="J378" s="347" t="s">
        <v>989</v>
      </c>
      <c r="K378" s="350" t="s">
        <v>1036</v>
      </c>
      <c r="L378" s="349" t="s">
        <v>1161</v>
      </c>
      <c r="M378" s="350" t="s">
        <v>1675</v>
      </c>
      <c r="N378" s="350" t="s">
        <v>1676</v>
      </c>
      <c r="O378" s="347" t="s">
        <v>631</v>
      </c>
      <c r="T378" s="347" t="s">
        <v>631</v>
      </c>
      <c r="U378" s="347" t="s">
        <v>631</v>
      </c>
      <c r="V378" s="347" t="s">
        <v>631</v>
      </c>
      <c r="Z378" s="349" t="s">
        <v>975</v>
      </c>
    </row>
    <row r="379" spans="1:26" ht="16.899999999999999" customHeight="1" x14ac:dyDescent="0.15">
      <c r="A379" s="347" t="s">
        <v>1677</v>
      </c>
      <c r="B379" s="347">
        <v>3</v>
      </c>
      <c r="C379" s="347" t="s">
        <v>968</v>
      </c>
      <c r="F379" s="348" t="s">
        <v>1047</v>
      </c>
      <c r="G379" s="347" t="s">
        <v>969</v>
      </c>
      <c r="H379" s="347" t="s">
        <v>970</v>
      </c>
      <c r="K379" s="350"/>
      <c r="L379" s="349" t="s">
        <v>972</v>
      </c>
      <c r="M379" s="350" t="s">
        <v>1678</v>
      </c>
      <c r="N379" s="350" t="s">
        <v>1679</v>
      </c>
      <c r="O379" s="347" t="s">
        <v>631</v>
      </c>
      <c r="P379" s="347" t="s">
        <v>631</v>
      </c>
      <c r="Y379" s="347" t="s">
        <v>631</v>
      </c>
      <c r="Z379" s="349" t="s">
        <v>975</v>
      </c>
    </row>
    <row r="380" spans="1:26" ht="16.899999999999999" customHeight="1" x14ac:dyDescent="0.15">
      <c r="A380" s="347" t="s">
        <v>1680</v>
      </c>
      <c r="B380" s="347">
        <v>3</v>
      </c>
      <c r="C380" s="347" t="s">
        <v>994</v>
      </c>
      <c r="D380" s="347" t="s">
        <v>631</v>
      </c>
      <c r="F380" s="348" t="s">
        <v>1149</v>
      </c>
      <c r="G380" s="347" t="s">
        <v>984</v>
      </c>
      <c r="H380" s="347" t="s">
        <v>970</v>
      </c>
      <c r="I380" s="347" t="s">
        <v>971</v>
      </c>
      <c r="L380" s="349" t="s">
        <v>1104</v>
      </c>
      <c r="M380" s="350" t="s">
        <v>1681</v>
      </c>
      <c r="N380" s="350" t="s">
        <v>1682</v>
      </c>
      <c r="P380" s="347" t="s">
        <v>631</v>
      </c>
      <c r="Q380" s="347" t="s">
        <v>631</v>
      </c>
      <c r="S380" s="347" t="s">
        <v>631</v>
      </c>
      <c r="Z380" s="349" t="s">
        <v>975</v>
      </c>
    </row>
    <row r="381" spans="1:26" ht="16.899999999999999" customHeight="1" x14ac:dyDescent="0.15">
      <c r="A381" s="347" t="s">
        <v>1683</v>
      </c>
      <c r="B381" s="347">
        <v>3</v>
      </c>
      <c r="C381" s="347" t="s">
        <v>977</v>
      </c>
      <c r="F381" s="348" t="s">
        <v>941</v>
      </c>
      <c r="G381" s="347" t="s">
        <v>984</v>
      </c>
      <c r="H381" s="347" t="s">
        <v>970</v>
      </c>
      <c r="I381" s="347" t="s">
        <v>971</v>
      </c>
      <c r="J381" s="347" t="s">
        <v>989</v>
      </c>
      <c r="K381" s="350" t="s">
        <v>1684</v>
      </c>
      <c r="L381" s="349" t="s">
        <v>1104</v>
      </c>
      <c r="M381" s="350" t="s">
        <v>1685</v>
      </c>
      <c r="N381" s="350" t="s">
        <v>1686</v>
      </c>
      <c r="O381" s="347" t="s">
        <v>631</v>
      </c>
      <c r="S381" s="347" t="s">
        <v>631</v>
      </c>
      <c r="V381" s="347" t="s">
        <v>631</v>
      </c>
      <c r="Z381" s="349" t="s">
        <v>975</v>
      </c>
    </row>
    <row r="382" spans="1:26" ht="16.899999999999999" customHeight="1" x14ac:dyDescent="0.15">
      <c r="A382" s="347" t="s">
        <v>1687</v>
      </c>
      <c r="B382" s="347">
        <v>3</v>
      </c>
      <c r="C382" s="347" t="s">
        <v>987</v>
      </c>
      <c r="D382" s="347" t="s">
        <v>631</v>
      </c>
      <c r="F382" s="348" t="s">
        <v>1250</v>
      </c>
      <c r="G382" s="347" t="s">
        <v>709</v>
      </c>
      <c r="H382" s="347" t="s">
        <v>970</v>
      </c>
      <c r="I382" s="347" t="s">
        <v>971</v>
      </c>
      <c r="K382" s="350"/>
      <c r="L382" s="349" t="s">
        <v>1016</v>
      </c>
      <c r="M382" s="350" t="s">
        <v>1688</v>
      </c>
      <c r="N382" s="350" t="s">
        <v>1689</v>
      </c>
      <c r="V382" s="347" t="s">
        <v>631</v>
      </c>
      <c r="Z382" s="349" t="s">
        <v>975</v>
      </c>
    </row>
    <row r="383" spans="1:26" ht="16.899999999999999" customHeight="1" x14ac:dyDescent="0.15">
      <c r="A383" s="347" t="s">
        <v>1690</v>
      </c>
      <c r="B383" s="347">
        <v>3</v>
      </c>
      <c r="C383" s="347" t="s">
        <v>994</v>
      </c>
      <c r="F383" s="348" t="s">
        <v>1691</v>
      </c>
      <c r="G383" s="347" t="s">
        <v>1541</v>
      </c>
      <c r="H383" s="347" t="s">
        <v>970</v>
      </c>
      <c r="I383" s="347" t="s">
        <v>971</v>
      </c>
      <c r="K383" s="350"/>
      <c r="L383" s="349" t="s">
        <v>972</v>
      </c>
      <c r="M383" s="350" t="s">
        <v>1692</v>
      </c>
      <c r="N383" s="350" t="s">
        <v>1693</v>
      </c>
      <c r="O383" s="347" t="s">
        <v>631</v>
      </c>
      <c r="Q383" s="347" t="s">
        <v>631</v>
      </c>
      <c r="S383" s="347" t="s">
        <v>631</v>
      </c>
      <c r="Z383" s="349" t="s">
        <v>975</v>
      </c>
    </row>
    <row r="384" spans="1:26" ht="16.899999999999999" customHeight="1" x14ac:dyDescent="0.15">
      <c r="A384" s="347" t="s">
        <v>1694</v>
      </c>
      <c r="B384" s="347">
        <v>3</v>
      </c>
      <c r="C384" s="347" t="s">
        <v>977</v>
      </c>
      <c r="E384" s="347" t="s">
        <v>631</v>
      </c>
      <c r="F384" s="348" t="s">
        <v>941</v>
      </c>
      <c r="G384" s="347" t="s">
        <v>984</v>
      </c>
      <c r="H384" s="347" t="s">
        <v>970</v>
      </c>
      <c r="I384" s="347" t="s">
        <v>971</v>
      </c>
      <c r="K384" s="350"/>
      <c r="L384" s="349" t="s">
        <v>1211</v>
      </c>
      <c r="M384" s="350" t="s">
        <v>1695</v>
      </c>
      <c r="N384" s="350" t="s">
        <v>1696</v>
      </c>
      <c r="P384" s="347" t="s">
        <v>631</v>
      </c>
      <c r="Q384" s="347" t="s">
        <v>631</v>
      </c>
      <c r="S384" s="347" t="s">
        <v>631</v>
      </c>
      <c r="T384" s="347" t="s">
        <v>631</v>
      </c>
      <c r="V384" s="347" t="s">
        <v>631</v>
      </c>
      <c r="W384" s="347" t="s">
        <v>631</v>
      </c>
      <c r="Y384" s="347" t="s">
        <v>631</v>
      </c>
      <c r="Z384" s="349" t="s">
        <v>975</v>
      </c>
    </row>
    <row r="385" spans="1:26" ht="16.899999999999999" customHeight="1" x14ac:dyDescent="0.15">
      <c r="A385" s="347" t="s">
        <v>1697</v>
      </c>
      <c r="B385" s="347">
        <v>3</v>
      </c>
      <c r="C385" s="347" t="s">
        <v>977</v>
      </c>
      <c r="F385" s="348" t="s">
        <v>941</v>
      </c>
      <c r="G385" s="347" t="s">
        <v>984</v>
      </c>
      <c r="H385" s="347" t="s">
        <v>970</v>
      </c>
      <c r="I385" s="347" t="s">
        <v>971</v>
      </c>
      <c r="L385" s="349" t="s">
        <v>972</v>
      </c>
      <c r="M385" s="350" t="s">
        <v>1698</v>
      </c>
      <c r="N385" s="350" t="s">
        <v>1699</v>
      </c>
      <c r="P385" s="347" t="s">
        <v>631</v>
      </c>
      <c r="R385" s="347" t="s">
        <v>631</v>
      </c>
      <c r="U385" s="347" t="s">
        <v>631</v>
      </c>
      <c r="V385" s="347" t="s">
        <v>631</v>
      </c>
      <c r="Y385" s="347" t="s">
        <v>631</v>
      </c>
      <c r="Z385" s="349" t="s">
        <v>975</v>
      </c>
    </row>
    <row r="386" spans="1:26" ht="16.899999999999999" customHeight="1" x14ac:dyDescent="0.15">
      <c r="A386" s="347" t="s">
        <v>1700</v>
      </c>
      <c r="B386" s="347">
        <v>3</v>
      </c>
      <c r="C386" s="347" t="s">
        <v>983</v>
      </c>
      <c r="F386" s="348" t="s">
        <v>941</v>
      </c>
      <c r="G386" s="347" t="s">
        <v>984</v>
      </c>
      <c r="H386" s="347" t="s">
        <v>970</v>
      </c>
      <c r="I386" s="347" t="s">
        <v>971</v>
      </c>
      <c r="J386" s="347" t="s">
        <v>989</v>
      </c>
      <c r="K386" s="350" t="s">
        <v>1701</v>
      </c>
      <c r="L386" s="349" t="s">
        <v>972</v>
      </c>
      <c r="M386" s="350" t="s">
        <v>1702</v>
      </c>
      <c r="N386" s="350" t="s">
        <v>1703</v>
      </c>
      <c r="P386" s="347" t="s">
        <v>631</v>
      </c>
      <c r="Q386" s="347" t="s">
        <v>631</v>
      </c>
      <c r="R386" s="347" t="s">
        <v>631</v>
      </c>
      <c r="S386" s="347" t="s">
        <v>631</v>
      </c>
      <c r="W386" s="347" t="s">
        <v>631</v>
      </c>
      <c r="Y386" s="347" t="s">
        <v>631</v>
      </c>
      <c r="Z386" s="349" t="s">
        <v>975</v>
      </c>
    </row>
    <row r="387" spans="1:26" ht="16.899999999999999" customHeight="1" x14ac:dyDescent="0.15">
      <c r="A387" s="347" t="s">
        <v>1704</v>
      </c>
      <c r="B387" s="347">
        <v>3</v>
      </c>
      <c r="C387" s="347" t="s">
        <v>1013</v>
      </c>
      <c r="F387" s="348" t="s">
        <v>941</v>
      </c>
      <c r="G387" s="347" t="s">
        <v>1705</v>
      </c>
      <c r="H387" s="347" t="s">
        <v>970</v>
      </c>
      <c r="I387" s="347" t="s">
        <v>971</v>
      </c>
      <c r="J387" s="347" t="s">
        <v>989</v>
      </c>
      <c r="K387" s="350" t="s">
        <v>1028</v>
      </c>
      <c r="L387" s="349" t="s">
        <v>972</v>
      </c>
      <c r="M387" s="350" t="s">
        <v>1706</v>
      </c>
      <c r="N387" s="350" t="s">
        <v>1707</v>
      </c>
      <c r="O387" s="347" t="s">
        <v>631</v>
      </c>
      <c r="P387" s="347" t="s">
        <v>631</v>
      </c>
      <c r="V387" s="347" t="s">
        <v>631</v>
      </c>
      <c r="Y387" s="347" t="s">
        <v>631</v>
      </c>
      <c r="Z387" s="349" t="s">
        <v>975</v>
      </c>
    </row>
    <row r="388" spans="1:26" ht="16.899999999999999" customHeight="1" x14ac:dyDescent="0.15">
      <c r="A388" s="347" t="s">
        <v>1708</v>
      </c>
      <c r="B388" s="347">
        <v>3</v>
      </c>
      <c r="C388" s="347" t="s">
        <v>1019</v>
      </c>
      <c r="E388" s="347" t="s">
        <v>631</v>
      </c>
      <c r="F388" s="348" t="s">
        <v>941</v>
      </c>
      <c r="G388" s="347" t="s">
        <v>1541</v>
      </c>
      <c r="H388" s="347" t="s">
        <v>970</v>
      </c>
      <c r="I388" s="347" t="s">
        <v>971</v>
      </c>
      <c r="J388" s="347" t="s">
        <v>989</v>
      </c>
      <c r="K388" s="350" t="s">
        <v>1709</v>
      </c>
      <c r="L388" s="349" t="s">
        <v>979</v>
      </c>
      <c r="M388" s="350" t="s">
        <v>1710</v>
      </c>
      <c r="N388" s="350" t="s">
        <v>1711</v>
      </c>
      <c r="Q388" s="347" t="s">
        <v>631</v>
      </c>
      <c r="T388" s="347" t="s">
        <v>631</v>
      </c>
      <c r="V388" s="347" t="s">
        <v>631</v>
      </c>
      <c r="Z388" s="349" t="s">
        <v>975</v>
      </c>
    </row>
    <row r="389" spans="1:26" ht="16.899999999999999" customHeight="1" x14ac:dyDescent="0.15">
      <c r="A389" s="347" t="s">
        <v>1712</v>
      </c>
      <c r="B389" s="347">
        <v>3</v>
      </c>
      <c r="C389" s="347" t="s">
        <v>994</v>
      </c>
      <c r="E389" s="347" t="s">
        <v>631</v>
      </c>
      <c r="F389" s="348" t="s">
        <v>941</v>
      </c>
      <c r="G389" s="347" t="s">
        <v>988</v>
      </c>
      <c r="H389" s="347" t="s">
        <v>970</v>
      </c>
      <c r="I389" s="347" t="s">
        <v>971</v>
      </c>
      <c r="J389" s="347" t="s">
        <v>989</v>
      </c>
      <c r="K389" s="350" t="s">
        <v>1713</v>
      </c>
      <c r="L389" s="349" t="s">
        <v>979</v>
      </c>
      <c r="M389" s="350" t="s">
        <v>1714</v>
      </c>
      <c r="N389" s="350" t="s">
        <v>1715</v>
      </c>
      <c r="O389" s="347" t="s">
        <v>631</v>
      </c>
      <c r="T389" s="347" t="s">
        <v>631</v>
      </c>
      <c r="V389" s="347" t="s">
        <v>631</v>
      </c>
      <c r="Y389" s="347" t="s">
        <v>631</v>
      </c>
      <c r="Z389" s="349" t="s">
        <v>975</v>
      </c>
    </row>
    <row r="390" spans="1:26" ht="16.899999999999999" customHeight="1" x14ac:dyDescent="0.15">
      <c r="A390" s="347" t="s">
        <v>1716</v>
      </c>
      <c r="B390" s="347">
        <v>3</v>
      </c>
      <c r="C390" s="347" t="s">
        <v>983</v>
      </c>
      <c r="F390" s="348" t="s">
        <v>941</v>
      </c>
      <c r="G390" s="347" t="s">
        <v>1008</v>
      </c>
      <c r="H390" s="347" t="s">
        <v>970</v>
      </c>
      <c r="I390" s="347" t="s">
        <v>971</v>
      </c>
      <c r="J390" s="347" t="s">
        <v>989</v>
      </c>
      <c r="K390" s="350" t="s">
        <v>1717</v>
      </c>
      <c r="L390" s="349" t="s">
        <v>1718</v>
      </c>
      <c r="M390" s="350" t="s">
        <v>1719</v>
      </c>
      <c r="N390" s="350" t="s">
        <v>1720</v>
      </c>
      <c r="O390" s="347" t="s">
        <v>631</v>
      </c>
      <c r="P390" s="347" t="s">
        <v>631</v>
      </c>
      <c r="V390" s="347" t="s">
        <v>631</v>
      </c>
      <c r="Y390" s="347" t="s">
        <v>631</v>
      </c>
      <c r="Z390" s="349" t="s">
        <v>975</v>
      </c>
    </row>
    <row r="391" spans="1:26" ht="16.899999999999999" customHeight="1" x14ac:dyDescent="0.15">
      <c r="A391" s="347" t="s">
        <v>1721</v>
      </c>
      <c r="B391" s="347">
        <v>3</v>
      </c>
      <c r="C391" s="347" t="s">
        <v>994</v>
      </c>
      <c r="F391" s="348" t="s">
        <v>941</v>
      </c>
      <c r="G391" s="347" t="s">
        <v>1722</v>
      </c>
      <c r="H391" s="347" t="s">
        <v>970</v>
      </c>
      <c r="I391" s="347" t="s">
        <v>971</v>
      </c>
      <c r="K391" s="350"/>
      <c r="L391" s="349" t="s">
        <v>1718</v>
      </c>
      <c r="M391" s="350" t="s">
        <v>1723</v>
      </c>
      <c r="N391" s="350" t="s">
        <v>1724</v>
      </c>
      <c r="O391" s="347" t="s">
        <v>631</v>
      </c>
      <c r="Q391" s="347" t="s">
        <v>631</v>
      </c>
      <c r="S391" s="347" t="s">
        <v>631</v>
      </c>
      <c r="Z391" s="349" t="s">
        <v>975</v>
      </c>
    </row>
    <row r="392" spans="1:26" ht="16.899999999999999" customHeight="1" x14ac:dyDescent="0.15">
      <c r="A392" s="347" t="s">
        <v>1725</v>
      </c>
      <c r="B392" s="347">
        <v>3</v>
      </c>
      <c r="C392" s="347" t="s">
        <v>1019</v>
      </c>
      <c r="E392" s="347" t="s">
        <v>631</v>
      </c>
      <c r="F392" s="348" t="s">
        <v>941</v>
      </c>
      <c r="G392" s="347" t="s">
        <v>978</v>
      </c>
      <c r="H392" s="347" t="s">
        <v>970</v>
      </c>
      <c r="I392" s="347" t="s">
        <v>971</v>
      </c>
      <c r="J392" s="347" t="s">
        <v>989</v>
      </c>
      <c r="K392" s="350" t="s">
        <v>1726</v>
      </c>
      <c r="L392" s="349" t="s">
        <v>1161</v>
      </c>
      <c r="M392" s="350" t="s">
        <v>1727</v>
      </c>
      <c r="N392" s="350" t="s">
        <v>1728</v>
      </c>
      <c r="P392" s="347" t="s">
        <v>631</v>
      </c>
      <c r="Z392" s="349" t="s">
        <v>975</v>
      </c>
    </row>
    <row r="393" spans="1:26" ht="16.899999999999999" customHeight="1" x14ac:dyDescent="0.15">
      <c r="A393" s="347" t="s">
        <v>1729</v>
      </c>
      <c r="B393" s="347">
        <v>3</v>
      </c>
      <c r="C393" s="347" t="s">
        <v>1019</v>
      </c>
      <c r="E393" s="347" t="s">
        <v>631</v>
      </c>
      <c r="F393" s="348" t="s">
        <v>941</v>
      </c>
      <c r="G393" s="347" t="s">
        <v>1134</v>
      </c>
      <c r="H393" s="347" t="s">
        <v>970</v>
      </c>
      <c r="I393" s="347" t="s">
        <v>971</v>
      </c>
      <c r="J393" s="347" t="s">
        <v>989</v>
      </c>
      <c r="K393" s="350" t="s">
        <v>1730</v>
      </c>
      <c r="L393" s="349" t="s">
        <v>979</v>
      </c>
      <c r="M393" s="350" t="s">
        <v>1731</v>
      </c>
      <c r="N393" s="350" t="s">
        <v>1732</v>
      </c>
      <c r="O393" s="347" t="s">
        <v>631</v>
      </c>
      <c r="T393" s="347" t="s">
        <v>631</v>
      </c>
      <c r="V393" s="347" t="s">
        <v>631</v>
      </c>
      <c r="Y393" s="347" t="s">
        <v>631</v>
      </c>
      <c r="Z393" s="349" t="s">
        <v>975</v>
      </c>
    </row>
    <row r="394" spans="1:26" ht="16.899999999999999" customHeight="1" x14ac:dyDescent="0.15">
      <c r="A394" s="347" t="s">
        <v>1733</v>
      </c>
      <c r="B394" s="347">
        <v>3</v>
      </c>
      <c r="C394" s="347" t="s">
        <v>1019</v>
      </c>
      <c r="E394" s="347" t="s">
        <v>631</v>
      </c>
      <c r="F394" s="348" t="s">
        <v>941</v>
      </c>
      <c r="G394" s="347" t="s">
        <v>1134</v>
      </c>
      <c r="H394" s="347" t="s">
        <v>970</v>
      </c>
      <c r="I394" s="347" t="s">
        <v>971</v>
      </c>
      <c r="J394" s="347" t="s">
        <v>989</v>
      </c>
      <c r="K394" s="350" t="s">
        <v>1734</v>
      </c>
      <c r="L394" s="349" t="s">
        <v>1211</v>
      </c>
      <c r="M394" s="350" t="s">
        <v>1735</v>
      </c>
      <c r="N394" s="350" t="s">
        <v>1736</v>
      </c>
      <c r="Q394" s="347" t="s">
        <v>631</v>
      </c>
      <c r="S394" s="347" t="s">
        <v>631</v>
      </c>
      <c r="U394" s="347" t="s">
        <v>631</v>
      </c>
      <c r="V394" s="347" t="s">
        <v>631</v>
      </c>
      <c r="Z394" s="349" t="s">
        <v>975</v>
      </c>
    </row>
    <row r="395" spans="1:26" ht="16.899999999999999" customHeight="1" x14ac:dyDescent="0.15">
      <c r="A395" s="347" t="s">
        <v>1737</v>
      </c>
      <c r="B395" s="347">
        <v>3</v>
      </c>
      <c r="C395" s="347" t="s">
        <v>983</v>
      </c>
      <c r="E395" s="347" t="s">
        <v>631</v>
      </c>
      <c r="F395" s="348" t="s">
        <v>941</v>
      </c>
      <c r="G395" s="347" t="s">
        <v>1134</v>
      </c>
      <c r="H395" s="347" t="s">
        <v>970</v>
      </c>
      <c r="I395" s="347" t="s">
        <v>971</v>
      </c>
      <c r="J395" s="347" t="s">
        <v>989</v>
      </c>
      <c r="K395" s="350" t="s">
        <v>1738</v>
      </c>
      <c r="L395" s="349" t="s">
        <v>1211</v>
      </c>
      <c r="M395" s="350" t="s">
        <v>1739</v>
      </c>
      <c r="N395" s="350" t="s">
        <v>1740</v>
      </c>
      <c r="U395" s="347" t="s">
        <v>631</v>
      </c>
      <c r="V395" s="347" t="s">
        <v>631</v>
      </c>
      <c r="Z395" s="349" t="s">
        <v>975</v>
      </c>
    </row>
    <row r="396" spans="1:26" ht="16.899999999999999" customHeight="1" x14ac:dyDescent="0.15">
      <c r="A396" s="347" t="s">
        <v>1741</v>
      </c>
      <c r="B396" s="347">
        <v>3</v>
      </c>
      <c r="C396" s="347" t="s">
        <v>1013</v>
      </c>
      <c r="F396" s="348" t="s">
        <v>941</v>
      </c>
      <c r="G396" s="347" t="s">
        <v>984</v>
      </c>
      <c r="H396" s="347" t="s">
        <v>970</v>
      </c>
      <c r="J396" s="347" t="s">
        <v>989</v>
      </c>
      <c r="K396" s="350" t="s">
        <v>1742</v>
      </c>
      <c r="L396" s="349" t="s">
        <v>1016</v>
      </c>
      <c r="M396" s="350" t="s">
        <v>1743</v>
      </c>
      <c r="N396" s="350" t="s">
        <v>1744</v>
      </c>
      <c r="O396" s="347" t="s">
        <v>631</v>
      </c>
      <c r="P396" s="347" t="s">
        <v>631</v>
      </c>
      <c r="T396" s="347" t="s">
        <v>631</v>
      </c>
      <c r="U396" s="347" t="s">
        <v>631</v>
      </c>
      <c r="V396" s="347" t="s">
        <v>631</v>
      </c>
      <c r="Z396" s="349" t="s">
        <v>975</v>
      </c>
    </row>
    <row r="397" spans="1:26" ht="16.899999999999999" customHeight="1" x14ac:dyDescent="0.15">
      <c r="A397" s="347" t="s">
        <v>10942</v>
      </c>
      <c r="B397" s="347">
        <v>3</v>
      </c>
      <c r="C397" s="347" t="s">
        <v>983</v>
      </c>
      <c r="E397" s="347" t="s">
        <v>631</v>
      </c>
      <c r="F397" s="348" t="s">
        <v>941</v>
      </c>
      <c r="G397" s="347" t="s">
        <v>978</v>
      </c>
      <c r="H397" s="347" t="s">
        <v>970</v>
      </c>
      <c r="I397" s="347" t="s">
        <v>971</v>
      </c>
      <c r="K397" s="350"/>
      <c r="L397" s="349" t="s">
        <v>979</v>
      </c>
      <c r="M397" s="350" t="s">
        <v>1745</v>
      </c>
      <c r="N397" s="350" t="s">
        <v>1746</v>
      </c>
      <c r="T397" s="347" t="s">
        <v>631</v>
      </c>
      <c r="U397" s="347" t="s">
        <v>631</v>
      </c>
      <c r="V397" s="347" t="s">
        <v>631</v>
      </c>
      <c r="Y397" s="347" t="s">
        <v>631</v>
      </c>
      <c r="Z397" s="349" t="s">
        <v>975</v>
      </c>
    </row>
    <row r="398" spans="1:26" ht="16.899999999999999" customHeight="1" x14ac:dyDescent="0.15">
      <c r="A398" s="347" t="s">
        <v>1747</v>
      </c>
      <c r="B398" s="347">
        <v>3</v>
      </c>
      <c r="C398" s="347" t="s">
        <v>994</v>
      </c>
      <c r="D398" s="347" t="s">
        <v>631</v>
      </c>
      <c r="F398" s="348" t="s">
        <v>1149</v>
      </c>
      <c r="G398" s="347" t="s">
        <v>709</v>
      </c>
      <c r="H398" s="347" t="s">
        <v>970</v>
      </c>
      <c r="I398" s="347" t="s">
        <v>971</v>
      </c>
      <c r="J398" s="347" t="s">
        <v>989</v>
      </c>
      <c r="K398" s="350" t="s">
        <v>1748</v>
      </c>
      <c r="L398" s="349" t="s">
        <v>1109</v>
      </c>
      <c r="M398" s="350" t="s">
        <v>1749</v>
      </c>
      <c r="N398" s="350" t="s">
        <v>1750</v>
      </c>
      <c r="Q398" s="347" t="s">
        <v>631</v>
      </c>
      <c r="S398" s="347" t="s">
        <v>631</v>
      </c>
      <c r="T398" s="347" t="s">
        <v>631</v>
      </c>
      <c r="V398" s="347" t="s">
        <v>631</v>
      </c>
      <c r="W398" s="347" t="s">
        <v>631</v>
      </c>
      <c r="Y398" s="347" t="s">
        <v>631</v>
      </c>
      <c r="Z398" s="349" t="s">
        <v>975</v>
      </c>
    </row>
    <row r="399" spans="1:26" ht="16.899999999999999" customHeight="1" x14ac:dyDescent="0.15">
      <c r="A399" s="347" t="s">
        <v>1751</v>
      </c>
      <c r="B399" s="347">
        <v>3</v>
      </c>
      <c r="C399" s="347" t="s">
        <v>994</v>
      </c>
      <c r="D399" s="347" t="s">
        <v>631</v>
      </c>
      <c r="F399" s="348" t="s">
        <v>1149</v>
      </c>
      <c r="G399" s="347" t="s">
        <v>709</v>
      </c>
      <c r="H399" s="347" t="s">
        <v>970</v>
      </c>
      <c r="I399" s="347" t="s">
        <v>971</v>
      </c>
      <c r="J399" s="347" t="s">
        <v>989</v>
      </c>
      <c r="K399" s="350" t="s">
        <v>1752</v>
      </c>
      <c r="L399" s="349" t="s">
        <v>1016</v>
      </c>
      <c r="M399" s="350" t="s">
        <v>1753</v>
      </c>
      <c r="N399" s="350" t="s">
        <v>1754</v>
      </c>
      <c r="P399" s="347" t="s">
        <v>631</v>
      </c>
      <c r="Q399" s="347" t="s">
        <v>631</v>
      </c>
      <c r="S399" s="347" t="s">
        <v>631</v>
      </c>
      <c r="T399" s="347" t="s">
        <v>631</v>
      </c>
      <c r="W399" s="347" t="s">
        <v>631</v>
      </c>
      <c r="Z399" s="349" t="s">
        <v>975</v>
      </c>
    </row>
    <row r="400" spans="1:26" ht="16.899999999999999" customHeight="1" x14ac:dyDescent="0.15">
      <c r="A400" s="347" t="s">
        <v>1755</v>
      </c>
      <c r="B400" s="347">
        <v>3</v>
      </c>
      <c r="C400" s="347" t="s">
        <v>968</v>
      </c>
      <c r="E400" s="347" t="s">
        <v>631</v>
      </c>
      <c r="F400" s="348" t="s">
        <v>941</v>
      </c>
      <c r="G400" s="347" t="s">
        <v>988</v>
      </c>
      <c r="H400" s="347" t="s">
        <v>970</v>
      </c>
      <c r="I400" s="347" t="s">
        <v>971</v>
      </c>
      <c r="J400" s="347" t="s">
        <v>989</v>
      </c>
      <c r="K400" s="350" t="s">
        <v>1756</v>
      </c>
      <c r="L400" s="349" t="s">
        <v>979</v>
      </c>
      <c r="M400" s="350" t="s">
        <v>1757</v>
      </c>
      <c r="N400" s="350" t="s">
        <v>1758</v>
      </c>
      <c r="Q400" s="347" t="s">
        <v>631</v>
      </c>
      <c r="S400" s="347" t="s">
        <v>631</v>
      </c>
      <c r="Z400" s="349" t="s">
        <v>975</v>
      </c>
    </row>
    <row r="401" spans="1:27" ht="16.899999999999999" customHeight="1" x14ac:dyDescent="0.15">
      <c r="A401" s="347" t="s">
        <v>2420</v>
      </c>
      <c r="B401" s="347">
        <v>3</v>
      </c>
      <c r="C401" s="347" t="s">
        <v>977</v>
      </c>
      <c r="E401" s="347" t="s">
        <v>631</v>
      </c>
      <c r="F401" s="348" t="s">
        <v>941</v>
      </c>
      <c r="G401" s="347" t="s">
        <v>709</v>
      </c>
      <c r="H401" s="347" t="s">
        <v>970</v>
      </c>
      <c r="K401" s="444"/>
      <c r="L401" s="349" t="s">
        <v>2421</v>
      </c>
      <c r="M401" s="350" t="s">
        <v>2422</v>
      </c>
      <c r="N401" s="350" t="s">
        <v>2423</v>
      </c>
      <c r="O401" s="347" t="s">
        <v>631</v>
      </c>
      <c r="T401" s="347" t="s">
        <v>631</v>
      </c>
      <c r="U401" s="347" t="s">
        <v>631</v>
      </c>
      <c r="V401" s="347" t="s">
        <v>631</v>
      </c>
      <c r="W401" s="347" t="s">
        <v>631</v>
      </c>
      <c r="Z401" s="349" t="s">
        <v>2416</v>
      </c>
    </row>
    <row r="402" spans="1:27" ht="16.899999999999999" customHeight="1" x14ac:dyDescent="0.15">
      <c r="A402" s="347" t="s">
        <v>2424</v>
      </c>
      <c r="B402" s="347">
        <v>3</v>
      </c>
      <c r="C402" s="347" t="s">
        <v>983</v>
      </c>
      <c r="E402" s="347" t="s">
        <v>631</v>
      </c>
      <c r="F402" s="348" t="s">
        <v>1047</v>
      </c>
      <c r="G402" s="347" t="s">
        <v>978</v>
      </c>
      <c r="H402" s="347" t="s">
        <v>970</v>
      </c>
      <c r="I402" s="347" t="s">
        <v>971</v>
      </c>
      <c r="K402" s="444"/>
      <c r="L402" s="349" t="s">
        <v>2413</v>
      </c>
      <c r="M402" s="350" t="s">
        <v>2425</v>
      </c>
      <c r="N402" s="350" t="s">
        <v>2426</v>
      </c>
      <c r="P402" s="347" t="s">
        <v>631</v>
      </c>
      <c r="R402" s="347" t="s">
        <v>631</v>
      </c>
      <c r="U402" s="347" t="s">
        <v>631</v>
      </c>
      <c r="V402" s="347" t="s">
        <v>631</v>
      </c>
      <c r="Z402" s="349" t="s">
        <v>2416</v>
      </c>
    </row>
    <row r="403" spans="1:27" ht="16.899999999999999" customHeight="1" x14ac:dyDescent="0.15">
      <c r="A403" s="347" t="s">
        <v>2991</v>
      </c>
      <c r="B403" s="347">
        <v>3</v>
      </c>
      <c r="C403" s="347" t="s">
        <v>1019</v>
      </c>
      <c r="E403" s="347" t="s">
        <v>631</v>
      </c>
      <c r="F403" s="447" t="s">
        <v>2995</v>
      </c>
      <c r="G403" s="347" t="s">
        <v>1134</v>
      </c>
      <c r="H403" s="347" t="s">
        <v>970</v>
      </c>
      <c r="I403" s="347" t="s">
        <v>971</v>
      </c>
      <c r="J403" s="347" t="s">
        <v>989</v>
      </c>
      <c r="K403" s="349" t="s">
        <v>2992</v>
      </c>
      <c r="L403" s="349" t="s">
        <v>2421</v>
      </c>
      <c r="M403" s="350" t="s">
        <v>2993</v>
      </c>
      <c r="N403" s="350" t="s">
        <v>2994</v>
      </c>
      <c r="U403" s="347" t="s">
        <v>631</v>
      </c>
      <c r="V403" s="347" t="s">
        <v>631</v>
      </c>
      <c r="X403" s="448"/>
      <c r="Y403" s="448"/>
      <c r="Z403" s="349" t="s">
        <v>2416</v>
      </c>
      <c r="AA403" s="352"/>
    </row>
    <row r="404" spans="1:27" ht="16.899999999999999" customHeight="1" x14ac:dyDescent="0.15">
      <c r="A404" s="347" t="s">
        <v>2551</v>
      </c>
      <c r="B404" s="347">
        <v>3</v>
      </c>
      <c r="C404" s="347" t="s">
        <v>1007</v>
      </c>
      <c r="F404" s="348" t="s">
        <v>941</v>
      </c>
      <c r="G404" s="347" t="s">
        <v>709</v>
      </c>
      <c r="I404" s="347" t="s">
        <v>971</v>
      </c>
      <c r="J404" s="347" t="s">
        <v>989</v>
      </c>
      <c r="K404" s="444" t="s">
        <v>2552</v>
      </c>
      <c r="L404" s="349" t="s">
        <v>1048</v>
      </c>
      <c r="M404" s="350" t="s">
        <v>2553</v>
      </c>
      <c r="N404" s="350" t="s">
        <v>2554</v>
      </c>
      <c r="O404" s="347" t="s">
        <v>631</v>
      </c>
      <c r="T404" s="347" t="s">
        <v>631</v>
      </c>
      <c r="V404" s="347" t="s">
        <v>631</v>
      </c>
      <c r="W404" s="347" t="s">
        <v>631</v>
      </c>
      <c r="Z404" s="446" t="s">
        <v>2457</v>
      </c>
    </row>
    <row r="405" spans="1:27" ht="16.899999999999999" customHeight="1" x14ac:dyDescent="0.15">
      <c r="A405" s="347" t="s">
        <v>2555</v>
      </c>
      <c r="B405" s="347">
        <v>3</v>
      </c>
      <c r="C405" s="347" t="s">
        <v>1007</v>
      </c>
      <c r="E405" s="347" t="s">
        <v>631</v>
      </c>
      <c r="F405" s="348" t="s">
        <v>941</v>
      </c>
      <c r="G405" s="447" t="s">
        <v>2472</v>
      </c>
      <c r="H405" s="347" t="s">
        <v>970</v>
      </c>
      <c r="I405" s="347" t="s">
        <v>971</v>
      </c>
      <c r="K405" s="444"/>
      <c r="L405" s="349" t="s">
        <v>2413</v>
      </c>
      <c r="M405" s="350" t="s">
        <v>2556</v>
      </c>
      <c r="N405" s="350" t="s">
        <v>2557</v>
      </c>
      <c r="O405" s="347" t="s">
        <v>631</v>
      </c>
      <c r="T405" s="347" t="s">
        <v>631</v>
      </c>
      <c r="U405" s="347" t="s">
        <v>631</v>
      </c>
      <c r="V405" s="347" t="s">
        <v>631</v>
      </c>
      <c r="Z405" s="446" t="s">
        <v>2457</v>
      </c>
    </row>
    <row r="406" spans="1:27" ht="16.899999999999999" customHeight="1" x14ac:dyDescent="0.15">
      <c r="A406" s="347" t="s">
        <v>2558</v>
      </c>
      <c r="B406" s="347">
        <v>3</v>
      </c>
      <c r="C406" s="347" t="s">
        <v>994</v>
      </c>
      <c r="F406" s="348" t="s">
        <v>941</v>
      </c>
      <c r="G406" s="347" t="s">
        <v>988</v>
      </c>
      <c r="H406" s="347" t="s">
        <v>970</v>
      </c>
      <c r="I406" s="347" t="s">
        <v>971</v>
      </c>
      <c r="J406" s="347" t="s">
        <v>989</v>
      </c>
      <c r="K406" s="444" t="s">
        <v>2559</v>
      </c>
      <c r="L406" s="349" t="s">
        <v>972</v>
      </c>
      <c r="M406" s="350" t="s">
        <v>2560</v>
      </c>
      <c r="N406" s="350" t="s">
        <v>2561</v>
      </c>
      <c r="Q406" s="347" t="s">
        <v>631</v>
      </c>
      <c r="T406" s="347" t="s">
        <v>631</v>
      </c>
      <c r="V406" s="347" t="s">
        <v>631</v>
      </c>
      <c r="Z406" s="446" t="s">
        <v>2457</v>
      </c>
    </row>
    <row r="407" spans="1:27" ht="16.899999999999999" customHeight="1" x14ac:dyDescent="0.15">
      <c r="A407" s="347" t="s">
        <v>2562</v>
      </c>
      <c r="B407" s="347">
        <v>3</v>
      </c>
      <c r="C407" s="347" t="s">
        <v>994</v>
      </c>
      <c r="E407" s="347" t="s">
        <v>631</v>
      </c>
      <c r="F407" s="348" t="s">
        <v>941</v>
      </c>
      <c r="G407" s="347" t="s">
        <v>2472</v>
      </c>
      <c r="H407" s="347" t="s">
        <v>970</v>
      </c>
      <c r="I407" s="347" t="s">
        <v>971</v>
      </c>
      <c r="K407" s="444"/>
      <c r="L407" s="349" t="s">
        <v>2421</v>
      </c>
      <c r="M407" s="350" t="s">
        <v>2563</v>
      </c>
      <c r="N407" s="350" t="s">
        <v>2564</v>
      </c>
      <c r="Q407" s="347" t="s">
        <v>631</v>
      </c>
      <c r="S407" s="347" t="s">
        <v>631</v>
      </c>
      <c r="T407" s="347" t="s">
        <v>631</v>
      </c>
      <c r="V407" s="347" t="s">
        <v>631</v>
      </c>
      <c r="W407" s="347" t="s">
        <v>631</v>
      </c>
      <c r="Z407" s="446" t="s">
        <v>2457</v>
      </c>
    </row>
    <row r="408" spans="1:27" ht="16.899999999999999" customHeight="1" x14ac:dyDescent="0.15">
      <c r="A408" s="347" t="s">
        <v>2565</v>
      </c>
      <c r="B408" s="347">
        <v>3</v>
      </c>
      <c r="C408" s="347" t="s">
        <v>983</v>
      </c>
      <c r="F408" s="348" t="s">
        <v>941</v>
      </c>
      <c r="G408" s="347" t="s">
        <v>709</v>
      </c>
      <c r="H408" s="347" t="s">
        <v>970</v>
      </c>
      <c r="I408" s="347" t="s">
        <v>971</v>
      </c>
      <c r="K408" s="444"/>
      <c r="L408" s="349" t="s">
        <v>972</v>
      </c>
      <c r="M408" s="350" t="s">
        <v>2566</v>
      </c>
      <c r="N408" s="350" t="s">
        <v>2567</v>
      </c>
      <c r="P408" s="347" t="s">
        <v>631</v>
      </c>
      <c r="V408" s="347" t="s">
        <v>631</v>
      </c>
      <c r="Z408" s="446" t="s">
        <v>2457</v>
      </c>
    </row>
    <row r="409" spans="1:27" ht="16.899999999999999" customHeight="1" x14ac:dyDescent="0.15">
      <c r="A409" s="347" t="s">
        <v>2568</v>
      </c>
      <c r="B409" s="347">
        <v>3</v>
      </c>
      <c r="C409" s="347" t="s">
        <v>968</v>
      </c>
      <c r="E409" s="347" t="s">
        <v>631</v>
      </c>
      <c r="F409" s="348" t="s">
        <v>941</v>
      </c>
      <c r="G409" s="347" t="s">
        <v>978</v>
      </c>
      <c r="H409" s="347" t="s">
        <v>970</v>
      </c>
      <c r="I409" s="347" t="s">
        <v>971</v>
      </c>
      <c r="J409" s="347" t="s">
        <v>989</v>
      </c>
      <c r="K409" s="444" t="s">
        <v>2569</v>
      </c>
      <c r="L409" s="349" t="s">
        <v>2490</v>
      </c>
      <c r="M409" s="350" t="s">
        <v>2570</v>
      </c>
      <c r="N409" s="350" t="s">
        <v>2571</v>
      </c>
      <c r="T409" s="347" t="s">
        <v>631</v>
      </c>
      <c r="V409" s="347" t="s">
        <v>631</v>
      </c>
      <c r="Z409" s="446" t="s">
        <v>2457</v>
      </c>
    </row>
    <row r="410" spans="1:27" ht="16.899999999999999" customHeight="1" x14ac:dyDescent="0.15">
      <c r="A410" s="347" t="s">
        <v>2572</v>
      </c>
      <c r="B410" s="347">
        <v>3</v>
      </c>
      <c r="C410" s="347" t="s">
        <v>1019</v>
      </c>
      <c r="E410" s="347" t="s">
        <v>631</v>
      </c>
      <c r="F410" s="348" t="s">
        <v>941</v>
      </c>
      <c r="G410" s="347" t="s">
        <v>969</v>
      </c>
      <c r="H410" s="347" t="s">
        <v>970</v>
      </c>
      <c r="I410" s="347" t="s">
        <v>971</v>
      </c>
      <c r="J410" s="347" t="s">
        <v>989</v>
      </c>
      <c r="K410" s="444" t="s">
        <v>2573</v>
      </c>
      <c r="L410" s="349" t="s">
        <v>2421</v>
      </c>
      <c r="M410" s="350" t="s">
        <v>2574</v>
      </c>
      <c r="N410" s="350" t="s">
        <v>2575</v>
      </c>
      <c r="U410" s="347" t="s">
        <v>631</v>
      </c>
      <c r="V410" s="347" t="s">
        <v>631</v>
      </c>
      <c r="Z410" s="446" t="s">
        <v>2457</v>
      </c>
    </row>
    <row r="411" spans="1:27" ht="16.899999999999999" customHeight="1" x14ac:dyDescent="0.15">
      <c r="A411" s="347" t="s">
        <v>2576</v>
      </c>
      <c r="B411" s="347">
        <v>3</v>
      </c>
      <c r="C411" s="347" t="s">
        <v>1019</v>
      </c>
      <c r="F411" s="348" t="s">
        <v>941</v>
      </c>
      <c r="G411" s="347" t="s">
        <v>1134</v>
      </c>
      <c r="H411" s="347" t="s">
        <v>970</v>
      </c>
      <c r="K411" s="444"/>
      <c r="L411" s="349" t="s">
        <v>972</v>
      </c>
      <c r="M411" s="350" t="s">
        <v>2577</v>
      </c>
      <c r="N411" s="350" t="s">
        <v>2578</v>
      </c>
      <c r="T411" s="347" t="s">
        <v>631</v>
      </c>
      <c r="U411" s="347" t="s">
        <v>631</v>
      </c>
      <c r="V411" s="347" t="s">
        <v>631</v>
      </c>
      <c r="Z411" s="446" t="s">
        <v>2457</v>
      </c>
    </row>
    <row r="412" spans="1:27" ht="16.899999999999999" customHeight="1" x14ac:dyDescent="0.15">
      <c r="A412" s="347" t="s">
        <v>2579</v>
      </c>
      <c r="B412" s="347">
        <v>3</v>
      </c>
      <c r="C412" s="347" t="s">
        <v>1019</v>
      </c>
      <c r="F412" s="348" t="s">
        <v>941</v>
      </c>
      <c r="G412" s="347" t="s">
        <v>988</v>
      </c>
      <c r="H412" s="347" t="s">
        <v>970</v>
      </c>
      <c r="I412" s="347" t="s">
        <v>971</v>
      </c>
      <c r="J412" s="347" t="s">
        <v>989</v>
      </c>
      <c r="K412" s="444" t="s">
        <v>2580</v>
      </c>
      <c r="L412" s="349" t="s">
        <v>972</v>
      </c>
      <c r="M412" s="350" t="s">
        <v>2581</v>
      </c>
      <c r="N412" s="350" t="s">
        <v>2582</v>
      </c>
      <c r="Q412" s="347" t="s">
        <v>631</v>
      </c>
      <c r="T412" s="347" t="s">
        <v>631</v>
      </c>
      <c r="V412" s="347" t="s">
        <v>631</v>
      </c>
      <c r="Z412" s="446" t="s">
        <v>2457</v>
      </c>
    </row>
    <row r="413" spans="1:27" ht="16.899999999999999" customHeight="1" x14ac:dyDescent="0.15">
      <c r="A413" s="347" t="s">
        <v>2583</v>
      </c>
      <c r="B413" s="347">
        <v>3</v>
      </c>
      <c r="C413" s="347" t="s">
        <v>994</v>
      </c>
      <c r="F413" s="348" t="s">
        <v>1020</v>
      </c>
      <c r="G413" s="347" t="s">
        <v>2472</v>
      </c>
      <c r="H413" s="347" t="s">
        <v>970</v>
      </c>
      <c r="I413" s="347" t="s">
        <v>971</v>
      </c>
      <c r="K413" s="444"/>
      <c r="L413" s="349" t="s">
        <v>1104</v>
      </c>
      <c r="M413" s="350" t="s">
        <v>2584</v>
      </c>
      <c r="N413" s="350" t="s">
        <v>2585</v>
      </c>
      <c r="V413" s="347" t="s">
        <v>631</v>
      </c>
      <c r="W413" s="347" t="s">
        <v>631</v>
      </c>
      <c r="Z413" s="446" t="s">
        <v>2457</v>
      </c>
    </row>
    <row r="414" spans="1:27" ht="16.899999999999999" customHeight="1" x14ac:dyDescent="0.15">
      <c r="A414" s="347" t="s">
        <v>2586</v>
      </c>
      <c r="B414" s="347">
        <v>3</v>
      </c>
      <c r="C414" s="347" t="s">
        <v>968</v>
      </c>
      <c r="E414" s="347" t="s">
        <v>631</v>
      </c>
      <c r="F414" s="348" t="s">
        <v>941</v>
      </c>
      <c r="G414" s="347" t="s">
        <v>1134</v>
      </c>
      <c r="H414" s="347" t="s">
        <v>970</v>
      </c>
      <c r="I414" s="347" t="s">
        <v>971</v>
      </c>
      <c r="J414" s="347" t="s">
        <v>989</v>
      </c>
      <c r="K414" s="444" t="s">
        <v>2587</v>
      </c>
      <c r="L414" s="349" t="s">
        <v>2490</v>
      </c>
      <c r="M414" s="350" t="s">
        <v>2588</v>
      </c>
      <c r="N414" s="350" t="s">
        <v>2589</v>
      </c>
      <c r="V414" s="347" t="s">
        <v>631</v>
      </c>
      <c r="Z414" s="446" t="s">
        <v>2457</v>
      </c>
    </row>
    <row r="415" spans="1:27" ht="16.899999999999999" customHeight="1" x14ac:dyDescent="0.15">
      <c r="A415" s="347" t="s">
        <v>2590</v>
      </c>
      <c r="B415" s="347">
        <v>3</v>
      </c>
      <c r="C415" s="347" t="s">
        <v>968</v>
      </c>
      <c r="E415" s="347" t="s">
        <v>631</v>
      </c>
      <c r="F415" s="348" t="s">
        <v>941</v>
      </c>
      <c r="G415" s="347" t="s">
        <v>969</v>
      </c>
      <c r="H415" s="347" t="s">
        <v>970</v>
      </c>
      <c r="I415" s="347" t="s">
        <v>971</v>
      </c>
      <c r="J415" s="347" t="s">
        <v>989</v>
      </c>
      <c r="K415" s="444" t="s">
        <v>2580</v>
      </c>
      <c r="L415" s="349" t="s">
        <v>2490</v>
      </c>
      <c r="M415" s="350" t="s">
        <v>2591</v>
      </c>
      <c r="N415" s="350" t="s">
        <v>2592</v>
      </c>
      <c r="Q415" s="347" t="s">
        <v>631</v>
      </c>
      <c r="T415" s="347" t="s">
        <v>631</v>
      </c>
      <c r="V415" s="347" t="s">
        <v>631</v>
      </c>
      <c r="Z415" s="446" t="s">
        <v>2457</v>
      </c>
    </row>
    <row r="416" spans="1:27" ht="16.899999999999999" customHeight="1" x14ac:dyDescent="0.15">
      <c r="A416" s="347" t="s">
        <v>2755</v>
      </c>
      <c r="B416" s="347">
        <v>3</v>
      </c>
      <c r="C416" s="347" t="s">
        <v>1007</v>
      </c>
      <c r="E416" s="347" t="s">
        <v>631</v>
      </c>
      <c r="F416" s="348" t="s">
        <v>941</v>
      </c>
      <c r="G416" s="347" t="s">
        <v>709</v>
      </c>
      <c r="H416" s="347" t="s">
        <v>970</v>
      </c>
      <c r="K416" s="444"/>
      <c r="L416" s="349" t="s">
        <v>2421</v>
      </c>
      <c r="M416" s="350" t="s">
        <v>2756</v>
      </c>
      <c r="N416" s="350" t="s">
        <v>2757</v>
      </c>
      <c r="O416" s="347" t="s">
        <v>631</v>
      </c>
      <c r="P416" s="347" t="s">
        <v>631</v>
      </c>
      <c r="V416" s="347" t="s">
        <v>631</v>
      </c>
      <c r="Z416" s="446" t="s">
        <v>2742</v>
      </c>
    </row>
    <row r="417" spans="1:26" ht="16.899999999999999" customHeight="1" x14ac:dyDescent="0.15">
      <c r="A417" s="347" t="s">
        <v>2758</v>
      </c>
      <c r="B417" s="347">
        <v>3</v>
      </c>
      <c r="C417" s="347" t="s">
        <v>1007</v>
      </c>
      <c r="E417" s="347" t="s">
        <v>631</v>
      </c>
      <c r="F417" s="348" t="s">
        <v>941</v>
      </c>
      <c r="G417" s="347" t="s">
        <v>709</v>
      </c>
      <c r="H417" s="347" t="s">
        <v>970</v>
      </c>
      <c r="I417" s="347" t="s">
        <v>971</v>
      </c>
      <c r="J417" s="347" t="s">
        <v>989</v>
      </c>
      <c r="K417" s="444" t="s">
        <v>2759</v>
      </c>
      <c r="L417" s="349" t="s">
        <v>2413</v>
      </c>
      <c r="M417" s="350" t="s">
        <v>2760</v>
      </c>
      <c r="N417" s="350" t="s">
        <v>2761</v>
      </c>
      <c r="P417" s="347" t="s">
        <v>631</v>
      </c>
      <c r="T417" s="347" t="s">
        <v>631</v>
      </c>
      <c r="U417" s="347" t="s">
        <v>631</v>
      </c>
      <c r="V417" s="347" t="s">
        <v>631</v>
      </c>
      <c r="Z417" s="446" t="s">
        <v>2742</v>
      </c>
    </row>
    <row r="418" spans="1:26" ht="16.899999999999999" customHeight="1" x14ac:dyDescent="0.15">
      <c r="A418" s="347" t="s">
        <v>2762</v>
      </c>
      <c r="B418" s="347">
        <v>3</v>
      </c>
      <c r="C418" s="347" t="s">
        <v>1007</v>
      </c>
      <c r="F418" s="348" t="s">
        <v>1020</v>
      </c>
      <c r="G418" s="347" t="s">
        <v>969</v>
      </c>
      <c r="H418" s="347" t="s">
        <v>970</v>
      </c>
      <c r="K418" s="444"/>
      <c r="L418" s="349" t="s">
        <v>1016</v>
      </c>
      <c r="M418" s="350" t="s">
        <v>2763</v>
      </c>
      <c r="N418" s="350" t="s">
        <v>2764</v>
      </c>
      <c r="O418" s="347" t="s">
        <v>631</v>
      </c>
      <c r="P418" s="347" t="s">
        <v>631</v>
      </c>
      <c r="Z418" s="446" t="s">
        <v>2742</v>
      </c>
    </row>
    <row r="419" spans="1:26" ht="16.899999999999999" customHeight="1" x14ac:dyDescent="0.15">
      <c r="A419" s="347" t="s">
        <v>2775</v>
      </c>
      <c r="B419" s="347">
        <v>3</v>
      </c>
      <c r="C419" s="347" t="s">
        <v>994</v>
      </c>
      <c r="E419" s="347" t="s">
        <v>631</v>
      </c>
      <c r="F419" s="348" t="s">
        <v>1047</v>
      </c>
      <c r="G419" s="347" t="s">
        <v>978</v>
      </c>
      <c r="H419" s="347" t="s">
        <v>970</v>
      </c>
      <c r="I419" s="347" t="s">
        <v>971</v>
      </c>
      <c r="K419" s="444"/>
      <c r="L419" s="349" t="s">
        <v>2413</v>
      </c>
      <c r="M419" s="350" t="s">
        <v>2776</v>
      </c>
      <c r="N419" s="350" t="s">
        <v>2777</v>
      </c>
      <c r="S419" s="347" t="s">
        <v>631</v>
      </c>
      <c r="T419" s="347" t="s">
        <v>631</v>
      </c>
      <c r="V419" s="347" t="s">
        <v>631</v>
      </c>
      <c r="W419" s="347" t="s">
        <v>631</v>
      </c>
      <c r="Z419" s="446" t="s">
        <v>2769</v>
      </c>
    </row>
    <row r="420" spans="1:26" ht="16.899999999999999" customHeight="1" x14ac:dyDescent="0.15">
      <c r="A420" s="347" t="s">
        <v>2797</v>
      </c>
      <c r="B420" s="347">
        <v>3</v>
      </c>
      <c r="C420" s="347" t="s">
        <v>1019</v>
      </c>
      <c r="F420" s="348" t="s">
        <v>1048</v>
      </c>
      <c r="G420" s="347" t="s">
        <v>709</v>
      </c>
      <c r="H420" s="347" t="s">
        <v>970</v>
      </c>
      <c r="I420" s="347" t="s">
        <v>971</v>
      </c>
      <c r="J420" s="347" t="s">
        <v>989</v>
      </c>
      <c r="K420" s="444" t="s">
        <v>2798</v>
      </c>
      <c r="L420" s="349" t="s">
        <v>1109</v>
      </c>
      <c r="M420" s="350" t="s">
        <v>2799</v>
      </c>
      <c r="N420" s="350" t="s">
        <v>2800</v>
      </c>
      <c r="V420" s="347" t="s">
        <v>631</v>
      </c>
      <c r="Z420" s="446" t="s">
        <v>2796</v>
      </c>
    </row>
    <row r="421" spans="1:26" ht="16.899999999999999" customHeight="1" x14ac:dyDescent="0.15">
      <c r="A421" s="347" t="s">
        <v>2833</v>
      </c>
      <c r="B421" s="347">
        <v>3</v>
      </c>
      <c r="C421" s="347" t="s">
        <v>1007</v>
      </c>
      <c r="F421" s="348" t="s">
        <v>941</v>
      </c>
      <c r="G421" s="347" t="s">
        <v>709</v>
      </c>
      <c r="H421" s="347" t="s">
        <v>970</v>
      </c>
      <c r="I421" s="347" t="s">
        <v>971</v>
      </c>
      <c r="J421" s="347" t="s">
        <v>989</v>
      </c>
      <c r="K421" s="444" t="s">
        <v>2834</v>
      </c>
      <c r="L421" s="349" t="s">
        <v>972</v>
      </c>
      <c r="M421" s="350" t="s">
        <v>2835</v>
      </c>
      <c r="N421" s="350" t="s">
        <v>2836</v>
      </c>
      <c r="O421" s="347" t="s">
        <v>631</v>
      </c>
      <c r="T421" s="347" t="s">
        <v>631</v>
      </c>
      <c r="U421" s="347" t="s">
        <v>631</v>
      </c>
      <c r="V421" s="347" t="s">
        <v>631</v>
      </c>
      <c r="Z421" s="446" t="s">
        <v>2832</v>
      </c>
    </row>
    <row r="422" spans="1:26" ht="16.899999999999999" customHeight="1" x14ac:dyDescent="0.15">
      <c r="A422" s="347" t="s">
        <v>2906</v>
      </c>
      <c r="B422" s="347">
        <v>3</v>
      </c>
      <c r="C422" s="347" t="s">
        <v>968</v>
      </c>
      <c r="F422" s="348" t="s">
        <v>941</v>
      </c>
      <c r="G422" s="347" t="s">
        <v>2943</v>
      </c>
      <c r="H422" s="347" t="s">
        <v>970</v>
      </c>
      <c r="I422" s="347" t="s">
        <v>971</v>
      </c>
      <c r="K422" s="349"/>
      <c r="L422" s="349" t="s">
        <v>972</v>
      </c>
      <c r="M422" s="350" t="s">
        <v>2907</v>
      </c>
      <c r="N422" s="445" t="s">
        <v>2908</v>
      </c>
      <c r="V422" s="347" t="s">
        <v>631</v>
      </c>
      <c r="Z422" s="446" t="s">
        <v>2888</v>
      </c>
    </row>
    <row r="423" spans="1:26" ht="16.899999999999999" customHeight="1" x14ac:dyDescent="0.15">
      <c r="A423" s="347" t="s">
        <v>5572</v>
      </c>
      <c r="B423" s="347">
        <v>3</v>
      </c>
      <c r="C423" s="347" t="s">
        <v>987</v>
      </c>
      <c r="E423" s="347" t="s">
        <v>631</v>
      </c>
      <c r="F423" s="348" t="s">
        <v>941</v>
      </c>
      <c r="G423" s="347" t="s">
        <v>988</v>
      </c>
      <c r="H423" s="347" t="s">
        <v>970</v>
      </c>
      <c r="I423" s="347" t="s">
        <v>971</v>
      </c>
      <c r="K423" s="350"/>
      <c r="L423" s="349" t="s">
        <v>2490</v>
      </c>
      <c r="M423" s="350" t="s">
        <v>5573</v>
      </c>
      <c r="N423" s="350" t="s">
        <v>5574</v>
      </c>
      <c r="T423" s="347" t="s">
        <v>631</v>
      </c>
      <c r="U423" s="347" t="s">
        <v>631</v>
      </c>
      <c r="V423" s="347" t="s">
        <v>631</v>
      </c>
      <c r="Z423" s="349" t="s">
        <v>3197</v>
      </c>
    </row>
    <row r="424" spans="1:26" ht="16.899999999999999" customHeight="1" x14ac:dyDescent="0.15">
      <c r="A424" s="347" t="s">
        <v>5575</v>
      </c>
      <c r="B424" s="347">
        <v>3</v>
      </c>
      <c r="C424" s="347" t="s">
        <v>983</v>
      </c>
      <c r="E424" s="347" t="s">
        <v>631</v>
      </c>
      <c r="F424" s="348" t="s">
        <v>1047</v>
      </c>
      <c r="G424" s="347" t="s">
        <v>1541</v>
      </c>
      <c r="H424" s="347" t="s">
        <v>970</v>
      </c>
      <c r="K424" s="350"/>
      <c r="L424" s="349" t="s">
        <v>2413</v>
      </c>
      <c r="M424" s="350" t="s">
        <v>5576</v>
      </c>
      <c r="N424" s="350" t="s">
        <v>5577</v>
      </c>
      <c r="P424" s="347" t="s">
        <v>631</v>
      </c>
      <c r="Z424" s="349" t="s">
        <v>3197</v>
      </c>
    </row>
    <row r="425" spans="1:26" ht="16.899999999999999" customHeight="1" x14ac:dyDescent="0.15">
      <c r="A425" s="347" t="s">
        <v>5578</v>
      </c>
      <c r="B425" s="347">
        <v>3</v>
      </c>
      <c r="C425" s="347" t="s">
        <v>1019</v>
      </c>
      <c r="E425" s="347" t="s">
        <v>631</v>
      </c>
      <c r="F425" s="348" t="s">
        <v>941</v>
      </c>
      <c r="G425" s="347" t="s">
        <v>988</v>
      </c>
      <c r="H425" s="347" t="s">
        <v>970</v>
      </c>
      <c r="K425" s="350"/>
      <c r="L425" s="349" t="s">
        <v>2413</v>
      </c>
      <c r="M425" s="350" t="s">
        <v>5579</v>
      </c>
      <c r="N425" s="350" t="s">
        <v>5580</v>
      </c>
      <c r="O425" s="347" t="s">
        <v>631</v>
      </c>
      <c r="Q425" s="347" t="s">
        <v>631</v>
      </c>
      <c r="S425" s="347" t="s">
        <v>631</v>
      </c>
      <c r="T425" s="347" t="s">
        <v>631</v>
      </c>
      <c r="U425" s="347" t="s">
        <v>631</v>
      </c>
      <c r="V425" s="347" t="s">
        <v>631</v>
      </c>
      <c r="Z425" s="349" t="s">
        <v>3197</v>
      </c>
    </row>
    <row r="426" spans="1:26" ht="16.899999999999999" customHeight="1" x14ac:dyDescent="0.15">
      <c r="A426" s="347" t="s">
        <v>5581</v>
      </c>
      <c r="B426" s="347">
        <v>3</v>
      </c>
      <c r="C426" s="347" t="s">
        <v>1019</v>
      </c>
      <c r="F426" s="348" t="s">
        <v>941</v>
      </c>
      <c r="G426" s="347" t="s">
        <v>1541</v>
      </c>
      <c r="H426" s="347" t="s">
        <v>970</v>
      </c>
      <c r="I426" s="347" t="s">
        <v>971</v>
      </c>
      <c r="K426" s="350"/>
      <c r="L426" s="349" t="s">
        <v>972</v>
      </c>
      <c r="M426" s="350" t="s">
        <v>5582</v>
      </c>
      <c r="N426" s="350" t="s">
        <v>5583</v>
      </c>
      <c r="T426" s="347" t="s">
        <v>631</v>
      </c>
      <c r="U426" s="347" t="s">
        <v>631</v>
      </c>
      <c r="V426" s="347" t="s">
        <v>631</v>
      </c>
      <c r="Z426" s="349" t="s">
        <v>3197</v>
      </c>
    </row>
    <row r="427" spans="1:26" ht="16.899999999999999" customHeight="1" x14ac:dyDescent="0.15">
      <c r="A427" s="347" t="s">
        <v>5584</v>
      </c>
      <c r="B427" s="347">
        <v>3</v>
      </c>
      <c r="C427" s="347" t="s">
        <v>977</v>
      </c>
      <c r="F427" s="348" t="s">
        <v>1047</v>
      </c>
      <c r="G427" s="347" t="s">
        <v>988</v>
      </c>
      <c r="I427" s="347" t="s">
        <v>971</v>
      </c>
      <c r="K427" s="350"/>
      <c r="L427" s="349" t="s">
        <v>972</v>
      </c>
      <c r="M427" s="350" t="s">
        <v>5585</v>
      </c>
      <c r="N427" s="350" t="s">
        <v>5586</v>
      </c>
      <c r="T427" s="347" t="s">
        <v>631</v>
      </c>
      <c r="U427" s="347" t="s">
        <v>631</v>
      </c>
      <c r="V427" s="347" t="s">
        <v>631</v>
      </c>
      <c r="Z427" s="349" t="s">
        <v>3197</v>
      </c>
    </row>
    <row r="428" spans="1:26" ht="16.899999999999999" customHeight="1" x14ac:dyDescent="0.15">
      <c r="A428" s="347" t="s">
        <v>6373</v>
      </c>
      <c r="B428" s="347">
        <v>3</v>
      </c>
      <c r="C428" s="347" t="s">
        <v>968</v>
      </c>
      <c r="F428" s="348" t="s">
        <v>941</v>
      </c>
      <c r="G428" s="347" t="s">
        <v>978</v>
      </c>
      <c r="H428" s="347" t="s">
        <v>970</v>
      </c>
      <c r="I428" s="347" t="s">
        <v>6323</v>
      </c>
      <c r="J428" s="347" t="s">
        <v>989</v>
      </c>
      <c r="K428" s="350" t="s">
        <v>6374</v>
      </c>
      <c r="L428" s="349" t="s">
        <v>972</v>
      </c>
      <c r="M428" s="350" t="s">
        <v>6375</v>
      </c>
      <c r="N428" s="350" t="s">
        <v>6376</v>
      </c>
      <c r="T428" s="347" t="s">
        <v>631</v>
      </c>
      <c r="V428" s="347" t="s">
        <v>631</v>
      </c>
      <c r="Y428" s="347" t="s">
        <v>631</v>
      </c>
      <c r="Z428" s="349" t="s">
        <v>5820</v>
      </c>
    </row>
    <row r="429" spans="1:26" ht="16.899999999999999" customHeight="1" x14ac:dyDescent="0.15">
      <c r="A429" s="347" t="s">
        <v>6377</v>
      </c>
      <c r="B429" s="347">
        <v>3</v>
      </c>
      <c r="C429" s="347" t="s">
        <v>968</v>
      </c>
      <c r="E429" s="347" t="s">
        <v>631</v>
      </c>
      <c r="F429" s="348" t="s">
        <v>6378</v>
      </c>
      <c r="G429" s="347" t="s">
        <v>2472</v>
      </c>
      <c r="H429" s="347" t="s">
        <v>970</v>
      </c>
      <c r="I429" s="347" t="s">
        <v>6323</v>
      </c>
      <c r="J429" s="347" t="s">
        <v>989</v>
      </c>
      <c r="K429" s="350" t="s">
        <v>6379</v>
      </c>
      <c r="L429" s="349" t="s">
        <v>6380</v>
      </c>
      <c r="M429" s="350" t="s">
        <v>6381</v>
      </c>
      <c r="N429" s="350" t="s">
        <v>6382</v>
      </c>
      <c r="S429" s="347" t="s">
        <v>631</v>
      </c>
      <c r="U429" s="347" t="s">
        <v>631</v>
      </c>
      <c r="Y429" s="347" t="s">
        <v>631</v>
      </c>
      <c r="Z429" s="349" t="s">
        <v>5820</v>
      </c>
    </row>
    <row r="430" spans="1:26" ht="16.899999999999999" customHeight="1" x14ac:dyDescent="0.15">
      <c r="A430" s="347" t="s">
        <v>6383</v>
      </c>
      <c r="B430" s="347">
        <v>3</v>
      </c>
      <c r="C430" s="347" t="s">
        <v>983</v>
      </c>
      <c r="E430" s="347" t="s">
        <v>631</v>
      </c>
      <c r="F430" s="348" t="s">
        <v>941</v>
      </c>
      <c r="G430" s="347" t="s">
        <v>1134</v>
      </c>
      <c r="H430" s="347" t="s">
        <v>970</v>
      </c>
      <c r="I430" s="347" t="s">
        <v>6323</v>
      </c>
      <c r="J430" s="347" t="s">
        <v>989</v>
      </c>
      <c r="K430" s="350" t="s">
        <v>6384</v>
      </c>
      <c r="L430" s="349" t="s">
        <v>979</v>
      </c>
      <c r="M430" s="350" t="s">
        <v>6385</v>
      </c>
      <c r="N430" s="350" t="s">
        <v>6386</v>
      </c>
      <c r="Q430" s="347" t="s">
        <v>631</v>
      </c>
      <c r="T430" s="347" t="s">
        <v>631</v>
      </c>
      <c r="U430" s="347" t="s">
        <v>631</v>
      </c>
      <c r="V430" s="347" t="s">
        <v>631</v>
      </c>
      <c r="Y430" s="347" t="s">
        <v>631</v>
      </c>
      <c r="Z430" s="349" t="s">
        <v>5820</v>
      </c>
    </row>
    <row r="431" spans="1:26" ht="16.899999999999999" customHeight="1" x14ac:dyDescent="0.15">
      <c r="A431" s="347" t="s">
        <v>6387</v>
      </c>
      <c r="B431" s="347">
        <v>3</v>
      </c>
      <c r="C431" s="347" t="s">
        <v>968</v>
      </c>
      <c r="F431" s="348" t="s">
        <v>941</v>
      </c>
      <c r="G431" s="347" t="s">
        <v>969</v>
      </c>
      <c r="H431" s="347" t="s">
        <v>970</v>
      </c>
      <c r="I431" s="347" t="s">
        <v>6323</v>
      </c>
      <c r="K431" s="350"/>
      <c r="L431" s="349" t="s">
        <v>972</v>
      </c>
      <c r="M431" s="350" t="s">
        <v>6388</v>
      </c>
      <c r="N431" s="350" t="s">
        <v>6389</v>
      </c>
      <c r="V431" s="347" t="s">
        <v>631</v>
      </c>
      <c r="Y431" s="347" t="s">
        <v>631</v>
      </c>
      <c r="Z431" s="349" t="s">
        <v>5820</v>
      </c>
    </row>
    <row r="432" spans="1:26" ht="16.899999999999999" customHeight="1" x14ac:dyDescent="0.15">
      <c r="A432" s="347" t="s">
        <v>6390</v>
      </c>
      <c r="B432" s="347">
        <v>3</v>
      </c>
      <c r="C432" s="347" t="s">
        <v>994</v>
      </c>
      <c r="F432" s="348" t="s">
        <v>6378</v>
      </c>
      <c r="G432" s="347" t="s">
        <v>978</v>
      </c>
      <c r="H432" s="347" t="s">
        <v>970</v>
      </c>
      <c r="I432" s="347" t="s">
        <v>6323</v>
      </c>
      <c r="J432" s="347" t="s">
        <v>989</v>
      </c>
      <c r="K432" s="350" t="s">
        <v>6391</v>
      </c>
      <c r="L432" s="349" t="s">
        <v>6392</v>
      </c>
      <c r="M432" s="350" t="s">
        <v>6393</v>
      </c>
      <c r="N432" s="350" t="s">
        <v>6394</v>
      </c>
      <c r="Q432" s="347" t="s">
        <v>631</v>
      </c>
      <c r="Y432" s="347" t="s">
        <v>631</v>
      </c>
      <c r="Z432" s="349" t="s">
        <v>5820</v>
      </c>
    </row>
    <row r="433" spans="1:26" ht="16.899999999999999" customHeight="1" x14ac:dyDescent="0.15">
      <c r="A433" s="347" t="s">
        <v>6514</v>
      </c>
      <c r="B433" s="347">
        <v>3</v>
      </c>
      <c r="C433" s="347" t="s">
        <v>2941</v>
      </c>
      <c r="F433" s="348" t="s">
        <v>2995</v>
      </c>
      <c r="G433" s="347" t="s">
        <v>2986</v>
      </c>
      <c r="H433" s="347" t="s">
        <v>970</v>
      </c>
      <c r="I433" s="347" t="s">
        <v>971</v>
      </c>
      <c r="J433" s="347" t="s">
        <v>989</v>
      </c>
      <c r="K433" s="350" t="s">
        <v>6515</v>
      </c>
      <c r="L433" s="349" t="s">
        <v>972</v>
      </c>
      <c r="M433" s="350" t="s">
        <v>6516</v>
      </c>
      <c r="N433" s="350" t="s">
        <v>6517</v>
      </c>
      <c r="Q433" s="347" t="s">
        <v>631</v>
      </c>
      <c r="S433" s="347" t="s">
        <v>631</v>
      </c>
      <c r="T433" s="347" t="s">
        <v>631</v>
      </c>
      <c r="Z433" s="349" t="s">
        <v>6518</v>
      </c>
    </row>
    <row r="434" spans="1:26" ht="16.899999999999999" customHeight="1" x14ac:dyDescent="0.15">
      <c r="A434" s="347" t="s">
        <v>7942</v>
      </c>
      <c r="B434" s="347">
        <v>3</v>
      </c>
      <c r="C434" s="347" t="s">
        <v>2941</v>
      </c>
      <c r="F434" s="348" t="s">
        <v>2995</v>
      </c>
      <c r="G434" s="347" t="s">
        <v>7943</v>
      </c>
      <c r="H434" s="347" t="s">
        <v>2953</v>
      </c>
      <c r="I434" s="347" t="s">
        <v>6323</v>
      </c>
      <c r="J434" s="347" t="s">
        <v>6335</v>
      </c>
      <c r="K434" s="350" t="s">
        <v>7944</v>
      </c>
      <c r="L434" s="349" t="s">
        <v>2987</v>
      </c>
      <c r="M434" s="350" t="s">
        <v>7945</v>
      </c>
      <c r="N434" s="350" t="s">
        <v>7946</v>
      </c>
      <c r="T434" s="347" t="s">
        <v>2950</v>
      </c>
      <c r="V434" s="347" t="s">
        <v>2950</v>
      </c>
      <c r="Z434" s="349" t="s">
        <v>7878</v>
      </c>
    </row>
    <row r="435" spans="1:26" ht="16.899999999999999" customHeight="1" x14ac:dyDescent="0.15">
      <c r="A435" s="347" t="s">
        <v>7947</v>
      </c>
      <c r="B435" s="347">
        <v>3</v>
      </c>
      <c r="C435" s="347" t="s">
        <v>2941</v>
      </c>
      <c r="E435" s="347" t="s">
        <v>2950</v>
      </c>
      <c r="F435" s="348" t="s">
        <v>2995</v>
      </c>
      <c r="G435" s="347" t="s">
        <v>7873</v>
      </c>
      <c r="H435" s="347" t="s">
        <v>2953</v>
      </c>
      <c r="I435" s="347" t="s">
        <v>6323</v>
      </c>
      <c r="J435" s="347" t="s">
        <v>6335</v>
      </c>
      <c r="K435" s="350" t="s">
        <v>7948</v>
      </c>
      <c r="L435" s="349" t="s">
        <v>6522</v>
      </c>
      <c r="M435" s="350" t="s">
        <v>7949</v>
      </c>
      <c r="N435" s="350" t="s">
        <v>7950</v>
      </c>
      <c r="Q435" s="347" t="s">
        <v>2950</v>
      </c>
      <c r="R435" s="347" t="s">
        <v>2950</v>
      </c>
      <c r="S435" s="347" t="s">
        <v>2950</v>
      </c>
      <c r="U435" s="347" t="s">
        <v>2950</v>
      </c>
      <c r="Z435" s="349" t="s">
        <v>7878</v>
      </c>
    </row>
    <row r="436" spans="1:26" ht="16.899999999999999" customHeight="1" x14ac:dyDescent="0.15">
      <c r="A436" s="347" t="s">
        <v>8085</v>
      </c>
      <c r="B436" s="347">
        <v>3</v>
      </c>
      <c r="C436" s="347" t="s">
        <v>2941</v>
      </c>
      <c r="E436" s="347" t="s">
        <v>2950</v>
      </c>
      <c r="F436" s="348" t="s">
        <v>2995</v>
      </c>
      <c r="G436" s="347" t="s">
        <v>2986</v>
      </c>
      <c r="H436" s="347" t="s">
        <v>2953</v>
      </c>
      <c r="I436" s="347" t="s">
        <v>6323</v>
      </c>
      <c r="J436" s="347" t="s">
        <v>6335</v>
      </c>
      <c r="K436" s="350" t="s">
        <v>8086</v>
      </c>
      <c r="L436" s="349" t="s">
        <v>8007</v>
      </c>
      <c r="M436" s="350" t="s">
        <v>8087</v>
      </c>
      <c r="N436" s="350" t="s">
        <v>8088</v>
      </c>
      <c r="Q436" s="347" t="s">
        <v>2950</v>
      </c>
      <c r="S436" s="347" t="s">
        <v>2950</v>
      </c>
      <c r="T436" s="347" t="s">
        <v>2950</v>
      </c>
      <c r="U436" s="347" t="s">
        <v>2950</v>
      </c>
      <c r="V436" s="347" t="s">
        <v>2950</v>
      </c>
      <c r="Z436" s="349" t="s">
        <v>7972</v>
      </c>
    </row>
    <row r="437" spans="1:26" ht="16.899999999999999" customHeight="1" x14ac:dyDescent="0.15">
      <c r="A437" s="347" t="s">
        <v>8089</v>
      </c>
      <c r="B437" s="347">
        <v>3</v>
      </c>
      <c r="C437" s="347" t="s">
        <v>2941</v>
      </c>
      <c r="E437" s="347" t="s">
        <v>2950</v>
      </c>
      <c r="F437" s="348" t="s">
        <v>2995</v>
      </c>
      <c r="G437" s="347" t="s">
        <v>2972</v>
      </c>
      <c r="H437" s="347" t="s">
        <v>2953</v>
      </c>
      <c r="I437" s="347" t="s">
        <v>6323</v>
      </c>
      <c r="J437" s="347" t="s">
        <v>6335</v>
      </c>
      <c r="K437" s="350" t="s">
        <v>8090</v>
      </c>
      <c r="L437" s="349" t="s">
        <v>6522</v>
      </c>
      <c r="M437" s="350" t="s">
        <v>8091</v>
      </c>
      <c r="N437" s="350" t="s">
        <v>8092</v>
      </c>
      <c r="Q437" s="347" t="s">
        <v>2950</v>
      </c>
      <c r="S437" s="347" t="s">
        <v>2950</v>
      </c>
      <c r="T437" s="347" t="s">
        <v>2950</v>
      </c>
      <c r="V437" s="347" t="s">
        <v>2950</v>
      </c>
      <c r="Z437" s="349" t="s">
        <v>7972</v>
      </c>
    </row>
    <row r="438" spans="1:26" ht="16.899999999999999" customHeight="1" x14ac:dyDescent="0.15">
      <c r="A438" s="347" t="s">
        <v>8093</v>
      </c>
      <c r="B438" s="347">
        <v>3</v>
      </c>
      <c r="C438" s="347" t="s">
        <v>2941</v>
      </c>
      <c r="F438" s="348" t="s">
        <v>2995</v>
      </c>
      <c r="G438" s="347" t="s">
        <v>2972</v>
      </c>
      <c r="H438" s="347" t="s">
        <v>2953</v>
      </c>
      <c r="I438" s="347" t="s">
        <v>6323</v>
      </c>
      <c r="J438" s="347" t="s">
        <v>6335</v>
      </c>
      <c r="K438" s="350" t="s">
        <v>8094</v>
      </c>
      <c r="L438" s="349" t="s">
        <v>7875</v>
      </c>
      <c r="M438" s="350" t="s">
        <v>8095</v>
      </c>
      <c r="N438" s="350" t="s">
        <v>8096</v>
      </c>
      <c r="T438" s="347" t="s">
        <v>2950</v>
      </c>
      <c r="U438" s="347" t="s">
        <v>2950</v>
      </c>
      <c r="V438" s="347" t="s">
        <v>2950</v>
      </c>
      <c r="Z438" s="349" t="s">
        <v>7972</v>
      </c>
    </row>
    <row r="439" spans="1:26" ht="16.899999999999999" customHeight="1" x14ac:dyDescent="0.15">
      <c r="A439" s="347" t="s">
        <v>8097</v>
      </c>
      <c r="B439" s="347">
        <v>3</v>
      </c>
      <c r="C439" s="347" t="s">
        <v>2983</v>
      </c>
      <c r="F439" s="348" t="s">
        <v>6378</v>
      </c>
      <c r="G439" s="347" t="s">
        <v>2972</v>
      </c>
      <c r="H439" s="347" t="s">
        <v>2953</v>
      </c>
      <c r="I439" s="347" t="s">
        <v>6323</v>
      </c>
      <c r="K439" s="350"/>
      <c r="L439" s="349" t="s">
        <v>2987</v>
      </c>
      <c r="M439" s="350" t="s">
        <v>8098</v>
      </c>
      <c r="N439" s="350" t="s">
        <v>8099</v>
      </c>
      <c r="O439" s="347" t="s">
        <v>2950</v>
      </c>
      <c r="P439" s="347" t="s">
        <v>2950</v>
      </c>
      <c r="T439" s="347" t="s">
        <v>2950</v>
      </c>
      <c r="U439" s="347" t="s">
        <v>2950</v>
      </c>
      <c r="V439" s="347" t="s">
        <v>2950</v>
      </c>
      <c r="Z439" s="349" t="s">
        <v>7972</v>
      </c>
    </row>
    <row r="440" spans="1:26" ht="16.899999999999999" customHeight="1" x14ac:dyDescent="0.15">
      <c r="A440" s="347" t="s">
        <v>8100</v>
      </c>
      <c r="B440" s="347">
        <v>3</v>
      </c>
      <c r="C440" s="347" t="s">
        <v>7883</v>
      </c>
      <c r="F440" s="348" t="s">
        <v>2995</v>
      </c>
      <c r="G440" s="347" t="s">
        <v>8101</v>
      </c>
      <c r="H440" s="347" t="s">
        <v>2953</v>
      </c>
      <c r="I440" s="347" t="s">
        <v>6323</v>
      </c>
      <c r="K440" s="350"/>
      <c r="L440" s="349" t="s">
        <v>2987</v>
      </c>
      <c r="M440" s="350" t="s">
        <v>8102</v>
      </c>
      <c r="N440" s="350" t="s">
        <v>8103</v>
      </c>
      <c r="Q440" s="347" t="s">
        <v>2950</v>
      </c>
      <c r="T440" s="347" t="s">
        <v>2950</v>
      </c>
      <c r="U440" s="347" t="s">
        <v>2950</v>
      </c>
      <c r="V440" s="347" t="s">
        <v>2950</v>
      </c>
      <c r="Z440" s="349" t="s">
        <v>7972</v>
      </c>
    </row>
    <row r="441" spans="1:26" ht="16.899999999999999" customHeight="1" x14ac:dyDescent="0.15">
      <c r="A441" s="347" t="s">
        <v>8104</v>
      </c>
      <c r="B441" s="347">
        <v>3</v>
      </c>
      <c r="C441" s="347" t="s">
        <v>2941</v>
      </c>
      <c r="F441" s="348" t="s">
        <v>2995</v>
      </c>
      <c r="G441" s="347" t="s">
        <v>2972</v>
      </c>
      <c r="H441" s="347" t="s">
        <v>2953</v>
      </c>
      <c r="I441" s="347" t="s">
        <v>6323</v>
      </c>
      <c r="K441" s="350"/>
      <c r="L441" s="349" t="s">
        <v>7898</v>
      </c>
      <c r="M441" s="350" t="s">
        <v>8105</v>
      </c>
      <c r="N441" s="350" t="s">
        <v>8106</v>
      </c>
      <c r="O441" s="347" t="s">
        <v>2950</v>
      </c>
      <c r="T441" s="347" t="s">
        <v>2950</v>
      </c>
      <c r="V441" s="347" t="s">
        <v>2950</v>
      </c>
      <c r="Z441" s="349" t="s">
        <v>7972</v>
      </c>
    </row>
    <row r="442" spans="1:26" ht="16.899999999999999" customHeight="1" x14ac:dyDescent="0.15">
      <c r="A442" s="347" t="s">
        <v>8107</v>
      </c>
      <c r="B442" s="347">
        <v>3</v>
      </c>
      <c r="C442" s="347" t="s">
        <v>2941</v>
      </c>
      <c r="E442" s="347" t="s">
        <v>2950</v>
      </c>
      <c r="F442" s="348" t="s">
        <v>2995</v>
      </c>
      <c r="G442" s="347" t="s">
        <v>2970</v>
      </c>
      <c r="H442" s="347" t="s">
        <v>2953</v>
      </c>
      <c r="I442" s="347" t="s">
        <v>6323</v>
      </c>
      <c r="J442" s="347" t="s">
        <v>6335</v>
      </c>
      <c r="K442" s="350" t="s">
        <v>8108</v>
      </c>
      <c r="L442" s="349" t="s">
        <v>8007</v>
      </c>
      <c r="M442" s="350" t="s">
        <v>8109</v>
      </c>
      <c r="N442" s="350" t="s">
        <v>8110</v>
      </c>
      <c r="O442" s="347" t="s">
        <v>2950</v>
      </c>
      <c r="Q442" s="347" t="s">
        <v>2950</v>
      </c>
      <c r="R442" s="347" t="s">
        <v>2950</v>
      </c>
      <c r="S442" s="347" t="s">
        <v>2950</v>
      </c>
      <c r="T442" s="347" t="s">
        <v>2950</v>
      </c>
      <c r="Z442" s="349" t="s">
        <v>7972</v>
      </c>
    </row>
    <row r="443" spans="1:26" ht="16.899999999999999" customHeight="1" x14ac:dyDescent="0.15">
      <c r="A443" s="347" t="s">
        <v>8212</v>
      </c>
      <c r="B443" s="347">
        <v>3</v>
      </c>
      <c r="C443" s="347" t="s">
        <v>8154</v>
      </c>
      <c r="F443" s="348" t="s">
        <v>2995</v>
      </c>
      <c r="G443" s="347" t="s">
        <v>2974</v>
      </c>
      <c r="H443" s="347" t="s">
        <v>2953</v>
      </c>
      <c r="I443" s="347" t="s">
        <v>6323</v>
      </c>
      <c r="K443" s="350"/>
      <c r="L443" s="349" t="s">
        <v>7875</v>
      </c>
      <c r="M443" s="350" t="s">
        <v>8213</v>
      </c>
      <c r="N443" s="350" t="s">
        <v>8214</v>
      </c>
      <c r="P443" s="347" t="s">
        <v>2950</v>
      </c>
      <c r="S443" s="347" t="s">
        <v>2950</v>
      </c>
      <c r="T443" s="347" t="s">
        <v>2950</v>
      </c>
      <c r="U443" s="347" t="s">
        <v>2950</v>
      </c>
      <c r="V443" s="347" t="s">
        <v>2950</v>
      </c>
      <c r="Z443" s="349" t="s">
        <v>8157</v>
      </c>
    </row>
    <row r="444" spans="1:26" ht="16.899999999999999" customHeight="1" x14ac:dyDescent="0.15">
      <c r="A444" s="347" t="s">
        <v>8215</v>
      </c>
      <c r="B444" s="347">
        <v>3</v>
      </c>
      <c r="C444" s="347" t="s">
        <v>8154</v>
      </c>
      <c r="F444" s="348" t="s">
        <v>2995</v>
      </c>
      <c r="G444" s="347" t="s">
        <v>2943</v>
      </c>
      <c r="H444" s="347" t="s">
        <v>2953</v>
      </c>
      <c r="I444" s="347" t="s">
        <v>6323</v>
      </c>
      <c r="J444" s="347" t="s">
        <v>6335</v>
      </c>
      <c r="K444" s="350" t="s">
        <v>8216</v>
      </c>
      <c r="L444" s="349" t="s">
        <v>2987</v>
      </c>
      <c r="M444" s="350" t="s">
        <v>8217</v>
      </c>
      <c r="N444" s="350" t="s">
        <v>8218</v>
      </c>
      <c r="T444" s="347" t="s">
        <v>2950</v>
      </c>
      <c r="U444" s="347" t="s">
        <v>2950</v>
      </c>
      <c r="V444" s="347" t="s">
        <v>2950</v>
      </c>
      <c r="Z444" s="349" t="s">
        <v>8157</v>
      </c>
    </row>
    <row r="445" spans="1:26" ht="16.899999999999999" customHeight="1" x14ac:dyDescent="0.15">
      <c r="A445" s="347" t="s">
        <v>8219</v>
      </c>
      <c r="B445" s="347">
        <v>3</v>
      </c>
      <c r="C445" s="347" t="s">
        <v>6520</v>
      </c>
      <c r="E445" s="347" t="s">
        <v>2950</v>
      </c>
      <c r="F445" s="348" t="s">
        <v>2995</v>
      </c>
      <c r="G445" s="347" t="s">
        <v>7873</v>
      </c>
      <c r="H445" s="347" t="s">
        <v>2953</v>
      </c>
      <c r="I445" s="347" t="s">
        <v>6323</v>
      </c>
      <c r="J445" s="347" t="s">
        <v>6335</v>
      </c>
      <c r="K445" s="350" t="s">
        <v>8220</v>
      </c>
      <c r="L445" s="349" t="s">
        <v>6522</v>
      </c>
      <c r="M445" s="350" t="s">
        <v>8221</v>
      </c>
      <c r="N445" s="350" t="s">
        <v>8222</v>
      </c>
      <c r="Q445" s="347" t="s">
        <v>2950</v>
      </c>
      <c r="S445" s="347" t="s">
        <v>2950</v>
      </c>
      <c r="U445" s="347" t="s">
        <v>2950</v>
      </c>
      <c r="V445" s="347" t="s">
        <v>2950</v>
      </c>
      <c r="Z445" s="349" t="s">
        <v>8157</v>
      </c>
    </row>
    <row r="446" spans="1:26" ht="16.899999999999999" customHeight="1" x14ac:dyDescent="0.15">
      <c r="A446" s="347" t="s">
        <v>8223</v>
      </c>
      <c r="B446" s="347">
        <v>3</v>
      </c>
      <c r="C446" s="347" t="s">
        <v>8154</v>
      </c>
      <c r="E446" s="347" t="s">
        <v>2950</v>
      </c>
      <c r="F446" s="348" t="s">
        <v>6378</v>
      </c>
      <c r="G446" s="347" t="s">
        <v>2943</v>
      </c>
      <c r="H446" s="347" t="s">
        <v>2953</v>
      </c>
      <c r="I446" s="347" t="s">
        <v>6323</v>
      </c>
      <c r="K446" s="350"/>
      <c r="L446" s="349" t="s">
        <v>8007</v>
      </c>
      <c r="M446" s="350" t="s">
        <v>8224</v>
      </c>
      <c r="N446" s="350" t="s">
        <v>8225</v>
      </c>
      <c r="Q446" s="347" t="s">
        <v>2950</v>
      </c>
      <c r="T446" s="347" t="s">
        <v>2950</v>
      </c>
      <c r="U446" s="347" t="s">
        <v>2950</v>
      </c>
      <c r="V446" s="347" t="s">
        <v>2950</v>
      </c>
      <c r="Z446" s="349" t="s">
        <v>8157</v>
      </c>
    </row>
    <row r="447" spans="1:26" ht="16.899999999999999" customHeight="1" x14ac:dyDescent="0.15">
      <c r="A447" s="347" t="s">
        <v>8226</v>
      </c>
      <c r="B447" s="347">
        <v>3</v>
      </c>
      <c r="C447" s="347" t="s">
        <v>2976</v>
      </c>
      <c r="D447" s="347" t="s">
        <v>2950</v>
      </c>
      <c r="E447" s="347" t="s">
        <v>2950</v>
      </c>
      <c r="F447" s="348" t="s">
        <v>7896</v>
      </c>
      <c r="G447" s="347" t="s">
        <v>6890</v>
      </c>
      <c r="I447" s="347" t="s">
        <v>6323</v>
      </c>
      <c r="J447" s="347" t="s">
        <v>6335</v>
      </c>
      <c r="K447" s="350" t="s">
        <v>8227</v>
      </c>
      <c r="L447" s="349" t="s">
        <v>6522</v>
      </c>
      <c r="M447" s="350" t="s">
        <v>8228</v>
      </c>
      <c r="N447" s="350" t="s">
        <v>8229</v>
      </c>
      <c r="O447" s="347" t="s">
        <v>2950</v>
      </c>
      <c r="T447" s="347" t="s">
        <v>2950</v>
      </c>
      <c r="U447" s="347" t="s">
        <v>2950</v>
      </c>
      <c r="Z447" s="349" t="s">
        <v>8157</v>
      </c>
    </row>
    <row r="448" spans="1:26" ht="16.899999999999999" customHeight="1" x14ac:dyDescent="0.15">
      <c r="A448" s="347" t="s">
        <v>8230</v>
      </c>
      <c r="B448" s="347">
        <v>3</v>
      </c>
      <c r="C448" s="347" t="s">
        <v>2983</v>
      </c>
      <c r="F448" s="348" t="s">
        <v>2995</v>
      </c>
      <c r="G448" s="347" t="s">
        <v>2972</v>
      </c>
      <c r="H448" s="347" t="s">
        <v>2953</v>
      </c>
      <c r="I448" s="347" t="s">
        <v>6323</v>
      </c>
      <c r="J448" s="347" t="s">
        <v>6335</v>
      </c>
      <c r="K448" s="350" t="s">
        <v>8231</v>
      </c>
      <c r="L448" s="349" t="s">
        <v>7963</v>
      </c>
      <c r="M448" s="350" t="s">
        <v>8232</v>
      </c>
      <c r="N448" s="350" t="s">
        <v>8233</v>
      </c>
      <c r="P448" s="347" t="s">
        <v>2950</v>
      </c>
      <c r="Q448" s="347" t="s">
        <v>2950</v>
      </c>
      <c r="S448" s="347" t="s">
        <v>2950</v>
      </c>
      <c r="Z448" s="349" t="s">
        <v>8157</v>
      </c>
    </row>
    <row r="449" spans="1:26" ht="16.899999999999999" customHeight="1" x14ac:dyDescent="0.15">
      <c r="A449" s="347" t="s">
        <v>8234</v>
      </c>
      <c r="B449" s="347">
        <v>3</v>
      </c>
      <c r="C449" s="347" t="s">
        <v>2976</v>
      </c>
      <c r="E449" s="347" t="s">
        <v>2950</v>
      </c>
      <c r="F449" s="348" t="s">
        <v>2995</v>
      </c>
      <c r="G449" s="347" t="s">
        <v>2986</v>
      </c>
      <c r="H449" s="347" t="s">
        <v>2953</v>
      </c>
      <c r="I449" s="347" t="s">
        <v>6323</v>
      </c>
      <c r="J449" s="347" t="s">
        <v>6335</v>
      </c>
      <c r="K449" s="350" t="s">
        <v>8235</v>
      </c>
      <c r="L449" s="349" t="s">
        <v>8007</v>
      </c>
      <c r="M449" s="350" t="s">
        <v>8236</v>
      </c>
      <c r="N449" s="350" t="s">
        <v>8237</v>
      </c>
      <c r="U449" s="347" t="s">
        <v>2950</v>
      </c>
      <c r="V449" s="347" t="s">
        <v>2950</v>
      </c>
      <c r="Z449" s="349" t="s">
        <v>8157</v>
      </c>
    </row>
    <row r="450" spans="1:26" ht="16.899999999999999" customHeight="1" x14ac:dyDescent="0.15">
      <c r="A450" s="347" t="s">
        <v>8238</v>
      </c>
      <c r="B450" s="347">
        <v>3</v>
      </c>
      <c r="C450" s="347" t="s">
        <v>8154</v>
      </c>
      <c r="F450" s="348" t="s">
        <v>2995</v>
      </c>
      <c r="G450" s="347" t="s">
        <v>7873</v>
      </c>
      <c r="H450" s="347" t="s">
        <v>2953</v>
      </c>
      <c r="I450" s="347" t="s">
        <v>6323</v>
      </c>
      <c r="J450" s="347" t="s">
        <v>6335</v>
      </c>
      <c r="K450" s="350" t="s">
        <v>8239</v>
      </c>
      <c r="L450" s="349" t="s">
        <v>2987</v>
      </c>
      <c r="M450" s="350" t="s">
        <v>8240</v>
      </c>
      <c r="N450" s="350" t="s">
        <v>8241</v>
      </c>
      <c r="P450" s="347" t="s">
        <v>2950</v>
      </c>
      <c r="R450" s="347" t="s">
        <v>2950</v>
      </c>
      <c r="V450" s="347" t="s">
        <v>2950</v>
      </c>
      <c r="Z450" s="349" t="s">
        <v>8157</v>
      </c>
    </row>
    <row r="451" spans="1:26" ht="16.899999999999999" customHeight="1" x14ac:dyDescent="0.15">
      <c r="A451" s="347" t="s">
        <v>8242</v>
      </c>
      <c r="B451" s="347">
        <v>3</v>
      </c>
      <c r="C451" s="347" t="s">
        <v>2976</v>
      </c>
      <c r="E451" s="347" t="s">
        <v>2950</v>
      </c>
      <c r="F451" s="348" t="s">
        <v>2995</v>
      </c>
      <c r="G451" s="347" t="s">
        <v>2972</v>
      </c>
      <c r="H451" s="347" t="s">
        <v>2953</v>
      </c>
      <c r="I451" s="347" t="s">
        <v>6323</v>
      </c>
      <c r="J451" s="347" t="s">
        <v>6335</v>
      </c>
      <c r="K451" s="350" t="s">
        <v>8243</v>
      </c>
      <c r="L451" s="349" t="s">
        <v>6522</v>
      </c>
      <c r="M451" s="350" t="s">
        <v>8244</v>
      </c>
      <c r="N451" s="350" t="s">
        <v>8245</v>
      </c>
      <c r="T451" s="347" t="s">
        <v>2950</v>
      </c>
      <c r="U451" s="347" t="s">
        <v>2950</v>
      </c>
      <c r="V451" s="347" t="s">
        <v>2950</v>
      </c>
      <c r="Z451" s="349" t="s">
        <v>8157</v>
      </c>
    </row>
    <row r="452" spans="1:26" ht="16.899999999999999" customHeight="1" x14ac:dyDescent="0.15">
      <c r="A452" s="347" t="s">
        <v>8246</v>
      </c>
      <c r="B452" s="347">
        <v>3</v>
      </c>
      <c r="C452" s="347" t="s">
        <v>7883</v>
      </c>
      <c r="F452" s="348" t="s">
        <v>7875</v>
      </c>
      <c r="G452" s="347" t="s">
        <v>7974</v>
      </c>
      <c r="H452" s="347" t="s">
        <v>2953</v>
      </c>
      <c r="I452" s="347" t="s">
        <v>6323</v>
      </c>
      <c r="J452" s="347" t="s">
        <v>6335</v>
      </c>
      <c r="K452" s="350" t="s">
        <v>8247</v>
      </c>
      <c r="L452" s="349" t="s">
        <v>8248</v>
      </c>
      <c r="M452" s="350" t="s">
        <v>8249</v>
      </c>
      <c r="N452" s="350" t="s">
        <v>8250</v>
      </c>
      <c r="O452" s="347" t="s">
        <v>2950</v>
      </c>
      <c r="P452" s="347" t="s">
        <v>2950</v>
      </c>
      <c r="R452" s="347" t="s">
        <v>2950</v>
      </c>
      <c r="Z452" s="349" t="s">
        <v>8157</v>
      </c>
    </row>
    <row r="453" spans="1:26" ht="16.899999999999999" customHeight="1" x14ac:dyDescent="0.15">
      <c r="A453" s="347" t="s">
        <v>8251</v>
      </c>
      <c r="B453" s="347">
        <v>3</v>
      </c>
      <c r="C453" s="347" t="s">
        <v>2983</v>
      </c>
      <c r="F453" s="348" t="s">
        <v>2995</v>
      </c>
      <c r="G453" s="347" t="s">
        <v>2986</v>
      </c>
      <c r="H453" s="347" t="s">
        <v>2953</v>
      </c>
      <c r="I453" s="347" t="s">
        <v>6323</v>
      </c>
      <c r="K453" s="350"/>
      <c r="L453" s="349" t="s">
        <v>2987</v>
      </c>
      <c r="M453" s="350" t="s">
        <v>8252</v>
      </c>
      <c r="N453" s="350" t="s">
        <v>8253</v>
      </c>
      <c r="P453" s="347" t="s">
        <v>2950</v>
      </c>
      <c r="Q453" s="347" t="s">
        <v>2950</v>
      </c>
      <c r="R453" s="347" t="s">
        <v>2950</v>
      </c>
      <c r="S453" s="347" t="s">
        <v>2950</v>
      </c>
      <c r="U453" s="347" t="s">
        <v>2950</v>
      </c>
      <c r="V453" s="347" t="s">
        <v>2950</v>
      </c>
      <c r="Z453" s="349" t="s">
        <v>8157</v>
      </c>
    </row>
    <row r="454" spans="1:26" ht="16.899999999999999" customHeight="1" x14ac:dyDescent="0.15">
      <c r="A454" s="347" t="s">
        <v>8254</v>
      </c>
      <c r="B454" s="347">
        <v>3</v>
      </c>
      <c r="C454" s="347" t="s">
        <v>8154</v>
      </c>
      <c r="E454" s="347" t="s">
        <v>2950</v>
      </c>
      <c r="F454" s="348" t="s">
        <v>2995</v>
      </c>
      <c r="G454" s="347" t="s">
        <v>2943</v>
      </c>
      <c r="H454" s="347" t="s">
        <v>2953</v>
      </c>
      <c r="I454" s="347" t="s">
        <v>6323</v>
      </c>
      <c r="K454" s="350"/>
      <c r="L454" s="349" t="s">
        <v>8007</v>
      </c>
      <c r="M454" s="350" t="s">
        <v>8255</v>
      </c>
      <c r="N454" s="350" t="s">
        <v>8256</v>
      </c>
      <c r="T454" s="347" t="s">
        <v>2950</v>
      </c>
      <c r="U454" s="347" t="s">
        <v>2950</v>
      </c>
      <c r="V454" s="347" t="s">
        <v>2950</v>
      </c>
      <c r="Z454" s="349" t="s">
        <v>8157</v>
      </c>
    </row>
    <row r="455" spans="1:26" ht="16.899999999999999" customHeight="1" x14ac:dyDescent="0.15">
      <c r="A455" s="347" t="s">
        <v>8500</v>
      </c>
      <c r="B455" s="347">
        <v>3</v>
      </c>
      <c r="C455" s="347" t="s">
        <v>1019</v>
      </c>
      <c r="E455" s="347" t="s">
        <v>631</v>
      </c>
      <c r="F455" s="348" t="s">
        <v>941</v>
      </c>
      <c r="G455" s="347" t="s">
        <v>8501</v>
      </c>
      <c r="H455" s="347" t="s">
        <v>970</v>
      </c>
      <c r="I455" s="347" t="s">
        <v>971</v>
      </c>
      <c r="J455" s="347" t="s">
        <v>989</v>
      </c>
      <c r="K455" s="350" t="s">
        <v>8502</v>
      </c>
      <c r="L455" s="349" t="s">
        <v>8007</v>
      </c>
      <c r="M455" s="350" t="s">
        <v>8503</v>
      </c>
      <c r="N455" s="350" t="s">
        <v>8504</v>
      </c>
      <c r="T455" s="347" t="s">
        <v>631</v>
      </c>
      <c r="U455" s="347" t="s">
        <v>631</v>
      </c>
      <c r="V455" s="347" t="s">
        <v>631</v>
      </c>
      <c r="Z455" s="349" t="s">
        <v>8316</v>
      </c>
    </row>
    <row r="456" spans="1:26" ht="16.899999999999999" customHeight="1" x14ac:dyDescent="0.15">
      <c r="A456" s="347" t="s">
        <v>8864</v>
      </c>
      <c r="B456" s="347">
        <v>3</v>
      </c>
      <c r="C456" s="347" t="s">
        <v>994</v>
      </c>
      <c r="F456" s="348" t="s">
        <v>941</v>
      </c>
      <c r="G456" s="347" t="s">
        <v>978</v>
      </c>
      <c r="I456" s="347" t="s">
        <v>971</v>
      </c>
      <c r="J456" s="347" t="s">
        <v>989</v>
      </c>
      <c r="K456" s="350" t="s">
        <v>8865</v>
      </c>
      <c r="L456" s="349" t="s">
        <v>1020</v>
      </c>
      <c r="M456" s="350" t="s">
        <v>9611</v>
      </c>
      <c r="N456" s="350" t="s">
        <v>8866</v>
      </c>
      <c r="Q456" s="347" t="s">
        <v>631</v>
      </c>
      <c r="S456" s="347" t="s">
        <v>631</v>
      </c>
      <c r="Z456" s="349" t="s">
        <v>9101</v>
      </c>
    </row>
    <row r="457" spans="1:26" ht="16.899999999999999" customHeight="1" x14ac:dyDescent="0.15">
      <c r="A457" s="347" t="s">
        <v>8867</v>
      </c>
      <c r="B457" s="347">
        <v>3</v>
      </c>
      <c r="C457" s="347" t="s">
        <v>1019</v>
      </c>
      <c r="E457" s="347" t="s">
        <v>2950</v>
      </c>
      <c r="F457" s="348" t="s">
        <v>941</v>
      </c>
      <c r="G457" s="347" t="s">
        <v>2943</v>
      </c>
      <c r="H457" s="347" t="s">
        <v>970</v>
      </c>
      <c r="I457" s="347" t="s">
        <v>971</v>
      </c>
      <c r="J457" s="347" t="s">
        <v>989</v>
      </c>
      <c r="K457" s="350" t="s">
        <v>8868</v>
      </c>
      <c r="L457" s="349" t="s">
        <v>6522</v>
      </c>
      <c r="M457" s="350" t="s">
        <v>9593</v>
      </c>
      <c r="N457" s="350" t="s">
        <v>8869</v>
      </c>
      <c r="Q457" s="347" t="s">
        <v>631</v>
      </c>
      <c r="S457" s="347" t="s">
        <v>631</v>
      </c>
      <c r="U457" s="347" t="s">
        <v>631</v>
      </c>
      <c r="Z457" s="349" t="s">
        <v>9101</v>
      </c>
    </row>
    <row r="458" spans="1:26" ht="16.899999999999999" customHeight="1" x14ac:dyDescent="0.15">
      <c r="A458" s="347" t="s">
        <v>8870</v>
      </c>
      <c r="B458" s="347">
        <v>3</v>
      </c>
      <c r="C458" s="347" t="s">
        <v>1013</v>
      </c>
      <c r="F458" s="348" t="s">
        <v>8880</v>
      </c>
      <c r="G458" s="347" t="s">
        <v>8871</v>
      </c>
      <c r="H458" s="347" t="s">
        <v>970</v>
      </c>
      <c r="I458" s="347" t="s">
        <v>971</v>
      </c>
      <c r="J458" s="347" t="s">
        <v>989</v>
      </c>
      <c r="K458" s="350" t="s">
        <v>8872</v>
      </c>
      <c r="L458" s="349" t="s">
        <v>1109</v>
      </c>
      <c r="M458" s="350" t="s">
        <v>9612</v>
      </c>
      <c r="N458" s="350" t="s">
        <v>8873</v>
      </c>
      <c r="P458" s="347" t="s">
        <v>2950</v>
      </c>
      <c r="R458" s="347" t="s">
        <v>631</v>
      </c>
      <c r="Z458" s="349" t="s">
        <v>9101</v>
      </c>
    </row>
    <row r="459" spans="1:26" ht="16.899999999999999" customHeight="1" x14ac:dyDescent="0.15">
      <c r="A459" s="347" t="s">
        <v>9354</v>
      </c>
      <c r="B459" s="347">
        <v>3</v>
      </c>
      <c r="C459" s="347" t="s">
        <v>968</v>
      </c>
      <c r="E459" s="347" t="s">
        <v>631</v>
      </c>
      <c r="F459" s="348" t="s">
        <v>941</v>
      </c>
      <c r="G459" s="347" t="s">
        <v>2943</v>
      </c>
      <c r="H459" s="347" t="s">
        <v>970</v>
      </c>
      <c r="I459" s="347" t="s">
        <v>971</v>
      </c>
      <c r="J459" s="347" t="s">
        <v>989</v>
      </c>
      <c r="K459" s="350" t="s">
        <v>9355</v>
      </c>
      <c r="L459" s="349" t="s">
        <v>8007</v>
      </c>
      <c r="M459" s="350" t="s">
        <v>9628</v>
      </c>
      <c r="N459" s="350" t="s">
        <v>9356</v>
      </c>
      <c r="Q459" s="347" t="s">
        <v>631</v>
      </c>
      <c r="T459" s="347" t="s">
        <v>631</v>
      </c>
      <c r="U459" s="347" t="s">
        <v>631</v>
      </c>
      <c r="Z459" s="349" t="s">
        <v>9638</v>
      </c>
    </row>
    <row r="460" spans="1:26" ht="16.899999999999999" customHeight="1" x14ac:dyDescent="0.15">
      <c r="A460" s="347" t="s">
        <v>9357</v>
      </c>
      <c r="B460" s="347">
        <v>3</v>
      </c>
      <c r="C460" s="347" t="s">
        <v>968</v>
      </c>
      <c r="F460" s="348" t="s">
        <v>941</v>
      </c>
      <c r="G460" s="347" t="s">
        <v>9358</v>
      </c>
      <c r="H460" s="347" t="s">
        <v>970</v>
      </c>
      <c r="J460" s="347" t="s">
        <v>989</v>
      </c>
      <c r="K460" s="350" t="s">
        <v>9359</v>
      </c>
      <c r="L460" s="349" t="s">
        <v>9360</v>
      </c>
      <c r="M460" s="350" t="s">
        <v>9629</v>
      </c>
      <c r="N460" s="350" t="s">
        <v>9361</v>
      </c>
      <c r="P460" s="347" t="s">
        <v>631</v>
      </c>
      <c r="Q460" s="347" t="s">
        <v>631</v>
      </c>
      <c r="Z460" s="349" t="s">
        <v>9638</v>
      </c>
    </row>
    <row r="461" spans="1:26" ht="16.899999999999999" customHeight="1" x14ac:dyDescent="0.15">
      <c r="A461" s="347" t="s">
        <v>9362</v>
      </c>
      <c r="B461" s="347">
        <v>3</v>
      </c>
      <c r="C461" s="347" t="s">
        <v>994</v>
      </c>
      <c r="D461" s="347" t="s">
        <v>631</v>
      </c>
      <c r="F461" s="348" t="s">
        <v>9590</v>
      </c>
      <c r="G461" s="347" t="s">
        <v>984</v>
      </c>
      <c r="H461" s="347" t="s">
        <v>970</v>
      </c>
      <c r="I461" s="347" t="s">
        <v>971</v>
      </c>
      <c r="J461" s="347" t="s">
        <v>989</v>
      </c>
      <c r="K461" s="350" t="s">
        <v>9363</v>
      </c>
      <c r="L461" s="349" t="s">
        <v>1104</v>
      </c>
      <c r="M461" s="350" t="s">
        <v>9630</v>
      </c>
      <c r="N461" s="350" t="s">
        <v>9364</v>
      </c>
      <c r="O461" s="347" t="s">
        <v>631</v>
      </c>
      <c r="P461" s="347" t="s">
        <v>631</v>
      </c>
      <c r="Q461" s="347" t="s">
        <v>631</v>
      </c>
      <c r="R461" s="347" t="s">
        <v>631</v>
      </c>
      <c r="S461" s="347" t="s">
        <v>631</v>
      </c>
      <c r="Z461" s="349" t="s">
        <v>9638</v>
      </c>
    </row>
    <row r="462" spans="1:26" ht="16.899999999999999" customHeight="1" x14ac:dyDescent="0.15">
      <c r="A462" s="347" t="s">
        <v>9365</v>
      </c>
      <c r="B462" s="347">
        <v>3</v>
      </c>
      <c r="C462" s="347" t="s">
        <v>1019</v>
      </c>
      <c r="E462" s="347" t="s">
        <v>631</v>
      </c>
      <c r="F462" s="348" t="s">
        <v>941</v>
      </c>
      <c r="G462" s="347" t="s">
        <v>969</v>
      </c>
      <c r="H462" s="347" t="s">
        <v>970</v>
      </c>
      <c r="I462" s="347" t="s">
        <v>971</v>
      </c>
      <c r="K462" s="350"/>
      <c r="L462" s="349" t="s">
        <v>8007</v>
      </c>
      <c r="M462" s="350" t="s">
        <v>9631</v>
      </c>
      <c r="N462" s="350" t="s">
        <v>9366</v>
      </c>
      <c r="U462" s="347" t="s">
        <v>631</v>
      </c>
      <c r="V462" s="347" t="s">
        <v>631</v>
      </c>
      <c r="Z462" s="349" t="s">
        <v>9638</v>
      </c>
    </row>
    <row r="463" spans="1:26" ht="16.899999999999999" customHeight="1" x14ac:dyDescent="0.15">
      <c r="A463" s="347" t="s">
        <v>9367</v>
      </c>
      <c r="B463" s="347">
        <v>3</v>
      </c>
      <c r="C463" s="347" t="s">
        <v>1007</v>
      </c>
      <c r="F463" s="348" t="s">
        <v>941</v>
      </c>
      <c r="G463" s="347" t="s">
        <v>709</v>
      </c>
      <c r="H463" s="347" t="s">
        <v>970</v>
      </c>
      <c r="I463" s="347" t="s">
        <v>971</v>
      </c>
      <c r="K463" s="350"/>
      <c r="L463" s="349" t="s">
        <v>1016</v>
      </c>
      <c r="M463" s="350" t="s">
        <v>9632</v>
      </c>
      <c r="N463" s="350" t="s">
        <v>9368</v>
      </c>
      <c r="O463" s="347" t="s">
        <v>631</v>
      </c>
      <c r="P463" s="347" t="s">
        <v>631</v>
      </c>
      <c r="Q463" s="347" t="s">
        <v>631</v>
      </c>
      <c r="Z463" s="349" t="s">
        <v>9638</v>
      </c>
    </row>
    <row r="464" spans="1:26" ht="16.899999999999999" customHeight="1" x14ac:dyDescent="0.15">
      <c r="A464" s="347" t="s">
        <v>9369</v>
      </c>
      <c r="B464" s="347">
        <v>3</v>
      </c>
      <c r="C464" s="347" t="s">
        <v>983</v>
      </c>
      <c r="F464" s="348" t="s">
        <v>9591</v>
      </c>
      <c r="G464" s="347" t="s">
        <v>978</v>
      </c>
      <c r="H464" s="347" t="s">
        <v>970</v>
      </c>
      <c r="I464" s="347" t="s">
        <v>971</v>
      </c>
      <c r="J464" s="347" t="s">
        <v>989</v>
      </c>
      <c r="K464" s="350" t="s">
        <v>9370</v>
      </c>
      <c r="L464" s="349" t="s">
        <v>972</v>
      </c>
      <c r="M464" s="350" t="s">
        <v>9371</v>
      </c>
      <c r="N464" s="350" t="s">
        <v>9372</v>
      </c>
      <c r="P464" s="347" t="s">
        <v>631</v>
      </c>
      <c r="T464" s="347" t="s">
        <v>631</v>
      </c>
      <c r="V464" s="347" t="s">
        <v>631</v>
      </c>
      <c r="Z464" s="349" t="s">
        <v>9638</v>
      </c>
    </row>
    <row r="465" spans="1:26" ht="16.899999999999999" customHeight="1" x14ac:dyDescent="0.15">
      <c r="A465" s="347" t="s">
        <v>9373</v>
      </c>
      <c r="B465" s="347">
        <v>3</v>
      </c>
      <c r="C465" s="347" t="s">
        <v>1019</v>
      </c>
      <c r="F465" s="348" t="s">
        <v>941</v>
      </c>
      <c r="G465" s="347" t="s">
        <v>9374</v>
      </c>
      <c r="H465" s="347" t="s">
        <v>970</v>
      </c>
      <c r="I465" s="347" t="s">
        <v>971</v>
      </c>
      <c r="J465" s="347" t="s">
        <v>989</v>
      </c>
      <c r="K465" s="350" t="s">
        <v>9375</v>
      </c>
      <c r="L465" s="349" t="s">
        <v>1020</v>
      </c>
      <c r="M465" s="350" t="s">
        <v>9633</v>
      </c>
      <c r="N465" s="350" t="s">
        <v>9376</v>
      </c>
      <c r="O465" s="347" t="s">
        <v>631</v>
      </c>
      <c r="T465" s="347" t="s">
        <v>631</v>
      </c>
      <c r="U465" s="347" t="s">
        <v>631</v>
      </c>
      <c r="V465" s="347" t="s">
        <v>631</v>
      </c>
      <c r="Z465" s="349" t="s">
        <v>9638</v>
      </c>
    </row>
    <row r="466" spans="1:26" ht="16.899999999999999" customHeight="1" x14ac:dyDescent="0.15">
      <c r="A466" s="347" t="s">
        <v>10071</v>
      </c>
      <c r="B466" s="347">
        <v>3</v>
      </c>
      <c r="C466" s="347" t="s">
        <v>968</v>
      </c>
      <c r="E466" s="347" t="s">
        <v>631</v>
      </c>
      <c r="F466" s="348" t="s">
        <v>941</v>
      </c>
      <c r="G466" s="347" t="s">
        <v>978</v>
      </c>
      <c r="H466" s="347" t="s">
        <v>970</v>
      </c>
      <c r="I466" s="347" t="s">
        <v>971</v>
      </c>
      <c r="K466" s="350"/>
      <c r="L466" s="349" t="s">
        <v>1161</v>
      </c>
      <c r="M466" s="350" t="s">
        <v>10111</v>
      </c>
      <c r="N466" s="350" t="s">
        <v>10072</v>
      </c>
      <c r="O466" s="347" t="s">
        <v>10123</v>
      </c>
      <c r="T466" s="347" t="s">
        <v>10123</v>
      </c>
      <c r="V466" s="347" t="s">
        <v>10123</v>
      </c>
      <c r="Z466" s="349" t="s">
        <v>10124</v>
      </c>
    </row>
    <row r="467" spans="1:26" ht="16.899999999999999" customHeight="1" x14ac:dyDescent="0.15">
      <c r="A467" s="347" t="s">
        <v>10073</v>
      </c>
      <c r="B467" s="347">
        <v>3</v>
      </c>
      <c r="C467" s="347" t="s">
        <v>1019</v>
      </c>
      <c r="E467" s="347" t="s">
        <v>631</v>
      </c>
      <c r="F467" s="348" t="s">
        <v>941</v>
      </c>
      <c r="G467" s="347" t="s">
        <v>969</v>
      </c>
      <c r="H467" s="347" t="s">
        <v>970</v>
      </c>
      <c r="I467" s="347" t="s">
        <v>971</v>
      </c>
      <c r="J467" s="347" t="s">
        <v>989</v>
      </c>
      <c r="K467" s="350" t="s">
        <v>10074</v>
      </c>
      <c r="L467" s="349" t="s">
        <v>1161</v>
      </c>
      <c r="M467" s="350" t="s">
        <v>10112</v>
      </c>
      <c r="N467" s="350" t="s">
        <v>10075</v>
      </c>
      <c r="V467" s="347" t="s">
        <v>10123</v>
      </c>
      <c r="Z467" s="349" t="s">
        <v>10124</v>
      </c>
    </row>
    <row r="468" spans="1:26" ht="16.899999999999999" customHeight="1" x14ac:dyDescent="0.15">
      <c r="A468" s="347" t="s">
        <v>10076</v>
      </c>
      <c r="B468" s="347">
        <v>3</v>
      </c>
      <c r="C468" s="347" t="s">
        <v>968</v>
      </c>
      <c r="F468" s="348" t="s">
        <v>941</v>
      </c>
      <c r="G468" s="347" t="s">
        <v>978</v>
      </c>
      <c r="H468" s="347" t="s">
        <v>970</v>
      </c>
      <c r="I468" s="347" t="s">
        <v>971</v>
      </c>
      <c r="J468" s="347" t="s">
        <v>989</v>
      </c>
      <c r="K468" s="350" t="s">
        <v>10077</v>
      </c>
      <c r="L468" s="349" t="s">
        <v>972</v>
      </c>
      <c r="M468" s="350" t="s">
        <v>10113</v>
      </c>
      <c r="N468" s="350" t="s">
        <v>10078</v>
      </c>
      <c r="P468" s="347" t="s">
        <v>10123</v>
      </c>
      <c r="T468" s="347" t="s">
        <v>10123</v>
      </c>
      <c r="V468" s="347" t="s">
        <v>10123</v>
      </c>
      <c r="Z468" s="349" t="s">
        <v>10124</v>
      </c>
    </row>
    <row r="469" spans="1:26" ht="16.899999999999999" customHeight="1" x14ac:dyDescent="0.15">
      <c r="A469" s="347" t="s">
        <v>10079</v>
      </c>
      <c r="B469" s="347">
        <v>3</v>
      </c>
      <c r="C469" s="347" t="s">
        <v>1019</v>
      </c>
      <c r="F469" s="348" t="s">
        <v>1047</v>
      </c>
      <c r="G469" s="347" t="s">
        <v>978</v>
      </c>
      <c r="H469" s="347" t="s">
        <v>970</v>
      </c>
      <c r="I469" s="347" t="s">
        <v>971</v>
      </c>
      <c r="J469" s="347" t="s">
        <v>989</v>
      </c>
      <c r="K469" s="350" t="s">
        <v>10080</v>
      </c>
      <c r="L469" s="349" t="s">
        <v>1016</v>
      </c>
      <c r="M469" s="350" t="s">
        <v>10114</v>
      </c>
      <c r="N469" s="350" t="s">
        <v>10081</v>
      </c>
      <c r="Q469" s="347" t="s">
        <v>10123</v>
      </c>
      <c r="V469" s="347" t="s">
        <v>10123</v>
      </c>
      <c r="Z469" s="349" t="s">
        <v>10124</v>
      </c>
    </row>
    <row r="470" spans="1:26" ht="16.899999999999999" customHeight="1" x14ac:dyDescent="0.15">
      <c r="A470" s="347" t="s">
        <v>1759</v>
      </c>
      <c r="B470" s="347">
        <v>4</v>
      </c>
      <c r="C470" s="347" t="s">
        <v>1013</v>
      </c>
      <c r="E470" s="347" t="s">
        <v>631</v>
      </c>
      <c r="F470" s="348" t="s">
        <v>941</v>
      </c>
      <c r="G470" s="347" t="s">
        <v>709</v>
      </c>
      <c r="H470" s="347" t="s">
        <v>970</v>
      </c>
      <c r="I470" s="347" t="s">
        <v>971</v>
      </c>
      <c r="J470" s="347" t="s">
        <v>989</v>
      </c>
      <c r="K470" s="350" t="s">
        <v>1760</v>
      </c>
      <c r="L470" s="349" t="s">
        <v>1211</v>
      </c>
      <c r="M470" s="350" t="s">
        <v>1761</v>
      </c>
      <c r="N470" s="350" t="s">
        <v>1762</v>
      </c>
      <c r="V470" s="347" t="s">
        <v>631</v>
      </c>
      <c r="W470" s="347" t="s">
        <v>631</v>
      </c>
      <c r="Z470" s="349" t="s">
        <v>975</v>
      </c>
    </row>
    <row r="471" spans="1:26" ht="16.899999999999999" customHeight="1" x14ac:dyDescent="0.15">
      <c r="A471" s="347" t="s">
        <v>1763</v>
      </c>
      <c r="B471" s="347">
        <v>4</v>
      </c>
      <c r="C471" s="347" t="s">
        <v>977</v>
      </c>
      <c r="E471" s="347" t="s">
        <v>631</v>
      </c>
      <c r="F471" s="348" t="s">
        <v>941</v>
      </c>
      <c r="G471" s="347" t="s">
        <v>978</v>
      </c>
      <c r="H471" s="347" t="s">
        <v>970</v>
      </c>
      <c r="K471" s="350"/>
      <c r="L471" s="349" t="s">
        <v>1161</v>
      </c>
      <c r="M471" s="350" t="s">
        <v>1764</v>
      </c>
      <c r="N471" s="350" t="s">
        <v>1765</v>
      </c>
      <c r="P471" s="347" t="s">
        <v>631</v>
      </c>
      <c r="R471" s="347" t="s">
        <v>631</v>
      </c>
      <c r="Z471" s="349" t="s">
        <v>975</v>
      </c>
    </row>
    <row r="472" spans="1:26" ht="16.899999999999999" customHeight="1" x14ac:dyDescent="0.15">
      <c r="A472" s="347" t="s">
        <v>1766</v>
      </c>
      <c r="B472" s="347">
        <v>4</v>
      </c>
      <c r="C472" s="347" t="s">
        <v>977</v>
      </c>
      <c r="E472" s="347" t="s">
        <v>631</v>
      </c>
      <c r="F472" s="348" t="s">
        <v>941</v>
      </c>
      <c r="G472" s="347" t="s">
        <v>978</v>
      </c>
      <c r="H472" s="347" t="s">
        <v>970</v>
      </c>
      <c r="K472" s="350"/>
      <c r="L472" s="349" t="s">
        <v>1161</v>
      </c>
      <c r="M472" s="350" t="s">
        <v>1767</v>
      </c>
      <c r="N472" s="350" t="s">
        <v>1768</v>
      </c>
      <c r="P472" s="347" t="s">
        <v>631</v>
      </c>
      <c r="R472" s="347" t="s">
        <v>631</v>
      </c>
      <c r="Z472" s="349" t="s">
        <v>975</v>
      </c>
    </row>
    <row r="473" spans="1:26" ht="16.899999999999999" customHeight="1" x14ac:dyDescent="0.15">
      <c r="A473" s="347" t="s">
        <v>1769</v>
      </c>
      <c r="B473" s="347">
        <v>4</v>
      </c>
      <c r="C473" s="347" t="s">
        <v>977</v>
      </c>
      <c r="E473" s="347" t="s">
        <v>631</v>
      </c>
      <c r="F473" s="348" t="s">
        <v>941</v>
      </c>
      <c r="G473" s="347" t="s">
        <v>709</v>
      </c>
      <c r="H473" s="347" t="s">
        <v>970</v>
      </c>
      <c r="I473" s="347" t="s">
        <v>971</v>
      </c>
      <c r="J473" s="347" t="s">
        <v>989</v>
      </c>
      <c r="K473" s="350" t="s">
        <v>1770</v>
      </c>
      <c r="L473" s="349" t="s">
        <v>979</v>
      </c>
      <c r="M473" s="350" t="s">
        <v>1771</v>
      </c>
      <c r="N473" s="350" t="s">
        <v>1772</v>
      </c>
      <c r="P473" s="347" t="s">
        <v>631</v>
      </c>
      <c r="R473" s="347" t="s">
        <v>631</v>
      </c>
      <c r="T473" s="347" t="s">
        <v>631</v>
      </c>
      <c r="U473" s="347" t="s">
        <v>631</v>
      </c>
      <c r="V473" s="347" t="s">
        <v>631</v>
      </c>
      <c r="Z473" s="349" t="s">
        <v>975</v>
      </c>
    </row>
    <row r="474" spans="1:26" ht="16.899999999999999" customHeight="1" x14ac:dyDescent="0.15">
      <c r="A474" s="347" t="s">
        <v>1773</v>
      </c>
      <c r="B474" s="347">
        <v>4</v>
      </c>
      <c r="C474" s="347" t="s">
        <v>983</v>
      </c>
      <c r="F474" s="348" t="s">
        <v>941</v>
      </c>
      <c r="G474" s="347" t="s">
        <v>709</v>
      </c>
      <c r="H474" s="347" t="s">
        <v>970</v>
      </c>
      <c r="I474" s="347" t="s">
        <v>971</v>
      </c>
      <c r="K474" s="350"/>
      <c r="L474" s="349" t="s">
        <v>972</v>
      </c>
      <c r="M474" s="350" t="s">
        <v>1774</v>
      </c>
      <c r="N474" s="350" t="s">
        <v>1775</v>
      </c>
      <c r="Q474" s="347" t="s">
        <v>631</v>
      </c>
      <c r="T474" s="347" t="s">
        <v>631</v>
      </c>
      <c r="U474" s="347" t="s">
        <v>631</v>
      </c>
      <c r="V474" s="347" t="s">
        <v>631</v>
      </c>
      <c r="Y474" s="347" t="s">
        <v>631</v>
      </c>
      <c r="Z474" s="349" t="s">
        <v>975</v>
      </c>
    </row>
    <row r="475" spans="1:26" ht="16.899999999999999" customHeight="1" x14ac:dyDescent="0.15">
      <c r="A475" s="347" t="s">
        <v>1776</v>
      </c>
      <c r="B475" s="347">
        <v>4</v>
      </c>
      <c r="C475" s="347" t="s">
        <v>1007</v>
      </c>
      <c r="F475" s="348" t="s">
        <v>941</v>
      </c>
      <c r="G475" s="347" t="s">
        <v>709</v>
      </c>
      <c r="H475" s="347" t="s">
        <v>970</v>
      </c>
      <c r="I475" s="347" t="s">
        <v>971</v>
      </c>
      <c r="K475" s="350"/>
      <c r="L475" s="349" t="s">
        <v>1016</v>
      </c>
      <c r="M475" s="350" t="s">
        <v>1777</v>
      </c>
      <c r="N475" s="350" t="s">
        <v>1778</v>
      </c>
      <c r="O475" s="347" t="s">
        <v>631</v>
      </c>
      <c r="Q475" s="347" t="s">
        <v>631</v>
      </c>
      <c r="T475" s="347" t="s">
        <v>631</v>
      </c>
      <c r="U475" s="347" t="s">
        <v>631</v>
      </c>
      <c r="V475" s="347" t="s">
        <v>631</v>
      </c>
      <c r="Z475" s="349" t="s">
        <v>975</v>
      </c>
    </row>
    <row r="476" spans="1:26" ht="16.899999999999999" customHeight="1" x14ac:dyDescent="0.15">
      <c r="A476" s="347" t="s">
        <v>1779</v>
      </c>
      <c r="B476" s="347">
        <v>4</v>
      </c>
      <c r="C476" s="347" t="s">
        <v>1007</v>
      </c>
      <c r="E476" s="347" t="s">
        <v>631</v>
      </c>
      <c r="F476" s="348" t="s">
        <v>941</v>
      </c>
      <c r="G476" s="347" t="s">
        <v>709</v>
      </c>
      <c r="H476" s="347" t="s">
        <v>970</v>
      </c>
      <c r="I476" s="347" t="s">
        <v>971</v>
      </c>
      <c r="K476" s="350"/>
      <c r="L476" s="349" t="s">
        <v>979</v>
      </c>
      <c r="M476" s="350" t="s">
        <v>1780</v>
      </c>
      <c r="N476" s="350" t="s">
        <v>1781</v>
      </c>
      <c r="O476" s="347" t="s">
        <v>631</v>
      </c>
      <c r="Z476" s="349" t="s">
        <v>975</v>
      </c>
    </row>
    <row r="477" spans="1:26" ht="16.899999999999999" customHeight="1" x14ac:dyDescent="0.15">
      <c r="A477" s="347" t="s">
        <v>1782</v>
      </c>
      <c r="B477" s="347">
        <v>4</v>
      </c>
      <c r="C477" s="347" t="s">
        <v>1007</v>
      </c>
      <c r="E477" s="347" t="s">
        <v>631</v>
      </c>
      <c r="F477" s="348" t="s">
        <v>941</v>
      </c>
      <c r="G477" s="347" t="s">
        <v>1134</v>
      </c>
      <c r="H477" s="347" t="s">
        <v>970</v>
      </c>
      <c r="I477" s="347" t="s">
        <v>971</v>
      </c>
      <c r="J477" s="347" t="s">
        <v>989</v>
      </c>
      <c r="K477" s="350" t="s">
        <v>1783</v>
      </c>
      <c r="L477" s="349" t="s">
        <v>979</v>
      </c>
      <c r="M477" s="350" t="s">
        <v>1784</v>
      </c>
      <c r="N477" s="350" t="s">
        <v>1785</v>
      </c>
      <c r="O477" s="347" t="s">
        <v>631</v>
      </c>
      <c r="Q477" s="347" t="s">
        <v>631</v>
      </c>
      <c r="T477" s="347" t="s">
        <v>631</v>
      </c>
      <c r="V477" s="347" t="s">
        <v>631</v>
      </c>
      <c r="Z477" s="349" t="s">
        <v>975</v>
      </c>
    </row>
    <row r="478" spans="1:26" ht="16.899999999999999" customHeight="1" x14ac:dyDescent="0.15">
      <c r="A478" s="347" t="s">
        <v>1786</v>
      </c>
      <c r="B478" s="347">
        <v>4</v>
      </c>
      <c r="C478" s="347" t="s">
        <v>1019</v>
      </c>
      <c r="E478" s="347" t="s">
        <v>631</v>
      </c>
      <c r="F478" s="348" t="s">
        <v>941</v>
      </c>
      <c r="G478" s="347" t="s">
        <v>978</v>
      </c>
      <c r="H478" s="347" t="s">
        <v>970</v>
      </c>
      <c r="I478" s="347" t="s">
        <v>971</v>
      </c>
      <c r="K478" s="350"/>
      <c r="L478" s="349" t="s">
        <v>1161</v>
      </c>
      <c r="M478" s="350" t="s">
        <v>1787</v>
      </c>
      <c r="N478" s="350" t="s">
        <v>1788</v>
      </c>
      <c r="Q478" s="347" t="s">
        <v>631</v>
      </c>
      <c r="V478" s="347" t="s">
        <v>631</v>
      </c>
      <c r="Z478" s="349" t="s">
        <v>975</v>
      </c>
    </row>
    <row r="479" spans="1:26" ht="16.899999999999999" customHeight="1" x14ac:dyDescent="0.15">
      <c r="A479" s="347" t="s">
        <v>1789</v>
      </c>
      <c r="B479" s="347">
        <v>4</v>
      </c>
      <c r="C479" s="347" t="s">
        <v>1019</v>
      </c>
      <c r="E479" s="347" t="s">
        <v>631</v>
      </c>
      <c r="F479" s="348" t="s">
        <v>941</v>
      </c>
      <c r="G479" s="347" t="s">
        <v>978</v>
      </c>
      <c r="H479" s="347" t="s">
        <v>970</v>
      </c>
      <c r="I479" s="347" t="s">
        <v>971</v>
      </c>
      <c r="K479" s="350"/>
      <c r="L479" s="349" t="s">
        <v>1161</v>
      </c>
      <c r="M479" s="350" t="s">
        <v>1790</v>
      </c>
      <c r="N479" s="350" t="s">
        <v>1791</v>
      </c>
      <c r="Q479" s="347" t="s">
        <v>631</v>
      </c>
      <c r="S479" s="347" t="s">
        <v>631</v>
      </c>
      <c r="Z479" s="349" t="s">
        <v>975</v>
      </c>
    </row>
    <row r="480" spans="1:26" ht="16.899999999999999" customHeight="1" x14ac:dyDescent="0.15">
      <c r="A480" s="347" t="s">
        <v>1792</v>
      </c>
      <c r="B480" s="347">
        <v>4</v>
      </c>
      <c r="C480" s="347" t="s">
        <v>994</v>
      </c>
      <c r="E480" s="347" t="s">
        <v>631</v>
      </c>
      <c r="F480" s="348" t="s">
        <v>941</v>
      </c>
      <c r="G480" s="347" t="s">
        <v>1793</v>
      </c>
      <c r="H480" s="347" t="s">
        <v>970</v>
      </c>
      <c r="I480" s="347" t="s">
        <v>971</v>
      </c>
      <c r="J480" s="347" t="s">
        <v>989</v>
      </c>
      <c r="K480" s="350" t="s">
        <v>1794</v>
      </c>
      <c r="L480" s="349" t="s">
        <v>1161</v>
      </c>
      <c r="M480" s="350" t="s">
        <v>1795</v>
      </c>
      <c r="N480" s="350" t="s">
        <v>1796</v>
      </c>
      <c r="P480" s="347" t="s">
        <v>631</v>
      </c>
      <c r="Q480" s="347" t="s">
        <v>631</v>
      </c>
      <c r="V480" s="347" t="s">
        <v>631</v>
      </c>
      <c r="Z480" s="349" t="s">
        <v>975</v>
      </c>
    </row>
    <row r="481" spans="1:26" ht="16.899999999999999" customHeight="1" x14ac:dyDescent="0.15">
      <c r="A481" s="347" t="s">
        <v>1797</v>
      </c>
      <c r="B481" s="347">
        <v>4</v>
      </c>
      <c r="C481" s="347" t="s">
        <v>977</v>
      </c>
      <c r="F481" s="348" t="s">
        <v>941</v>
      </c>
      <c r="G481" s="347" t="s">
        <v>984</v>
      </c>
      <c r="H481" s="347" t="s">
        <v>970</v>
      </c>
      <c r="I481" s="347" t="s">
        <v>971</v>
      </c>
      <c r="K481" s="350"/>
      <c r="L481" s="349" t="s">
        <v>1104</v>
      </c>
      <c r="M481" s="350" t="s">
        <v>1798</v>
      </c>
      <c r="N481" s="350" t="s">
        <v>1799</v>
      </c>
      <c r="P481" s="347" t="s">
        <v>631</v>
      </c>
      <c r="R481" s="347" t="s">
        <v>631</v>
      </c>
      <c r="Y481" s="347" t="s">
        <v>631</v>
      </c>
      <c r="Z481" s="349" t="s">
        <v>975</v>
      </c>
    </row>
    <row r="482" spans="1:26" ht="16.899999999999999" customHeight="1" x14ac:dyDescent="0.15">
      <c r="A482" s="347" t="s">
        <v>1800</v>
      </c>
      <c r="B482" s="347">
        <v>4</v>
      </c>
      <c r="C482" s="347" t="s">
        <v>1019</v>
      </c>
      <c r="F482" s="348" t="s">
        <v>941</v>
      </c>
      <c r="G482" s="347" t="s">
        <v>1801</v>
      </c>
      <c r="H482" s="347" t="s">
        <v>970</v>
      </c>
      <c r="K482" s="350"/>
      <c r="L482" s="349" t="s">
        <v>972</v>
      </c>
      <c r="M482" s="350" t="s">
        <v>1802</v>
      </c>
      <c r="N482" s="350" t="s">
        <v>1803</v>
      </c>
      <c r="O482" s="347" t="s">
        <v>631</v>
      </c>
      <c r="T482" s="347" t="s">
        <v>631</v>
      </c>
      <c r="U482" s="347" t="s">
        <v>631</v>
      </c>
      <c r="V482" s="347" t="s">
        <v>631</v>
      </c>
      <c r="Z482" s="349" t="s">
        <v>975</v>
      </c>
    </row>
    <row r="483" spans="1:26" ht="16.899999999999999" customHeight="1" x14ac:dyDescent="0.15">
      <c r="A483" s="347" t="s">
        <v>1804</v>
      </c>
      <c r="B483" s="347">
        <v>4</v>
      </c>
      <c r="C483" s="347" t="s">
        <v>1013</v>
      </c>
      <c r="D483" s="347" t="s">
        <v>631</v>
      </c>
      <c r="F483" s="348" t="s">
        <v>1149</v>
      </c>
      <c r="G483" s="347" t="s">
        <v>978</v>
      </c>
      <c r="H483" s="347" t="s">
        <v>970</v>
      </c>
      <c r="I483" s="347" t="s">
        <v>971</v>
      </c>
      <c r="J483" s="347" t="s">
        <v>989</v>
      </c>
      <c r="K483" s="350" t="s">
        <v>1805</v>
      </c>
      <c r="L483" s="349" t="s">
        <v>972</v>
      </c>
      <c r="M483" s="350" t="s">
        <v>1806</v>
      </c>
      <c r="N483" s="350" t="s">
        <v>1807</v>
      </c>
      <c r="P483" s="347" t="s">
        <v>631</v>
      </c>
      <c r="Q483" s="347" t="s">
        <v>631</v>
      </c>
      <c r="V483" s="347" t="s">
        <v>631</v>
      </c>
      <c r="Z483" s="349" t="s">
        <v>975</v>
      </c>
    </row>
    <row r="484" spans="1:26" ht="16.899999999999999" customHeight="1" x14ac:dyDescent="0.15">
      <c r="A484" s="347" t="s">
        <v>1808</v>
      </c>
      <c r="B484" s="347">
        <v>4</v>
      </c>
      <c r="C484" s="347" t="s">
        <v>1007</v>
      </c>
      <c r="E484" s="347" t="s">
        <v>631</v>
      </c>
      <c r="F484" s="348" t="s">
        <v>941</v>
      </c>
      <c r="G484" s="347" t="s">
        <v>969</v>
      </c>
      <c r="H484" s="347" t="s">
        <v>970</v>
      </c>
      <c r="I484" s="347" t="s">
        <v>971</v>
      </c>
      <c r="K484" s="350"/>
      <c r="L484" s="349" t="s">
        <v>979</v>
      </c>
      <c r="M484" s="350" t="s">
        <v>1809</v>
      </c>
      <c r="N484" s="350" t="s">
        <v>1810</v>
      </c>
      <c r="Q484" s="347" t="s">
        <v>631</v>
      </c>
      <c r="S484" s="347" t="s">
        <v>631</v>
      </c>
      <c r="T484" s="347" t="s">
        <v>631</v>
      </c>
      <c r="Z484" s="349" t="s">
        <v>975</v>
      </c>
    </row>
    <row r="485" spans="1:26" ht="16.899999999999999" customHeight="1" x14ac:dyDescent="0.15">
      <c r="A485" s="347" t="s">
        <v>1811</v>
      </c>
      <c r="B485" s="347">
        <v>4</v>
      </c>
      <c r="C485" s="347" t="s">
        <v>1019</v>
      </c>
      <c r="E485" s="347" t="s">
        <v>631</v>
      </c>
      <c r="F485" s="348" t="s">
        <v>941</v>
      </c>
      <c r="G485" s="347" t="s">
        <v>1134</v>
      </c>
      <c r="H485" s="347" t="s">
        <v>970</v>
      </c>
      <c r="I485" s="347" t="s">
        <v>971</v>
      </c>
      <c r="J485" s="347" t="s">
        <v>989</v>
      </c>
      <c r="K485" s="350" t="s">
        <v>1812</v>
      </c>
      <c r="L485" s="349" t="s">
        <v>979</v>
      </c>
      <c r="M485" s="350" t="s">
        <v>1813</v>
      </c>
      <c r="N485" s="350" t="s">
        <v>1814</v>
      </c>
      <c r="V485" s="347" t="s">
        <v>631</v>
      </c>
      <c r="Y485" s="347" t="s">
        <v>631</v>
      </c>
      <c r="Z485" s="349" t="s">
        <v>975</v>
      </c>
    </row>
    <row r="486" spans="1:26" ht="16.899999999999999" customHeight="1" x14ac:dyDescent="0.15">
      <c r="A486" s="347" t="s">
        <v>1815</v>
      </c>
      <c r="B486" s="347">
        <v>4</v>
      </c>
      <c r="C486" s="347" t="s">
        <v>994</v>
      </c>
      <c r="F486" s="348" t="s">
        <v>1048</v>
      </c>
      <c r="G486" s="447" t="s">
        <v>988</v>
      </c>
      <c r="H486" s="347" t="s">
        <v>970</v>
      </c>
      <c r="I486" s="347" t="s">
        <v>971</v>
      </c>
      <c r="K486" s="350"/>
      <c r="L486" s="349" t="s">
        <v>972</v>
      </c>
      <c r="M486" s="350" t="s">
        <v>1816</v>
      </c>
      <c r="N486" s="350" t="s">
        <v>1817</v>
      </c>
      <c r="V486" s="347" t="s">
        <v>631</v>
      </c>
      <c r="W486" s="347" t="s">
        <v>631</v>
      </c>
      <c r="Z486" s="349" t="s">
        <v>975</v>
      </c>
    </row>
    <row r="487" spans="1:26" ht="16.899999999999999" customHeight="1" x14ac:dyDescent="0.15">
      <c r="A487" s="347" t="s">
        <v>1818</v>
      </c>
      <c r="B487" s="347">
        <v>4</v>
      </c>
      <c r="C487" s="347" t="s">
        <v>968</v>
      </c>
      <c r="F487" s="348" t="s">
        <v>941</v>
      </c>
      <c r="G487" s="347" t="s">
        <v>978</v>
      </c>
      <c r="H487" s="347" t="s">
        <v>970</v>
      </c>
      <c r="I487" s="347" t="s">
        <v>971</v>
      </c>
      <c r="J487" s="347" t="s">
        <v>989</v>
      </c>
      <c r="K487" s="350" t="s">
        <v>1819</v>
      </c>
      <c r="L487" s="349" t="s">
        <v>1048</v>
      </c>
      <c r="M487" s="350" t="s">
        <v>1820</v>
      </c>
      <c r="N487" s="350" t="s">
        <v>1821</v>
      </c>
      <c r="Q487" s="347" t="s">
        <v>631</v>
      </c>
      <c r="T487" s="347" t="s">
        <v>631</v>
      </c>
      <c r="V487" s="347" t="s">
        <v>631</v>
      </c>
      <c r="Z487" s="349" t="s">
        <v>975</v>
      </c>
    </row>
    <row r="488" spans="1:26" ht="16.899999999999999" customHeight="1" x14ac:dyDescent="0.15">
      <c r="A488" s="347" t="s">
        <v>1822</v>
      </c>
      <c r="B488" s="347">
        <v>4</v>
      </c>
      <c r="C488" s="347" t="s">
        <v>968</v>
      </c>
      <c r="E488" s="347" t="s">
        <v>631</v>
      </c>
      <c r="F488" s="348" t="s">
        <v>941</v>
      </c>
      <c r="G488" s="347" t="s">
        <v>978</v>
      </c>
      <c r="H488" s="347" t="s">
        <v>970</v>
      </c>
      <c r="I488" s="347" t="s">
        <v>971</v>
      </c>
      <c r="K488" s="350"/>
      <c r="L488" s="349" t="s">
        <v>1161</v>
      </c>
      <c r="M488" s="350" t="s">
        <v>1823</v>
      </c>
      <c r="N488" s="350" t="s">
        <v>1824</v>
      </c>
      <c r="O488" s="347" t="s">
        <v>631</v>
      </c>
      <c r="Q488" s="347" t="s">
        <v>631</v>
      </c>
      <c r="Z488" s="349" t="s">
        <v>975</v>
      </c>
    </row>
    <row r="489" spans="1:26" ht="16.899999999999999" customHeight="1" x14ac:dyDescent="0.15">
      <c r="A489" s="347" t="s">
        <v>1825</v>
      </c>
      <c r="B489" s="347">
        <v>4</v>
      </c>
      <c r="C489" s="347" t="s">
        <v>977</v>
      </c>
      <c r="F489" s="348" t="s">
        <v>941</v>
      </c>
      <c r="G489" s="347" t="s">
        <v>984</v>
      </c>
      <c r="H489" s="347" t="s">
        <v>970</v>
      </c>
      <c r="I489" s="347" t="s">
        <v>971</v>
      </c>
      <c r="J489" s="347" t="s">
        <v>989</v>
      </c>
      <c r="K489" s="350" t="s">
        <v>1826</v>
      </c>
      <c r="L489" s="349" t="s">
        <v>1016</v>
      </c>
      <c r="M489" s="350" t="s">
        <v>1827</v>
      </c>
      <c r="N489" s="350" t="s">
        <v>1828</v>
      </c>
      <c r="O489" s="347" t="s">
        <v>631</v>
      </c>
      <c r="P489" s="347" t="s">
        <v>631</v>
      </c>
      <c r="Q489" s="347" t="s">
        <v>631</v>
      </c>
      <c r="S489" s="347" t="s">
        <v>631</v>
      </c>
      <c r="W489" s="347" t="s">
        <v>631</v>
      </c>
      <c r="Y489" s="347" t="s">
        <v>631</v>
      </c>
      <c r="Z489" s="349" t="s">
        <v>975</v>
      </c>
    </row>
    <row r="490" spans="1:26" ht="16.899999999999999" customHeight="1" x14ac:dyDescent="0.15">
      <c r="A490" s="347" t="s">
        <v>1829</v>
      </c>
      <c r="B490" s="347">
        <v>4</v>
      </c>
      <c r="C490" s="347" t="s">
        <v>1019</v>
      </c>
      <c r="E490" s="347" t="s">
        <v>631</v>
      </c>
      <c r="F490" s="348" t="s">
        <v>941</v>
      </c>
      <c r="G490" s="347" t="s">
        <v>969</v>
      </c>
      <c r="H490" s="347" t="s">
        <v>970</v>
      </c>
      <c r="I490" s="347" t="s">
        <v>971</v>
      </c>
      <c r="K490" s="350"/>
      <c r="L490" s="349" t="s">
        <v>1161</v>
      </c>
      <c r="M490" s="350" t="s">
        <v>1830</v>
      </c>
      <c r="N490" s="350" t="s">
        <v>1831</v>
      </c>
      <c r="Q490" s="347" t="s">
        <v>631</v>
      </c>
      <c r="Z490" s="349" t="s">
        <v>975</v>
      </c>
    </row>
    <row r="491" spans="1:26" ht="16.899999999999999" customHeight="1" x14ac:dyDescent="0.15">
      <c r="A491" s="347" t="s">
        <v>1832</v>
      </c>
      <c r="B491" s="347">
        <v>4</v>
      </c>
      <c r="C491" s="347" t="s">
        <v>1019</v>
      </c>
      <c r="E491" s="347" t="s">
        <v>631</v>
      </c>
      <c r="F491" s="348" t="s">
        <v>1047</v>
      </c>
      <c r="G491" s="347" t="s">
        <v>969</v>
      </c>
      <c r="H491" s="347" t="s">
        <v>970</v>
      </c>
      <c r="I491" s="347" t="s">
        <v>971</v>
      </c>
      <c r="K491" s="350"/>
      <c r="L491" s="349" t="s">
        <v>979</v>
      </c>
      <c r="M491" s="350" t="s">
        <v>1833</v>
      </c>
      <c r="N491" s="350" t="s">
        <v>1834</v>
      </c>
      <c r="Q491" s="347" t="s">
        <v>631</v>
      </c>
      <c r="S491" s="347" t="s">
        <v>631</v>
      </c>
      <c r="Z491" s="349" t="s">
        <v>975</v>
      </c>
    </row>
    <row r="492" spans="1:26" ht="16.899999999999999" customHeight="1" x14ac:dyDescent="0.15">
      <c r="A492" s="347" t="s">
        <v>1835</v>
      </c>
      <c r="B492" s="347">
        <v>4</v>
      </c>
      <c r="C492" s="347" t="s">
        <v>987</v>
      </c>
      <c r="E492" s="347" t="s">
        <v>631</v>
      </c>
      <c r="F492" s="348" t="s">
        <v>941</v>
      </c>
      <c r="G492" s="347" t="s">
        <v>984</v>
      </c>
      <c r="H492" s="347" t="s">
        <v>970</v>
      </c>
      <c r="I492" s="347" t="s">
        <v>971</v>
      </c>
      <c r="K492" s="350"/>
      <c r="L492" s="349" t="s">
        <v>979</v>
      </c>
      <c r="M492" s="350" t="s">
        <v>1836</v>
      </c>
      <c r="N492" s="350" t="s">
        <v>1837</v>
      </c>
      <c r="O492" s="347" t="s">
        <v>631</v>
      </c>
      <c r="T492" s="347" t="s">
        <v>631</v>
      </c>
      <c r="V492" s="347" t="s">
        <v>631</v>
      </c>
      <c r="Z492" s="349" t="s">
        <v>975</v>
      </c>
    </row>
    <row r="493" spans="1:26" ht="16.899999999999999" customHeight="1" x14ac:dyDescent="0.15">
      <c r="A493" s="347" t="s">
        <v>1838</v>
      </c>
      <c r="B493" s="347">
        <v>4</v>
      </c>
      <c r="C493" s="347" t="s">
        <v>1019</v>
      </c>
      <c r="F493" s="348" t="s">
        <v>941</v>
      </c>
      <c r="G493" s="347" t="s">
        <v>709</v>
      </c>
      <c r="H493" s="347" t="s">
        <v>970</v>
      </c>
      <c r="K493" s="350"/>
      <c r="L493" s="349" t="s">
        <v>1104</v>
      </c>
      <c r="M493" s="350" t="s">
        <v>1839</v>
      </c>
      <c r="N493" s="350" t="s">
        <v>1840</v>
      </c>
      <c r="P493" s="347" t="s">
        <v>631</v>
      </c>
      <c r="Z493" s="349" t="s">
        <v>975</v>
      </c>
    </row>
    <row r="494" spans="1:26" ht="16.899999999999999" customHeight="1" x14ac:dyDescent="0.15">
      <c r="A494" s="347" t="s">
        <v>1841</v>
      </c>
      <c r="B494" s="347">
        <v>4</v>
      </c>
      <c r="C494" s="347" t="s">
        <v>987</v>
      </c>
      <c r="F494" s="348" t="s">
        <v>1048</v>
      </c>
      <c r="G494" s="347" t="s">
        <v>1793</v>
      </c>
      <c r="H494" s="347" t="s">
        <v>970</v>
      </c>
      <c r="I494" s="347" t="s">
        <v>971</v>
      </c>
      <c r="J494" s="347" t="s">
        <v>989</v>
      </c>
      <c r="K494" s="350" t="s">
        <v>1842</v>
      </c>
      <c r="L494" s="349" t="s">
        <v>1109</v>
      </c>
      <c r="M494" s="350" t="s">
        <v>1843</v>
      </c>
      <c r="N494" s="350" t="s">
        <v>1844</v>
      </c>
      <c r="O494" s="347" t="s">
        <v>631</v>
      </c>
      <c r="Q494" s="347" t="s">
        <v>631</v>
      </c>
      <c r="U494" s="347" t="s">
        <v>631</v>
      </c>
      <c r="V494" s="347" t="s">
        <v>631</v>
      </c>
      <c r="Z494" s="349" t="s">
        <v>975</v>
      </c>
    </row>
    <row r="495" spans="1:26" ht="16.899999999999999" customHeight="1" x14ac:dyDescent="0.15">
      <c r="A495" s="347" t="s">
        <v>1845</v>
      </c>
      <c r="B495" s="347">
        <v>4</v>
      </c>
      <c r="C495" s="347" t="s">
        <v>968</v>
      </c>
      <c r="F495" s="348" t="s">
        <v>941</v>
      </c>
      <c r="G495" s="347" t="s">
        <v>1793</v>
      </c>
      <c r="H495" s="347" t="s">
        <v>970</v>
      </c>
      <c r="I495" s="347" t="s">
        <v>971</v>
      </c>
      <c r="J495" s="347" t="s">
        <v>989</v>
      </c>
      <c r="K495" s="350" t="s">
        <v>1846</v>
      </c>
      <c r="L495" s="349" t="s">
        <v>972</v>
      </c>
      <c r="M495" s="350" t="s">
        <v>1847</v>
      </c>
      <c r="N495" s="350" t="s">
        <v>1848</v>
      </c>
      <c r="Q495" s="347" t="s">
        <v>631</v>
      </c>
      <c r="T495" s="347" t="s">
        <v>631</v>
      </c>
      <c r="V495" s="347" t="s">
        <v>631</v>
      </c>
      <c r="Z495" s="349" t="s">
        <v>975</v>
      </c>
    </row>
    <row r="496" spans="1:26" ht="16.899999999999999" customHeight="1" x14ac:dyDescent="0.15">
      <c r="A496" s="347" t="s">
        <v>1849</v>
      </c>
      <c r="B496" s="347">
        <v>4</v>
      </c>
      <c r="C496" s="347" t="s">
        <v>1019</v>
      </c>
      <c r="F496" s="348" t="s">
        <v>941</v>
      </c>
      <c r="G496" s="347" t="s">
        <v>984</v>
      </c>
      <c r="H496" s="347" t="s">
        <v>970</v>
      </c>
      <c r="I496" s="347" t="s">
        <v>971</v>
      </c>
      <c r="J496" s="347" t="s">
        <v>989</v>
      </c>
      <c r="K496" s="350" t="s">
        <v>1850</v>
      </c>
      <c r="L496" s="349" t="s">
        <v>1851</v>
      </c>
      <c r="M496" s="350" t="s">
        <v>1852</v>
      </c>
      <c r="N496" s="350" t="s">
        <v>1853</v>
      </c>
      <c r="V496" s="347" t="s">
        <v>631</v>
      </c>
      <c r="W496" s="347" t="s">
        <v>631</v>
      </c>
      <c r="Z496" s="349" t="s">
        <v>975</v>
      </c>
    </row>
    <row r="497" spans="1:26" ht="16.899999999999999" customHeight="1" x14ac:dyDescent="0.15">
      <c r="A497" s="347" t="s">
        <v>1854</v>
      </c>
      <c r="B497" s="347">
        <v>4</v>
      </c>
      <c r="C497" s="347" t="s">
        <v>1013</v>
      </c>
      <c r="E497" s="347" t="s">
        <v>631</v>
      </c>
      <c r="F497" s="348" t="s">
        <v>941</v>
      </c>
      <c r="G497" s="347" t="s">
        <v>978</v>
      </c>
      <c r="H497" s="347" t="s">
        <v>970</v>
      </c>
      <c r="I497" s="347" t="s">
        <v>971</v>
      </c>
      <c r="J497" s="347" t="s">
        <v>989</v>
      </c>
      <c r="K497" s="350" t="s">
        <v>1462</v>
      </c>
      <c r="L497" s="349" t="s">
        <v>1211</v>
      </c>
      <c r="M497" s="350" t="s">
        <v>1855</v>
      </c>
      <c r="N497" s="350" t="s">
        <v>1856</v>
      </c>
      <c r="O497" s="347" t="s">
        <v>631</v>
      </c>
      <c r="P497" s="347" t="s">
        <v>631</v>
      </c>
      <c r="Q497" s="347" t="s">
        <v>631</v>
      </c>
      <c r="R497" s="347" t="s">
        <v>631</v>
      </c>
      <c r="S497" s="347" t="s">
        <v>631</v>
      </c>
      <c r="V497" s="347" t="s">
        <v>631</v>
      </c>
      <c r="Z497" s="349" t="s">
        <v>975</v>
      </c>
    </row>
    <row r="498" spans="1:26" ht="16.899999999999999" customHeight="1" x14ac:dyDescent="0.15">
      <c r="A498" s="347" t="s">
        <v>1857</v>
      </c>
      <c r="B498" s="347">
        <v>4</v>
      </c>
      <c r="C498" s="347" t="s">
        <v>1019</v>
      </c>
      <c r="F498" s="348" t="s">
        <v>941</v>
      </c>
      <c r="G498" s="347" t="s">
        <v>709</v>
      </c>
      <c r="H498" s="347" t="s">
        <v>970</v>
      </c>
      <c r="I498" s="347" t="s">
        <v>971</v>
      </c>
      <c r="J498" s="347" t="s">
        <v>989</v>
      </c>
      <c r="K498" s="350" t="s">
        <v>1858</v>
      </c>
      <c r="L498" s="349" t="s">
        <v>1104</v>
      </c>
      <c r="M498" s="350" t="s">
        <v>1859</v>
      </c>
      <c r="N498" s="350" t="s">
        <v>1860</v>
      </c>
      <c r="V498" s="347" t="s">
        <v>631</v>
      </c>
      <c r="W498" s="347" t="s">
        <v>631</v>
      </c>
      <c r="Z498" s="349" t="s">
        <v>975</v>
      </c>
    </row>
    <row r="499" spans="1:26" ht="16.899999999999999" customHeight="1" x14ac:dyDescent="0.15">
      <c r="A499" s="347" t="s">
        <v>1861</v>
      </c>
      <c r="B499" s="347">
        <v>4</v>
      </c>
      <c r="C499" s="347" t="s">
        <v>977</v>
      </c>
      <c r="F499" s="348" t="s">
        <v>1048</v>
      </c>
      <c r="G499" s="347" t="s">
        <v>988</v>
      </c>
      <c r="H499" s="347" t="s">
        <v>970</v>
      </c>
      <c r="I499" s="347" t="s">
        <v>971</v>
      </c>
      <c r="J499" s="347" t="s">
        <v>989</v>
      </c>
      <c r="K499" s="350" t="s">
        <v>1862</v>
      </c>
      <c r="L499" s="349" t="s">
        <v>1109</v>
      </c>
      <c r="M499" s="350" t="s">
        <v>1863</v>
      </c>
      <c r="N499" s="350" t="s">
        <v>1864</v>
      </c>
      <c r="V499" s="347" t="s">
        <v>631</v>
      </c>
      <c r="W499" s="347" t="s">
        <v>631</v>
      </c>
      <c r="Z499" s="349" t="s">
        <v>975</v>
      </c>
    </row>
    <row r="500" spans="1:26" ht="16.899999999999999" customHeight="1" x14ac:dyDescent="0.15">
      <c r="A500" s="347" t="s">
        <v>1865</v>
      </c>
      <c r="B500" s="347">
        <v>4</v>
      </c>
      <c r="C500" s="347" t="s">
        <v>977</v>
      </c>
      <c r="E500" s="347" t="s">
        <v>631</v>
      </c>
      <c r="F500" s="348" t="s">
        <v>941</v>
      </c>
      <c r="G500" s="347" t="s">
        <v>709</v>
      </c>
      <c r="H500" s="347" t="s">
        <v>970</v>
      </c>
      <c r="I500" s="347" t="s">
        <v>971</v>
      </c>
      <c r="J500" s="347" t="s">
        <v>989</v>
      </c>
      <c r="K500" s="350" t="s">
        <v>1866</v>
      </c>
      <c r="L500" s="349" t="s">
        <v>979</v>
      </c>
      <c r="M500" s="350" t="s">
        <v>1867</v>
      </c>
      <c r="N500" s="350" t="s">
        <v>1868</v>
      </c>
      <c r="V500" s="347" t="s">
        <v>631</v>
      </c>
      <c r="W500" s="347" t="s">
        <v>631</v>
      </c>
      <c r="Z500" s="349" t="s">
        <v>975</v>
      </c>
    </row>
    <row r="501" spans="1:26" ht="16.899999999999999" customHeight="1" x14ac:dyDescent="0.15">
      <c r="A501" s="347" t="s">
        <v>1869</v>
      </c>
      <c r="B501" s="347">
        <v>4</v>
      </c>
      <c r="C501" s="347" t="s">
        <v>987</v>
      </c>
      <c r="E501" s="347" t="s">
        <v>631</v>
      </c>
      <c r="F501" s="348" t="s">
        <v>941</v>
      </c>
      <c r="G501" s="347" t="s">
        <v>988</v>
      </c>
      <c r="H501" s="347" t="s">
        <v>970</v>
      </c>
      <c r="I501" s="347" t="s">
        <v>971</v>
      </c>
      <c r="K501" s="350"/>
      <c r="L501" s="349" t="s">
        <v>979</v>
      </c>
      <c r="M501" s="350" t="s">
        <v>1870</v>
      </c>
      <c r="N501" s="350" t="s">
        <v>1871</v>
      </c>
      <c r="O501" s="347" t="s">
        <v>631</v>
      </c>
      <c r="V501" s="347" t="s">
        <v>631</v>
      </c>
      <c r="Z501" s="349" t="s">
        <v>975</v>
      </c>
    </row>
    <row r="502" spans="1:26" ht="16.899999999999999" customHeight="1" x14ac:dyDescent="0.15">
      <c r="A502" s="347" t="s">
        <v>1872</v>
      </c>
      <c r="B502" s="347">
        <v>4</v>
      </c>
      <c r="C502" s="347" t="s">
        <v>994</v>
      </c>
      <c r="E502" s="347" t="s">
        <v>631</v>
      </c>
      <c r="F502" s="348" t="s">
        <v>941</v>
      </c>
      <c r="G502" s="347" t="s">
        <v>969</v>
      </c>
      <c r="H502" s="347" t="s">
        <v>970</v>
      </c>
      <c r="I502" s="347" t="s">
        <v>971</v>
      </c>
      <c r="J502" s="347" t="s">
        <v>989</v>
      </c>
      <c r="K502" s="350" t="s">
        <v>1873</v>
      </c>
      <c r="L502" s="349" t="s">
        <v>1211</v>
      </c>
      <c r="M502" s="350" t="s">
        <v>1874</v>
      </c>
      <c r="N502" s="350" t="s">
        <v>1875</v>
      </c>
      <c r="O502" s="347" t="s">
        <v>631</v>
      </c>
      <c r="Q502" s="347" t="s">
        <v>631</v>
      </c>
      <c r="T502" s="347" t="s">
        <v>631</v>
      </c>
      <c r="V502" s="347" t="s">
        <v>631</v>
      </c>
      <c r="Y502" s="347" t="s">
        <v>631</v>
      </c>
      <c r="Z502" s="349" t="s">
        <v>975</v>
      </c>
    </row>
    <row r="503" spans="1:26" ht="16.899999999999999" customHeight="1" x14ac:dyDescent="0.15">
      <c r="A503" s="347" t="s">
        <v>1876</v>
      </c>
      <c r="B503" s="347">
        <v>4</v>
      </c>
      <c r="C503" s="347" t="s">
        <v>1007</v>
      </c>
      <c r="F503" s="348" t="s">
        <v>1180</v>
      </c>
      <c r="G503" s="347" t="s">
        <v>978</v>
      </c>
      <c r="H503" s="347" t="s">
        <v>970</v>
      </c>
      <c r="K503" s="350"/>
      <c r="L503" s="349" t="s">
        <v>972</v>
      </c>
      <c r="M503" s="350" t="s">
        <v>1877</v>
      </c>
      <c r="N503" s="350" t="s">
        <v>1878</v>
      </c>
      <c r="R503" s="347" t="s">
        <v>631</v>
      </c>
      <c r="Z503" s="349" t="s">
        <v>975</v>
      </c>
    </row>
    <row r="504" spans="1:26" ht="16.899999999999999" customHeight="1" x14ac:dyDescent="0.15">
      <c r="A504" s="347" t="s">
        <v>1879</v>
      </c>
      <c r="B504" s="347">
        <v>4</v>
      </c>
      <c r="C504" s="347" t="s">
        <v>994</v>
      </c>
      <c r="F504" s="348" t="s">
        <v>941</v>
      </c>
      <c r="G504" s="347" t="s">
        <v>984</v>
      </c>
      <c r="H504" s="347" t="s">
        <v>970</v>
      </c>
      <c r="I504" s="347" t="s">
        <v>971</v>
      </c>
      <c r="J504" s="347" t="s">
        <v>989</v>
      </c>
      <c r="K504" s="350" t="s">
        <v>1880</v>
      </c>
      <c r="L504" s="349" t="s">
        <v>972</v>
      </c>
      <c r="M504" s="350" t="s">
        <v>1881</v>
      </c>
      <c r="N504" s="350" t="s">
        <v>1882</v>
      </c>
      <c r="P504" s="347" t="s">
        <v>631</v>
      </c>
      <c r="Q504" s="347" t="s">
        <v>631</v>
      </c>
      <c r="V504" s="347" t="s">
        <v>631</v>
      </c>
      <c r="W504" s="347" t="s">
        <v>631</v>
      </c>
      <c r="Z504" s="349" t="s">
        <v>975</v>
      </c>
    </row>
    <row r="505" spans="1:26" ht="16.899999999999999" customHeight="1" x14ac:dyDescent="0.15">
      <c r="A505" s="347" t="s">
        <v>1883</v>
      </c>
      <c r="B505" s="347">
        <v>4</v>
      </c>
      <c r="C505" s="347" t="s">
        <v>977</v>
      </c>
      <c r="E505" s="347" t="s">
        <v>631</v>
      </c>
      <c r="F505" s="348" t="s">
        <v>941</v>
      </c>
      <c r="G505" s="347" t="s">
        <v>984</v>
      </c>
      <c r="H505" s="347" t="s">
        <v>970</v>
      </c>
      <c r="I505" s="347" t="s">
        <v>971</v>
      </c>
      <c r="J505" s="347" t="s">
        <v>989</v>
      </c>
      <c r="K505" s="350" t="s">
        <v>1884</v>
      </c>
      <c r="L505" s="349" t="s">
        <v>1211</v>
      </c>
      <c r="M505" s="350" t="s">
        <v>1885</v>
      </c>
      <c r="N505" s="350" t="s">
        <v>1886</v>
      </c>
      <c r="Q505" s="347" t="s">
        <v>631</v>
      </c>
      <c r="S505" s="347" t="s">
        <v>631</v>
      </c>
      <c r="T505" s="347" t="s">
        <v>631</v>
      </c>
      <c r="V505" s="347" t="s">
        <v>631</v>
      </c>
      <c r="W505" s="347" t="s">
        <v>631</v>
      </c>
      <c r="Y505" s="347" t="s">
        <v>631</v>
      </c>
      <c r="Z505" s="349" t="s">
        <v>975</v>
      </c>
    </row>
    <row r="506" spans="1:26" ht="16.899999999999999" customHeight="1" x14ac:dyDescent="0.15">
      <c r="A506" s="347" t="s">
        <v>1887</v>
      </c>
      <c r="B506" s="347">
        <v>4</v>
      </c>
      <c r="C506" s="347" t="s">
        <v>1019</v>
      </c>
      <c r="E506" s="347" t="s">
        <v>631</v>
      </c>
      <c r="F506" s="348" t="s">
        <v>941</v>
      </c>
      <c r="G506" s="347" t="s">
        <v>1134</v>
      </c>
      <c r="H506" s="347" t="s">
        <v>970</v>
      </c>
      <c r="I506" s="347" t="s">
        <v>971</v>
      </c>
      <c r="J506" s="347" t="s">
        <v>989</v>
      </c>
      <c r="K506" s="350" t="s">
        <v>1888</v>
      </c>
      <c r="L506" s="349" t="s">
        <v>1211</v>
      </c>
      <c r="M506" s="350" t="s">
        <v>1889</v>
      </c>
      <c r="N506" s="350" t="s">
        <v>1890</v>
      </c>
      <c r="U506" s="347" t="s">
        <v>631</v>
      </c>
      <c r="V506" s="347" t="s">
        <v>631</v>
      </c>
      <c r="Z506" s="349" t="s">
        <v>975</v>
      </c>
    </row>
    <row r="507" spans="1:26" ht="16.899999999999999" customHeight="1" x14ac:dyDescent="0.15">
      <c r="A507" s="347" t="s">
        <v>1891</v>
      </c>
      <c r="B507" s="347">
        <v>4</v>
      </c>
      <c r="C507" s="347" t="s">
        <v>1019</v>
      </c>
      <c r="E507" s="347" t="s">
        <v>631</v>
      </c>
      <c r="F507" s="348" t="s">
        <v>941</v>
      </c>
      <c r="G507" s="347" t="s">
        <v>1134</v>
      </c>
      <c r="H507" s="347" t="s">
        <v>970</v>
      </c>
      <c r="I507" s="347" t="s">
        <v>971</v>
      </c>
      <c r="J507" s="347" t="s">
        <v>989</v>
      </c>
      <c r="K507" s="350" t="s">
        <v>1892</v>
      </c>
      <c r="L507" s="349" t="s">
        <v>1211</v>
      </c>
      <c r="M507" s="350" t="s">
        <v>1893</v>
      </c>
      <c r="N507" s="350" t="s">
        <v>1894</v>
      </c>
      <c r="V507" s="347" t="s">
        <v>631</v>
      </c>
      <c r="W507" s="347" t="s">
        <v>631</v>
      </c>
      <c r="Z507" s="349" t="s">
        <v>975</v>
      </c>
    </row>
    <row r="508" spans="1:26" ht="16.899999999999999" customHeight="1" x14ac:dyDescent="0.15">
      <c r="A508" s="347" t="s">
        <v>1895</v>
      </c>
      <c r="B508" s="347">
        <v>4</v>
      </c>
      <c r="C508" s="347" t="s">
        <v>1019</v>
      </c>
      <c r="E508" s="347" t="s">
        <v>631</v>
      </c>
      <c r="F508" s="348" t="s">
        <v>941</v>
      </c>
      <c r="G508" s="347" t="s">
        <v>1134</v>
      </c>
      <c r="H508" s="347" t="s">
        <v>970</v>
      </c>
      <c r="I508" s="347" t="s">
        <v>971</v>
      </c>
      <c r="J508" s="347" t="s">
        <v>989</v>
      </c>
      <c r="K508" s="350" t="s">
        <v>1896</v>
      </c>
      <c r="L508" s="349" t="s">
        <v>1211</v>
      </c>
      <c r="M508" s="350" t="s">
        <v>1897</v>
      </c>
      <c r="N508" s="350" t="s">
        <v>1898</v>
      </c>
      <c r="Q508" s="347" t="s">
        <v>631</v>
      </c>
      <c r="S508" s="347" t="s">
        <v>631</v>
      </c>
      <c r="V508" s="347" t="s">
        <v>631</v>
      </c>
      <c r="Z508" s="349" t="s">
        <v>975</v>
      </c>
    </row>
    <row r="509" spans="1:26" ht="16.899999999999999" customHeight="1" x14ac:dyDescent="0.15">
      <c r="A509" s="347" t="s">
        <v>1899</v>
      </c>
      <c r="B509" s="347">
        <v>4</v>
      </c>
      <c r="C509" s="347" t="s">
        <v>968</v>
      </c>
      <c r="F509" s="348" t="s">
        <v>941</v>
      </c>
      <c r="G509" s="347" t="s">
        <v>1541</v>
      </c>
      <c r="H509" s="347" t="s">
        <v>970</v>
      </c>
      <c r="I509" s="347" t="s">
        <v>971</v>
      </c>
      <c r="J509" s="347" t="s">
        <v>989</v>
      </c>
      <c r="K509" s="350" t="s">
        <v>1900</v>
      </c>
      <c r="L509" s="349" t="s">
        <v>972</v>
      </c>
      <c r="M509" s="350" t="s">
        <v>1901</v>
      </c>
      <c r="N509" s="350" t="s">
        <v>1902</v>
      </c>
      <c r="T509" s="347" t="s">
        <v>631</v>
      </c>
      <c r="V509" s="347" t="s">
        <v>631</v>
      </c>
      <c r="Z509" s="349" t="s">
        <v>975</v>
      </c>
    </row>
    <row r="510" spans="1:26" ht="16.899999999999999" customHeight="1" x14ac:dyDescent="0.15">
      <c r="A510" s="347" t="s">
        <v>1903</v>
      </c>
      <c r="B510" s="347">
        <v>4</v>
      </c>
      <c r="C510" s="347" t="s">
        <v>968</v>
      </c>
      <c r="E510" s="347" t="s">
        <v>631</v>
      </c>
      <c r="F510" s="348" t="s">
        <v>941</v>
      </c>
      <c r="G510" s="347" t="s">
        <v>988</v>
      </c>
      <c r="H510" s="347" t="s">
        <v>970</v>
      </c>
      <c r="I510" s="347" t="s">
        <v>971</v>
      </c>
      <c r="J510" s="347" t="s">
        <v>989</v>
      </c>
      <c r="K510" s="350" t="s">
        <v>1904</v>
      </c>
      <c r="L510" s="349" t="s">
        <v>979</v>
      </c>
      <c r="M510" s="350" t="s">
        <v>1905</v>
      </c>
      <c r="N510" s="350" t="s">
        <v>1906</v>
      </c>
      <c r="Q510" s="347" t="s">
        <v>631</v>
      </c>
      <c r="T510" s="347" t="s">
        <v>631</v>
      </c>
      <c r="V510" s="347" t="s">
        <v>631</v>
      </c>
      <c r="Z510" s="349" t="s">
        <v>975</v>
      </c>
    </row>
    <row r="511" spans="1:26" ht="16.899999999999999" customHeight="1" x14ac:dyDescent="0.15">
      <c r="A511" s="347" t="s">
        <v>2593</v>
      </c>
      <c r="B511" s="347">
        <v>4</v>
      </c>
      <c r="C511" s="347" t="s">
        <v>994</v>
      </c>
      <c r="E511" s="347" t="s">
        <v>631</v>
      </c>
      <c r="F511" s="348" t="s">
        <v>941</v>
      </c>
      <c r="G511" s="347" t="s">
        <v>1134</v>
      </c>
      <c r="H511" s="347" t="s">
        <v>970</v>
      </c>
      <c r="I511" s="347" t="s">
        <v>971</v>
      </c>
      <c r="K511" s="444"/>
      <c r="L511" s="349" t="s">
        <v>2413</v>
      </c>
      <c r="M511" s="350" t="s">
        <v>2594</v>
      </c>
      <c r="N511" s="350" t="s">
        <v>2595</v>
      </c>
      <c r="Q511" s="347" t="s">
        <v>631</v>
      </c>
      <c r="U511" s="347" t="s">
        <v>631</v>
      </c>
      <c r="V511" s="347" t="s">
        <v>631</v>
      </c>
      <c r="W511" s="347" t="s">
        <v>631</v>
      </c>
      <c r="Z511" s="446" t="s">
        <v>2457</v>
      </c>
    </row>
    <row r="512" spans="1:26" ht="16.899999999999999" customHeight="1" x14ac:dyDescent="0.15">
      <c r="A512" s="347" t="s">
        <v>2596</v>
      </c>
      <c r="B512" s="347">
        <v>4</v>
      </c>
      <c r="C512" s="347" t="s">
        <v>1019</v>
      </c>
      <c r="F512" s="348" t="s">
        <v>1048</v>
      </c>
      <c r="G512" s="347" t="s">
        <v>709</v>
      </c>
      <c r="H512" s="347" t="s">
        <v>970</v>
      </c>
      <c r="I512" s="347" t="s">
        <v>971</v>
      </c>
      <c r="K512" s="444"/>
      <c r="L512" s="349" t="s">
        <v>972</v>
      </c>
      <c r="M512" s="350" t="s">
        <v>2597</v>
      </c>
      <c r="N512" s="350" t="s">
        <v>2598</v>
      </c>
      <c r="R512" s="347" t="s">
        <v>631</v>
      </c>
      <c r="Z512" s="446" t="s">
        <v>2457</v>
      </c>
    </row>
    <row r="513" spans="1:26" ht="16.899999999999999" customHeight="1" x14ac:dyDescent="0.15">
      <c r="A513" s="347" t="s">
        <v>2599</v>
      </c>
      <c r="B513" s="347">
        <v>4</v>
      </c>
      <c r="C513" s="347" t="s">
        <v>994</v>
      </c>
      <c r="E513" s="347" t="s">
        <v>631</v>
      </c>
      <c r="F513" s="348" t="s">
        <v>1047</v>
      </c>
      <c r="G513" s="347" t="s">
        <v>978</v>
      </c>
      <c r="H513" s="347" t="s">
        <v>970</v>
      </c>
      <c r="K513" s="444"/>
      <c r="L513" s="349" t="s">
        <v>2413</v>
      </c>
      <c r="M513" s="350" t="s">
        <v>2600</v>
      </c>
      <c r="N513" s="350" t="s">
        <v>2601</v>
      </c>
      <c r="Q513" s="347" t="s">
        <v>631</v>
      </c>
      <c r="S513" s="347" t="s">
        <v>631</v>
      </c>
      <c r="Z513" s="446" t="s">
        <v>2457</v>
      </c>
    </row>
    <row r="514" spans="1:26" ht="16.899999999999999" customHeight="1" x14ac:dyDescent="0.15">
      <c r="A514" s="347" t="s">
        <v>2602</v>
      </c>
      <c r="B514" s="347">
        <v>4</v>
      </c>
      <c r="C514" s="347" t="s">
        <v>983</v>
      </c>
      <c r="E514" s="347" t="s">
        <v>631</v>
      </c>
      <c r="F514" s="348" t="s">
        <v>941</v>
      </c>
      <c r="G514" s="347" t="s">
        <v>978</v>
      </c>
      <c r="H514" s="347" t="s">
        <v>970</v>
      </c>
      <c r="I514" s="347" t="s">
        <v>971</v>
      </c>
      <c r="J514" s="347" t="s">
        <v>989</v>
      </c>
      <c r="K514" s="444" t="s">
        <v>2603</v>
      </c>
      <c r="L514" s="349" t="s">
        <v>2413</v>
      </c>
      <c r="M514" s="350" t="s">
        <v>2604</v>
      </c>
      <c r="N514" s="350" t="s">
        <v>2605</v>
      </c>
      <c r="U514" s="347" t="s">
        <v>631</v>
      </c>
      <c r="Z514" s="446" t="s">
        <v>2457</v>
      </c>
    </row>
    <row r="515" spans="1:26" ht="16.899999999999999" customHeight="1" x14ac:dyDescent="0.15">
      <c r="A515" s="347" t="s">
        <v>2606</v>
      </c>
      <c r="B515" s="347">
        <v>4</v>
      </c>
      <c r="C515" s="347" t="s">
        <v>968</v>
      </c>
      <c r="E515" s="347" t="s">
        <v>631</v>
      </c>
      <c r="F515" s="348" t="s">
        <v>941</v>
      </c>
      <c r="G515" s="347" t="s">
        <v>988</v>
      </c>
      <c r="H515" s="347" t="s">
        <v>970</v>
      </c>
      <c r="I515" s="347" t="s">
        <v>971</v>
      </c>
      <c r="K515" s="444"/>
      <c r="L515" s="349" t="s">
        <v>2490</v>
      </c>
      <c r="M515" s="350" t="s">
        <v>2607</v>
      </c>
      <c r="N515" s="350" t="s">
        <v>2608</v>
      </c>
      <c r="T515" s="347" t="s">
        <v>631</v>
      </c>
      <c r="U515" s="347" t="s">
        <v>631</v>
      </c>
      <c r="V515" s="347" t="s">
        <v>631</v>
      </c>
      <c r="Z515" s="446" t="s">
        <v>2457</v>
      </c>
    </row>
    <row r="516" spans="1:26" ht="16.899999999999999" customHeight="1" x14ac:dyDescent="0.15">
      <c r="A516" s="347" t="s">
        <v>2609</v>
      </c>
      <c r="B516" s="347">
        <v>4</v>
      </c>
      <c r="C516" s="347" t="s">
        <v>968</v>
      </c>
      <c r="E516" s="347" t="s">
        <v>631</v>
      </c>
      <c r="F516" s="348" t="s">
        <v>941</v>
      </c>
      <c r="G516" s="347" t="s">
        <v>1541</v>
      </c>
      <c r="H516" s="347" t="s">
        <v>970</v>
      </c>
      <c r="I516" s="347" t="s">
        <v>971</v>
      </c>
      <c r="K516" s="444"/>
      <c r="L516" s="349" t="s">
        <v>2413</v>
      </c>
      <c r="M516" s="350" t="s">
        <v>2610</v>
      </c>
      <c r="N516" s="350" t="s">
        <v>2611</v>
      </c>
      <c r="T516" s="347" t="s">
        <v>631</v>
      </c>
      <c r="V516" s="347" t="s">
        <v>631</v>
      </c>
      <c r="Z516" s="446" t="s">
        <v>2457</v>
      </c>
    </row>
    <row r="517" spans="1:26" ht="16.899999999999999" customHeight="1" x14ac:dyDescent="0.15">
      <c r="A517" s="347" t="s">
        <v>2612</v>
      </c>
      <c r="B517" s="347">
        <v>4</v>
      </c>
      <c r="C517" s="347" t="s">
        <v>1019</v>
      </c>
      <c r="E517" s="347" t="s">
        <v>631</v>
      </c>
      <c r="F517" s="348" t="s">
        <v>941</v>
      </c>
      <c r="G517" s="347" t="s">
        <v>969</v>
      </c>
      <c r="H517" s="347" t="s">
        <v>970</v>
      </c>
      <c r="I517" s="347" t="s">
        <v>971</v>
      </c>
      <c r="J517" s="347" t="s">
        <v>989</v>
      </c>
      <c r="K517" s="444" t="s">
        <v>2573</v>
      </c>
      <c r="L517" s="349" t="s">
        <v>2421</v>
      </c>
      <c r="M517" s="350" t="s">
        <v>2613</v>
      </c>
      <c r="N517" s="350" t="s">
        <v>2614</v>
      </c>
      <c r="U517" s="347" t="s">
        <v>631</v>
      </c>
      <c r="V517" s="347" t="s">
        <v>631</v>
      </c>
      <c r="Z517" s="446" t="s">
        <v>2457</v>
      </c>
    </row>
    <row r="518" spans="1:26" ht="16.899999999999999" customHeight="1" x14ac:dyDescent="0.15">
      <c r="A518" s="347" t="s">
        <v>2615</v>
      </c>
      <c r="B518" s="347">
        <v>4</v>
      </c>
      <c r="C518" s="347" t="s">
        <v>1019</v>
      </c>
      <c r="E518" s="347" t="s">
        <v>631</v>
      </c>
      <c r="F518" s="348" t="s">
        <v>941</v>
      </c>
      <c r="G518" s="347" t="s">
        <v>1134</v>
      </c>
      <c r="H518" s="347" t="s">
        <v>970</v>
      </c>
      <c r="I518" s="347" t="s">
        <v>971</v>
      </c>
      <c r="J518" s="347" t="s">
        <v>989</v>
      </c>
      <c r="K518" s="444" t="s">
        <v>2580</v>
      </c>
      <c r="L518" s="349" t="s">
        <v>2413</v>
      </c>
      <c r="M518" s="350" t="s">
        <v>2616</v>
      </c>
      <c r="N518" s="350" t="s">
        <v>2617</v>
      </c>
      <c r="Q518" s="347" t="s">
        <v>631</v>
      </c>
      <c r="T518" s="347" t="s">
        <v>631</v>
      </c>
      <c r="V518" s="347" t="s">
        <v>631</v>
      </c>
      <c r="Z518" s="446" t="s">
        <v>2457</v>
      </c>
    </row>
    <row r="519" spans="1:26" ht="16.899999999999999" customHeight="1" x14ac:dyDescent="0.15">
      <c r="A519" s="347" t="s">
        <v>2778</v>
      </c>
      <c r="B519" s="347">
        <v>4</v>
      </c>
      <c r="C519" s="347" t="s">
        <v>1007</v>
      </c>
      <c r="F519" s="348" t="s">
        <v>941</v>
      </c>
      <c r="G519" s="347" t="s">
        <v>988</v>
      </c>
      <c r="H519" s="347" t="s">
        <v>970</v>
      </c>
      <c r="K519" s="444"/>
      <c r="L519" s="349" t="s">
        <v>972</v>
      </c>
      <c r="M519" s="350" t="s">
        <v>2779</v>
      </c>
      <c r="N519" s="350" t="s">
        <v>2780</v>
      </c>
      <c r="O519" s="347" t="s">
        <v>631</v>
      </c>
      <c r="T519" s="347" t="s">
        <v>631</v>
      </c>
      <c r="U519" s="347" t="s">
        <v>631</v>
      </c>
      <c r="V519" s="347" t="s">
        <v>631</v>
      </c>
      <c r="Z519" s="446" t="s">
        <v>2769</v>
      </c>
    </row>
    <row r="520" spans="1:26" ht="16.899999999999999" customHeight="1" x14ac:dyDescent="0.15">
      <c r="A520" s="347" t="s">
        <v>2801</v>
      </c>
      <c r="B520" s="347">
        <v>4</v>
      </c>
      <c r="C520" s="347" t="s">
        <v>1019</v>
      </c>
      <c r="F520" s="348" t="s">
        <v>941</v>
      </c>
      <c r="G520" s="347" t="s">
        <v>1008</v>
      </c>
      <c r="H520" s="347" t="s">
        <v>970</v>
      </c>
      <c r="I520" s="347" t="s">
        <v>971</v>
      </c>
      <c r="J520" s="347" t="s">
        <v>989</v>
      </c>
      <c r="K520" s="444" t="s">
        <v>2802</v>
      </c>
      <c r="L520" s="349" t="s">
        <v>1048</v>
      </c>
      <c r="M520" s="350" t="s">
        <v>2803</v>
      </c>
      <c r="N520" s="350" t="s">
        <v>2804</v>
      </c>
      <c r="U520" s="347" t="s">
        <v>631</v>
      </c>
      <c r="V520" s="347" t="s">
        <v>631</v>
      </c>
      <c r="Z520" s="446" t="s">
        <v>2796</v>
      </c>
    </row>
    <row r="521" spans="1:26" ht="16.899999999999999" customHeight="1" x14ac:dyDescent="0.15">
      <c r="A521" s="347" t="s">
        <v>2837</v>
      </c>
      <c r="B521" s="347">
        <v>4</v>
      </c>
      <c r="C521" s="347" t="s">
        <v>983</v>
      </c>
      <c r="E521" s="347" t="s">
        <v>631</v>
      </c>
      <c r="F521" s="348" t="s">
        <v>941</v>
      </c>
      <c r="G521" s="347" t="s">
        <v>969</v>
      </c>
      <c r="H521" s="347" t="s">
        <v>970</v>
      </c>
      <c r="I521" s="347" t="s">
        <v>971</v>
      </c>
      <c r="J521" s="347" t="s">
        <v>989</v>
      </c>
      <c r="K521" s="444" t="s">
        <v>2838</v>
      </c>
      <c r="L521" s="349" t="s">
        <v>1211</v>
      </c>
      <c r="M521" s="350" t="s">
        <v>2839</v>
      </c>
      <c r="N521" s="350" t="s">
        <v>2840</v>
      </c>
      <c r="T521" s="347" t="s">
        <v>631</v>
      </c>
      <c r="U521" s="347" t="s">
        <v>631</v>
      </c>
      <c r="V521" s="347" t="s">
        <v>631</v>
      </c>
      <c r="Z521" s="446" t="s">
        <v>2832</v>
      </c>
    </row>
    <row r="522" spans="1:26" ht="16.899999999999999" customHeight="1" x14ac:dyDescent="0.15">
      <c r="A522" s="347" t="s">
        <v>2854</v>
      </c>
      <c r="B522" s="347">
        <v>4</v>
      </c>
      <c r="C522" s="347" t="s">
        <v>977</v>
      </c>
      <c r="F522" s="348" t="s">
        <v>1020</v>
      </c>
      <c r="G522" s="347" t="s">
        <v>969</v>
      </c>
      <c r="H522" s="347" t="s">
        <v>970</v>
      </c>
      <c r="I522" s="347" t="s">
        <v>971</v>
      </c>
      <c r="J522" s="347" t="s">
        <v>989</v>
      </c>
      <c r="K522" s="444" t="s">
        <v>2855</v>
      </c>
      <c r="L522" s="349" t="s">
        <v>1109</v>
      </c>
      <c r="M522" s="350" t="s">
        <v>2856</v>
      </c>
      <c r="N522" s="350" t="s">
        <v>2857</v>
      </c>
      <c r="T522" s="347" t="s">
        <v>631</v>
      </c>
      <c r="U522" s="347" t="s">
        <v>631</v>
      </c>
      <c r="V522" s="347" t="s">
        <v>631</v>
      </c>
      <c r="Z522" s="446" t="s">
        <v>2853</v>
      </c>
    </row>
    <row r="523" spans="1:26" ht="16.899999999999999" customHeight="1" x14ac:dyDescent="0.15">
      <c r="A523" s="347" t="s">
        <v>2909</v>
      </c>
      <c r="B523" s="347">
        <v>4</v>
      </c>
      <c r="C523" s="347" t="s">
        <v>968</v>
      </c>
      <c r="F523" s="348" t="s">
        <v>941</v>
      </c>
      <c r="G523" s="347" t="s">
        <v>988</v>
      </c>
      <c r="H523" s="347" t="s">
        <v>970</v>
      </c>
      <c r="I523" s="347" t="s">
        <v>971</v>
      </c>
      <c r="J523" s="347" t="s">
        <v>989</v>
      </c>
      <c r="K523" s="349" t="s">
        <v>2910</v>
      </c>
      <c r="L523" s="349" t="s">
        <v>972</v>
      </c>
      <c r="M523" s="350" t="s">
        <v>2911</v>
      </c>
      <c r="N523" s="445" t="s">
        <v>2912</v>
      </c>
      <c r="V523" s="347" t="s">
        <v>631</v>
      </c>
      <c r="Z523" s="446" t="s">
        <v>2888</v>
      </c>
    </row>
    <row r="524" spans="1:26" ht="16.899999999999999" customHeight="1" x14ac:dyDescent="0.15">
      <c r="A524" s="347" t="s">
        <v>5587</v>
      </c>
      <c r="B524" s="347">
        <v>4</v>
      </c>
      <c r="C524" s="347" t="s">
        <v>1019</v>
      </c>
      <c r="E524" s="347" t="s">
        <v>631</v>
      </c>
      <c r="F524" s="348" t="s">
        <v>941</v>
      </c>
      <c r="G524" s="347" t="s">
        <v>988</v>
      </c>
      <c r="H524" s="347" t="s">
        <v>970</v>
      </c>
      <c r="I524" s="347" t="s">
        <v>971</v>
      </c>
      <c r="K524" s="350"/>
      <c r="L524" s="349" t="s">
        <v>2490</v>
      </c>
      <c r="M524" s="350" t="s">
        <v>5588</v>
      </c>
      <c r="N524" s="350" t="s">
        <v>5589</v>
      </c>
      <c r="P524" s="347" t="s">
        <v>631</v>
      </c>
      <c r="Q524" s="347" t="s">
        <v>631</v>
      </c>
      <c r="T524" s="347" t="s">
        <v>631</v>
      </c>
      <c r="U524" s="347" t="s">
        <v>631</v>
      </c>
      <c r="V524" s="347" t="s">
        <v>631</v>
      </c>
      <c r="Z524" s="349" t="s">
        <v>3197</v>
      </c>
    </row>
    <row r="525" spans="1:26" ht="16.899999999999999" customHeight="1" x14ac:dyDescent="0.15">
      <c r="A525" s="347" t="s">
        <v>5590</v>
      </c>
      <c r="B525" s="347">
        <v>4</v>
      </c>
      <c r="C525" s="347" t="s">
        <v>1019</v>
      </c>
      <c r="F525" s="348" t="s">
        <v>941</v>
      </c>
      <c r="G525" s="347" t="s">
        <v>988</v>
      </c>
      <c r="H525" s="347" t="s">
        <v>970</v>
      </c>
      <c r="I525" s="347" t="s">
        <v>971</v>
      </c>
      <c r="K525" s="350"/>
      <c r="L525" s="349" t="s">
        <v>972</v>
      </c>
      <c r="M525" s="350" t="s">
        <v>5591</v>
      </c>
      <c r="N525" s="350" t="s">
        <v>5592</v>
      </c>
      <c r="T525" s="347" t="s">
        <v>631</v>
      </c>
      <c r="U525" s="347" t="s">
        <v>631</v>
      </c>
      <c r="V525" s="347" t="s">
        <v>631</v>
      </c>
      <c r="Z525" s="349" t="s">
        <v>3197</v>
      </c>
    </row>
    <row r="526" spans="1:26" ht="16.899999999999999" customHeight="1" x14ac:dyDescent="0.15">
      <c r="A526" s="347" t="s">
        <v>6395</v>
      </c>
      <c r="B526" s="347">
        <v>4</v>
      </c>
      <c r="C526" s="347" t="s">
        <v>983</v>
      </c>
      <c r="E526" s="347" t="s">
        <v>631</v>
      </c>
      <c r="F526" s="348" t="s">
        <v>2995</v>
      </c>
      <c r="G526" s="347" t="s">
        <v>709</v>
      </c>
      <c r="H526" s="347" t="s">
        <v>970</v>
      </c>
      <c r="I526" s="347" t="s">
        <v>6323</v>
      </c>
      <c r="J526" s="347" t="s">
        <v>989</v>
      </c>
      <c r="K526" s="350" t="s">
        <v>6396</v>
      </c>
      <c r="L526" s="349" t="s">
        <v>979</v>
      </c>
      <c r="M526" s="350" t="s">
        <v>6397</v>
      </c>
      <c r="N526" s="350" t="s">
        <v>6398</v>
      </c>
      <c r="O526" s="347" t="s">
        <v>631</v>
      </c>
      <c r="Q526" s="347" t="s">
        <v>631</v>
      </c>
      <c r="U526" s="347" t="s">
        <v>631</v>
      </c>
      <c r="Y526" s="347" t="s">
        <v>631</v>
      </c>
      <c r="Z526" s="349" t="s">
        <v>5820</v>
      </c>
    </row>
    <row r="527" spans="1:26" ht="16.899999999999999" customHeight="1" x14ac:dyDescent="0.15">
      <c r="A527" s="347" t="s">
        <v>6399</v>
      </c>
      <c r="B527" s="347">
        <v>4</v>
      </c>
      <c r="C527" s="347" t="s">
        <v>983</v>
      </c>
      <c r="F527" s="348" t="s">
        <v>6400</v>
      </c>
      <c r="G527" s="347" t="s">
        <v>988</v>
      </c>
      <c r="H527" s="347" t="s">
        <v>970</v>
      </c>
      <c r="I527" s="347" t="s">
        <v>6323</v>
      </c>
      <c r="K527" s="350"/>
      <c r="L527" s="349" t="s">
        <v>972</v>
      </c>
      <c r="M527" s="350" t="s">
        <v>6401</v>
      </c>
      <c r="N527" s="350" t="s">
        <v>6402</v>
      </c>
      <c r="U527" s="347" t="s">
        <v>631</v>
      </c>
      <c r="V527" s="347" t="s">
        <v>631</v>
      </c>
      <c r="Y527" s="347" t="s">
        <v>631</v>
      </c>
      <c r="Z527" s="349" t="s">
        <v>5820</v>
      </c>
    </row>
    <row r="528" spans="1:26" ht="16.899999999999999" customHeight="1" x14ac:dyDescent="0.15">
      <c r="A528" s="347" t="s">
        <v>6403</v>
      </c>
      <c r="B528" s="347">
        <v>4</v>
      </c>
      <c r="C528" s="347" t="s">
        <v>983</v>
      </c>
      <c r="E528" s="347" t="s">
        <v>631</v>
      </c>
      <c r="F528" s="348" t="s">
        <v>6378</v>
      </c>
      <c r="G528" s="347" t="s">
        <v>988</v>
      </c>
      <c r="H528" s="347" t="s">
        <v>970</v>
      </c>
      <c r="I528" s="347" t="s">
        <v>6323</v>
      </c>
      <c r="J528" s="347" t="s">
        <v>989</v>
      </c>
      <c r="K528" s="350" t="s">
        <v>6404</v>
      </c>
      <c r="L528" s="349" t="s">
        <v>979</v>
      </c>
      <c r="M528" s="350" t="s">
        <v>6405</v>
      </c>
      <c r="N528" s="350" t="s">
        <v>6406</v>
      </c>
      <c r="Q528" s="347" t="s">
        <v>631</v>
      </c>
      <c r="S528" s="347" t="s">
        <v>631</v>
      </c>
      <c r="Y528" s="347" t="s">
        <v>631</v>
      </c>
      <c r="Z528" s="349" t="s">
        <v>5820</v>
      </c>
    </row>
    <row r="529" spans="1:26" ht="16.899999999999999" customHeight="1" x14ac:dyDescent="0.15">
      <c r="A529" s="347" t="s">
        <v>6407</v>
      </c>
      <c r="B529" s="347">
        <v>4</v>
      </c>
      <c r="C529" s="347" t="s">
        <v>977</v>
      </c>
      <c r="F529" s="348" t="s">
        <v>941</v>
      </c>
      <c r="G529" s="347" t="s">
        <v>988</v>
      </c>
      <c r="H529" s="347" t="s">
        <v>970</v>
      </c>
      <c r="I529" s="347" t="s">
        <v>6323</v>
      </c>
      <c r="J529" s="347" t="s">
        <v>989</v>
      </c>
      <c r="K529" s="350" t="s">
        <v>6408</v>
      </c>
      <c r="L529" s="349" t="s">
        <v>972</v>
      </c>
      <c r="M529" s="350" t="s">
        <v>6409</v>
      </c>
      <c r="N529" s="350" t="s">
        <v>6410</v>
      </c>
      <c r="P529" s="347" t="s">
        <v>631</v>
      </c>
      <c r="R529" s="347" t="s">
        <v>631</v>
      </c>
      <c r="Y529" s="347" t="s">
        <v>631</v>
      </c>
      <c r="Z529" s="349" t="s">
        <v>5820</v>
      </c>
    </row>
    <row r="530" spans="1:26" ht="16.899999999999999" customHeight="1" x14ac:dyDescent="0.15">
      <c r="A530" s="347" t="s">
        <v>6411</v>
      </c>
      <c r="B530" s="347">
        <v>4</v>
      </c>
      <c r="C530" s="347" t="s">
        <v>1019</v>
      </c>
      <c r="F530" s="348" t="s">
        <v>941</v>
      </c>
      <c r="G530" s="347" t="s">
        <v>978</v>
      </c>
      <c r="H530" s="347" t="s">
        <v>970</v>
      </c>
      <c r="I530" s="347" t="s">
        <v>6323</v>
      </c>
      <c r="J530" s="347" t="s">
        <v>989</v>
      </c>
      <c r="K530" s="350" t="s">
        <v>6412</v>
      </c>
      <c r="L530" s="349" t="s">
        <v>972</v>
      </c>
      <c r="M530" s="350" t="s">
        <v>6413</v>
      </c>
      <c r="N530" s="350" t="s">
        <v>6414</v>
      </c>
      <c r="Q530" s="347" t="s">
        <v>631</v>
      </c>
      <c r="T530" s="347" t="s">
        <v>631</v>
      </c>
      <c r="V530" s="347" t="s">
        <v>631</v>
      </c>
      <c r="Y530" s="347" t="s">
        <v>631</v>
      </c>
      <c r="Z530" s="349" t="s">
        <v>5820</v>
      </c>
    </row>
    <row r="531" spans="1:26" ht="16.899999999999999" customHeight="1" x14ac:dyDescent="0.15">
      <c r="A531" s="347" t="s">
        <v>6415</v>
      </c>
      <c r="B531" s="347">
        <v>4</v>
      </c>
      <c r="C531" s="347" t="s">
        <v>1019</v>
      </c>
      <c r="E531" s="347" t="s">
        <v>631</v>
      </c>
      <c r="F531" s="348" t="s">
        <v>941</v>
      </c>
      <c r="G531" s="347" t="s">
        <v>1134</v>
      </c>
      <c r="H531" s="347" t="s">
        <v>970</v>
      </c>
      <c r="I531" s="347" t="s">
        <v>6323</v>
      </c>
      <c r="J531" s="347" t="s">
        <v>989</v>
      </c>
      <c r="K531" s="350" t="s">
        <v>6416</v>
      </c>
      <c r="L531" s="349" t="s">
        <v>1211</v>
      </c>
      <c r="M531" s="350" t="s">
        <v>6417</v>
      </c>
      <c r="N531" s="350" t="s">
        <v>6418</v>
      </c>
      <c r="Q531" s="347" t="s">
        <v>631</v>
      </c>
      <c r="U531" s="347" t="s">
        <v>631</v>
      </c>
      <c r="Y531" s="347" t="s">
        <v>631</v>
      </c>
      <c r="Z531" s="349" t="s">
        <v>5820</v>
      </c>
    </row>
    <row r="532" spans="1:26" ht="16.899999999999999" customHeight="1" x14ac:dyDescent="0.15">
      <c r="A532" s="347" t="s">
        <v>6419</v>
      </c>
      <c r="B532" s="347">
        <v>4</v>
      </c>
      <c r="C532" s="347" t="s">
        <v>994</v>
      </c>
      <c r="E532" s="347" t="s">
        <v>631</v>
      </c>
      <c r="F532" s="348" t="s">
        <v>941</v>
      </c>
      <c r="G532" s="347" t="s">
        <v>709</v>
      </c>
      <c r="H532" s="347" t="s">
        <v>970</v>
      </c>
      <c r="I532" s="347" t="s">
        <v>6323</v>
      </c>
      <c r="J532" s="347" t="s">
        <v>989</v>
      </c>
      <c r="K532" s="350" t="s">
        <v>6420</v>
      </c>
      <c r="L532" s="349" t="s">
        <v>979</v>
      </c>
      <c r="M532" s="350" t="s">
        <v>6421</v>
      </c>
      <c r="N532" s="350" t="s">
        <v>6422</v>
      </c>
      <c r="T532" s="347" t="s">
        <v>631</v>
      </c>
      <c r="V532" s="347" t="s">
        <v>631</v>
      </c>
      <c r="Y532" s="347" t="s">
        <v>631</v>
      </c>
      <c r="Z532" s="349" t="s">
        <v>5820</v>
      </c>
    </row>
    <row r="533" spans="1:26" ht="16.899999999999999" customHeight="1" x14ac:dyDescent="0.15">
      <c r="A533" s="347" t="s">
        <v>7951</v>
      </c>
      <c r="B533" s="347">
        <v>4</v>
      </c>
      <c r="C533" s="347" t="s">
        <v>7895</v>
      </c>
      <c r="F533" s="348" t="s">
        <v>2995</v>
      </c>
      <c r="G533" s="347" t="s">
        <v>2943</v>
      </c>
      <c r="H533" s="347" t="s">
        <v>2953</v>
      </c>
      <c r="I533" s="347" t="s">
        <v>6323</v>
      </c>
      <c r="K533" s="350"/>
      <c r="L533" s="349" t="s">
        <v>2987</v>
      </c>
      <c r="M533" s="350" t="s">
        <v>7952</v>
      </c>
      <c r="N533" s="350" t="s">
        <v>7953</v>
      </c>
      <c r="P533" s="347" t="s">
        <v>2950</v>
      </c>
      <c r="V533" s="347" t="s">
        <v>2950</v>
      </c>
      <c r="Z533" s="349" t="s">
        <v>7878</v>
      </c>
    </row>
    <row r="534" spans="1:26" ht="16.899999999999999" customHeight="1" x14ac:dyDescent="0.15">
      <c r="A534" s="347" t="s">
        <v>7954</v>
      </c>
      <c r="B534" s="347">
        <v>4</v>
      </c>
      <c r="C534" s="347" t="s">
        <v>7883</v>
      </c>
      <c r="F534" s="348" t="s">
        <v>2995</v>
      </c>
      <c r="G534" s="347" t="s">
        <v>2970</v>
      </c>
      <c r="H534" s="347" t="s">
        <v>2953</v>
      </c>
      <c r="I534" s="347" t="s">
        <v>6323</v>
      </c>
      <c r="J534" s="347" t="s">
        <v>6335</v>
      </c>
      <c r="K534" s="350" t="s">
        <v>7955</v>
      </c>
      <c r="L534" s="349" t="s">
        <v>6890</v>
      </c>
      <c r="M534" s="350" t="s">
        <v>7956</v>
      </c>
      <c r="N534" s="350" t="s">
        <v>7957</v>
      </c>
      <c r="V534" s="347" t="s">
        <v>2950</v>
      </c>
      <c r="Z534" s="349" t="s">
        <v>7878</v>
      </c>
    </row>
    <row r="535" spans="1:26" ht="16.899999999999999" customHeight="1" x14ac:dyDescent="0.15">
      <c r="A535" s="347" t="s">
        <v>8111</v>
      </c>
      <c r="B535" s="347">
        <v>4</v>
      </c>
      <c r="C535" s="347" t="s">
        <v>2976</v>
      </c>
      <c r="E535" s="347" t="s">
        <v>2950</v>
      </c>
      <c r="F535" s="348" t="s">
        <v>2995</v>
      </c>
      <c r="G535" s="347" t="s">
        <v>2972</v>
      </c>
      <c r="H535" s="347" t="s">
        <v>2953</v>
      </c>
      <c r="I535" s="347" t="s">
        <v>6323</v>
      </c>
      <c r="J535" s="347" t="s">
        <v>6335</v>
      </c>
      <c r="K535" s="350" t="s">
        <v>8006</v>
      </c>
      <c r="L535" s="349" t="s">
        <v>8007</v>
      </c>
      <c r="M535" s="350" t="s">
        <v>8112</v>
      </c>
      <c r="N535" s="350" t="s">
        <v>8113</v>
      </c>
      <c r="O535" s="347" t="s">
        <v>2950</v>
      </c>
      <c r="P535" s="347" t="s">
        <v>2950</v>
      </c>
      <c r="Q535" s="347" t="s">
        <v>2950</v>
      </c>
      <c r="T535" s="347" t="s">
        <v>2950</v>
      </c>
      <c r="U535" s="347" t="s">
        <v>2950</v>
      </c>
      <c r="V535" s="347" t="s">
        <v>2950</v>
      </c>
      <c r="Z535" s="349" t="s">
        <v>7972</v>
      </c>
    </row>
    <row r="536" spans="1:26" ht="16.899999999999999" customHeight="1" x14ac:dyDescent="0.15">
      <c r="A536" s="347" t="s">
        <v>8114</v>
      </c>
      <c r="B536" s="347">
        <v>4</v>
      </c>
      <c r="C536" s="347" t="s">
        <v>2983</v>
      </c>
      <c r="F536" s="348" t="s">
        <v>2995</v>
      </c>
      <c r="G536" s="347" t="s">
        <v>2972</v>
      </c>
      <c r="H536" s="347" t="s">
        <v>2953</v>
      </c>
      <c r="I536" s="347" t="s">
        <v>6323</v>
      </c>
      <c r="J536" s="347" t="s">
        <v>6335</v>
      </c>
      <c r="K536" s="350" t="s">
        <v>8115</v>
      </c>
      <c r="L536" s="349" t="s">
        <v>2987</v>
      </c>
      <c r="M536" s="350" t="s">
        <v>8116</v>
      </c>
      <c r="N536" s="350" t="s">
        <v>8117</v>
      </c>
      <c r="Q536" s="347" t="s">
        <v>2950</v>
      </c>
      <c r="R536" s="347" t="s">
        <v>2950</v>
      </c>
      <c r="S536" s="347" t="s">
        <v>2950</v>
      </c>
      <c r="T536" s="347" t="s">
        <v>2950</v>
      </c>
      <c r="U536" s="347" t="s">
        <v>2950</v>
      </c>
      <c r="Z536" s="349" t="s">
        <v>7972</v>
      </c>
    </row>
    <row r="537" spans="1:26" ht="16.899999999999999" customHeight="1" x14ac:dyDescent="0.15">
      <c r="A537" s="347" t="s">
        <v>8257</v>
      </c>
      <c r="B537" s="347">
        <v>4</v>
      </c>
      <c r="C537" s="347" t="s">
        <v>7883</v>
      </c>
      <c r="F537" s="348" t="s">
        <v>2995</v>
      </c>
      <c r="G537" s="347" t="s">
        <v>2972</v>
      </c>
      <c r="H537" s="347" t="s">
        <v>2953</v>
      </c>
      <c r="I537" s="347" t="s">
        <v>6323</v>
      </c>
      <c r="J537" s="347" t="s">
        <v>6335</v>
      </c>
      <c r="K537" s="350" t="s">
        <v>8258</v>
      </c>
      <c r="L537" s="349" t="s">
        <v>2987</v>
      </c>
      <c r="M537" s="350" t="s">
        <v>8259</v>
      </c>
      <c r="N537" s="350" t="s">
        <v>8260</v>
      </c>
      <c r="Q537" s="347" t="s">
        <v>2950</v>
      </c>
      <c r="T537" s="347" t="s">
        <v>2950</v>
      </c>
      <c r="U537" s="347" t="s">
        <v>2950</v>
      </c>
      <c r="V537" s="347" t="s">
        <v>2950</v>
      </c>
      <c r="Z537" s="349" t="s">
        <v>8157</v>
      </c>
    </row>
    <row r="538" spans="1:26" ht="16.899999999999999" customHeight="1" x14ac:dyDescent="0.15">
      <c r="A538" s="347" t="s">
        <v>8261</v>
      </c>
      <c r="B538" s="347">
        <v>4</v>
      </c>
      <c r="C538" s="347" t="s">
        <v>2976</v>
      </c>
      <c r="E538" s="347" t="s">
        <v>2950</v>
      </c>
      <c r="F538" s="348" t="s">
        <v>2995</v>
      </c>
      <c r="G538" s="347" t="s">
        <v>2943</v>
      </c>
      <c r="H538" s="347" t="s">
        <v>2953</v>
      </c>
      <c r="I538" s="347" t="s">
        <v>6323</v>
      </c>
      <c r="J538" s="347" t="s">
        <v>6335</v>
      </c>
      <c r="K538" s="350" t="s">
        <v>8262</v>
      </c>
      <c r="L538" s="349" t="s">
        <v>8007</v>
      </c>
      <c r="M538" s="350" t="s">
        <v>8263</v>
      </c>
      <c r="N538" s="350" t="s">
        <v>8264</v>
      </c>
      <c r="O538" s="347" t="s">
        <v>2950</v>
      </c>
      <c r="Q538" s="347" t="s">
        <v>2950</v>
      </c>
      <c r="S538" s="347" t="s">
        <v>2950</v>
      </c>
      <c r="U538" s="347" t="s">
        <v>2950</v>
      </c>
      <c r="Z538" s="349" t="s">
        <v>8157</v>
      </c>
    </row>
    <row r="539" spans="1:26" ht="16.899999999999999" customHeight="1" x14ac:dyDescent="0.15">
      <c r="A539" s="347" t="s">
        <v>8265</v>
      </c>
      <c r="B539" s="347">
        <v>4</v>
      </c>
      <c r="C539" s="347" t="s">
        <v>2983</v>
      </c>
      <c r="E539" s="347" t="s">
        <v>2950</v>
      </c>
      <c r="F539" s="348" t="s">
        <v>2995</v>
      </c>
      <c r="G539" s="347" t="s">
        <v>2974</v>
      </c>
      <c r="H539" s="347" t="s">
        <v>2953</v>
      </c>
      <c r="I539" s="347" t="s">
        <v>6323</v>
      </c>
      <c r="K539" s="350"/>
      <c r="L539" s="349" t="s">
        <v>8007</v>
      </c>
      <c r="M539" s="350" t="s">
        <v>8266</v>
      </c>
      <c r="N539" s="350" t="s">
        <v>8267</v>
      </c>
      <c r="Q539" s="347" t="s">
        <v>2950</v>
      </c>
      <c r="R539" s="347" t="s">
        <v>2950</v>
      </c>
      <c r="U539" s="347" t="s">
        <v>2950</v>
      </c>
      <c r="Z539" s="349" t="s">
        <v>8157</v>
      </c>
    </row>
    <row r="540" spans="1:26" ht="16.899999999999999" customHeight="1" x14ac:dyDescent="0.15">
      <c r="A540" s="347" t="s">
        <v>8268</v>
      </c>
      <c r="B540" s="347">
        <v>4</v>
      </c>
      <c r="C540" s="347" t="s">
        <v>2976</v>
      </c>
      <c r="E540" s="347" t="s">
        <v>2950</v>
      </c>
      <c r="F540" s="348" t="s">
        <v>2995</v>
      </c>
      <c r="G540" s="347" t="s">
        <v>2974</v>
      </c>
      <c r="H540" s="347" t="s">
        <v>2953</v>
      </c>
      <c r="I540" s="347" t="s">
        <v>6323</v>
      </c>
      <c r="J540" s="347" t="s">
        <v>6335</v>
      </c>
      <c r="K540" s="350" t="s">
        <v>8269</v>
      </c>
      <c r="L540" s="349" t="s">
        <v>8007</v>
      </c>
      <c r="M540" s="350" t="s">
        <v>8270</v>
      </c>
      <c r="N540" s="350" t="s">
        <v>8271</v>
      </c>
      <c r="O540" s="347" t="s">
        <v>2950</v>
      </c>
      <c r="T540" s="347" t="s">
        <v>2950</v>
      </c>
      <c r="U540" s="347" t="s">
        <v>2950</v>
      </c>
      <c r="V540" s="347" t="s">
        <v>2950</v>
      </c>
      <c r="Z540" s="349" t="s">
        <v>8157</v>
      </c>
    </row>
    <row r="541" spans="1:26" ht="16.899999999999999" customHeight="1" x14ac:dyDescent="0.15">
      <c r="A541" s="347" t="s">
        <v>8272</v>
      </c>
      <c r="B541" s="347">
        <v>4</v>
      </c>
      <c r="C541" s="347" t="s">
        <v>2941</v>
      </c>
      <c r="F541" s="348" t="s">
        <v>2995</v>
      </c>
      <c r="G541" s="347" t="s">
        <v>2943</v>
      </c>
      <c r="H541" s="347" t="s">
        <v>2953</v>
      </c>
      <c r="I541" s="347" t="s">
        <v>6323</v>
      </c>
      <c r="J541" s="347" t="s">
        <v>6335</v>
      </c>
      <c r="K541" s="350" t="s">
        <v>8273</v>
      </c>
      <c r="L541" s="349" t="s">
        <v>2987</v>
      </c>
      <c r="M541" s="350" t="s">
        <v>8274</v>
      </c>
      <c r="N541" s="350" t="s">
        <v>8275</v>
      </c>
      <c r="Q541" s="347" t="s">
        <v>2950</v>
      </c>
      <c r="S541" s="347" t="s">
        <v>2950</v>
      </c>
      <c r="T541" s="347" t="s">
        <v>2950</v>
      </c>
      <c r="U541" s="347" t="s">
        <v>2950</v>
      </c>
      <c r="V541" s="347" t="s">
        <v>2950</v>
      </c>
      <c r="Z541" s="349" t="s">
        <v>8157</v>
      </c>
    </row>
    <row r="542" spans="1:26" ht="16.899999999999999" customHeight="1" x14ac:dyDescent="0.15">
      <c r="A542" s="347" t="s">
        <v>8276</v>
      </c>
      <c r="B542" s="347">
        <v>4</v>
      </c>
      <c r="C542" s="347" t="s">
        <v>2976</v>
      </c>
      <c r="E542" s="347" t="s">
        <v>2950</v>
      </c>
      <c r="F542" s="348" t="s">
        <v>2995</v>
      </c>
      <c r="G542" s="347" t="s">
        <v>2972</v>
      </c>
      <c r="H542" s="347" t="s">
        <v>2953</v>
      </c>
      <c r="I542" s="347" t="s">
        <v>6323</v>
      </c>
      <c r="J542" s="347" t="s">
        <v>6335</v>
      </c>
      <c r="K542" s="350" t="s">
        <v>8277</v>
      </c>
      <c r="L542" s="349" t="s">
        <v>8007</v>
      </c>
      <c r="M542" s="350" t="s">
        <v>8278</v>
      </c>
      <c r="N542" s="350" t="s">
        <v>8279</v>
      </c>
      <c r="O542" s="347" t="s">
        <v>2950</v>
      </c>
      <c r="T542" s="347" t="s">
        <v>2950</v>
      </c>
      <c r="U542" s="347" t="s">
        <v>2950</v>
      </c>
      <c r="V542" s="347" t="s">
        <v>2950</v>
      </c>
      <c r="Z542" s="349" t="s">
        <v>8157</v>
      </c>
    </row>
    <row r="543" spans="1:26" ht="16.899999999999999" customHeight="1" x14ac:dyDescent="0.15">
      <c r="A543" s="347" t="s">
        <v>8280</v>
      </c>
      <c r="B543" s="347">
        <v>4</v>
      </c>
      <c r="C543" s="347" t="s">
        <v>8154</v>
      </c>
      <c r="E543" s="347" t="s">
        <v>2950</v>
      </c>
      <c r="F543" s="348" t="s">
        <v>2995</v>
      </c>
      <c r="G543" s="347" t="s">
        <v>7873</v>
      </c>
      <c r="I543" s="347" t="s">
        <v>6323</v>
      </c>
      <c r="K543" s="350"/>
      <c r="L543" s="349" t="s">
        <v>8007</v>
      </c>
      <c r="M543" s="350" t="s">
        <v>8281</v>
      </c>
      <c r="N543" s="350" t="s">
        <v>8282</v>
      </c>
      <c r="P543" s="347" t="s">
        <v>2950</v>
      </c>
      <c r="R543" s="347" t="s">
        <v>2950</v>
      </c>
      <c r="U543" s="347" t="s">
        <v>2950</v>
      </c>
      <c r="V543" s="347" t="s">
        <v>2950</v>
      </c>
      <c r="Z543" s="349" t="s">
        <v>8157</v>
      </c>
    </row>
    <row r="544" spans="1:26" ht="16.899999999999999" customHeight="1" x14ac:dyDescent="0.15">
      <c r="A544" s="347" t="s">
        <v>8283</v>
      </c>
      <c r="B544" s="347">
        <v>4</v>
      </c>
      <c r="C544" s="347" t="s">
        <v>6520</v>
      </c>
      <c r="F544" s="348" t="s">
        <v>7875</v>
      </c>
      <c r="G544" s="347" t="s">
        <v>7974</v>
      </c>
      <c r="H544" s="347" t="s">
        <v>2953</v>
      </c>
      <c r="I544" s="347" t="s">
        <v>6323</v>
      </c>
      <c r="J544" s="347" t="s">
        <v>6335</v>
      </c>
      <c r="K544" s="350" t="s">
        <v>8284</v>
      </c>
      <c r="L544" s="349" t="s">
        <v>8248</v>
      </c>
      <c r="M544" s="350" t="s">
        <v>8285</v>
      </c>
      <c r="N544" s="350" t="s">
        <v>8286</v>
      </c>
      <c r="P544" s="347" t="s">
        <v>2950</v>
      </c>
      <c r="R544" s="347" t="s">
        <v>2950</v>
      </c>
      <c r="V544" s="347" t="s">
        <v>2950</v>
      </c>
      <c r="Z544" s="349" t="s">
        <v>8157</v>
      </c>
    </row>
    <row r="545" spans="1:26" ht="16.899999999999999" customHeight="1" x14ac:dyDescent="0.15">
      <c r="A545" s="347" t="s">
        <v>8505</v>
      </c>
      <c r="B545" s="347">
        <v>4</v>
      </c>
      <c r="C545" s="347" t="s">
        <v>977</v>
      </c>
      <c r="E545" s="347" t="s">
        <v>631</v>
      </c>
      <c r="F545" s="348" t="s">
        <v>941</v>
      </c>
      <c r="G545" s="347" t="s">
        <v>2943</v>
      </c>
      <c r="H545" s="347" t="s">
        <v>970</v>
      </c>
      <c r="K545" s="350"/>
      <c r="L545" s="349" t="s">
        <v>6522</v>
      </c>
      <c r="M545" s="350" t="s">
        <v>8506</v>
      </c>
      <c r="N545" s="350" t="s">
        <v>8507</v>
      </c>
      <c r="P545" s="347" t="s">
        <v>2950</v>
      </c>
      <c r="R545" s="347" t="s">
        <v>2950</v>
      </c>
      <c r="Z545" s="349" t="s">
        <v>8316</v>
      </c>
    </row>
    <row r="546" spans="1:26" ht="16.899999999999999" customHeight="1" x14ac:dyDescent="0.15">
      <c r="A546" s="347" t="s">
        <v>8508</v>
      </c>
      <c r="B546" s="347">
        <v>4</v>
      </c>
      <c r="C546" s="347" t="s">
        <v>968</v>
      </c>
      <c r="E546" s="347" t="s">
        <v>631</v>
      </c>
      <c r="F546" s="348" t="s">
        <v>1047</v>
      </c>
      <c r="G546" s="347" t="s">
        <v>984</v>
      </c>
      <c r="H546" s="347" t="s">
        <v>970</v>
      </c>
      <c r="I546" s="347" t="s">
        <v>971</v>
      </c>
      <c r="K546" s="350"/>
      <c r="L546" s="349" t="s">
        <v>7903</v>
      </c>
      <c r="M546" s="350" t="s">
        <v>9598</v>
      </c>
      <c r="N546" s="350" t="s">
        <v>8509</v>
      </c>
      <c r="R546" s="347" t="s">
        <v>2950</v>
      </c>
      <c r="Z546" s="349" t="s">
        <v>8316</v>
      </c>
    </row>
    <row r="547" spans="1:26" ht="16.899999999999999" customHeight="1" x14ac:dyDescent="0.15">
      <c r="A547" s="347" t="s">
        <v>8510</v>
      </c>
      <c r="B547" s="347">
        <v>4</v>
      </c>
      <c r="C547" s="347" t="s">
        <v>983</v>
      </c>
      <c r="E547" s="347" t="s">
        <v>2950</v>
      </c>
      <c r="F547" s="348" t="s">
        <v>941</v>
      </c>
      <c r="G547" s="347" t="s">
        <v>988</v>
      </c>
      <c r="H547" s="347" t="s">
        <v>970</v>
      </c>
      <c r="I547" s="347" t="s">
        <v>971</v>
      </c>
      <c r="J547" s="347" t="s">
        <v>989</v>
      </c>
      <c r="K547" s="350" t="s">
        <v>8511</v>
      </c>
      <c r="L547" s="349" t="s">
        <v>8007</v>
      </c>
      <c r="M547" s="350" t="s">
        <v>9599</v>
      </c>
      <c r="N547" s="350" t="s">
        <v>8512</v>
      </c>
      <c r="Q547" s="347" t="s">
        <v>2950</v>
      </c>
      <c r="T547" s="347" t="s">
        <v>2950</v>
      </c>
      <c r="V547" s="347" t="s">
        <v>2950</v>
      </c>
      <c r="Z547" s="349" t="s">
        <v>8316</v>
      </c>
    </row>
    <row r="548" spans="1:26" ht="16.899999999999999" customHeight="1" x14ac:dyDescent="0.15">
      <c r="A548" s="347" t="s">
        <v>8520</v>
      </c>
      <c r="B548" s="347">
        <v>4</v>
      </c>
      <c r="C548" s="347" t="s">
        <v>1019</v>
      </c>
      <c r="F548" s="348" t="s">
        <v>941</v>
      </c>
      <c r="G548" s="347" t="s">
        <v>978</v>
      </c>
      <c r="H548" s="347" t="s">
        <v>970</v>
      </c>
      <c r="I548" s="347" t="s">
        <v>971</v>
      </c>
      <c r="J548" s="347" t="s">
        <v>989</v>
      </c>
      <c r="K548" s="350" t="s">
        <v>1028</v>
      </c>
      <c r="L548" s="349" t="s">
        <v>972</v>
      </c>
      <c r="M548" s="350" t="s">
        <v>9604</v>
      </c>
      <c r="N548" s="350" t="s">
        <v>8521</v>
      </c>
      <c r="Q548" s="347" t="s">
        <v>631</v>
      </c>
      <c r="T548" s="347" t="s">
        <v>631</v>
      </c>
      <c r="V548" s="347" t="s">
        <v>631</v>
      </c>
      <c r="Z548" s="349" t="s">
        <v>8537</v>
      </c>
    </row>
    <row r="549" spans="1:26" ht="16.899999999999999" customHeight="1" x14ac:dyDescent="0.15">
      <c r="A549" s="347" t="s">
        <v>8522</v>
      </c>
      <c r="B549" s="347">
        <v>4</v>
      </c>
      <c r="C549" s="347" t="s">
        <v>968</v>
      </c>
      <c r="E549" s="347" t="s">
        <v>631</v>
      </c>
      <c r="F549" s="348" t="s">
        <v>1047</v>
      </c>
      <c r="G549" s="347" t="s">
        <v>978</v>
      </c>
      <c r="H549" s="347" t="s">
        <v>970</v>
      </c>
      <c r="K549" s="350"/>
      <c r="L549" s="349" t="s">
        <v>979</v>
      </c>
      <c r="M549" s="350" t="s">
        <v>8523</v>
      </c>
      <c r="N549" s="350" t="s">
        <v>8524</v>
      </c>
      <c r="R549" s="347" t="s">
        <v>631</v>
      </c>
      <c r="Z549" s="349" t="s">
        <v>8537</v>
      </c>
    </row>
    <row r="550" spans="1:26" ht="16.899999999999999" customHeight="1" x14ac:dyDescent="0.15">
      <c r="A550" s="347" t="s">
        <v>8874</v>
      </c>
      <c r="B550" s="347">
        <v>4</v>
      </c>
      <c r="C550" s="347" t="s">
        <v>994</v>
      </c>
      <c r="F550" s="348" t="s">
        <v>941</v>
      </c>
      <c r="G550" s="347" t="s">
        <v>984</v>
      </c>
      <c r="H550" s="347" t="s">
        <v>970</v>
      </c>
      <c r="I550" s="347" t="s">
        <v>971</v>
      </c>
      <c r="K550" s="350"/>
      <c r="L550" s="349" t="s">
        <v>8875</v>
      </c>
      <c r="M550" s="350" t="s">
        <v>9613</v>
      </c>
      <c r="N550" s="350" t="s">
        <v>8876</v>
      </c>
      <c r="O550" s="347" t="s">
        <v>631</v>
      </c>
      <c r="P550" s="347" t="s">
        <v>631</v>
      </c>
      <c r="Q550" s="347" t="s">
        <v>631</v>
      </c>
      <c r="Z550" s="349" t="s">
        <v>9101</v>
      </c>
    </row>
    <row r="551" spans="1:26" ht="16.899999999999999" customHeight="1" x14ac:dyDescent="0.15">
      <c r="A551" s="347" t="s">
        <v>8877</v>
      </c>
      <c r="B551" s="347">
        <v>4</v>
      </c>
      <c r="C551" s="347" t="s">
        <v>968</v>
      </c>
      <c r="F551" s="348" t="s">
        <v>941</v>
      </c>
      <c r="G551" s="347" t="s">
        <v>8878</v>
      </c>
      <c r="H551" s="347" t="s">
        <v>970</v>
      </c>
      <c r="I551" s="347" t="s">
        <v>971</v>
      </c>
      <c r="K551" s="350"/>
      <c r="L551" s="349" t="s">
        <v>1020</v>
      </c>
      <c r="M551" s="350" t="s">
        <v>9614</v>
      </c>
      <c r="N551" s="350" t="s">
        <v>8879</v>
      </c>
      <c r="Q551" s="347" t="s">
        <v>631</v>
      </c>
      <c r="S551" s="347" t="s">
        <v>631</v>
      </c>
      <c r="T551" s="347" t="s">
        <v>631</v>
      </c>
      <c r="V551" s="347" t="s">
        <v>631</v>
      </c>
      <c r="Z551" s="349" t="s">
        <v>9101</v>
      </c>
    </row>
    <row r="552" spans="1:26" ht="16.899999999999999" customHeight="1" x14ac:dyDescent="0.15">
      <c r="A552" s="347" t="s">
        <v>9377</v>
      </c>
      <c r="B552" s="347">
        <v>4</v>
      </c>
      <c r="C552" s="347" t="s">
        <v>1019</v>
      </c>
      <c r="E552" s="347" t="s">
        <v>631</v>
      </c>
      <c r="F552" s="348" t="s">
        <v>941</v>
      </c>
      <c r="G552" s="347" t="s">
        <v>969</v>
      </c>
      <c r="H552" s="347" t="s">
        <v>970</v>
      </c>
      <c r="J552" s="347" t="s">
        <v>989</v>
      </c>
      <c r="K552" s="350" t="s">
        <v>9378</v>
      </c>
      <c r="L552" s="349" t="s">
        <v>6522</v>
      </c>
      <c r="M552" s="350" t="s">
        <v>9634</v>
      </c>
      <c r="N552" s="350" t="s">
        <v>9379</v>
      </c>
      <c r="O552" s="347" t="s">
        <v>631</v>
      </c>
      <c r="T552" s="347" t="s">
        <v>631</v>
      </c>
      <c r="U552" s="347" t="s">
        <v>631</v>
      </c>
      <c r="V552" s="347" t="s">
        <v>631</v>
      </c>
      <c r="Z552" s="349" t="s">
        <v>9638</v>
      </c>
    </row>
    <row r="553" spans="1:26" ht="16.899999999999999" customHeight="1" x14ac:dyDescent="0.15">
      <c r="A553" s="347" t="s">
        <v>9380</v>
      </c>
      <c r="B553" s="347">
        <v>4</v>
      </c>
      <c r="C553" s="347" t="s">
        <v>1019</v>
      </c>
      <c r="E553" s="347" t="s">
        <v>631</v>
      </c>
      <c r="F553" s="348" t="s">
        <v>941</v>
      </c>
      <c r="G553" s="347" t="s">
        <v>978</v>
      </c>
      <c r="H553" s="347" t="s">
        <v>970</v>
      </c>
      <c r="I553" s="347" t="s">
        <v>971</v>
      </c>
      <c r="J553" s="347" t="s">
        <v>989</v>
      </c>
      <c r="K553" s="350" t="s">
        <v>9381</v>
      </c>
      <c r="L553" s="349" t="s">
        <v>6522</v>
      </c>
      <c r="M553" s="350" t="s">
        <v>9635</v>
      </c>
      <c r="N553" s="350" t="s">
        <v>9382</v>
      </c>
      <c r="P553" s="347" t="s">
        <v>631</v>
      </c>
      <c r="Q553" s="347" t="s">
        <v>631</v>
      </c>
      <c r="V553" s="347" t="s">
        <v>631</v>
      </c>
      <c r="Z553" s="349" t="s">
        <v>9638</v>
      </c>
    </row>
    <row r="554" spans="1:26" ht="16.899999999999999" customHeight="1" x14ac:dyDescent="0.15">
      <c r="A554" s="347" t="s">
        <v>9579</v>
      </c>
      <c r="B554" s="347">
        <v>4</v>
      </c>
      <c r="C554" s="347" t="s">
        <v>983</v>
      </c>
      <c r="E554" s="347" t="s">
        <v>631</v>
      </c>
      <c r="F554" s="348" t="s">
        <v>941</v>
      </c>
      <c r="G554" s="347" t="s">
        <v>709</v>
      </c>
      <c r="H554" s="347" t="s">
        <v>970</v>
      </c>
      <c r="I554" s="347" t="s">
        <v>971</v>
      </c>
      <c r="J554" s="347" t="s">
        <v>989</v>
      </c>
      <c r="K554" s="350" t="s">
        <v>9580</v>
      </c>
      <c r="L554" s="349" t="s">
        <v>979</v>
      </c>
      <c r="M554" s="350" t="s">
        <v>9636</v>
      </c>
      <c r="N554" s="350" t="s">
        <v>9581</v>
      </c>
      <c r="O554" s="347" t="s">
        <v>631</v>
      </c>
      <c r="P554" s="347" t="s">
        <v>631</v>
      </c>
      <c r="Q554" s="347" t="s">
        <v>631</v>
      </c>
      <c r="R554" s="347" t="s">
        <v>631</v>
      </c>
      <c r="T554" s="347" t="s">
        <v>631</v>
      </c>
      <c r="U554" s="347" t="s">
        <v>631</v>
      </c>
      <c r="V554" s="347" t="s">
        <v>631</v>
      </c>
      <c r="Z554" s="349" t="s">
        <v>9638</v>
      </c>
    </row>
    <row r="555" spans="1:26" ht="16.899999999999999" customHeight="1" x14ac:dyDescent="0.15">
      <c r="A555" s="347" t="s">
        <v>9582</v>
      </c>
      <c r="B555" s="347">
        <v>4</v>
      </c>
      <c r="C555" s="347" t="s">
        <v>987</v>
      </c>
      <c r="E555" s="347" t="s">
        <v>2950</v>
      </c>
      <c r="F555" s="348" t="s">
        <v>941</v>
      </c>
      <c r="G555" s="347" t="s">
        <v>988</v>
      </c>
      <c r="H555" s="347" t="s">
        <v>970</v>
      </c>
      <c r="I555" s="347" t="s">
        <v>971</v>
      </c>
      <c r="J555" s="347" t="s">
        <v>989</v>
      </c>
      <c r="K555" s="350" t="s">
        <v>9583</v>
      </c>
      <c r="L555" s="349" t="s">
        <v>979</v>
      </c>
      <c r="M555" s="350" t="s">
        <v>9637</v>
      </c>
      <c r="N555" s="350" t="s">
        <v>9584</v>
      </c>
      <c r="O555" s="347" t="s">
        <v>631</v>
      </c>
      <c r="T555" s="347" t="s">
        <v>631</v>
      </c>
      <c r="U555" s="347" t="s">
        <v>631</v>
      </c>
      <c r="V555" s="347" t="s">
        <v>631</v>
      </c>
      <c r="Z555" s="349" t="s">
        <v>9638</v>
      </c>
    </row>
    <row r="556" spans="1:26" ht="16.899999999999999" customHeight="1" x14ac:dyDescent="0.15">
      <c r="A556" s="347" t="s">
        <v>9585</v>
      </c>
      <c r="B556" s="347">
        <v>4</v>
      </c>
      <c r="C556" s="347" t="s">
        <v>983</v>
      </c>
      <c r="F556" s="348" t="s">
        <v>941</v>
      </c>
      <c r="G556" s="347" t="s">
        <v>969</v>
      </c>
      <c r="H556" s="347" t="s">
        <v>970</v>
      </c>
      <c r="I556" s="347" t="s">
        <v>971</v>
      </c>
      <c r="J556" s="347" t="s">
        <v>989</v>
      </c>
      <c r="K556" s="350" t="s">
        <v>9586</v>
      </c>
      <c r="L556" s="349" t="s">
        <v>1350</v>
      </c>
      <c r="M556" s="350" t="s">
        <v>9587</v>
      </c>
      <c r="N556" s="350" t="s">
        <v>9588</v>
      </c>
      <c r="P556" s="347" t="s">
        <v>631</v>
      </c>
      <c r="Q556" s="347" t="s">
        <v>631</v>
      </c>
      <c r="T556" s="347" t="s">
        <v>631</v>
      </c>
      <c r="V556" s="347" t="s">
        <v>631</v>
      </c>
      <c r="Z556" s="349" t="s">
        <v>9638</v>
      </c>
    </row>
    <row r="557" spans="1:26" ht="16.899999999999999" customHeight="1" x14ac:dyDescent="0.15">
      <c r="A557" s="347" t="s">
        <v>9639</v>
      </c>
      <c r="B557" s="347">
        <v>4</v>
      </c>
      <c r="C557" s="347" t="s">
        <v>1019</v>
      </c>
      <c r="F557" s="348" t="s">
        <v>7875</v>
      </c>
      <c r="G557" s="347" t="s">
        <v>9374</v>
      </c>
      <c r="H557" s="347" t="s">
        <v>970</v>
      </c>
      <c r="I557" s="347" t="s">
        <v>971</v>
      </c>
      <c r="J557" s="347" t="s">
        <v>989</v>
      </c>
      <c r="K557" s="350" t="s">
        <v>9640</v>
      </c>
      <c r="L557" s="349" t="s">
        <v>972</v>
      </c>
      <c r="M557" s="350" t="s">
        <v>9641</v>
      </c>
      <c r="N557" s="350" t="s">
        <v>9642</v>
      </c>
      <c r="Q557" s="347" t="s">
        <v>631</v>
      </c>
      <c r="T557" s="347" t="s">
        <v>631</v>
      </c>
      <c r="V557" s="347" t="s">
        <v>631</v>
      </c>
      <c r="Z557" s="349" t="s">
        <v>9638</v>
      </c>
    </row>
    <row r="558" spans="1:26" ht="16.899999999999999" customHeight="1" x14ac:dyDescent="0.15">
      <c r="A558" s="347" t="s">
        <v>9643</v>
      </c>
      <c r="B558" s="347">
        <v>4</v>
      </c>
      <c r="C558" s="347" t="s">
        <v>1019</v>
      </c>
      <c r="F558" s="348" t="s">
        <v>941</v>
      </c>
      <c r="G558" s="347" t="s">
        <v>2943</v>
      </c>
      <c r="H558" s="347" t="s">
        <v>2953</v>
      </c>
      <c r="I558" s="347" t="s">
        <v>971</v>
      </c>
      <c r="J558" s="347" t="s">
        <v>989</v>
      </c>
      <c r="K558" s="350" t="s">
        <v>9644</v>
      </c>
      <c r="L558" s="349" t="s">
        <v>972</v>
      </c>
      <c r="M558" s="350" t="s">
        <v>9645</v>
      </c>
      <c r="N558" s="350" t="s">
        <v>9646</v>
      </c>
      <c r="P558" s="347" t="s">
        <v>631</v>
      </c>
      <c r="Q558" s="347" t="s">
        <v>631</v>
      </c>
      <c r="T558" s="347" t="s">
        <v>631</v>
      </c>
      <c r="V558" s="347" t="s">
        <v>631</v>
      </c>
      <c r="Z558" s="349" t="s">
        <v>9638</v>
      </c>
    </row>
    <row r="559" spans="1:26" ht="16.899999999999999" customHeight="1" x14ac:dyDescent="0.15">
      <c r="A559" s="347" t="s">
        <v>9649</v>
      </c>
      <c r="B559" s="347">
        <v>4</v>
      </c>
      <c r="C559" s="347" t="s">
        <v>1019</v>
      </c>
      <c r="E559" s="347" t="s">
        <v>631</v>
      </c>
      <c r="F559" s="348" t="s">
        <v>941</v>
      </c>
      <c r="G559" s="347" t="s">
        <v>1134</v>
      </c>
      <c r="H559" s="347" t="s">
        <v>970</v>
      </c>
      <c r="I559" s="347" t="s">
        <v>971</v>
      </c>
      <c r="J559" s="347" t="s">
        <v>989</v>
      </c>
      <c r="K559" s="350" t="s">
        <v>9650</v>
      </c>
      <c r="L559" s="349" t="s">
        <v>979</v>
      </c>
      <c r="M559" s="350" t="s">
        <v>9676</v>
      </c>
      <c r="N559" s="350" t="s">
        <v>9651</v>
      </c>
      <c r="O559" s="347" t="s">
        <v>631</v>
      </c>
      <c r="T559" s="347" t="s">
        <v>631</v>
      </c>
      <c r="V559" s="347" t="s">
        <v>631</v>
      </c>
      <c r="Z559" s="349" t="s">
        <v>9638</v>
      </c>
    </row>
    <row r="560" spans="1:26" ht="16.899999999999999" customHeight="1" x14ac:dyDescent="0.15">
      <c r="A560" s="347" t="s">
        <v>9652</v>
      </c>
      <c r="B560" s="347">
        <v>4</v>
      </c>
      <c r="C560" s="347" t="s">
        <v>1019</v>
      </c>
      <c r="F560" s="348" t="s">
        <v>1016</v>
      </c>
      <c r="G560" s="347" t="s">
        <v>1008</v>
      </c>
      <c r="H560" s="347" t="s">
        <v>970</v>
      </c>
      <c r="I560" s="347" t="s">
        <v>971</v>
      </c>
      <c r="J560" s="347" t="s">
        <v>989</v>
      </c>
      <c r="K560" s="350" t="s">
        <v>9653</v>
      </c>
      <c r="L560" s="349" t="s">
        <v>1109</v>
      </c>
      <c r="M560" s="350" t="s">
        <v>9677</v>
      </c>
      <c r="N560" s="350" t="s">
        <v>9654</v>
      </c>
      <c r="P560" s="347" t="s">
        <v>631</v>
      </c>
      <c r="T560" s="347" t="s">
        <v>631</v>
      </c>
      <c r="V560" s="347" t="s">
        <v>631</v>
      </c>
      <c r="Z560" s="349" t="s">
        <v>9638</v>
      </c>
    </row>
    <row r="561" spans="1:26" ht="16.899999999999999" customHeight="1" x14ac:dyDescent="0.15">
      <c r="A561" s="347" t="s">
        <v>10082</v>
      </c>
      <c r="B561" s="347">
        <v>4</v>
      </c>
      <c r="C561" s="347" t="s">
        <v>977</v>
      </c>
      <c r="F561" s="348" t="s">
        <v>10083</v>
      </c>
      <c r="G561" s="347" t="s">
        <v>969</v>
      </c>
      <c r="H561" s="347" t="s">
        <v>970</v>
      </c>
      <c r="K561" s="350"/>
      <c r="L561" s="349" t="s">
        <v>972</v>
      </c>
      <c r="M561" s="350" t="s">
        <v>10115</v>
      </c>
      <c r="N561" s="350" t="s">
        <v>10084</v>
      </c>
      <c r="O561" s="347" t="s">
        <v>10123</v>
      </c>
      <c r="T561" s="347" t="s">
        <v>10123</v>
      </c>
      <c r="U561" s="347" t="s">
        <v>10123</v>
      </c>
      <c r="V561" s="347" t="s">
        <v>10123</v>
      </c>
      <c r="Z561" s="349" t="s">
        <v>10124</v>
      </c>
    </row>
    <row r="562" spans="1:26" ht="16.899999999999999" customHeight="1" x14ac:dyDescent="0.15">
      <c r="A562" s="347" t="s">
        <v>10085</v>
      </c>
      <c r="B562" s="347">
        <v>4</v>
      </c>
      <c r="C562" s="347" t="s">
        <v>1019</v>
      </c>
      <c r="E562" s="347" t="s">
        <v>631</v>
      </c>
      <c r="F562" s="348" t="s">
        <v>941</v>
      </c>
      <c r="G562" s="347" t="s">
        <v>988</v>
      </c>
      <c r="H562" s="347" t="s">
        <v>970</v>
      </c>
      <c r="I562" s="347" t="s">
        <v>971</v>
      </c>
      <c r="J562" s="347" t="s">
        <v>989</v>
      </c>
      <c r="K562" s="350" t="s">
        <v>10086</v>
      </c>
      <c r="L562" s="349" t="s">
        <v>979</v>
      </c>
      <c r="M562" s="350" t="s">
        <v>10116</v>
      </c>
      <c r="N562" s="350" t="s">
        <v>10087</v>
      </c>
      <c r="O562" s="347" t="s">
        <v>10123</v>
      </c>
      <c r="P562" s="347" t="s">
        <v>10123</v>
      </c>
      <c r="U562" s="347" t="s">
        <v>10123</v>
      </c>
      <c r="Z562" s="349" t="s">
        <v>10124</v>
      </c>
    </row>
    <row r="563" spans="1:26" ht="16.899999999999999" customHeight="1" x14ac:dyDescent="0.15">
      <c r="A563" s="347" t="s">
        <v>10104</v>
      </c>
      <c r="B563" s="347">
        <v>4</v>
      </c>
      <c r="C563" s="347" t="s">
        <v>10105</v>
      </c>
      <c r="F563" s="348" t="s">
        <v>941</v>
      </c>
      <c r="G563" s="347" t="s">
        <v>969</v>
      </c>
      <c r="H563" s="347" t="s">
        <v>970</v>
      </c>
      <c r="I563" s="347" t="s">
        <v>971</v>
      </c>
      <c r="K563" s="350"/>
      <c r="L563" s="349" t="s">
        <v>979</v>
      </c>
      <c r="M563" s="350" t="s">
        <v>10106</v>
      </c>
      <c r="N563" s="350" t="s">
        <v>10107</v>
      </c>
      <c r="T563" s="347" t="s">
        <v>10123</v>
      </c>
      <c r="V563" s="347" t="s">
        <v>10123</v>
      </c>
      <c r="Z563" s="349" t="s">
        <v>10124</v>
      </c>
    </row>
    <row r="564" spans="1:26" ht="16.899999999999999" customHeight="1" x14ac:dyDescent="0.15">
      <c r="A564" s="347" t="s">
        <v>1907</v>
      </c>
      <c r="B564" s="347">
        <v>5</v>
      </c>
      <c r="C564" s="347" t="s">
        <v>994</v>
      </c>
      <c r="E564" s="347" t="s">
        <v>631</v>
      </c>
      <c r="F564" s="348" t="s">
        <v>941</v>
      </c>
      <c r="G564" s="347" t="s">
        <v>988</v>
      </c>
      <c r="H564" s="347" t="s">
        <v>970</v>
      </c>
      <c r="I564" s="347" t="s">
        <v>971</v>
      </c>
      <c r="K564" s="350"/>
      <c r="L564" s="349" t="s">
        <v>979</v>
      </c>
      <c r="M564" s="350" t="s">
        <v>1908</v>
      </c>
      <c r="N564" s="350" t="s">
        <v>1909</v>
      </c>
      <c r="O564" s="347" t="s">
        <v>631</v>
      </c>
      <c r="T564" s="347" t="s">
        <v>631</v>
      </c>
      <c r="V564" s="347" t="s">
        <v>631</v>
      </c>
      <c r="W564" s="347" t="s">
        <v>631</v>
      </c>
      <c r="Z564" s="349" t="s">
        <v>975</v>
      </c>
    </row>
    <row r="565" spans="1:26" ht="16.899999999999999" customHeight="1" x14ac:dyDescent="0.15">
      <c r="A565" s="347" t="s">
        <v>1910</v>
      </c>
      <c r="B565" s="347">
        <v>5</v>
      </c>
      <c r="C565" s="347" t="s">
        <v>977</v>
      </c>
      <c r="E565" s="347" t="s">
        <v>631</v>
      </c>
      <c r="F565" s="348" t="s">
        <v>941</v>
      </c>
      <c r="G565" s="347" t="s">
        <v>978</v>
      </c>
      <c r="H565" s="347" t="s">
        <v>970</v>
      </c>
      <c r="I565" s="347" t="s">
        <v>971</v>
      </c>
      <c r="K565" s="350"/>
      <c r="L565" s="349" t="s">
        <v>1211</v>
      </c>
      <c r="M565" s="350" t="s">
        <v>1911</v>
      </c>
      <c r="N565" s="350" t="s">
        <v>1912</v>
      </c>
      <c r="Q565" s="347" t="s">
        <v>631</v>
      </c>
      <c r="Y565" s="347" t="s">
        <v>631</v>
      </c>
      <c r="Z565" s="349" t="s">
        <v>975</v>
      </c>
    </row>
    <row r="566" spans="1:26" ht="16.899999999999999" customHeight="1" x14ac:dyDescent="0.15">
      <c r="A566" s="347" t="s">
        <v>1913</v>
      </c>
      <c r="B566" s="347">
        <v>5</v>
      </c>
      <c r="C566" s="347" t="s">
        <v>994</v>
      </c>
      <c r="F566" s="348" t="s">
        <v>1104</v>
      </c>
      <c r="G566" s="347" t="s">
        <v>984</v>
      </c>
      <c r="H566" s="347" t="s">
        <v>970</v>
      </c>
      <c r="I566" s="347" t="s">
        <v>971</v>
      </c>
      <c r="J566" s="347" t="s">
        <v>989</v>
      </c>
      <c r="K566" s="350" t="s">
        <v>1914</v>
      </c>
      <c r="L566" s="349" t="s">
        <v>972</v>
      </c>
      <c r="M566" s="350" t="s">
        <v>1915</v>
      </c>
      <c r="N566" s="350" t="s">
        <v>1916</v>
      </c>
      <c r="O566" s="347" t="s">
        <v>631</v>
      </c>
      <c r="Q566" s="347" t="s">
        <v>631</v>
      </c>
      <c r="Z566" s="349" t="s">
        <v>975</v>
      </c>
    </row>
    <row r="567" spans="1:26" ht="16.899999999999999" customHeight="1" x14ac:dyDescent="0.15">
      <c r="A567" s="347" t="s">
        <v>1917</v>
      </c>
      <c r="B567" s="347">
        <v>5</v>
      </c>
      <c r="C567" s="347" t="s">
        <v>1019</v>
      </c>
      <c r="E567" s="347" t="s">
        <v>631</v>
      </c>
      <c r="F567" s="348" t="s">
        <v>1180</v>
      </c>
      <c r="G567" s="347" t="s">
        <v>978</v>
      </c>
      <c r="H567" s="347" t="s">
        <v>970</v>
      </c>
      <c r="K567" s="350"/>
      <c r="L567" s="349" t="s">
        <v>979</v>
      </c>
      <c r="M567" s="350" t="s">
        <v>1918</v>
      </c>
      <c r="N567" s="350" t="s">
        <v>1919</v>
      </c>
      <c r="R567" s="347" t="s">
        <v>631</v>
      </c>
      <c r="Z567" s="349" t="s">
        <v>975</v>
      </c>
    </row>
    <row r="568" spans="1:26" ht="16.899999999999999" customHeight="1" x14ac:dyDescent="0.15">
      <c r="A568" s="347" t="s">
        <v>1920</v>
      </c>
      <c r="B568" s="347">
        <v>5</v>
      </c>
      <c r="C568" s="347" t="s">
        <v>968</v>
      </c>
      <c r="E568" s="347" t="s">
        <v>631</v>
      </c>
      <c r="F568" s="348" t="s">
        <v>941</v>
      </c>
      <c r="G568" s="347" t="s">
        <v>988</v>
      </c>
      <c r="H568" s="347" t="s">
        <v>970</v>
      </c>
      <c r="I568" s="347" t="s">
        <v>971</v>
      </c>
      <c r="J568" s="347" t="s">
        <v>989</v>
      </c>
      <c r="K568" s="350" t="s">
        <v>1921</v>
      </c>
      <c r="L568" s="349" t="s">
        <v>979</v>
      </c>
      <c r="M568" s="350" t="s">
        <v>1922</v>
      </c>
      <c r="N568" s="350" t="s">
        <v>1923</v>
      </c>
      <c r="T568" s="347" t="s">
        <v>631</v>
      </c>
      <c r="V568" s="347" t="s">
        <v>631</v>
      </c>
      <c r="W568" s="347" t="s">
        <v>631</v>
      </c>
      <c r="Z568" s="349" t="s">
        <v>975</v>
      </c>
    </row>
    <row r="569" spans="1:26" ht="16.899999999999999" customHeight="1" x14ac:dyDescent="0.15">
      <c r="A569" s="347" t="s">
        <v>1924</v>
      </c>
      <c r="B569" s="347">
        <v>5</v>
      </c>
      <c r="C569" s="347" t="s">
        <v>977</v>
      </c>
      <c r="E569" s="347" t="s">
        <v>631</v>
      </c>
      <c r="F569" s="348" t="s">
        <v>941</v>
      </c>
      <c r="G569" s="347" t="s">
        <v>978</v>
      </c>
      <c r="H569" s="347" t="s">
        <v>970</v>
      </c>
      <c r="K569" s="350"/>
      <c r="L569" s="349" t="s">
        <v>1161</v>
      </c>
      <c r="M569" s="350" t="s">
        <v>1925</v>
      </c>
      <c r="N569" s="350" t="s">
        <v>1926</v>
      </c>
      <c r="P569" s="347" t="s">
        <v>631</v>
      </c>
      <c r="R569" s="347" t="s">
        <v>631</v>
      </c>
      <c r="V569" s="347" t="s">
        <v>631</v>
      </c>
      <c r="W569" s="347" t="s">
        <v>631</v>
      </c>
      <c r="Z569" s="349" t="s">
        <v>975</v>
      </c>
    </row>
    <row r="570" spans="1:26" ht="16.899999999999999" customHeight="1" x14ac:dyDescent="0.15">
      <c r="A570" s="347" t="s">
        <v>1927</v>
      </c>
      <c r="B570" s="347">
        <v>5</v>
      </c>
      <c r="C570" s="347" t="s">
        <v>1019</v>
      </c>
      <c r="E570" s="347" t="s">
        <v>631</v>
      </c>
      <c r="F570" s="348" t="s">
        <v>941</v>
      </c>
      <c r="G570" s="347" t="s">
        <v>988</v>
      </c>
      <c r="H570" s="347" t="s">
        <v>970</v>
      </c>
      <c r="I570" s="347" t="s">
        <v>971</v>
      </c>
      <c r="K570" s="350"/>
      <c r="L570" s="349" t="s">
        <v>1161</v>
      </c>
      <c r="M570" s="350" t="s">
        <v>1928</v>
      </c>
      <c r="N570" s="350" t="s">
        <v>1929</v>
      </c>
      <c r="T570" s="347" t="s">
        <v>631</v>
      </c>
      <c r="V570" s="347" t="s">
        <v>631</v>
      </c>
      <c r="Y570" s="347" t="s">
        <v>631</v>
      </c>
      <c r="Z570" s="349" t="s">
        <v>975</v>
      </c>
    </row>
    <row r="571" spans="1:26" ht="16.899999999999999" customHeight="1" x14ac:dyDescent="0.15">
      <c r="A571" s="347" t="s">
        <v>1930</v>
      </c>
      <c r="B571" s="347">
        <v>5</v>
      </c>
      <c r="C571" s="347" t="s">
        <v>1013</v>
      </c>
      <c r="D571" s="347" t="s">
        <v>631</v>
      </c>
      <c r="F571" s="348" t="s">
        <v>1250</v>
      </c>
      <c r="G571" s="347" t="s">
        <v>978</v>
      </c>
      <c r="H571" s="347" t="s">
        <v>970</v>
      </c>
      <c r="I571" s="347" t="s">
        <v>971</v>
      </c>
      <c r="J571" s="347" t="s">
        <v>989</v>
      </c>
      <c r="K571" s="350" t="s">
        <v>1931</v>
      </c>
      <c r="L571" s="349" t="s">
        <v>1020</v>
      </c>
      <c r="M571" s="350" t="s">
        <v>1932</v>
      </c>
      <c r="N571" s="350" t="s">
        <v>1933</v>
      </c>
      <c r="P571" s="347" t="s">
        <v>631</v>
      </c>
      <c r="Z571" s="349" t="s">
        <v>975</v>
      </c>
    </row>
    <row r="572" spans="1:26" ht="16.899999999999999" customHeight="1" x14ac:dyDescent="0.15">
      <c r="A572" s="347" t="s">
        <v>1934</v>
      </c>
      <c r="B572" s="347">
        <v>5</v>
      </c>
      <c r="C572" s="347" t="s">
        <v>1013</v>
      </c>
      <c r="D572" s="347" t="s">
        <v>631</v>
      </c>
      <c r="F572" s="348" t="s">
        <v>1250</v>
      </c>
      <c r="G572" s="347" t="s">
        <v>978</v>
      </c>
      <c r="H572" s="347" t="s">
        <v>970</v>
      </c>
      <c r="I572" s="347" t="s">
        <v>971</v>
      </c>
      <c r="K572" s="350"/>
      <c r="L572" s="349" t="s">
        <v>972</v>
      </c>
      <c r="M572" s="350" t="s">
        <v>1935</v>
      </c>
      <c r="N572" s="350" t="s">
        <v>1936</v>
      </c>
      <c r="Q572" s="347" t="s">
        <v>631</v>
      </c>
      <c r="S572" s="347" t="s">
        <v>631</v>
      </c>
      <c r="Z572" s="349" t="s">
        <v>975</v>
      </c>
    </row>
    <row r="573" spans="1:26" ht="16.899999999999999" customHeight="1" x14ac:dyDescent="0.15">
      <c r="A573" s="347" t="s">
        <v>1937</v>
      </c>
      <c r="B573" s="347">
        <v>5</v>
      </c>
      <c r="C573" s="347" t="s">
        <v>968</v>
      </c>
      <c r="F573" s="348" t="s">
        <v>941</v>
      </c>
      <c r="G573" s="347" t="s">
        <v>978</v>
      </c>
      <c r="H573" s="347" t="s">
        <v>970</v>
      </c>
      <c r="I573" s="347" t="s">
        <v>971</v>
      </c>
      <c r="J573" s="347" t="s">
        <v>989</v>
      </c>
      <c r="K573" s="350" t="s">
        <v>1938</v>
      </c>
      <c r="L573" s="349" t="s">
        <v>972</v>
      </c>
      <c r="M573" s="350" t="s">
        <v>1939</v>
      </c>
      <c r="N573" s="350" t="s">
        <v>1940</v>
      </c>
      <c r="Q573" s="347" t="s">
        <v>631</v>
      </c>
      <c r="T573" s="347" t="s">
        <v>631</v>
      </c>
      <c r="V573" s="347" t="s">
        <v>631</v>
      </c>
      <c r="Z573" s="349" t="s">
        <v>975</v>
      </c>
    </row>
    <row r="574" spans="1:26" ht="16.899999999999999" customHeight="1" x14ac:dyDescent="0.15">
      <c r="A574" s="347" t="s">
        <v>1941</v>
      </c>
      <c r="B574" s="347">
        <v>5</v>
      </c>
      <c r="C574" s="347" t="s">
        <v>1019</v>
      </c>
      <c r="E574" s="347" t="s">
        <v>631</v>
      </c>
      <c r="F574" s="348" t="s">
        <v>941</v>
      </c>
      <c r="G574" s="347" t="s">
        <v>969</v>
      </c>
      <c r="H574" s="347" t="s">
        <v>970</v>
      </c>
      <c r="I574" s="347" t="s">
        <v>971</v>
      </c>
      <c r="K574" s="350"/>
      <c r="L574" s="349" t="s">
        <v>1161</v>
      </c>
      <c r="M574" s="350" t="s">
        <v>1942</v>
      </c>
      <c r="N574" s="350" t="s">
        <v>1943</v>
      </c>
      <c r="Q574" s="347" t="s">
        <v>631</v>
      </c>
      <c r="V574" s="347" t="s">
        <v>631</v>
      </c>
      <c r="Z574" s="349" t="s">
        <v>975</v>
      </c>
    </row>
    <row r="575" spans="1:26" ht="16.899999999999999" customHeight="1" x14ac:dyDescent="0.15">
      <c r="A575" s="347" t="s">
        <v>1944</v>
      </c>
      <c r="B575" s="347">
        <v>5</v>
      </c>
      <c r="C575" s="347" t="s">
        <v>1019</v>
      </c>
      <c r="F575" s="348" t="s">
        <v>941</v>
      </c>
      <c r="G575" s="347" t="s">
        <v>1541</v>
      </c>
      <c r="H575" s="347" t="s">
        <v>970</v>
      </c>
      <c r="I575" s="347" t="s">
        <v>971</v>
      </c>
      <c r="J575" s="347" t="s">
        <v>989</v>
      </c>
      <c r="K575" s="350" t="s">
        <v>1599</v>
      </c>
      <c r="L575" s="349" t="s">
        <v>972</v>
      </c>
      <c r="M575" s="350" t="s">
        <v>1945</v>
      </c>
      <c r="N575" s="350" t="s">
        <v>1946</v>
      </c>
      <c r="S575" s="347" t="s">
        <v>631</v>
      </c>
      <c r="Z575" s="349" t="s">
        <v>975</v>
      </c>
    </row>
    <row r="576" spans="1:26" ht="16.899999999999999" customHeight="1" x14ac:dyDescent="0.15">
      <c r="A576" s="347" t="s">
        <v>1947</v>
      </c>
      <c r="B576" s="347">
        <v>5</v>
      </c>
      <c r="C576" s="347" t="s">
        <v>1013</v>
      </c>
      <c r="D576" s="347" t="s">
        <v>631</v>
      </c>
      <c r="F576" s="348" t="s">
        <v>1250</v>
      </c>
      <c r="G576" s="347" t="s">
        <v>978</v>
      </c>
      <c r="H576" s="347" t="s">
        <v>970</v>
      </c>
      <c r="K576" s="350"/>
      <c r="L576" s="349" t="s">
        <v>1020</v>
      </c>
      <c r="M576" s="350" t="s">
        <v>1948</v>
      </c>
      <c r="N576" s="350" t="s">
        <v>1949</v>
      </c>
      <c r="U576" s="347" t="s">
        <v>631</v>
      </c>
      <c r="V576" s="347" t="s">
        <v>631</v>
      </c>
      <c r="Y576" s="347" t="s">
        <v>631</v>
      </c>
      <c r="Z576" s="349" t="s">
        <v>975</v>
      </c>
    </row>
    <row r="577" spans="1:26" ht="16.899999999999999" customHeight="1" x14ac:dyDescent="0.15">
      <c r="A577" s="347" t="s">
        <v>1950</v>
      </c>
      <c r="B577" s="347">
        <v>5</v>
      </c>
      <c r="C577" s="347" t="s">
        <v>983</v>
      </c>
      <c r="F577" s="348" t="s">
        <v>941</v>
      </c>
      <c r="G577" s="347" t="s">
        <v>984</v>
      </c>
      <c r="H577" s="347" t="s">
        <v>970</v>
      </c>
      <c r="I577" s="347" t="s">
        <v>971</v>
      </c>
      <c r="K577" s="350"/>
      <c r="L577" s="349" t="s">
        <v>1951</v>
      </c>
      <c r="M577" s="350" t="s">
        <v>1952</v>
      </c>
      <c r="N577" s="350" t="s">
        <v>1953</v>
      </c>
      <c r="P577" s="347" t="s">
        <v>631</v>
      </c>
      <c r="Q577" s="347" t="s">
        <v>631</v>
      </c>
      <c r="Z577" s="349" t="s">
        <v>975</v>
      </c>
    </row>
    <row r="578" spans="1:26" ht="16.899999999999999" customHeight="1" x14ac:dyDescent="0.15">
      <c r="A578" s="347" t="s">
        <v>1954</v>
      </c>
      <c r="B578" s="347">
        <v>5</v>
      </c>
      <c r="C578" s="347" t="s">
        <v>987</v>
      </c>
      <c r="F578" s="348" t="s">
        <v>1020</v>
      </c>
      <c r="G578" s="347" t="s">
        <v>709</v>
      </c>
      <c r="H578" s="347" t="s">
        <v>970</v>
      </c>
      <c r="I578" s="347" t="s">
        <v>971</v>
      </c>
      <c r="J578" s="347" t="s">
        <v>989</v>
      </c>
      <c r="K578" s="350" t="s">
        <v>1955</v>
      </c>
      <c r="L578" s="349" t="s">
        <v>1956</v>
      </c>
      <c r="M578" s="350" t="s">
        <v>1957</v>
      </c>
      <c r="N578" s="350" t="s">
        <v>1958</v>
      </c>
      <c r="T578" s="347" t="s">
        <v>631</v>
      </c>
      <c r="V578" s="347" t="s">
        <v>631</v>
      </c>
      <c r="W578" s="347" t="s">
        <v>631</v>
      </c>
      <c r="Z578" s="349" t="s">
        <v>975</v>
      </c>
    </row>
    <row r="579" spans="1:26" ht="16.899999999999999" customHeight="1" x14ac:dyDescent="0.15">
      <c r="A579" s="347" t="s">
        <v>1959</v>
      </c>
      <c r="B579" s="347">
        <v>5</v>
      </c>
      <c r="C579" s="347" t="s">
        <v>968</v>
      </c>
      <c r="F579" s="348" t="s">
        <v>941</v>
      </c>
      <c r="G579" s="347" t="s">
        <v>978</v>
      </c>
      <c r="H579" s="347" t="s">
        <v>970</v>
      </c>
      <c r="K579" s="350"/>
      <c r="L579" s="349" t="s">
        <v>972</v>
      </c>
      <c r="M579" s="350" t="s">
        <v>1960</v>
      </c>
      <c r="N579" s="350" t="s">
        <v>1961</v>
      </c>
      <c r="R579" s="347" t="s">
        <v>631</v>
      </c>
      <c r="Z579" s="349" t="s">
        <v>975</v>
      </c>
    </row>
    <row r="580" spans="1:26" ht="16.899999999999999" customHeight="1" x14ac:dyDescent="0.15">
      <c r="A580" s="347" t="s">
        <v>1962</v>
      </c>
      <c r="B580" s="347">
        <v>5</v>
      </c>
      <c r="C580" s="347" t="s">
        <v>977</v>
      </c>
      <c r="E580" s="347" t="s">
        <v>631</v>
      </c>
      <c r="F580" s="348" t="s">
        <v>941</v>
      </c>
      <c r="G580" s="347" t="s">
        <v>978</v>
      </c>
      <c r="H580" s="347" t="s">
        <v>970</v>
      </c>
      <c r="I580" s="347" t="s">
        <v>971</v>
      </c>
      <c r="J580" s="347" t="s">
        <v>989</v>
      </c>
      <c r="K580" s="350" t="s">
        <v>1963</v>
      </c>
      <c r="L580" s="349" t="s">
        <v>979</v>
      </c>
      <c r="M580" s="350" t="s">
        <v>1964</v>
      </c>
      <c r="N580" s="350" t="s">
        <v>1965</v>
      </c>
      <c r="P580" s="347" t="s">
        <v>631</v>
      </c>
      <c r="R580" s="347" t="s">
        <v>631</v>
      </c>
      <c r="Z580" s="349" t="s">
        <v>975</v>
      </c>
    </row>
    <row r="581" spans="1:26" ht="16.899999999999999" customHeight="1" x14ac:dyDescent="0.15">
      <c r="A581" s="347" t="s">
        <v>1966</v>
      </c>
      <c r="B581" s="347">
        <v>5</v>
      </c>
      <c r="C581" s="347" t="s">
        <v>1007</v>
      </c>
      <c r="E581" s="347" t="s">
        <v>631</v>
      </c>
      <c r="F581" s="348" t="s">
        <v>941</v>
      </c>
      <c r="G581" s="347" t="s">
        <v>969</v>
      </c>
      <c r="H581" s="347" t="s">
        <v>970</v>
      </c>
      <c r="I581" s="347" t="s">
        <v>971</v>
      </c>
      <c r="K581" s="350"/>
      <c r="L581" s="349" t="s">
        <v>979</v>
      </c>
      <c r="M581" s="350" t="s">
        <v>1967</v>
      </c>
      <c r="N581" s="350" t="s">
        <v>1968</v>
      </c>
      <c r="O581" s="347" t="s">
        <v>631</v>
      </c>
      <c r="T581" s="347" t="s">
        <v>631</v>
      </c>
      <c r="V581" s="347" t="s">
        <v>631</v>
      </c>
      <c r="Z581" s="349" t="s">
        <v>975</v>
      </c>
    </row>
    <row r="582" spans="1:26" ht="16.899999999999999" customHeight="1" x14ac:dyDescent="0.15">
      <c r="A582" s="347" t="s">
        <v>1969</v>
      </c>
      <c r="B582" s="347">
        <v>5</v>
      </c>
      <c r="C582" s="347" t="s">
        <v>987</v>
      </c>
      <c r="F582" s="348" t="s">
        <v>1020</v>
      </c>
      <c r="G582" s="347" t="s">
        <v>1956</v>
      </c>
      <c r="H582" s="347" t="s">
        <v>970</v>
      </c>
      <c r="I582" s="347" t="s">
        <v>971</v>
      </c>
      <c r="J582" s="347" t="s">
        <v>989</v>
      </c>
      <c r="K582" s="350" t="s">
        <v>1970</v>
      </c>
      <c r="L582" s="349" t="s">
        <v>1104</v>
      </c>
      <c r="M582" s="350" t="s">
        <v>1971</v>
      </c>
      <c r="N582" s="350" t="s">
        <v>1972</v>
      </c>
      <c r="O582" s="347" t="s">
        <v>631</v>
      </c>
      <c r="U582" s="347" t="s">
        <v>631</v>
      </c>
      <c r="V582" s="347" t="s">
        <v>631</v>
      </c>
      <c r="Z582" s="349" t="s">
        <v>975</v>
      </c>
    </row>
    <row r="583" spans="1:26" ht="16.899999999999999" customHeight="1" x14ac:dyDescent="0.15">
      <c r="A583" s="347" t="s">
        <v>1973</v>
      </c>
      <c r="B583" s="347">
        <v>5</v>
      </c>
      <c r="C583" s="347" t="s">
        <v>968</v>
      </c>
      <c r="F583" s="348" t="s">
        <v>941</v>
      </c>
      <c r="G583" s="347" t="s">
        <v>969</v>
      </c>
      <c r="H583" s="347" t="s">
        <v>970</v>
      </c>
      <c r="I583" s="347" t="s">
        <v>971</v>
      </c>
      <c r="J583" s="347" t="s">
        <v>989</v>
      </c>
      <c r="K583" s="350" t="s">
        <v>1974</v>
      </c>
      <c r="L583" s="349" t="s">
        <v>972</v>
      </c>
      <c r="M583" s="350" t="s">
        <v>1975</v>
      </c>
      <c r="N583" s="350" t="s">
        <v>1976</v>
      </c>
      <c r="P583" s="347" t="s">
        <v>631</v>
      </c>
      <c r="Z583" s="349" t="s">
        <v>975</v>
      </c>
    </row>
    <row r="584" spans="1:26" ht="16.899999999999999" customHeight="1" x14ac:dyDescent="0.15">
      <c r="A584" s="347" t="s">
        <v>1977</v>
      </c>
      <c r="B584" s="347">
        <v>5</v>
      </c>
      <c r="C584" s="347" t="s">
        <v>1007</v>
      </c>
      <c r="F584" s="348" t="s">
        <v>1020</v>
      </c>
      <c r="G584" s="347" t="s">
        <v>969</v>
      </c>
      <c r="H584" s="347" t="s">
        <v>970</v>
      </c>
      <c r="K584" s="350"/>
      <c r="L584" s="349" t="s">
        <v>1978</v>
      </c>
      <c r="M584" s="350" t="s">
        <v>1979</v>
      </c>
      <c r="N584" s="350" t="s">
        <v>1980</v>
      </c>
      <c r="O584" s="347" t="s">
        <v>631</v>
      </c>
      <c r="P584" s="347" t="s">
        <v>631</v>
      </c>
      <c r="Q584" s="347" t="s">
        <v>631</v>
      </c>
      <c r="R584" s="347" t="s">
        <v>631</v>
      </c>
      <c r="V584" s="347" t="s">
        <v>631</v>
      </c>
      <c r="Z584" s="349" t="s">
        <v>975</v>
      </c>
    </row>
    <row r="585" spans="1:26" ht="16.899999999999999" customHeight="1" x14ac:dyDescent="0.15">
      <c r="A585" s="347" t="s">
        <v>1981</v>
      </c>
      <c r="B585" s="347">
        <v>5</v>
      </c>
      <c r="C585" s="347" t="s">
        <v>977</v>
      </c>
      <c r="F585" s="348" t="s">
        <v>941</v>
      </c>
      <c r="G585" s="347" t="s">
        <v>984</v>
      </c>
      <c r="H585" s="347" t="s">
        <v>970</v>
      </c>
      <c r="I585" s="347" t="s">
        <v>971</v>
      </c>
      <c r="J585" s="347" t="s">
        <v>989</v>
      </c>
      <c r="K585" s="350" t="s">
        <v>1982</v>
      </c>
      <c r="L585" s="349" t="s">
        <v>972</v>
      </c>
      <c r="M585" s="350" t="s">
        <v>1983</v>
      </c>
      <c r="N585" s="350" t="s">
        <v>1984</v>
      </c>
      <c r="O585" s="347" t="s">
        <v>631</v>
      </c>
      <c r="P585" s="347" t="s">
        <v>631</v>
      </c>
      <c r="Q585" s="347" t="s">
        <v>631</v>
      </c>
      <c r="R585" s="347" t="s">
        <v>631</v>
      </c>
      <c r="S585" s="347" t="s">
        <v>631</v>
      </c>
      <c r="W585" s="347" t="s">
        <v>631</v>
      </c>
      <c r="Y585" s="347" t="s">
        <v>631</v>
      </c>
      <c r="Z585" s="349" t="s">
        <v>975</v>
      </c>
    </row>
    <row r="586" spans="1:26" ht="16.899999999999999" customHeight="1" x14ac:dyDescent="0.15">
      <c r="A586" s="347" t="s">
        <v>1985</v>
      </c>
      <c r="B586" s="347">
        <v>5</v>
      </c>
      <c r="C586" s="347" t="s">
        <v>977</v>
      </c>
      <c r="F586" s="348" t="s">
        <v>1109</v>
      </c>
      <c r="G586" s="347" t="s">
        <v>984</v>
      </c>
      <c r="H586" s="347" t="s">
        <v>970</v>
      </c>
      <c r="I586" s="347" t="s">
        <v>971</v>
      </c>
      <c r="J586" s="347" t="s">
        <v>989</v>
      </c>
      <c r="K586" s="350" t="s">
        <v>1986</v>
      </c>
      <c r="L586" s="349" t="s">
        <v>1851</v>
      </c>
      <c r="M586" s="350" t="s">
        <v>1987</v>
      </c>
      <c r="N586" s="350" t="s">
        <v>1988</v>
      </c>
      <c r="P586" s="347" t="s">
        <v>631</v>
      </c>
      <c r="Z586" s="349" t="s">
        <v>975</v>
      </c>
    </row>
    <row r="587" spans="1:26" ht="16.899999999999999" customHeight="1" x14ac:dyDescent="0.15">
      <c r="A587" s="347" t="s">
        <v>1989</v>
      </c>
      <c r="B587" s="347">
        <v>5</v>
      </c>
      <c r="C587" s="347" t="s">
        <v>1007</v>
      </c>
      <c r="E587" s="347" t="s">
        <v>631</v>
      </c>
      <c r="F587" s="348" t="s">
        <v>941</v>
      </c>
      <c r="G587" s="347" t="s">
        <v>1134</v>
      </c>
      <c r="H587" s="347" t="s">
        <v>970</v>
      </c>
      <c r="I587" s="347" t="s">
        <v>971</v>
      </c>
      <c r="J587" s="347" t="s">
        <v>989</v>
      </c>
      <c r="K587" s="350" t="s">
        <v>1444</v>
      </c>
      <c r="L587" s="349" t="s">
        <v>979</v>
      </c>
      <c r="M587" s="350" t="s">
        <v>1990</v>
      </c>
      <c r="N587" s="350" t="s">
        <v>1991</v>
      </c>
      <c r="O587" s="347" t="s">
        <v>631</v>
      </c>
      <c r="T587" s="347" t="s">
        <v>631</v>
      </c>
      <c r="U587" s="347" t="s">
        <v>631</v>
      </c>
      <c r="V587" s="347" t="s">
        <v>631</v>
      </c>
      <c r="Y587" s="347" t="s">
        <v>631</v>
      </c>
      <c r="Z587" s="349" t="s">
        <v>975</v>
      </c>
    </row>
    <row r="588" spans="1:26" ht="16.899999999999999" customHeight="1" x14ac:dyDescent="0.15">
      <c r="A588" s="347" t="s">
        <v>1992</v>
      </c>
      <c r="B588" s="347">
        <v>5</v>
      </c>
      <c r="C588" s="347" t="s">
        <v>1019</v>
      </c>
      <c r="E588" s="347" t="s">
        <v>631</v>
      </c>
      <c r="F588" s="348" t="s">
        <v>941</v>
      </c>
      <c r="G588" s="347" t="s">
        <v>1793</v>
      </c>
      <c r="H588" s="347" t="s">
        <v>970</v>
      </c>
      <c r="I588" s="347" t="s">
        <v>971</v>
      </c>
      <c r="J588" s="347" t="s">
        <v>989</v>
      </c>
      <c r="K588" s="350" t="s">
        <v>1993</v>
      </c>
      <c r="L588" s="349" t="s">
        <v>1161</v>
      </c>
      <c r="M588" s="350" t="s">
        <v>1994</v>
      </c>
      <c r="N588" s="350" t="s">
        <v>1995</v>
      </c>
      <c r="P588" s="347" t="s">
        <v>631</v>
      </c>
      <c r="Q588" s="347" t="s">
        <v>631</v>
      </c>
      <c r="T588" s="347" t="s">
        <v>631</v>
      </c>
      <c r="Z588" s="349" t="s">
        <v>975</v>
      </c>
    </row>
    <row r="589" spans="1:26" ht="16.899999999999999" customHeight="1" x14ac:dyDescent="0.15">
      <c r="A589" s="347" t="s">
        <v>1996</v>
      </c>
      <c r="B589" s="347">
        <v>5</v>
      </c>
      <c r="C589" s="347" t="s">
        <v>968</v>
      </c>
      <c r="E589" s="347" t="s">
        <v>631</v>
      </c>
      <c r="F589" s="348" t="s">
        <v>941</v>
      </c>
      <c r="G589" s="347" t="s">
        <v>988</v>
      </c>
      <c r="H589" s="347" t="s">
        <v>970</v>
      </c>
      <c r="I589" s="347" t="s">
        <v>971</v>
      </c>
      <c r="J589" s="347" t="s">
        <v>989</v>
      </c>
      <c r="K589" s="350" t="s">
        <v>1997</v>
      </c>
      <c r="L589" s="349" t="s">
        <v>979</v>
      </c>
      <c r="M589" s="350" t="s">
        <v>1998</v>
      </c>
      <c r="N589" s="350" t="s">
        <v>1999</v>
      </c>
      <c r="U589" s="347" t="s">
        <v>631</v>
      </c>
      <c r="V589" s="347" t="s">
        <v>631</v>
      </c>
      <c r="Z589" s="349" t="s">
        <v>975</v>
      </c>
    </row>
    <row r="590" spans="1:26" ht="16.899999999999999" customHeight="1" x14ac:dyDescent="0.15">
      <c r="A590" s="347" t="s">
        <v>2000</v>
      </c>
      <c r="B590" s="347">
        <v>5</v>
      </c>
      <c r="C590" s="347" t="s">
        <v>1013</v>
      </c>
      <c r="F590" s="348" t="s">
        <v>1048</v>
      </c>
      <c r="G590" s="347" t="s">
        <v>978</v>
      </c>
      <c r="H590" s="347" t="s">
        <v>970</v>
      </c>
      <c r="I590" s="347" t="s">
        <v>971</v>
      </c>
      <c r="J590" s="347" t="s">
        <v>989</v>
      </c>
      <c r="K590" s="350" t="s">
        <v>2001</v>
      </c>
      <c r="L590" s="349" t="s">
        <v>972</v>
      </c>
      <c r="M590" s="350" t="s">
        <v>2002</v>
      </c>
      <c r="N590" s="350" t="s">
        <v>2003</v>
      </c>
      <c r="O590" s="347" t="s">
        <v>631</v>
      </c>
      <c r="P590" s="347" t="s">
        <v>631</v>
      </c>
      <c r="V590" s="347" t="s">
        <v>631</v>
      </c>
      <c r="Z590" s="349" t="s">
        <v>975</v>
      </c>
    </row>
    <row r="591" spans="1:26" ht="16.899999999999999" customHeight="1" x14ac:dyDescent="0.15">
      <c r="A591" s="347" t="s">
        <v>10937</v>
      </c>
      <c r="B591" s="347">
        <v>5</v>
      </c>
      <c r="C591" s="347" t="s">
        <v>968</v>
      </c>
      <c r="F591" s="348" t="s">
        <v>941</v>
      </c>
      <c r="G591" s="347" t="s">
        <v>969</v>
      </c>
      <c r="H591" s="347" t="s">
        <v>970</v>
      </c>
      <c r="I591" s="347" t="s">
        <v>971</v>
      </c>
      <c r="K591" s="350"/>
      <c r="L591" s="349" t="s">
        <v>972</v>
      </c>
      <c r="M591" s="350" t="s">
        <v>2004</v>
      </c>
      <c r="N591" s="350" t="s">
        <v>2005</v>
      </c>
      <c r="O591" s="347" t="s">
        <v>631</v>
      </c>
      <c r="P591" s="347" t="s">
        <v>631</v>
      </c>
      <c r="Q591" s="347" t="s">
        <v>631</v>
      </c>
      <c r="Y591" s="347" t="s">
        <v>631</v>
      </c>
      <c r="Z591" s="349" t="s">
        <v>975</v>
      </c>
    </row>
    <row r="592" spans="1:26" ht="16.899999999999999" customHeight="1" x14ac:dyDescent="0.15">
      <c r="A592" s="347" t="s">
        <v>2006</v>
      </c>
      <c r="B592" s="347">
        <v>5</v>
      </c>
      <c r="C592" s="347" t="s">
        <v>987</v>
      </c>
      <c r="E592" s="347" t="s">
        <v>631</v>
      </c>
      <c r="F592" s="348" t="s">
        <v>941</v>
      </c>
      <c r="G592" s="347" t="s">
        <v>978</v>
      </c>
      <c r="I592" s="347" t="s">
        <v>971</v>
      </c>
      <c r="K592" s="350"/>
      <c r="L592" s="349" t="s">
        <v>1211</v>
      </c>
      <c r="M592" s="350" t="s">
        <v>2007</v>
      </c>
      <c r="N592" s="350" t="s">
        <v>2008</v>
      </c>
      <c r="O592" s="347" t="s">
        <v>631</v>
      </c>
      <c r="U592" s="347" t="s">
        <v>631</v>
      </c>
      <c r="V592" s="347" t="s">
        <v>631</v>
      </c>
      <c r="Z592" s="349" t="s">
        <v>975</v>
      </c>
    </row>
    <row r="593" spans="1:26" ht="16.899999999999999" customHeight="1" x14ac:dyDescent="0.15">
      <c r="A593" s="347" t="s">
        <v>2009</v>
      </c>
      <c r="B593" s="347">
        <v>5</v>
      </c>
      <c r="C593" s="347" t="s">
        <v>1007</v>
      </c>
      <c r="E593" s="347" t="s">
        <v>631</v>
      </c>
      <c r="F593" s="348" t="s">
        <v>941</v>
      </c>
      <c r="G593" s="347" t="s">
        <v>709</v>
      </c>
      <c r="H593" s="347" t="s">
        <v>970</v>
      </c>
      <c r="I593" s="347" t="s">
        <v>971</v>
      </c>
      <c r="K593" s="350"/>
      <c r="L593" s="349" t="s">
        <v>979</v>
      </c>
      <c r="M593" s="350" t="s">
        <v>2010</v>
      </c>
      <c r="N593" s="350" t="s">
        <v>2011</v>
      </c>
      <c r="O593" s="347" t="s">
        <v>631</v>
      </c>
      <c r="V593" s="347" t="s">
        <v>631</v>
      </c>
      <c r="Z593" s="349" t="s">
        <v>975</v>
      </c>
    </row>
    <row r="594" spans="1:26" ht="16.899999999999999" customHeight="1" x14ac:dyDescent="0.15">
      <c r="A594" s="347" t="s">
        <v>2012</v>
      </c>
      <c r="B594" s="347">
        <v>5</v>
      </c>
      <c r="C594" s="347" t="s">
        <v>994</v>
      </c>
      <c r="F594" s="348" t="s">
        <v>941</v>
      </c>
      <c r="G594" s="347" t="s">
        <v>709</v>
      </c>
      <c r="H594" s="347" t="s">
        <v>970</v>
      </c>
      <c r="I594" s="347" t="s">
        <v>971</v>
      </c>
      <c r="J594" s="347" t="s">
        <v>989</v>
      </c>
      <c r="K594" s="350" t="s">
        <v>2013</v>
      </c>
      <c r="L594" s="349" t="s">
        <v>1016</v>
      </c>
      <c r="M594" s="350" t="s">
        <v>2014</v>
      </c>
      <c r="N594" s="350" t="s">
        <v>2015</v>
      </c>
      <c r="V594" s="347" t="s">
        <v>631</v>
      </c>
      <c r="Z594" s="349" t="s">
        <v>975</v>
      </c>
    </row>
    <row r="595" spans="1:26" ht="16.899999999999999" customHeight="1" x14ac:dyDescent="0.15">
      <c r="A595" s="347" t="s">
        <v>2016</v>
      </c>
      <c r="B595" s="347">
        <v>5</v>
      </c>
      <c r="C595" s="347" t="s">
        <v>1019</v>
      </c>
      <c r="F595" s="348" t="s">
        <v>1016</v>
      </c>
      <c r="G595" s="347" t="s">
        <v>969</v>
      </c>
      <c r="H595" s="347" t="s">
        <v>970</v>
      </c>
      <c r="I595" s="347" t="s">
        <v>971</v>
      </c>
      <c r="J595" s="347" t="s">
        <v>989</v>
      </c>
      <c r="K595" s="350" t="s">
        <v>2017</v>
      </c>
      <c r="L595" s="349" t="s">
        <v>1109</v>
      </c>
      <c r="M595" s="350" t="s">
        <v>2018</v>
      </c>
      <c r="N595" s="350" t="s">
        <v>2019</v>
      </c>
      <c r="P595" s="347" t="s">
        <v>631</v>
      </c>
      <c r="Z595" s="349" t="s">
        <v>975</v>
      </c>
    </row>
    <row r="596" spans="1:26" ht="16.899999999999999" customHeight="1" x14ac:dyDescent="0.15">
      <c r="A596" s="347" t="s">
        <v>2020</v>
      </c>
      <c r="B596" s="347">
        <v>5</v>
      </c>
      <c r="C596" s="347" t="s">
        <v>983</v>
      </c>
      <c r="F596" s="348" t="s">
        <v>1016</v>
      </c>
      <c r="G596" s="347" t="s">
        <v>984</v>
      </c>
      <c r="H596" s="347" t="s">
        <v>970</v>
      </c>
      <c r="I596" s="347" t="s">
        <v>971</v>
      </c>
      <c r="J596" s="347" t="s">
        <v>989</v>
      </c>
      <c r="K596" s="350" t="s">
        <v>2021</v>
      </c>
      <c r="L596" s="349" t="s">
        <v>972</v>
      </c>
      <c r="M596" s="350" t="s">
        <v>2022</v>
      </c>
      <c r="N596" s="350" t="s">
        <v>2023</v>
      </c>
      <c r="O596" s="347" t="s">
        <v>631</v>
      </c>
      <c r="P596" s="347" t="s">
        <v>631</v>
      </c>
      <c r="R596" s="347" t="s">
        <v>631</v>
      </c>
      <c r="Y596" s="347" t="s">
        <v>631</v>
      </c>
      <c r="Z596" s="349" t="s">
        <v>975</v>
      </c>
    </row>
    <row r="597" spans="1:26" ht="16.899999999999999" customHeight="1" x14ac:dyDescent="0.15">
      <c r="A597" s="347" t="s">
        <v>2024</v>
      </c>
      <c r="B597" s="347">
        <v>5</v>
      </c>
      <c r="C597" s="347" t="s">
        <v>1013</v>
      </c>
      <c r="D597" s="347" t="s">
        <v>631</v>
      </c>
      <c r="F597" s="348" t="s">
        <v>1149</v>
      </c>
      <c r="G597" s="347" t="s">
        <v>709</v>
      </c>
      <c r="H597" s="347" t="s">
        <v>970</v>
      </c>
      <c r="I597" s="347" t="s">
        <v>971</v>
      </c>
      <c r="J597" s="347" t="s">
        <v>989</v>
      </c>
      <c r="K597" s="350" t="s">
        <v>2025</v>
      </c>
      <c r="L597" s="349" t="s">
        <v>1016</v>
      </c>
      <c r="M597" s="350" t="s">
        <v>2026</v>
      </c>
      <c r="N597" s="350" t="s">
        <v>2027</v>
      </c>
      <c r="O597" s="347" t="s">
        <v>631</v>
      </c>
      <c r="V597" s="347" t="s">
        <v>631</v>
      </c>
      <c r="Y597" s="347" t="s">
        <v>631</v>
      </c>
      <c r="Z597" s="349" t="s">
        <v>975</v>
      </c>
    </row>
    <row r="598" spans="1:26" ht="16.899999999999999" customHeight="1" x14ac:dyDescent="0.15">
      <c r="A598" s="347" t="s">
        <v>2028</v>
      </c>
      <c r="B598" s="347">
        <v>5</v>
      </c>
      <c r="C598" s="347" t="s">
        <v>983</v>
      </c>
      <c r="F598" s="348" t="s">
        <v>1016</v>
      </c>
      <c r="G598" s="347" t="s">
        <v>984</v>
      </c>
      <c r="H598" s="347" t="s">
        <v>970</v>
      </c>
      <c r="I598" s="347" t="s">
        <v>971</v>
      </c>
      <c r="J598" s="347" t="s">
        <v>989</v>
      </c>
      <c r="K598" s="350" t="s">
        <v>2029</v>
      </c>
      <c r="L598" s="349" t="s">
        <v>972</v>
      </c>
      <c r="M598" s="350" t="s">
        <v>2030</v>
      </c>
      <c r="N598" s="350" t="s">
        <v>2031</v>
      </c>
      <c r="Q598" s="347" t="s">
        <v>631</v>
      </c>
      <c r="Z598" s="349" t="s">
        <v>975</v>
      </c>
    </row>
    <row r="599" spans="1:26" ht="16.899999999999999" customHeight="1" x14ac:dyDescent="0.15">
      <c r="A599" s="347" t="s">
        <v>2032</v>
      </c>
      <c r="B599" s="347">
        <v>5</v>
      </c>
      <c r="C599" s="347" t="s">
        <v>1013</v>
      </c>
      <c r="E599" s="347" t="s">
        <v>631</v>
      </c>
      <c r="F599" s="348" t="s">
        <v>1048</v>
      </c>
      <c r="G599" s="347" t="s">
        <v>978</v>
      </c>
      <c r="H599" s="347" t="s">
        <v>970</v>
      </c>
      <c r="I599" s="347" t="s">
        <v>971</v>
      </c>
      <c r="J599" s="347" t="s">
        <v>989</v>
      </c>
      <c r="K599" s="350" t="s">
        <v>2033</v>
      </c>
      <c r="L599" s="349" t="s">
        <v>2034</v>
      </c>
      <c r="M599" s="350" t="s">
        <v>2035</v>
      </c>
      <c r="N599" s="350" t="s">
        <v>2036</v>
      </c>
      <c r="O599" s="347" t="s">
        <v>631</v>
      </c>
      <c r="P599" s="347" t="s">
        <v>631</v>
      </c>
      <c r="Q599" s="347" t="s">
        <v>631</v>
      </c>
      <c r="U599" s="347" t="s">
        <v>631</v>
      </c>
      <c r="V599" s="347" t="s">
        <v>631</v>
      </c>
      <c r="Y599" s="347" t="s">
        <v>631</v>
      </c>
      <c r="Z599" s="349" t="s">
        <v>975</v>
      </c>
    </row>
    <row r="600" spans="1:26" ht="16.899999999999999" customHeight="1" x14ac:dyDescent="0.15">
      <c r="A600" s="347" t="s">
        <v>2037</v>
      </c>
      <c r="B600" s="347">
        <v>5</v>
      </c>
      <c r="C600" s="347" t="s">
        <v>987</v>
      </c>
      <c r="F600" s="348" t="s">
        <v>941</v>
      </c>
      <c r="G600" s="347" t="s">
        <v>709</v>
      </c>
      <c r="H600" s="347" t="s">
        <v>970</v>
      </c>
      <c r="I600" s="347" t="s">
        <v>971</v>
      </c>
      <c r="K600" s="350"/>
      <c r="L600" s="349" t="s">
        <v>1104</v>
      </c>
      <c r="M600" s="350" t="s">
        <v>2038</v>
      </c>
      <c r="N600" s="350" t="s">
        <v>2039</v>
      </c>
      <c r="O600" s="347" t="s">
        <v>631</v>
      </c>
      <c r="T600" s="347" t="s">
        <v>631</v>
      </c>
      <c r="V600" s="347" t="s">
        <v>631</v>
      </c>
      <c r="Z600" s="349" t="s">
        <v>975</v>
      </c>
    </row>
    <row r="601" spans="1:26" ht="16.899999999999999" customHeight="1" x14ac:dyDescent="0.15">
      <c r="A601" s="347" t="s">
        <v>2040</v>
      </c>
      <c r="B601" s="347">
        <v>5</v>
      </c>
      <c r="C601" s="347" t="s">
        <v>1019</v>
      </c>
      <c r="F601" s="348" t="s">
        <v>941</v>
      </c>
      <c r="G601" s="347" t="s">
        <v>709</v>
      </c>
      <c r="I601" s="347" t="s">
        <v>971</v>
      </c>
      <c r="J601" s="347" t="s">
        <v>989</v>
      </c>
      <c r="K601" s="350" t="s">
        <v>2041</v>
      </c>
      <c r="L601" s="349" t="s">
        <v>972</v>
      </c>
      <c r="M601" s="350" t="s">
        <v>6637</v>
      </c>
      <c r="N601" s="350" t="s">
        <v>2042</v>
      </c>
      <c r="S601" s="347" t="s">
        <v>631</v>
      </c>
      <c r="V601" s="347" t="s">
        <v>631</v>
      </c>
      <c r="Z601" s="349" t="s">
        <v>975</v>
      </c>
    </row>
    <row r="602" spans="1:26" ht="16.899999999999999" customHeight="1" x14ac:dyDescent="0.15">
      <c r="A602" s="347" t="s">
        <v>2043</v>
      </c>
      <c r="B602" s="347">
        <v>5</v>
      </c>
      <c r="C602" s="347" t="s">
        <v>1019</v>
      </c>
      <c r="E602" s="347" t="s">
        <v>631</v>
      </c>
      <c r="F602" s="348" t="s">
        <v>941</v>
      </c>
      <c r="G602" s="347" t="s">
        <v>1134</v>
      </c>
      <c r="H602" s="347" t="s">
        <v>970</v>
      </c>
      <c r="I602" s="347" t="s">
        <v>971</v>
      </c>
      <c r="J602" s="347" t="s">
        <v>989</v>
      </c>
      <c r="K602" s="350" t="s">
        <v>2044</v>
      </c>
      <c r="L602" s="349" t="s">
        <v>1211</v>
      </c>
      <c r="M602" s="350" t="s">
        <v>2045</v>
      </c>
      <c r="N602" s="350" t="s">
        <v>2046</v>
      </c>
      <c r="P602" s="347" t="s">
        <v>631</v>
      </c>
      <c r="R602" s="347" t="s">
        <v>631</v>
      </c>
      <c r="Z602" s="349" t="s">
        <v>975</v>
      </c>
    </row>
    <row r="603" spans="1:26" ht="16.899999999999999" customHeight="1" x14ac:dyDescent="0.15">
      <c r="A603" s="347" t="s">
        <v>2047</v>
      </c>
      <c r="B603" s="347">
        <v>5</v>
      </c>
      <c r="C603" s="347" t="s">
        <v>1019</v>
      </c>
      <c r="E603" s="347" t="s">
        <v>631</v>
      </c>
      <c r="F603" s="348" t="s">
        <v>941</v>
      </c>
      <c r="G603" s="347" t="s">
        <v>1134</v>
      </c>
      <c r="H603" s="347" t="s">
        <v>970</v>
      </c>
      <c r="I603" s="347" t="s">
        <v>971</v>
      </c>
      <c r="J603" s="347" t="s">
        <v>989</v>
      </c>
      <c r="K603" s="350" t="s">
        <v>2048</v>
      </c>
      <c r="L603" s="349" t="s">
        <v>1211</v>
      </c>
      <c r="M603" s="350" t="s">
        <v>2049</v>
      </c>
      <c r="N603" s="350" t="s">
        <v>2050</v>
      </c>
      <c r="V603" s="347" t="s">
        <v>631</v>
      </c>
      <c r="Z603" s="349" t="s">
        <v>975</v>
      </c>
    </row>
    <row r="604" spans="1:26" ht="16.899999999999999" customHeight="1" x14ac:dyDescent="0.15">
      <c r="A604" s="347" t="s">
        <v>2051</v>
      </c>
      <c r="B604" s="347">
        <v>5</v>
      </c>
      <c r="C604" s="347" t="s">
        <v>994</v>
      </c>
      <c r="E604" s="347" t="s">
        <v>631</v>
      </c>
      <c r="F604" s="348" t="s">
        <v>1047</v>
      </c>
      <c r="G604" s="347" t="s">
        <v>978</v>
      </c>
      <c r="H604" s="347" t="s">
        <v>970</v>
      </c>
      <c r="I604" s="347" t="s">
        <v>971</v>
      </c>
      <c r="J604" s="347" t="s">
        <v>989</v>
      </c>
      <c r="K604" s="350" t="s">
        <v>2052</v>
      </c>
      <c r="L604" s="349" t="s">
        <v>979</v>
      </c>
      <c r="M604" s="350" t="s">
        <v>2053</v>
      </c>
      <c r="N604" s="350" t="s">
        <v>2054</v>
      </c>
      <c r="S604" s="347" t="s">
        <v>631</v>
      </c>
      <c r="Z604" s="349" t="s">
        <v>975</v>
      </c>
    </row>
    <row r="605" spans="1:26" ht="16.899999999999999" customHeight="1" x14ac:dyDescent="0.15">
      <c r="A605" s="347" t="s">
        <v>2055</v>
      </c>
      <c r="B605" s="347">
        <v>5</v>
      </c>
      <c r="C605" s="347" t="s">
        <v>1007</v>
      </c>
      <c r="F605" s="348" t="s">
        <v>941</v>
      </c>
      <c r="G605" s="347" t="s">
        <v>988</v>
      </c>
      <c r="H605" s="347" t="s">
        <v>970</v>
      </c>
      <c r="I605" s="347" t="s">
        <v>971</v>
      </c>
      <c r="K605" s="350"/>
      <c r="L605" s="349" t="s">
        <v>972</v>
      </c>
      <c r="M605" s="350" t="s">
        <v>2056</v>
      </c>
      <c r="N605" s="350" t="s">
        <v>2057</v>
      </c>
      <c r="O605" s="347" t="s">
        <v>631</v>
      </c>
      <c r="T605" s="347" t="s">
        <v>631</v>
      </c>
      <c r="U605" s="347" t="s">
        <v>631</v>
      </c>
      <c r="V605" s="347" t="s">
        <v>631</v>
      </c>
      <c r="Z605" s="349" t="s">
        <v>975</v>
      </c>
    </row>
    <row r="606" spans="1:26" ht="16.899999999999999" customHeight="1" x14ac:dyDescent="0.15">
      <c r="A606" s="347" t="s">
        <v>2058</v>
      </c>
      <c r="B606" s="347">
        <v>5</v>
      </c>
      <c r="C606" s="347" t="s">
        <v>994</v>
      </c>
      <c r="E606" s="347" t="s">
        <v>631</v>
      </c>
      <c r="F606" s="348" t="s">
        <v>941</v>
      </c>
      <c r="G606" s="347" t="s">
        <v>969</v>
      </c>
      <c r="H606" s="347" t="s">
        <v>970</v>
      </c>
      <c r="I606" s="347" t="s">
        <v>971</v>
      </c>
      <c r="K606" s="350"/>
      <c r="L606" s="349" t="s">
        <v>1161</v>
      </c>
      <c r="M606" s="350" t="s">
        <v>2059</v>
      </c>
      <c r="N606" s="350" t="s">
        <v>2060</v>
      </c>
      <c r="T606" s="347" t="s">
        <v>631</v>
      </c>
      <c r="V606" s="347" t="s">
        <v>631</v>
      </c>
      <c r="Z606" s="349" t="s">
        <v>975</v>
      </c>
    </row>
    <row r="607" spans="1:26" ht="16.899999999999999" customHeight="1" x14ac:dyDescent="0.15">
      <c r="A607" s="347" t="s">
        <v>2061</v>
      </c>
      <c r="B607" s="347">
        <v>5</v>
      </c>
      <c r="C607" s="347" t="s">
        <v>1019</v>
      </c>
      <c r="F607" s="348" t="s">
        <v>1020</v>
      </c>
      <c r="G607" s="347" t="s">
        <v>1008</v>
      </c>
      <c r="H607" s="347" t="s">
        <v>970</v>
      </c>
      <c r="J607" s="347" t="s">
        <v>989</v>
      </c>
      <c r="K607" s="350" t="s">
        <v>2062</v>
      </c>
      <c r="L607" s="349" t="s">
        <v>1032</v>
      </c>
      <c r="M607" s="350" t="s">
        <v>2063</v>
      </c>
      <c r="N607" s="350" t="s">
        <v>2064</v>
      </c>
      <c r="O607" s="347" t="s">
        <v>631</v>
      </c>
      <c r="T607" s="347" t="s">
        <v>631</v>
      </c>
      <c r="U607" s="347" t="s">
        <v>631</v>
      </c>
      <c r="V607" s="347" t="s">
        <v>631</v>
      </c>
      <c r="Y607" s="347" t="s">
        <v>631</v>
      </c>
      <c r="Z607" s="349" t="s">
        <v>975</v>
      </c>
    </row>
    <row r="608" spans="1:26" ht="16.899999999999999" customHeight="1" x14ac:dyDescent="0.15">
      <c r="A608" s="347" t="s">
        <v>2065</v>
      </c>
      <c r="B608" s="347">
        <v>5</v>
      </c>
      <c r="C608" s="347" t="s">
        <v>1019</v>
      </c>
      <c r="E608" s="347" t="s">
        <v>631</v>
      </c>
      <c r="F608" s="348" t="s">
        <v>941</v>
      </c>
      <c r="G608" s="347" t="s">
        <v>978</v>
      </c>
      <c r="H608" s="347" t="s">
        <v>970</v>
      </c>
      <c r="I608" s="347" t="s">
        <v>971</v>
      </c>
      <c r="K608" s="350"/>
      <c r="L608" s="349" t="s">
        <v>979</v>
      </c>
      <c r="M608" s="350" t="s">
        <v>2066</v>
      </c>
      <c r="N608" s="350" t="s">
        <v>2067</v>
      </c>
      <c r="Q608" s="347" t="s">
        <v>631</v>
      </c>
      <c r="S608" s="347" t="s">
        <v>631</v>
      </c>
      <c r="Z608" s="349" t="s">
        <v>975</v>
      </c>
    </row>
    <row r="609" spans="1:26" ht="16.899999999999999" customHeight="1" x14ac:dyDescent="0.15">
      <c r="A609" s="347" t="s">
        <v>2068</v>
      </c>
      <c r="B609" s="347">
        <v>5</v>
      </c>
      <c r="C609" s="347" t="s">
        <v>968</v>
      </c>
      <c r="E609" s="347" t="s">
        <v>631</v>
      </c>
      <c r="F609" s="348" t="s">
        <v>941</v>
      </c>
      <c r="G609" s="347" t="s">
        <v>988</v>
      </c>
      <c r="H609" s="347" t="s">
        <v>970</v>
      </c>
      <c r="I609" s="347" t="s">
        <v>971</v>
      </c>
      <c r="J609" s="347" t="s">
        <v>989</v>
      </c>
      <c r="K609" s="350" t="s">
        <v>2069</v>
      </c>
      <c r="L609" s="349" t="s">
        <v>1161</v>
      </c>
      <c r="M609" s="350" t="s">
        <v>2070</v>
      </c>
      <c r="N609" s="350" t="s">
        <v>2071</v>
      </c>
      <c r="V609" s="347" t="s">
        <v>631</v>
      </c>
      <c r="Z609" s="349" t="s">
        <v>975</v>
      </c>
    </row>
    <row r="610" spans="1:26" ht="16.899999999999999" customHeight="1" x14ac:dyDescent="0.15">
      <c r="A610" s="347" t="s">
        <v>2072</v>
      </c>
      <c r="B610" s="347">
        <v>5</v>
      </c>
      <c r="C610" s="347" t="s">
        <v>968</v>
      </c>
      <c r="E610" s="347" t="s">
        <v>631</v>
      </c>
      <c r="F610" s="348" t="s">
        <v>941</v>
      </c>
      <c r="G610" s="347" t="s">
        <v>988</v>
      </c>
      <c r="H610" s="347" t="s">
        <v>970</v>
      </c>
      <c r="I610" s="347" t="s">
        <v>971</v>
      </c>
      <c r="J610" s="347" t="s">
        <v>989</v>
      </c>
      <c r="K610" s="350" t="s">
        <v>2073</v>
      </c>
      <c r="L610" s="349" t="s">
        <v>1161</v>
      </c>
      <c r="M610" s="350" t="s">
        <v>2074</v>
      </c>
      <c r="N610" s="350" t="s">
        <v>2075</v>
      </c>
      <c r="Q610" s="347" t="s">
        <v>631</v>
      </c>
      <c r="T610" s="347" t="s">
        <v>631</v>
      </c>
      <c r="V610" s="347" t="s">
        <v>631</v>
      </c>
      <c r="W610" s="347" t="s">
        <v>631</v>
      </c>
      <c r="Z610" s="349" t="s">
        <v>975</v>
      </c>
    </row>
    <row r="611" spans="1:26" ht="16.899999999999999" customHeight="1" x14ac:dyDescent="0.15">
      <c r="A611" s="347" t="s">
        <v>2076</v>
      </c>
      <c r="B611" s="347">
        <v>5</v>
      </c>
      <c r="C611" s="347" t="s">
        <v>1007</v>
      </c>
      <c r="E611" s="347" t="s">
        <v>631</v>
      </c>
      <c r="F611" s="348" t="s">
        <v>941</v>
      </c>
      <c r="G611" s="347" t="s">
        <v>978</v>
      </c>
      <c r="H611" s="347" t="s">
        <v>970</v>
      </c>
      <c r="I611" s="347" t="s">
        <v>971</v>
      </c>
      <c r="J611" s="347" t="s">
        <v>989</v>
      </c>
      <c r="K611" s="350" t="s">
        <v>2077</v>
      </c>
      <c r="L611" s="349" t="s">
        <v>979</v>
      </c>
      <c r="M611" s="350" t="s">
        <v>2078</v>
      </c>
      <c r="N611" s="350" t="s">
        <v>2079</v>
      </c>
      <c r="O611" s="347" t="s">
        <v>631</v>
      </c>
      <c r="V611" s="347" t="s">
        <v>631</v>
      </c>
      <c r="Z611" s="349" t="s">
        <v>975</v>
      </c>
    </row>
    <row r="612" spans="1:26" ht="16.899999999999999" customHeight="1" x14ac:dyDescent="0.15">
      <c r="A612" s="347" t="s">
        <v>2618</v>
      </c>
      <c r="B612" s="347">
        <v>5</v>
      </c>
      <c r="C612" s="347" t="s">
        <v>994</v>
      </c>
      <c r="E612" s="347" t="s">
        <v>631</v>
      </c>
      <c r="F612" s="348" t="s">
        <v>941</v>
      </c>
      <c r="G612" s="347" t="s">
        <v>1793</v>
      </c>
      <c r="H612" s="347" t="s">
        <v>970</v>
      </c>
      <c r="I612" s="347" t="s">
        <v>971</v>
      </c>
      <c r="K612" s="444"/>
      <c r="L612" s="349" t="s">
        <v>2421</v>
      </c>
      <c r="M612" s="350" t="s">
        <v>2619</v>
      </c>
      <c r="N612" s="350" t="s">
        <v>2620</v>
      </c>
      <c r="Q612" s="347" t="s">
        <v>631</v>
      </c>
      <c r="T612" s="347" t="s">
        <v>631</v>
      </c>
      <c r="V612" s="347" t="s">
        <v>631</v>
      </c>
      <c r="Z612" s="446" t="s">
        <v>2457</v>
      </c>
    </row>
    <row r="613" spans="1:26" ht="16.899999999999999" customHeight="1" x14ac:dyDescent="0.15">
      <c r="A613" s="347" t="s">
        <v>2621</v>
      </c>
      <c r="B613" s="347">
        <v>5</v>
      </c>
      <c r="C613" s="347" t="s">
        <v>983</v>
      </c>
      <c r="E613" s="347" t="s">
        <v>631</v>
      </c>
      <c r="F613" s="348" t="s">
        <v>941</v>
      </c>
      <c r="G613" s="347" t="s">
        <v>969</v>
      </c>
      <c r="H613" s="347" t="s">
        <v>970</v>
      </c>
      <c r="I613" s="347" t="s">
        <v>971</v>
      </c>
      <c r="K613" s="444"/>
      <c r="L613" s="349" t="s">
        <v>2421</v>
      </c>
      <c r="M613" s="350" t="s">
        <v>2622</v>
      </c>
      <c r="N613" s="350" t="s">
        <v>2623</v>
      </c>
      <c r="U613" s="347" t="s">
        <v>631</v>
      </c>
      <c r="V613" s="347" t="s">
        <v>631</v>
      </c>
      <c r="Z613" s="446" t="s">
        <v>2457</v>
      </c>
    </row>
    <row r="614" spans="1:26" ht="16.899999999999999" customHeight="1" x14ac:dyDescent="0.15">
      <c r="A614" s="347" t="s">
        <v>2624</v>
      </c>
      <c r="B614" s="347">
        <v>5</v>
      </c>
      <c r="C614" s="347" t="s">
        <v>968</v>
      </c>
      <c r="E614" s="347" t="s">
        <v>631</v>
      </c>
      <c r="F614" s="348" t="s">
        <v>941</v>
      </c>
      <c r="G614" s="347" t="s">
        <v>969</v>
      </c>
      <c r="H614" s="347" t="s">
        <v>970</v>
      </c>
      <c r="I614" s="347" t="s">
        <v>971</v>
      </c>
      <c r="J614" s="347" t="s">
        <v>989</v>
      </c>
      <c r="K614" s="444" t="s">
        <v>2625</v>
      </c>
      <c r="L614" s="349" t="s">
        <v>2413</v>
      </c>
      <c r="M614" s="350" t="s">
        <v>2626</v>
      </c>
      <c r="N614" s="350" t="s">
        <v>2627</v>
      </c>
      <c r="P614" s="347" t="s">
        <v>631</v>
      </c>
      <c r="V614" s="347" t="s">
        <v>631</v>
      </c>
      <c r="Z614" s="446" t="s">
        <v>2457</v>
      </c>
    </row>
    <row r="615" spans="1:26" ht="16.899999999999999" customHeight="1" x14ac:dyDescent="0.15">
      <c r="A615" s="347" t="s">
        <v>2628</v>
      </c>
      <c r="B615" s="347">
        <v>5</v>
      </c>
      <c r="C615" s="347" t="s">
        <v>983</v>
      </c>
      <c r="E615" s="347" t="s">
        <v>631</v>
      </c>
      <c r="F615" s="348" t="s">
        <v>941</v>
      </c>
      <c r="G615" s="347" t="s">
        <v>969</v>
      </c>
      <c r="H615" s="347" t="s">
        <v>970</v>
      </c>
      <c r="I615" s="347" t="s">
        <v>971</v>
      </c>
      <c r="K615" s="444"/>
      <c r="L615" s="349" t="s">
        <v>2413</v>
      </c>
      <c r="M615" s="350" t="s">
        <v>2629</v>
      </c>
      <c r="N615" s="350" t="s">
        <v>2630</v>
      </c>
      <c r="T615" s="347" t="s">
        <v>631</v>
      </c>
      <c r="U615" s="347" t="s">
        <v>631</v>
      </c>
      <c r="V615" s="347" t="s">
        <v>631</v>
      </c>
      <c r="Z615" s="446" t="s">
        <v>2457</v>
      </c>
    </row>
    <row r="616" spans="1:26" ht="16.899999999999999" customHeight="1" x14ac:dyDescent="0.15">
      <c r="A616" s="347" t="s">
        <v>2631</v>
      </c>
      <c r="B616" s="347">
        <v>5</v>
      </c>
      <c r="C616" s="347" t="s">
        <v>1019</v>
      </c>
      <c r="E616" s="347" t="s">
        <v>631</v>
      </c>
      <c r="F616" s="348" t="s">
        <v>941</v>
      </c>
      <c r="G616" s="347" t="s">
        <v>978</v>
      </c>
      <c r="H616" s="347" t="s">
        <v>970</v>
      </c>
      <c r="K616" s="444"/>
      <c r="L616" s="349" t="s">
        <v>2413</v>
      </c>
      <c r="M616" s="350" t="s">
        <v>2632</v>
      </c>
      <c r="N616" s="350" t="s">
        <v>2633</v>
      </c>
      <c r="T616" s="347" t="s">
        <v>631</v>
      </c>
      <c r="U616" s="347" t="s">
        <v>631</v>
      </c>
      <c r="V616" s="347" t="s">
        <v>631</v>
      </c>
      <c r="Z616" s="446" t="s">
        <v>2457</v>
      </c>
    </row>
    <row r="617" spans="1:26" ht="16.899999999999999" customHeight="1" x14ac:dyDescent="0.15">
      <c r="A617" s="347" t="s">
        <v>2634</v>
      </c>
      <c r="B617" s="347">
        <v>5</v>
      </c>
      <c r="C617" s="347" t="s">
        <v>968</v>
      </c>
      <c r="E617" s="347" t="s">
        <v>631</v>
      </c>
      <c r="F617" s="348" t="s">
        <v>1047</v>
      </c>
      <c r="G617" s="347" t="s">
        <v>2472</v>
      </c>
      <c r="H617" s="347" t="s">
        <v>970</v>
      </c>
      <c r="I617" s="347" t="s">
        <v>971</v>
      </c>
      <c r="K617" s="444"/>
      <c r="L617" s="349" t="s">
        <v>2421</v>
      </c>
      <c r="M617" s="350" t="s">
        <v>2635</v>
      </c>
      <c r="N617" s="350" t="s">
        <v>2636</v>
      </c>
      <c r="P617" s="347" t="s">
        <v>631</v>
      </c>
      <c r="R617" s="347" t="s">
        <v>631</v>
      </c>
      <c r="Z617" s="446" t="s">
        <v>2457</v>
      </c>
    </row>
    <row r="618" spans="1:26" ht="16.899999999999999" customHeight="1" x14ac:dyDescent="0.15">
      <c r="A618" s="347" t="s">
        <v>2637</v>
      </c>
      <c r="B618" s="347">
        <v>5</v>
      </c>
      <c r="C618" s="347" t="s">
        <v>968</v>
      </c>
      <c r="E618" s="347" t="s">
        <v>631</v>
      </c>
      <c r="F618" s="348" t="s">
        <v>941</v>
      </c>
      <c r="G618" s="347" t="s">
        <v>1134</v>
      </c>
      <c r="H618" s="347" t="s">
        <v>970</v>
      </c>
      <c r="K618" s="444"/>
      <c r="L618" s="349" t="s">
        <v>2413</v>
      </c>
      <c r="M618" s="350" t="s">
        <v>2638</v>
      </c>
      <c r="N618" s="350" t="s">
        <v>2639</v>
      </c>
      <c r="T618" s="347" t="s">
        <v>631</v>
      </c>
      <c r="V618" s="347" t="s">
        <v>631</v>
      </c>
      <c r="Z618" s="446" t="s">
        <v>2457</v>
      </c>
    </row>
    <row r="619" spans="1:26" ht="16.899999999999999" customHeight="1" x14ac:dyDescent="0.15">
      <c r="A619" s="347" t="s">
        <v>2640</v>
      </c>
      <c r="B619" s="347">
        <v>5</v>
      </c>
      <c r="C619" s="347" t="s">
        <v>1019</v>
      </c>
      <c r="E619" s="347" t="s">
        <v>631</v>
      </c>
      <c r="F619" s="348" t="s">
        <v>1020</v>
      </c>
      <c r="G619" s="347" t="s">
        <v>1134</v>
      </c>
      <c r="H619" s="347" t="s">
        <v>970</v>
      </c>
      <c r="I619" s="347" t="s">
        <v>971</v>
      </c>
      <c r="J619" s="347" t="s">
        <v>989</v>
      </c>
      <c r="K619" s="444" t="s">
        <v>2641</v>
      </c>
      <c r="L619" s="349" t="s">
        <v>2421</v>
      </c>
      <c r="M619" s="350" t="s">
        <v>2642</v>
      </c>
      <c r="N619" s="350" t="s">
        <v>2643</v>
      </c>
      <c r="U619" s="347" t="s">
        <v>631</v>
      </c>
      <c r="V619" s="347" t="s">
        <v>631</v>
      </c>
      <c r="Z619" s="446" t="s">
        <v>2457</v>
      </c>
    </row>
    <row r="620" spans="1:26" ht="16.899999999999999" customHeight="1" x14ac:dyDescent="0.15">
      <c r="A620" s="347" t="s">
        <v>2644</v>
      </c>
      <c r="B620" s="347">
        <v>5</v>
      </c>
      <c r="C620" s="347" t="s">
        <v>968</v>
      </c>
      <c r="E620" s="347" t="s">
        <v>631</v>
      </c>
      <c r="F620" s="348" t="s">
        <v>941</v>
      </c>
      <c r="G620" s="347" t="s">
        <v>988</v>
      </c>
      <c r="H620" s="347" t="s">
        <v>970</v>
      </c>
      <c r="I620" s="347" t="s">
        <v>971</v>
      </c>
      <c r="J620" s="347" t="s">
        <v>989</v>
      </c>
      <c r="K620" s="444" t="s">
        <v>2645</v>
      </c>
      <c r="L620" s="349" t="s">
        <v>2413</v>
      </c>
      <c r="M620" s="350" t="s">
        <v>2646</v>
      </c>
      <c r="N620" s="350" t="s">
        <v>2647</v>
      </c>
      <c r="Q620" s="347" t="s">
        <v>631</v>
      </c>
      <c r="Z620" s="446" t="s">
        <v>2457</v>
      </c>
    </row>
    <row r="621" spans="1:26" ht="16.899999999999999" customHeight="1" x14ac:dyDescent="0.15">
      <c r="A621" s="347" t="s">
        <v>2648</v>
      </c>
      <c r="B621" s="347">
        <v>5</v>
      </c>
      <c r="C621" s="347" t="s">
        <v>983</v>
      </c>
      <c r="F621" s="348" t="s">
        <v>941</v>
      </c>
      <c r="G621" s="347" t="s">
        <v>969</v>
      </c>
      <c r="H621" s="347" t="s">
        <v>970</v>
      </c>
      <c r="J621" s="347" t="s">
        <v>989</v>
      </c>
      <c r="K621" s="444" t="s">
        <v>2649</v>
      </c>
      <c r="L621" s="349" t="s">
        <v>972</v>
      </c>
      <c r="M621" s="350" t="s">
        <v>2650</v>
      </c>
      <c r="N621" s="350" t="s">
        <v>2651</v>
      </c>
      <c r="U621" s="347" t="s">
        <v>631</v>
      </c>
      <c r="V621" s="347" t="s">
        <v>631</v>
      </c>
      <c r="Z621" s="446" t="s">
        <v>2457</v>
      </c>
    </row>
    <row r="622" spans="1:26" ht="16.899999999999999" customHeight="1" x14ac:dyDescent="0.15">
      <c r="A622" s="347" t="s">
        <v>2652</v>
      </c>
      <c r="B622" s="347">
        <v>5</v>
      </c>
      <c r="C622" s="347" t="s">
        <v>994</v>
      </c>
      <c r="E622" s="347" t="s">
        <v>631</v>
      </c>
      <c r="F622" s="348" t="s">
        <v>941</v>
      </c>
      <c r="G622" s="347" t="s">
        <v>2472</v>
      </c>
      <c r="H622" s="347" t="s">
        <v>970</v>
      </c>
      <c r="I622" s="347" t="s">
        <v>971</v>
      </c>
      <c r="K622" s="444"/>
      <c r="L622" s="349" t="s">
        <v>2421</v>
      </c>
      <c r="M622" s="350" t="s">
        <v>2653</v>
      </c>
      <c r="N622" s="350" t="s">
        <v>2654</v>
      </c>
      <c r="O622" s="347" t="s">
        <v>631</v>
      </c>
      <c r="T622" s="347" t="s">
        <v>631</v>
      </c>
      <c r="V622" s="347" t="s">
        <v>631</v>
      </c>
      <c r="W622" s="347" t="s">
        <v>631</v>
      </c>
      <c r="Z622" s="446" t="s">
        <v>2457</v>
      </c>
    </row>
    <row r="623" spans="1:26" ht="16.899999999999999" customHeight="1" x14ac:dyDescent="0.15">
      <c r="A623" s="347" t="s">
        <v>2655</v>
      </c>
      <c r="B623" s="347">
        <v>5</v>
      </c>
      <c r="C623" s="347" t="s">
        <v>994</v>
      </c>
      <c r="F623" s="348" t="s">
        <v>941</v>
      </c>
      <c r="G623" s="347" t="s">
        <v>988</v>
      </c>
      <c r="H623" s="347" t="s">
        <v>970</v>
      </c>
      <c r="I623" s="347" t="s">
        <v>971</v>
      </c>
      <c r="J623" s="347" t="s">
        <v>989</v>
      </c>
      <c r="K623" s="444" t="s">
        <v>2656</v>
      </c>
      <c r="L623" s="349" t="s">
        <v>1381</v>
      </c>
      <c r="M623" s="350" t="s">
        <v>2657</v>
      </c>
      <c r="N623" s="350" t="s">
        <v>2658</v>
      </c>
      <c r="Q623" s="347" t="s">
        <v>631</v>
      </c>
      <c r="V623" s="347" t="s">
        <v>631</v>
      </c>
      <c r="W623" s="347" t="s">
        <v>631</v>
      </c>
      <c r="Z623" s="446" t="s">
        <v>2457</v>
      </c>
    </row>
    <row r="624" spans="1:26" ht="16.899999999999999" customHeight="1" x14ac:dyDescent="0.15">
      <c r="A624" s="347" t="s">
        <v>2659</v>
      </c>
      <c r="B624" s="347">
        <v>5</v>
      </c>
      <c r="C624" s="347" t="s">
        <v>968</v>
      </c>
      <c r="E624" s="347" t="s">
        <v>631</v>
      </c>
      <c r="F624" s="348" t="s">
        <v>941</v>
      </c>
      <c r="G624" s="347" t="s">
        <v>988</v>
      </c>
      <c r="H624" s="347" t="s">
        <v>970</v>
      </c>
      <c r="I624" s="347" t="s">
        <v>971</v>
      </c>
      <c r="J624" s="347" t="s">
        <v>989</v>
      </c>
      <c r="K624" s="444" t="s">
        <v>2660</v>
      </c>
      <c r="L624" s="349" t="s">
        <v>2490</v>
      </c>
      <c r="M624" s="350" t="s">
        <v>2661</v>
      </c>
      <c r="N624" s="350" t="s">
        <v>2662</v>
      </c>
      <c r="T624" s="347" t="s">
        <v>631</v>
      </c>
      <c r="U624" s="347" t="s">
        <v>631</v>
      </c>
      <c r="V624" s="347" t="s">
        <v>631</v>
      </c>
      <c r="Z624" s="446" t="s">
        <v>2457</v>
      </c>
    </row>
    <row r="625" spans="1:26" ht="16.899999999999999" customHeight="1" x14ac:dyDescent="0.15">
      <c r="A625" s="347" t="s">
        <v>548</v>
      </c>
      <c r="B625" s="347">
        <v>5</v>
      </c>
      <c r="C625" s="347" t="s">
        <v>968</v>
      </c>
      <c r="E625" s="347" t="s">
        <v>631</v>
      </c>
      <c r="F625" s="348" t="s">
        <v>941</v>
      </c>
      <c r="G625" s="347" t="s">
        <v>988</v>
      </c>
      <c r="H625" s="347" t="s">
        <v>970</v>
      </c>
      <c r="I625" s="347" t="s">
        <v>971</v>
      </c>
      <c r="K625" s="444"/>
      <c r="L625" s="349" t="s">
        <v>2413</v>
      </c>
      <c r="M625" s="350" t="s">
        <v>2663</v>
      </c>
      <c r="N625" s="350" t="s">
        <v>2664</v>
      </c>
      <c r="Q625" s="347" t="s">
        <v>631</v>
      </c>
      <c r="S625" s="347" t="s">
        <v>631</v>
      </c>
      <c r="Z625" s="446" t="s">
        <v>2457</v>
      </c>
    </row>
    <row r="626" spans="1:26" ht="16.899999999999999" customHeight="1" x14ac:dyDescent="0.15">
      <c r="A626" s="347" t="s">
        <v>2781</v>
      </c>
      <c r="B626" s="347">
        <v>5</v>
      </c>
      <c r="C626" s="347" t="s">
        <v>1019</v>
      </c>
      <c r="E626" s="347" t="s">
        <v>631</v>
      </c>
      <c r="F626" s="348" t="s">
        <v>941</v>
      </c>
      <c r="G626" s="347" t="s">
        <v>969</v>
      </c>
      <c r="H626" s="347" t="s">
        <v>970</v>
      </c>
      <c r="I626" s="347" t="s">
        <v>971</v>
      </c>
      <c r="J626" s="347" t="s">
        <v>989</v>
      </c>
      <c r="K626" s="444" t="s">
        <v>2782</v>
      </c>
      <c r="L626" s="349" t="s">
        <v>2421</v>
      </c>
      <c r="M626" s="350" t="s">
        <v>2783</v>
      </c>
      <c r="N626" s="350" t="s">
        <v>2784</v>
      </c>
      <c r="Q626" s="347" t="s">
        <v>631</v>
      </c>
      <c r="T626" s="347" t="s">
        <v>631</v>
      </c>
      <c r="V626" s="347" t="s">
        <v>631</v>
      </c>
      <c r="Z626" s="446" t="s">
        <v>2769</v>
      </c>
    </row>
    <row r="627" spans="1:26" ht="16.899999999999999" customHeight="1" x14ac:dyDescent="0.15">
      <c r="A627" s="347" t="s">
        <v>2845</v>
      </c>
      <c r="B627" s="347">
        <v>5</v>
      </c>
      <c r="C627" s="347" t="s">
        <v>994</v>
      </c>
      <c r="F627" s="348" t="s">
        <v>941</v>
      </c>
      <c r="G627" s="347" t="s">
        <v>2472</v>
      </c>
      <c r="H627" s="347" t="s">
        <v>970</v>
      </c>
      <c r="I627" s="347" t="s">
        <v>971</v>
      </c>
      <c r="J627" s="347" t="s">
        <v>989</v>
      </c>
      <c r="K627" s="444" t="s">
        <v>2846</v>
      </c>
      <c r="L627" s="349" t="s">
        <v>972</v>
      </c>
      <c r="M627" s="350" t="s">
        <v>2847</v>
      </c>
      <c r="N627" s="350" t="s">
        <v>2848</v>
      </c>
      <c r="V627" s="347" t="s">
        <v>631</v>
      </c>
      <c r="W627" s="347" t="s">
        <v>631</v>
      </c>
      <c r="Z627" s="446" t="s">
        <v>2844</v>
      </c>
    </row>
    <row r="628" spans="1:26" ht="16.899999999999999" customHeight="1" x14ac:dyDescent="0.15">
      <c r="A628" s="347" t="s">
        <v>2913</v>
      </c>
      <c r="B628" s="347">
        <v>5</v>
      </c>
      <c r="C628" s="347" t="s">
        <v>994</v>
      </c>
      <c r="F628" s="348" t="s">
        <v>2914</v>
      </c>
      <c r="G628" s="347" t="s">
        <v>988</v>
      </c>
      <c r="H628" s="347" t="s">
        <v>970</v>
      </c>
      <c r="I628" s="347" t="s">
        <v>971</v>
      </c>
      <c r="K628" s="349"/>
      <c r="L628" s="349" t="s">
        <v>1032</v>
      </c>
      <c r="M628" s="350" t="s">
        <v>2915</v>
      </c>
      <c r="N628" s="445" t="s">
        <v>2916</v>
      </c>
      <c r="V628" s="347" t="s">
        <v>631</v>
      </c>
      <c r="Z628" s="446" t="s">
        <v>2888</v>
      </c>
    </row>
    <row r="629" spans="1:26" ht="16.899999999999999" customHeight="1" x14ac:dyDescent="0.15">
      <c r="A629" s="347" t="s">
        <v>5593</v>
      </c>
      <c r="B629" s="347">
        <v>5</v>
      </c>
      <c r="C629" s="347" t="s">
        <v>1013</v>
      </c>
      <c r="D629" s="347" t="s">
        <v>631</v>
      </c>
      <c r="F629" s="348" t="s">
        <v>1250</v>
      </c>
      <c r="G629" s="347" t="s">
        <v>978</v>
      </c>
      <c r="H629" s="347" t="s">
        <v>970</v>
      </c>
      <c r="I629" s="347" t="s">
        <v>971</v>
      </c>
      <c r="J629" s="347" t="s">
        <v>989</v>
      </c>
      <c r="K629" s="350" t="s">
        <v>5594</v>
      </c>
      <c r="L629" s="349" t="s">
        <v>1020</v>
      </c>
      <c r="M629" s="350" t="s">
        <v>5595</v>
      </c>
      <c r="N629" s="350" t="s">
        <v>5596</v>
      </c>
      <c r="O629" s="347" t="s">
        <v>631</v>
      </c>
      <c r="P629" s="347" t="s">
        <v>631</v>
      </c>
      <c r="Q629" s="347" t="s">
        <v>631</v>
      </c>
      <c r="T629" s="347" t="s">
        <v>631</v>
      </c>
      <c r="U629" s="347" t="s">
        <v>631</v>
      </c>
      <c r="V629" s="347" t="s">
        <v>631</v>
      </c>
      <c r="Z629" s="349" t="s">
        <v>3197</v>
      </c>
    </row>
    <row r="630" spans="1:26" ht="16.899999999999999" customHeight="1" x14ac:dyDescent="0.15">
      <c r="A630" s="347" t="s">
        <v>5597</v>
      </c>
      <c r="B630" s="347">
        <v>5</v>
      </c>
      <c r="C630" s="347" t="s">
        <v>977</v>
      </c>
      <c r="F630" s="348" t="s">
        <v>941</v>
      </c>
      <c r="G630" s="347" t="s">
        <v>988</v>
      </c>
      <c r="H630" s="347" t="s">
        <v>970</v>
      </c>
      <c r="I630" s="347" t="s">
        <v>971</v>
      </c>
      <c r="K630" s="350"/>
      <c r="L630" s="349" t="s">
        <v>972</v>
      </c>
      <c r="M630" s="350" t="s">
        <v>5598</v>
      </c>
      <c r="N630" s="350" t="s">
        <v>5599</v>
      </c>
      <c r="O630" s="347" t="s">
        <v>631</v>
      </c>
      <c r="P630" s="347" t="s">
        <v>631</v>
      </c>
      <c r="Q630" s="347" t="s">
        <v>631</v>
      </c>
      <c r="T630" s="347" t="s">
        <v>631</v>
      </c>
      <c r="U630" s="347" t="s">
        <v>631</v>
      </c>
      <c r="V630" s="347" t="s">
        <v>631</v>
      </c>
      <c r="Z630" s="349" t="s">
        <v>3197</v>
      </c>
    </row>
    <row r="631" spans="1:26" ht="16.899999999999999" customHeight="1" x14ac:dyDescent="0.15">
      <c r="A631" s="347" t="s">
        <v>5600</v>
      </c>
      <c r="B631" s="347">
        <v>5</v>
      </c>
      <c r="C631" s="347" t="s">
        <v>994</v>
      </c>
      <c r="E631" s="347" t="s">
        <v>2950</v>
      </c>
      <c r="F631" s="348" t="s">
        <v>941</v>
      </c>
      <c r="G631" s="347" t="s">
        <v>988</v>
      </c>
      <c r="H631" s="347" t="s">
        <v>970</v>
      </c>
      <c r="K631" s="350"/>
      <c r="L631" s="349" t="s">
        <v>2413</v>
      </c>
      <c r="M631" s="350" t="s">
        <v>5601</v>
      </c>
      <c r="N631" s="350" t="s">
        <v>5602</v>
      </c>
      <c r="O631" s="347" t="s">
        <v>631</v>
      </c>
      <c r="Q631" s="347" t="s">
        <v>631</v>
      </c>
      <c r="T631" s="347" t="s">
        <v>631</v>
      </c>
      <c r="U631" s="347" t="s">
        <v>631</v>
      </c>
      <c r="V631" s="347" t="s">
        <v>631</v>
      </c>
      <c r="Z631" s="349" t="s">
        <v>3197</v>
      </c>
    </row>
    <row r="632" spans="1:26" ht="16.899999999999999" customHeight="1" x14ac:dyDescent="0.15">
      <c r="A632" s="347" t="s">
        <v>5603</v>
      </c>
      <c r="B632" s="347">
        <v>5</v>
      </c>
      <c r="C632" s="347" t="s">
        <v>1019</v>
      </c>
      <c r="E632" s="347" t="s">
        <v>2950</v>
      </c>
      <c r="F632" s="348" t="s">
        <v>1020</v>
      </c>
      <c r="G632" s="347" t="s">
        <v>1134</v>
      </c>
      <c r="H632" s="347" t="s">
        <v>970</v>
      </c>
      <c r="I632" s="347" t="s">
        <v>971</v>
      </c>
      <c r="J632" s="347" t="s">
        <v>989</v>
      </c>
      <c r="K632" s="350" t="s">
        <v>5594</v>
      </c>
      <c r="L632" s="349" t="s">
        <v>1211</v>
      </c>
      <c r="M632" s="350" t="s">
        <v>5818</v>
      </c>
      <c r="N632" s="350" t="s">
        <v>5604</v>
      </c>
      <c r="T632" s="347" t="s">
        <v>631</v>
      </c>
      <c r="U632" s="347" t="s">
        <v>631</v>
      </c>
      <c r="V632" s="347" t="s">
        <v>631</v>
      </c>
      <c r="Z632" s="349" t="s">
        <v>3197</v>
      </c>
    </row>
    <row r="633" spans="1:26" ht="16.899999999999999" customHeight="1" x14ac:dyDescent="0.15">
      <c r="A633" s="347" t="s">
        <v>6423</v>
      </c>
      <c r="B633" s="347">
        <v>5</v>
      </c>
      <c r="C633" s="347" t="s">
        <v>1019</v>
      </c>
      <c r="E633" s="347" t="s">
        <v>631</v>
      </c>
      <c r="F633" s="348" t="s">
        <v>941</v>
      </c>
      <c r="G633" s="347" t="s">
        <v>1541</v>
      </c>
      <c r="H633" s="347" t="s">
        <v>970</v>
      </c>
      <c r="I633" s="347" t="s">
        <v>6323</v>
      </c>
      <c r="J633" s="347" t="s">
        <v>989</v>
      </c>
      <c r="K633" s="350" t="s">
        <v>6424</v>
      </c>
      <c r="L633" s="349" t="s">
        <v>979</v>
      </c>
      <c r="M633" s="350" t="s">
        <v>6425</v>
      </c>
      <c r="N633" s="350" t="s">
        <v>6426</v>
      </c>
      <c r="Q633" s="347" t="s">
        <v>631</v>
      </c>
      <c r="V633" s="347" t="s">
        <v>631</v>
      </c>
      <c r="Y633" s="347" t="s">
        <v>631</v>
      </c>
      <c r="Z633" s="349" t="s">
        <v>5820</v>
      </c>
    </row>
    <row r="634" spans="1:26" ht="16.899999999999999" customHeight="1" x14ac:dyDescent="0.15">
      <c r="A634" s="347" t="s">
        <v>6427</v>
      </c>
      <c r="B634" s="347">
        <v>5</v>
      </c>
      <c r="C634" s="347" t="s">
        <v>983</v>
      </c>
      <c r="E634" s="347" t="s">
        <v>631</v>
      </c>
      <c r="F634" s="348" t="s">
        <v>941</v>
      </c>
      <c r="G634" s="347" t="s">
        <v>988</v>
      </c>
      <c r="H634" s="347" t="s">
        <v>970</v>
      </c>
      <c r="I634" s="347" t="s">
        <v>6323</v>
      </c>
      <c r="J634" s="347" t="s">
        <v>989</v>
      </c>
      <c r="K634" s="350" t="s">
        <v>6428</v>
      </c>
      <c r="L634" s="349" t="s">
        <v>1161</v>
      </c>
      <c r="M634" s="350" t="s">
        <v>6429</v>
      </c>
      <c r="N634" s="350" t="s">
        <v>6430</v>
      </c>
      <c r="T634" s="347" t="s">
        <v>631</v>
      </c>
      <c r="U634" s="347" t="s">
        <v>631</v>
      </c>
      <c r="V634" s="347" t="s">
        <v>631</v>
      </c>
      <c r="Y634" s="347" t="s">
        <v>631</v>
      </c>
      <c r="Z634" s="349" t="s">
        <v>5820</v>
      </c>
    </row>
    <row r="635" spans="1:26" ht="16.899999999999999" customHeight="1" x14ac:dyDescent="0.15">
      <c r="A635" s="347" t="s">
        <v>6431</v>
      </c>
      <c r="B635" s="347">
        <v>5</v>
      </c>
      <c r="C635" s="347" t="s">
        <v>983</v>
      </c>
      <c r="F635" s="348" t="s">
        <v>941</v>
      </c>
      <c r="G635" s="347" t="s">
        <v>1541</v>
      </c>
      <c r="H635" s="347" t="s">
        <v>970</v>
      </c>
      <c r="I635" s="347" t="s">
        <v>6323</v>
      </c>
      <c r="J635" s="347" t="s">
        <v>989</v>
      </c>
      <c r="K635" s="350" t="s">
        <v>6432</v>
      </c>
      <c r="L635" s="349" t="s">
        <v>972</v>
      </c>
      <c r="M635" s="350" t="s">
        <v>6433</v>
      </c>
      <c r="N635" s="350" t="s">
        <v>6434</v>
      </c>
      <c r="T635" s="347" t="s">
        <v>631</v>
      </c>
      <c r="U635" s="347" t="s">
        <v>631</v>
      </c>
      <c r="V635" s="347" t="s">
        <v>631</v>
      </c>
      <c r="Y635" s="347" t="s">
        <v>631</v>
      </c>
      <c r="Z635" s="349" t="s">
        <v>5820</v>
      </c>
    </row>
    <row r="636" spans="1:26" ht="16.899999999999999" customHeight="1" x14ac:dyDescent="0.15">
      <c r="A636" s="347" t="s">
        <v>6435</v>
      </c>
      <c r="B636" s="347">
        <v>5</v>
      </c>
      <c r="C636" s="347" t="s">
        <v>1019</v>
      </c>
      <c r="F636" s="348" t="s">
        <v>941</v>
      </c>
      <c r="G636" s="347" t="s">
        <v>988</v>
      </c>
      <c r="H636" s="347" t="s">
        <v>970</v>
      </c>
      <c r="I636" s="347" t="s">
        <v>6323</v>
      </c>
      <c r="J636" s="347" t="s">
        <v>989</v>
      </c>
      <c r="K636" s="350" t="s">
        <v>6436</v>
      </c>
      <c r="L636" s="349" t="s">
        <v>972</v>
      </c>
      <c r="M636" s="350" t="s">
        <v>6437</v>
      </c>
      <c r="N636" s="350" t="s">
        <v>6438</v>
      </c>
      <c r="S636" s="347" t="s">
        <v>631</v>
      </c>
      <c r="T636" s="347" t="s">
        <v>631</v>
      </c>
      <c r="V636" s="347" t="s">
        <v>631</v>
      </c>
      <c r="Y636" s="347" t="s">
        <v>631</v>
      </c>
      <c r="Z636" s="349" t="s">
        <v>5820</v>
      </c>
    </row>
    <row r="637" spans="1:26" ht="16.899999999999999" customHeight="1" x14ac:dyDescent="0.15">
      <c r="A637" s="347" t="s">
        <v>6519</v>
      </c>
      <c r="B637" s="347">
        <v>5</v>
      </c>
      <c r="C637" s="347" t="s">
        <v>6520</v>
      </c>
      <c r="E637" s="347" t="s">
        <v>2950</v>
      </c>
      <c r="F637" s="348" t="s">
        <v>2995</v>
      </c>
      <c r="G637" s="347" t="s">
        <v>978</v>
      </c>
      <c r="H637" s="347" t="s">
        <v>970</v>
      </c>
      <c r="I637" s="347" t="s">
        <v>971</v>
      </c>
      <c r="J637" s="347" t="s">
        <v>989</v>
      </c>
      <c r="K637" s="350" t="s">
        <v>6521</v>
      </c>
      <c r="L637" s="349" t="s">
        <v>6522</v>
      </c>
      <c r="M637" s="350" t="s">
        <v>6523</v>
      </c>
      <c r="N637" s="350" t="s">
        <v>6524</v>
      </c>
      <c r="Q637" s="347" t="s">
        <v>2950</v>
      </c>
      <c r="S637" s="347" t="s">
        <v>2950</v>
      </c>
      <c r="T637" s="347" t="s">
        <v>631</v>
      </c>
      <c r="Z637" s="349" t="s">
        <v>6518</v>
      </c>
    </row>
    <row r="638" spans="1:26" ht="16.899999999999999" customHeight="1" x14ac:dyDescent="0.15">
      <c r="A638" s="347" t="s">
        <v>8118</v>
      </c>
      <c r="B638" s="347">
        <v>5</v>
      </c>
      <c r="C638" s="347" t="s">
        <v>2941</v>
      </c>
      <c r="F638" s="348" t="s">
        <v>7875</v>
      </c>
      <c r="G638" s="347" t="s">
        <v>2952</v>
      </c>
      <c r="H638" s="347" t="s">
        <v>2953</v>
      </c>
      <c r="I638" s="347" t="s">
        <v>6323</v>
      </c>
      <c r="J638" s="347" t="s">
        <v>6335</v>
      </c>
      <c r="K638" s="350" t="s">
        <v>8119</v>
      </c>
      <c r="L638" s="349" t="s">
        <v>7963</v>
      </c>
      <c r="M638" s="350" t="s">
        <v>8120</v>
      </c>
      <c r="N638" s="350" t="s">
        <v>8121</v>
      </c>
      <c r="O638" s="347" t="s">
        <v>2950</v>
      </c>
      <c r="T638" s="347" t="s">
        <v>2950</v>
      </c>
      <c r="V638" s="347" t="s">
        <v>2950</v>
      </c>
      <c r="Z638" s="349" t="s">
        <v>7972</v>
      </c>
    </row>
    <row r="639" spans="1:26" ht="16.899999999999999" customHeight="1" x14ac:dyDescent="0.15">
      <c r="A639" s="347" t="s">
        <v>8122</v>
      </c>
      <c r="B639" s="347">
        <v>5</v>
      </c>
      <c r="C639" s="347" t="s">
        <v>2976</v>
      </c>
      <c r="E639" s="347" t="s">
        <v>2950</v>
      </c>
      <c r="F639" s="348" t="s">
        <v>2995</v>
      </c>
      <c r="G639" s="347" t="s">
        <v>2970</v>
      </c>
      <c r="H639" s="347" t="s">
        <v>2953</v>
      </c>
      <c r="I639" s="347" t="s">
        <v>6323</v>
      </c>
      <c r="J639" s="347" t="s">
        <v>6335</v>
      </c>
      <c r="K639" s="350" t="s">
        <v>8123</v>
      </c>
      <c r="L639" s="349" t="s">
        <v>8007</v>
      </c>
      <c r="M639" s="350" t="s">
        <v>8124</v>
      </c>
      <c r="N639" s="350" t="s">
        <v>8125</v>
      </c>
      <c r="O639" s="347" t="s">
        <v>2950</v>
      </c>
      <c r="V639" s="347" t="s">
        <v>2950</v>
      </c>
      <c r="Z639" s="349" t="s">
        <v>7972</v>
      </c>
    </row>
    <row r="640" spans="1:26" ht="16.899999999999999" customHeight="1" x14ac:dyDescent="0.15">
      <c r="A640" s="347" t="s">
        <v>8126</v>
      </c>
      <c r="B640" s="347">
        <v>5</v>
      </c>
      <c r="C640" s="347" t="s">
        <v>7883</v>
      </c>
      <c r="E640" s="347" t="s">
        <v>2950</v>
      </c>
      <c r="F640" s="348" t="s">
        <v>2995</v>
      </c>
      <c r="G640" s="347" t="s">
        <v>2972</v>
      </c>
      <c r="H640" s="347" t="s">
        <v>2953</v>
      </c>
      <c r="I640" s="347" t="s">
        <v>6323</v>
      </c>
      <c r="J640" s="347" t="s">
        <v>6335</v>
      </c>
      <c r="K640" s="350" t="s">
        <v>8127</v>
      </c>
      <c r="L640" s="349" t="s">
        <v>6522</v>
      </c>
      <c r="M640" s="350" t="s">
        <v>8128</v>
      </c>
      <c r="N640" s="350" t="s">
        <v>8129</v>
      </c>
      <c r="T640" s="347" t="s">
        <v>2950</v>
      </c>
      <c r="V640" s="347" t="s">
        <v>2950</v>
      </c>
      <c r="Z640" s="349" t="s">
        <v>7972</v>
      </c>
    </row>
    <row r="641" spans="1:26" ht="16.899999999999999" customHeight="1" x14ac:dyDescent="0.15">
      <c r="A641" s="347" t="s">
        <v>8130</v>
      </c>
      <c r="B641" s="347">
        <v>5</v>
      </c>
      <c r="C641" s="347" t="s">
        <v>7883</v>
      </c>
      <c r="F641" s="348" t="s">
        <v>2995</v>
      </c>
      <c r="G641" s="347" t="s">
        <v>8101</v>
      </c>
      <c r="H641" s="347" t="s">
        <v>2953</v>
      </c>
      <c r="I641" s="347" t="s">
        <v>6323</v>
      </c>
      <c r="J641" s="347" t="s">
        <v>6335</v>
      </c>
      <c r="K641" s="350" t="s">
        <v>8131</v>
      </c>
      <c r="L641" s="349" t="s">
        <v>2987</v>
      </c>
      <c r="M641" s="350" t="s">
        <v>8132</v>
      </c>
      <c r="N641" s="350" t="s">
        <v>8133</v>
      </c>
      <c r="O641" s="347" t="s">
        <v>2950</v>
      </c>
      <c r="T641" s="347" t="s">
        <v>2950</v>
      </c>
      <c r="U641" s="347" t="s">
        <v>2950</v>
      </c>
      <c r="V641" s="347" t="s">
        <v>2950</v>
      </c>
      <c r="Z641" s="349" t="s">
        <v>7972</v>
      </c>
    </row>
    <row r="642" spans="1:26" ht="16.899999999999999" customHeight="1" x14ac:dyDescent="0.15">
      <c r="A642" s="347" t="s">
        <v>8134</v>
      </c>
      <c r="B642" s="347">
        <v>5</v>
      </c>
      <c r="C642" s="347" t="s">
        <v>2941</v>
      </c>
      <c r="F642" s="348" t="s">
        <v>2995</v>
      </c>
      <c r="G642" s="347" t="s">
        <v>2952</v>
      </c>
      <c r="H642" s="347" t="s">
        <v>2953</v>
      </c>
      <c r="I642" s="347" t="s">
        <v>6323</v>
      </c>
      <c r="K642" s="350"/>
      <c r="L642" s="349" t="s">
        <v>7939</v>
      </c>
      <c r="M642" s="350" t="s">
        <v>8135</v>
      </c>
      <c r="N642" s="350" t="s">
        <v>8136</v>
      </c>
      <c r="Q642" s="347" t="s">
        <v>2950</v>
      </c>
      <c r="S642" s="347" t="s">
        <v>2950</v>
      </c>
      <c r="T642" s="347" t="s">
        <v>2950</v>
      </c>
      <c r="U642" s="347" t="s">
        <v>2950</v>
      </c>
      <c r="V642" s="347" t="s">
        <v>2950</v>
      </c>
      <c r="Z642" s="349" t="s">
        <v>7972</v>
      </c>
    </row>
    <row r="643" spans="1:26" ht="16.899999999999999" customHeight="1" x14ac:dyDescent="0.15">
      <c r="A643" s="347" t="s">
        <v>8137</v>
      </c>
      <c r="B643" s="347">
        <v>5</v>
      </c>
      <c r="C643" s="347" t="s">
        <v>2941</v>
      </c>
      <c r="F643" s="348" t="s">
        <v>2995</v>
      </c>
      <c r="G643" s="347" t="s">
        <v>2972</v>
      </c>
      <c r="H643" s="347" t="s">
        <v>2953</v>
      </c>
      <c r="I643" s="347" t="s">
        <v>6323</v>
      </c>
      <c r="J643" s="347" t="s">
        <v>6335</v>
      </c>
      <c r="K643" s="350" t="s">
        <v>8138</v>
      </c>
      <c r="L643" s="349" t="s">
        <v>2987</v>
      </c>
      <c r="M643" s="350" t="s">
        <v>8139</v>
      </c>
      <c r="N643" s="350" t="s">
        <v>8140</v>
      </c>
      <c r="O643" s="347" t="s">
        <v>2950</v>
      </c>
      <c r="Q643" s="347" t="s">
        <v>2950</v>
      </c>
      <c r="S643" s="347" t="s">
        <v>2950</v>
      </c>
      <c r="T643" s="347" t="s">
        <v>2950</v>
      </c>
      <c r="U643" s="347" t="s">
        <v>2950</v>
      </c>
      <c r="Z643" s="349" t="s">
        <v>7972</v>
      </c>
    </row>
    <row r="644" spans="1:26" ht="16.899999999999999" customHeight="1" x14ac:dyDescent="0.15">
      <c r="A644" s="347" t="s">
        <v>8141</v>
      </c>
      <c r="B644" s="347">
        <v>5</v>
      </c>
      <c r="C644" s="347" t="s">
        <v>6520</v>
      </c>
      <c r="F644" s="348" t="s">
        <v>7898</v>
      </c>
      <c r="G644" s="347" t="s">
        <v>2970</v>
      </c>
      <c r="H644" s="347" t="s">
        <v>2953</v>
      </c>
      <c r="I644" s="347" t="s">
        <v>6323</v>
      </c>
      <c r="J644" s="347" t="s">
        <v>6335</v>
      </c>
      <c r="K644" s="350" t="s">
        <v>8142</v>
      </c>
      <c r="L644" s="349" t="s">
        <v>2987</v>
      </c>
      <c r="M644" s="350" t="s">
        <v>8143</v>
      </c>
      <c r="N644" s="350" t="s">
        <v>8144</v>
      </c>
      <c r="O644" s="347" t="s">
        <v>2950</v>
      </c>
      <c r="P644" s="347" t="s">
        <v>2950</v>
      </c>
      <c r="V644" s="347" t="s">
        <v>2950</v>
      </c>
      <c r="Z644" s="349" t="s">
        <v>7972</v>
      </c>
    </row>
    <row r="645" spans="1:26" ht="16.899999999999999" customHeight="1" x14ac:dyDescent="0.15">
      <c r="A645" s="347" t="s">
        <v>8287</v>
      </c>
      <c r="B645" s="347">
        <v>5</v>
      </c>
      <c r="C645" s="347" t="s">
        <v>8154</v>
      </c>
      <c r="E645" s="347" t="s">
        <v>2950</v>
      </c>
      <c r="F645" s="348" t="s">
        <v>2995</v>
      </c>
      <c r="G645" s="347" t="s">
        <v>2974</v>
      </c>
      <c r="H645" s="347" t="s">
        <v>2953</v>
      </c>
      <c r="I645" s="347" t="s">
        <v>6323</v>
      </c>
      <c r="J645" s="347" t="s">
        <v>6335</v>
      </c>
      <c r="K645" s="350" t="s">
        <v>8288</v>
      </c>
      <c r="L645" s="349" t="s">
        <v>8007</v>
      </c>
      <c r="M645" s="350" t="s">
        <v>8289</v>
      </c>
      <c r="N645" s="350" t="s">
        <v>8290</v>
      </c>
      <c r="P645" s="347" t="s">
        <v>2950</v>
      </c>
      <c r="Q645" s="347" t="s">
        <v>2950</v>
      </c>
      <c r="U645" s="347" t="s">
        <v>2950</v>
      </c>
      <c r="Z645" s="349" t="s">
        <v>8157</v>
      </c>
    </row>
    <row r="646" spans="1:26" ht="16.899999999999999" customHeight="1" x14ac:dyDescent="0.15">
      <c r="A646" s="347" t="s">
        <v>8291</v>
      </c>
      <c r="B646" s="347">
        <v>5</v>
      </c>
      <c r="C646" s="347" t="s">
        <v>7883</v>
      </c>
      <c r="E646" s="347" t="s">
        <v>2950</v>
      </c>
      <c r="F646" s="348" t="s">
        <v>2995</v>
      </c>
      <c r="G646" s="347" t="s">
        <v>7873</v>
      </c>
      <c r="H646" s="347" t="s">
        <v>2953</v>
      </c>
      <c r="I646" s="347" t="s">
        <v>6323</v>
      </c>
      <c r="J646" s="347" t="s">
        <v>6335</v>
      </c>
      <c r="K646" s="350" t="s">
        <v>8292</v>
      </c>
      <c r="L646" s="349" t="s">
        <v>7903</v>
      </c>
      <c r="M646" s="350" t="s">
        <v>8293</v>
      </c>
      <c r="N646" s="350" t="s">
        <v>8250</v>
      </c>
      <c r="O646" s="347" t="s">
        <v>2950</v>
      </c>
      <c r="R646" s="347" t="s">
        <v>2950</v>
      </c>
      <c r="S646" s="347" t="s">
        <v>2950</v>
      </c>
      <c r="U646" s="347" t="s">
        <v>2950</v>
      </c>
      <c r="Z646" s="349" t="s">
        <v>8157</v>
      </c>
    </row>
    <row r="647" spans="1:26" ht="16.899999999999999" customHeight="1" x14ac:dyDescent="0.15">
      <c r="A647" s="347" t="s">
        <v>8294</v>
      </c>
      <c r="B647" s="347">
        <v>5</v>
      </c>
      <c r="C647" s="347" t="s">
        <v>6520</v>
      </c>
      <c r="F647" s="348" t="s">
        <v>8295</v>
      </c>
      <c r="G647" s="347" t="s">
        <v>2972</v>
      </c>
      <c r="H647" s="347" t="s">
        <v>2953</v>
      </c>
      <c r="I647" s="347" t="s">
        <v>6323</v>
      </c>
      <c r="J647" s="347" t="s">
        <v>6335</v>
      </c>
      <c r="K647" s="350" t="s">
        <v>8296</v>
      </c>
      <c r="L647" s="349" t="s">
        <v>2987</v>
      </c>
      <c r="M647" s="350" t="s">
        <v>8297</v>
      </c>
      <c r="N647" s="350" t="s">
        <v>8298</v>
      </c>
      <c r="O647" s="347" t="s">
        <v>2950</v>
      </c>
      <c r="T647" s="347" t="s">
        <v>2950</v>
      </c>
      <c r="V647" s="347" t="s">
        <v>2950</v>
      </c>
      <c r="Z647" s="349" t="s">
        <v>8157</v>
      </c>
    </row>
    <row r="648" spans="1:26" ht="16.899999999999999" customHeight="1" x14ac:dyDescent="0.15">
      <c r="A648" s="347" t="s">
        <v>8525</v>
      </c>
      <c r="B648" s="347">
        <v>5</v>
      </c>
      <c r="C648" s="347" t="s">
        <v>983</v>
      </c>
      <c r="E648" s="347" t="s">
        <v>631</v>
      </c>
      <c r="F648" s="348" t="s">
        <v>941</v>
      </c>
      <c r="G648" s="347" t="s">
        <v>988</v>
      </c>
      <c r="H648" s="347" t="s">
        <v>970</v>
      </c>
      <c r="I648" s="347" t="s">
        <v>971</v>
      </c>
      <c r="K648" s="350"/>
      <c r="L648" s="349" t="s">
        <v>979</v>
      </c>
      <c r="M648" s="350" t="s">
        <v>8526</v>
      </c>
      <c r="N648" s="350" t="s">
        <v>8527</v>
      </c>
      <c r="P648" s="347" t="s">
        <v>631</v>
      </c>
      <c r="V648" s="347" t="s">
        <v>631</v>
      </c>
      <c r="Z648" s="349" t="s">
        <v>8537</v>
      </c>
    </row>
    <row r="649" spans="1:26" ht="16.899999999999999" customHeight="1" x14ac:dyDescent="0.15">
      <c r="A649" s="347" t="s">
        <v>9655</v>
      </c>
      <c r="B649" s="347">
        <v>5</v>
      </c>
      <c r="C649" s="347" t="s">
        <v>994</v>
      </c>
      <c r="E649" s="347" t="s">
        <v>631</v>
      </c>
      <c r="F649" s="348" t="s">
        <v>941</v>
      </c>
      <c r="G649" s="347" t="s">
        <v>709</v>
      </c>
      <c r="H649" s="347" t="s">
        <v>970</v>
      </c>
      <c r="J649" s="347" t="s">
        <v>989</v>
      </c>
      <c r="K649" s="350" t="s">
        <v>9656</v>
      </c>
      <c r="L649" s="349" t="s">
        <v>979</v>
      </c>
      <c r="M649" s="350" t="s">
        <v>9678</v>
      </c>
      <c r="N649" s="350" t="s">
        <v>9657</v>
      </c>
      <c r="O649" s="347" t="s">
        <v>631</v>
      </c>
      <c r="T649" s="347" t="s">
        <v>631</v>
      </c>
      <c r="U649" s="347" t="s">
        <v>631</v>
      </c>
      <c r="V649" s="347" t="s">
        <v>631</v>
      </c>
      <c r="Z649" s="349" t="s">
        <v>9638</v>
      </c>
    </row>
    <row r="650" spans="1:26" ht="16.899999999999999" customHeight="1" x14ac:dyDescent="0.15">
      <c r="A650" s="347" t="s">
        <v>9658</v>
      </c>
      <c r="B650" s="347">
        <v>5</v>
      </c>
      <c r="C650" s="347" t="s">
        <v>1007</v>
      </c>
      <c r="E650" s="347" t="s">
        <v>631</v>
      </c>
      <c r="F650" s="348" t="s">
        <v>941</v>
      </c>
      <c r="G650" s="347" t="s">
        <v>969</v>
      </c>
      <c r="H650" s="347" t="s">
        <v>970</v>
      </c>
      <c r="J650" s="347" t="s">
        <v>989</v>
      </c>
      <c r="K650" s="350" t="s">
        <v>9659</v>
      </c>
      <c r="L650" s="349" t="s">
        <v>979</v>
      </c>
      <c r="M650" s="350" t="s">
        <v>9679</v>
      </c>
      <c r="N650" s="350" t="s">
        <v>9660</v>
      </c>
      <c r="O650" s="347" t="s">
        <v>631</v>
      </c>
      <c r="P650" s="347" t="s">
        <v>631</v>
      </c>
      <c r="R650" s="347" t="s">
        <v>631</v>
      </c>
      <c r="Z650" s="349" t="s">
        <v>9638</v>
      </c>
    </row>
    <row r="651" spans="1:26" ht="16.899999999999999" customHeight="1" x14ac:dyDescent="0.15">
      <c r="A651" s="347" t="s">
        <v>9661</v>
      </c>
      <c r="B651" s="347">
        <v>5</v>
      </c>
      <c r="C651" s="347" t="s">
        <v>983</v>
      </c>
      <c r="E651" s="347" t="s">
        <v>631</v>
      </c>
      <c r="F651" s="348" t="s">
        <v>941</v>
      </c>
      <c r="G651" s="347" t="s">
        <v>969</v>
      </c>
      <c r="H651" s="347" t="s">
        <v>970</v>
      </c>
      <c r="I651" s="347" t="s">
        <v>971</v>
      </c>
      <c r="J651" s="347" t="s">
        <v>989</v>
      </c>
      <c r="K651" s="350" t="s">
        <v>9662</v>
      </c>
      <c r="L651" s="349" t="s">
        <v>979</v>
      </c>
      <c r="M651" s="350" t="s">
        <v>9680</v>
      </c>
      <c r="N651" s="350" t="s">
        <v>9663</v>
      </c>
      <c r="P651" s="347" t="s">
        <v>631</v>
      </c>
      <c r="Q651" s="347" t="s">
        <v>631</v>
      </c>
      <c r="T651" s="347" t="s">
        <v>631</v>
      </c>
      <c r="V651" s="347" t="s">
        <v>631</v>
      </c>
      <c r="Z651" s="349" t="s">
        <v>9638</v>
      </c>
    </row>
    <row r="652" spans="1:26" ht="16.899999999999999" customHeight="1" x14ac:dyDescent="0.15">
      <c r="A652" s="347" t="s">
        <v>9664</v>
      </c>
      <c r="B652" s="347">
        <v>5</v>
      </c>
      <c r="C652" s="347" t="s">
        <v>1007</v>
      </c>
      <c r="E652" s="347" t="s">
        <v>631</v>
      </c>
      <c r="F652" s="348" t="s">
        <v>941</v>
      </c>
      <c r="G652" s="347" t="s">
        <v>9665</v>
      </c>
      <c r="H652" s="347" t="s">
        <v>970</v>
      </c>
      <c r="J652" s="347" t="s">
        <v>989</v>
      </c>
      <c r="K652" s="350" t="s">
        <v>9666</v>
      </c>
      <c r="L652" s="349" t="s">
        <v>1161</v>
      </c>
      <c r="M652" s="350" t="s">
        <v>9681</v>
      </c>
      <c r="N652" s="350" t="s">
        <v>9667</v>
      </c>
      <c r="O652" s="347" t="s">
        <v>631</v>
      </c>
      <c r="U652" s="347" t="s">
        <v>631</v>
      </c>
      <c r="Z652" s="349" t="s">
        <v>9638</v>
      </c>
    </row>
    <row r="653" spans="1:26" ht="16.899999999999999" customHeight="1" x14ac:dyDescent="0.15">
      <c r="A653" s="347" t="s">
        <v>9668</v>
      </c>
      <c r="B653" s="347">
        <v>5</v>
      </c>
      <c r="C653" s="347" t="s">
        <v>1007</v>
      </c>
      <c r="F653" s="348" t="s">
        <v>941</v>
      </c>
      <c r="G653" s="347" t="s">
        <v>709</v>
      </c>
      <c r="H653" s="347" t="s">
        <v>970</v>
      </c>
      <c r="I653" s="347" t="s">
        <v>971</v>
      </c>
      <c r="K653" s="350"/>
      <c r="L653" s="349" t="s">
        <v>1109</v>
      </c>
      <c r="M653" s="350" t="s">
        <v>9682</v>
      </c>
      <c r="N653" s="350" t="s">
        <v>9669</v>
      </c>
      <c r="O653" s="347" t="s">
        <v>631</v>
      </c>
      <c r="P653" s="347" t="s">
        <v>631</v>
      </c>
      <c r="Q653" s="347" t="s">
        <v>631</v>
      </c>
      <c r="S653" s="347" t="s">
        <v>631</v>
      </c>
      <c r="Z653" s="349" t="s">
        <v>9638</v>
      </c>
    </row>
    <row r="654" spans="1:26" ht="16.899999999999999" customHeight="1" x14ac:dyDescent="0.15">
      <c r="A654" s="347" t="s">
        <v>9670</v>
      </c>
      <c r="B654" s="347">
        <v>5</v>
      </c>
      <c r="C654" s="347" t="s">
        <v>968</v>
      </c>
      <c r="E654" s="347" t="s">
        <v>631</v>
      </c>
      <c r="F654" s="348" t="s">
        <v>941</v>
      </c>
      <c r="G654" s="347" t="s">
        <v>9671</v>
      </c>
      <c r="H654" s="347" t="s">
        <v>970</v>
      </c>
      <c r="I654" s="347" t="s">
        <v>971</v>
      </c>
      <c r="J654" s="347" t="s">
        <v>989</v>
      </c>
      <c r="K654" s="350" t="s">
        <v>9672</v>
      </c>
      <c r="L654" s="349" t="s">
        <v>8007</v>
      </c>
      <c r="M654" s="350" t="s">
        <v>9683</v>
      </c>
      <c r="N654" s="350" t="s">
        <v>9673</v>
      </c>
      <c r="Q654" s="347" t="s">
        <v>631</v>
      </c>
      <c r="T654" s="347" t="s">
        <v>631</v>
      </c>
      <c r="V654" s="347" t="s">
        <v>631</v>
      </c>
      <c r="Z654" s="349" t="s">
        <v>9638</v>
      </c>
    </row>
    <row r="655" spans="1:26" ht="16.899999999999999" customHeight="1" x14ac:dyDescent="0.15">
      <c r="A655" s="347" t="s">
        <v>10088</v>
      </c>
      <c r="B655" s="347">
        <v>5</v>
      </c>
      <c r="C655" s="347" t="s">
        <v>977</v>
      </c>
      <c r="E655" s="347" t="s">
        <v>631</v>
      </c>
      <c r="F655" s="348" t="s">
        <v>941</v>
      </c>
      <c r="G655" s="347" t="s">
        <v>978</v>
      </c>
      <c r="H655" s="347" t="s">
        <v>970</v>
      </c>
      <c r="I655" s="347" t="s">
        <v>971</v>
      </c>
      <c r="J655" s="347" t="s">
        <v>989</v>
      </c>
      <c r="K655" s="350" t="s">
        <v>10089</v>
      </c>
      <c r="L655" s="349" t="s">
        <v>979</v>
      </c>
      <c r="M655" s="350" t="s">
        <v>10117</v>
      </c>
      <c r="N655" s="350" t="s">
        <v>10090</v>
      </c>
      <c r="O655" s="347" t="s">
        <v>10123</v>
      </c>
      <c r="Q655" s="347" t="s">
        <v>10123</v>
      </c>
      <c r="S655" s="347" t="s">
        <v>10123</v>
      </c>
      <c r="V655" s="347" t="s">
        <v>10123</v>
      </c>
      <c r="Z655" s="349" t="s">
        <v>10124</v>
      </c>
    </row>
    <row r="656" spans="1:26" ht="16.899999999999999" customHeight="1" x14ac:dyDescent="0.15">
      <c r="A656" s="347" t="s">
        <v>10091</v>
      </c>
      <c r="B656" s="347">
        <v>5</v>
      </c>
      <c r="C656" s="347" t="s">
        <v>994</v>
      </c>
      <c r="E656" s="347" t="s">
        <v>631</v>
      </c>
      <c r="F656" s="348" t="s">
        <v>941</v>
      </c>
      <c r="G656" s="347" t="s">
        <v>978</v>
      </c>
      <c r="H656" s="347" t="s">
        <v>970</v>
      </c>
      <c r="I656" s="347" t="s">
        <v>971</v>
      </c>
      <c r="J656" s="347" t="s">
        <v>989</v>
      </c>
      <c r="K656" s="350" t="s">
        <v>10092</v>
      </c>
      <c r="L656" s="349" t="s">
        <v>979</v>
      </c>
      <c r="M656" s="350" t="s">
        <v>10118</v>
      </c>
      <c r="N656" s="350" t="s">
        <v>10093</v>
      </c>
      <c r="Q656" s="347" t="s">
        <v>10123</v>
      </c>
      <c r="T656" s="347" t="s">
        <v>10123</v>
      </c>
      <c r="V656" s="347" t="s">
        <v>10123</v>
      </c>
      <c r="Z656" s="349" t="s">
        <v>10124</v>
      </c>
    </row>
    <row r="657" spans="1:26" ht="16.899999999999999" customHeight="1" x14ac:dyDescent="0.15">
      <c r="A657" s="347" t="s">
        <v>2080</v>
      </c>
      <c r="B657" s="347">
        <v>6</v>
      </c>
      <c r="C657" s="347" t="s">
        <v>1019</v>
      </c>
      <c r="E657" s="347" t="s">
        <v>631</v>
      </c>
      <c r="F657" s="348" t="s">
        <v>941</v>
      </c>
      <c r="G657" s="347" t="s">
        <v>1801</v>
      </c>
      <c r="H657" s="347" t="s">
        <v>970</v>
      </c>
      <c r="I657" s="347" t="s">
        <v>971</v>
      </c>
      <c r="K657" s="350"/>
      <c r="L657" s="349" t="s">
        <v>1161</v>
      </c>
      <c r="M657" s="350" t="s">
        <v>2081</v>
      </c>
      <c r="N657" s="350" t="s">
        <v>2082</v>
      </c>
      <c r="T657" s="347" t="s">
        <v>631</v>
      </c>
      <c r="U657" s="347" t="s">
        <v>631</v>
      </c>
      <c r="V657" s="347" t="s">
        <v>631</v>
      </c>
      <c r="Z657" s="349" t="s">
        <v>975</v>
      </c>
    </row>
    <row r="658" spans="1:26" ht="16.899999999999999" customHeight="1" x14ac:dyDescent="0.15">
      <c r="A658" s="347" t="s">
        <v>2083</v>
      </c>
      <c r="B658" s="347">
        <v>6</v>
      </c>
      <c r="C658" s="347" t="s">
        <v>968</v>
      </c>
      <c r="E658" s="347" t="s">
        <v>631</v>
      </c>
      <c r="F658" s="348" t="s">
        <v>941</v>
      </c>
      <c r="G658" s="347" t="s">
        <v>1134</v>
      </c>
      <c r="H658" s="347" t="s">
        <v>970</v>
      </c>
      <c r="I658" s="347" t="s">
        <v>971</v>
      </c>
      <c r="K658" s="350"/>
      <c r="L658" s="349" t="s">
        <v>1161</v>
      </c>
      <c r="M658" s="350" t="s">
        <v>2084</v>
      </c>
      <c r="N658" s="350" t="s">
        <v>2085</v>
      </c>
      <c r="P658" s="347" t="s">
        <v>631</v>
      </c>
      <c r="Z658" s="349" t="s">
        <v>975</v>
      </c>
    </row>
    <row r="659" spans="1:26" ht="16.899999999999999" customHeight="1" x14ac:dyDescent="0.15">
      <c r="A659" s="347" t="s">
        <v>2086</v>
      </c>
      <c r="B659" s="347">
        <v>6</v>
      </c>
      <c r="C659" s="347" t="s">
        <v>968</v>
      </c>
      <c r="F659" s="348" t="s">
        <v>941</v>
      </c>
      <c r="G659" s="347" t="s">
        <v>1541</v>
      </c>
      <c r="H659" s="347" t="s">
        <v>970</v>
      </c>
      <c r="I659" s="347" t="s">
        <v>971</v>
      </c>
      <c r="J659" s="347" t="s">
        <v>989</v>
      </c>
      <c r="K659" s="350" t="s">
        <v>2087</v>
      </c>
      <c r="L659" s="349" t="s">
        <v>972</v>
      </c>
      <c r="M659" s="350" t="s">
        <v>2088</v>
      </c>
      <c r="N659" s="350" t="s">
        <v>2089</v>
      </c>
      <c r="T659" s="347" t="s">
        <v>631</v>
      </c>
      <c r="V659" s="347" t="s">
        <v>631</v>
      </c>
      <c r="Y659" s="347" t="s">
        <v>631</v>
      </c>
      <c r="Z659" s="349" t="s">
        <v>975</v>
      </c>
    </row>
    <row r="660" spans="1:26" ht="16.899999999999999" customHeight="1" x14ac:dyDescent="0.15">
      <c r="A660" s="347" t="s">
        <v>2090</v>
      </c>
      <c r="B660" s="347">
        <v>6</v>
      </c>
      <c r="C660" s="347" t="s">
        <v>983</v>
      </c>
      <c r="F660" s="348" t="s">
        <v>941</v>
      </c>
      <c r="G660" s="347" t="s">
        <v>1541</v>
      </c>
      <c r="H660" s="347" t="s">
        <v>970</v>
      </c>
      <c r="I660" s="347" t="s">
        <v>971</v>
      </c>
      <c r="J660" s="347" t="s">
        <v>989</v>
      </c>
      <c r="K660" s="350" t="s">
        <v>2091</v>
      </c>
      <c r="L660" s="349" t="s">
        <v>972</v>
      </c>
      <c r="M660" s="350" t="s">
        <v>2092</v>
      </c>
      <c r="N660" s="350" t="s">
        <v>2093</v>
      </c>
      <c r="T660" s="347" t="s">
        <v>631</v>
      </c>
      <c r="U660" s="347" t="s">
        <v>631</v>
      </c>
      <c r="V660" s="347" t="s">
        <v>631</v>
      </c>
      <c r="Y660" s="347" t="s">
        <v>631</v>
      </c>
      <c r="Z660" s="349" t="s">
        <v>975</v>
      </c>
    </row>
    <row r="661" spans="1:26" ht="16.899999999999999" customHeight="1" x14ac:dyDescent="0.15">
      <c r="A661" s="347" t="s">
        <v>2094</v>
      </c>
      <c r="B661" s="347">
        <v>6</v>
      </c>
      <c r="C661" s="347" t="s">
        <v>1019</v>
      </c>
      <c r="E661" s="347" t="s">
        <v>631</v>
      </c>
      <c r="F661" s="348" t="s">
        <v>941</v>
      </c>
      <c r="G661" s="347" t="s">
        <v>969</v>
      </c>
      <c r="H661" s="347" t="s">
        <v>970</v>
      </c>
      <c r="I661" s="347" t="s">
        <v>971</v>
      </c>
      <c r="K661" s="350"/>
      <c r="L661" s="349" t="s">
        <v>1161</v>
      </c>
      <c r="M661" s="350" t="s">
        <v>2095</v>
      </c>
      <c r="N661" s="350" t="s">
        <v>2096</v>
      </c>
      <c r="Q661" s="347" t="s">
        <v>631</v>
      </c>
      <c r="Z661" s="349" t="s">
        <v>975</v>
      </c>
    </row>
    <row r="662" spans="1:26" ht="16.899999999999999" customHeight="1" x14ac:dyDescent="0.15">
      <c r="A662" s="347" t="s">
        <v>2097</v>
      </c>
      <c r="B662" s="347">
        <v>6</v>
      </c>
      <c r="C662" s="347" t="s">
        <v>977</v>
      </c>
      <c r="F662" s="348" t="s">
        <v>1048</v>
      </c>
      <c r="G662" s="347" t="s">
        <v>978</v>
      </c>
      <c r="H662" s="347" t="s">
        <v>970</v>
      </c>
      <c r="I662" s="347" t="s">
        <v>971</v>
      </c>
      <c r="J662" s="347" t="s">
        <v>989</v>
      </c>
      <c r="K662" s="350" t="s">
        <v>2098</v>
      </c>
      <c r="L662" s="349" t="s">
        <v>1256</v>
      </c>
      <c r="M662" s="350" t="s">
        <v>2099</v>
      </c>
      <c r="N662" s="350" t="s">
        <v>2100</v>
      </c>
      <c r="V662" s="347" t="s">
        <v>631</v>
      </c>
      <c r="Z662" s="349" t="s">
        <v>975</v>
      </c>
    </row>
    <row r="663" spans="1:26" ht="16.899999999999999" customHeight="1" x14ac:dyDescent="0.15">
      <c r="A663" s="347" t="s">
        <v>2101</v>
      </c>
      <c r="B663" s="347">
        <v>6</v>
      </c>
      <c r="C663" s="347" t="s">
        <v>983</v>
      </c>
      <c r="F663" s="348" t="s">
        <v>1020</v>
      </c>
      <c r="G663" s="347" t="s">
        <v>1008</v>
      </c>
      <c r="H663" s="347" t="s">
        <v>970</v>
      </c>
      <c r="I663" s="347" t="s">
        <v>971</v>
      </c>
      <c r="J663" s="347" t="s">
        <v>989</v>
      </c>
      <c r="K663" s="350" t="s">
        <v>2102</v>
      </c>
      <c r="L663" s="349" t="s">
        <v>972</v>
      </c>
      <c r="M663" s="350" t="s">
        <v>2103</v>
      </c>
      <c r="N663" s="350" t="s">
        <v>2104</v>
      </c>
      <c r="P663" s="347" t="s">
        <v>631</v>
      </c>
      <c r="U663" s="347" t="s">
        <v>631</v>
      </c>
      <c r="V663" s="347" t="s">
        <v>631</v>
      </c>
      <c r="Y663" s="347" t="s">
        <v>631</v>
      </c>
      <c r="Z663" s="349" t="s">
        <v>975</v>
      </c>
    </row>
    <row r="664" spans="1:26" ht="16.899999999999999" customHeight="1" x14ac:dyDescent="0.15">
      <c r="A664" s="347" t="s">
        <v>2105</v>
      </c>
      <c r="B664" s="347">
        <v>6</v>
      </c>
      <c r="C664" s="347" t="s">
        <v>994</v>
      </c>
      <c r="F664" s="348" t="s">
        <v>941</v>
      </c>
      <c r="G664" s="347" t="s">
        <v>969</v>
      </c>
      <c r="H664" s="347" t="s">
        <v>970</v>
      </c>
      <c r="I664" s="347" t="s">
        <v>971</v>
      </c>
      <c r="J664" s="347" t="s">
        <v>989</v>
      </c>
      <c r="K664" s="350" t="s">
        <v>2106</v>
      </c>
      <c r="L664" s="349" t="s">
        <v>972</v>
      </c>
      <c r="M664" s="350" t="s">
        <v>2107</v>
      </c>
      <c r="N664" s="350" t="s">
        <v>2108</v>
      </c>
      <c r="T664" s="347" t="s">
        <v>631</v>
      </c>
      <c r="V664" s="347" t="s">
        <v>631</v>
      </c>
      <c r="Y664" s="347" t="s">
        <v>631</v>
      </c>
      <c r="Z664" s="349" t="s">
        <v>975</v>
      </c>
    </row>
    <row r="665" spans="1:26" ht="16.899999999999999" customHeight="1" x14ac:dyDescent="0.15">
      <c r="A665" s="347" t="s">
        <v>2109</v>
      </c>
      <c r="B665" s="347">
        <v>6</v>
      </c>
      <c r="C665" s="347" t="s">
        <v>1019</v>
      </c>
      <c r="D665" s="347" t="s">
        <v>631</v>
      </c>
      <c r="F665" s="348" t="s">
        <v>1250</v>
      </c>
      <c r="G665" s="347" t="s">
        <v>984</v>
      </c>
      <c r="H665" s="347" t="s">
        <v>970</v>
      </c>
      <c r="I665" s="347" t="s">
        <v>971</v>
      </c>
      <c r="J665" s="347" t="s">
        <v>989</v>
      </c>
      <c r="K665" s="350" t="s">
        <v>2110</v>
      </c>
      <c r="L665" s="349" t="s">
        <v>1381</v>
      </c>
      <c r="M665" s="350" t="s">
        <v>2111</v>
      </c>
      <c r="N665" s="350" t="s">
        <v>2112</v>
      </c>
      <c r="V665" s="347" t="s">
        <v>631</v>
      </c>
      <c r="Z665" s="349" t="s">
        <v>975</v>
      </c>
    </row>
    <row r="666" spans="1:26" ht="16.899999999999999" customHeight="1" x14ac:dyDescent="0.15">
      <c r="A666" s="347" t="s">
        <v>2113</v>
      </c>
      <c r="B666" s="347">
        <v>6</v>
      </c>
      <c r="C666" s="347" t="s">
        <v>983</v>
      </c>
      <c r="E666" s="347" t="s">
        <v>631</v>
      </c>
      <c r="F666" s="348" t="s">
        <v>941</v>
      </c>
      <c r="G666" s="347" t="s">
        <v>978</v>
      </c>
      <c r="H666" s="347" t="s">
        <v>970</v>
      </c>
      <c r="I666" s="347" t="s">
        <v>971</v>
      </c>
      <c r="K666" s="350"/>
      <c r="L666" s="349" t="s">
        <v>979</v>
      </c>
      <c r="M666" s="350" t="s">
        <v>2114</v>
      </c>
      <c r="N666" s="350" t="s">
        <v>2115</v>
      </c>
      <c r="O666" s="347" t="s">
        <v>631</v>
      </c>
      <c r="T666" s="347" t="s">
        <v>631</v>
      </c>
      <c r="U666" s="347" t="s">
        <v>631</v>
      </c>
      <c r="V666" s="347" t="s">
        <v>631</v>
      </c>
      <c r="Y666" s="347" t="s">
        <v>631</v>
      </c>
      <c r="Z666" s="349" t="s">
        <v>975</v>
      </c>
    </row>
    <row r="667" spans="1:26" ht="16.899999999999999" customHeight="1" x14ac:dyDescent="0.15">
      <c r="A667" s="347" t="s">
        <v>2116</v>
      </c>
      <c r="B667" s="347">
        <v>6</v>
      </c>
      <c r="C667" s="347" t="s">
        <v>1013</v>
      </c>
      <c r="E667" s="347" t="s">
        <v>631</v>
      </c>
      <c r="F667" s="348" t="s">
        <v>1020</v>
      </c>
      <c r="G667" s="347" t="s">
        <v>978</v>
      </c>
      <c r="H667" s="347" t="s">
        <v>970</v>
      </c>
      <c r="I667" s="347" t="s">
        <v>971</v>
      </c>
      <c r="J667" s="347" t="s">
        <v>989</v>
      </c>
      <c r="K667" s="350" t="s">
        <v>2117</v>
      </c>
      <c r="L667" s="349" t="s">
        <v>2118</v>
      </c>
      <c r="M667" s="350" t="s">
        <v>2119</v>
      </c>
      <c r="N667" s="350" t="s">
        <v>2120</v>
      </c>
      <c r="O667" s="347" t="s">
        <v>631</v>
      </c>
      <c r="P667" s="347" t="s">
        <v>631</v>
      </c>
      <c r="Q667" s="347" t="s">
        <v>631</v>
      </c>
      <c r="Z667" s="349" t="s">
        <v>975</v>
      </c>
    </row>
    <row r="668" spans="1:26" ht="16.899999999999999" customHeight="1" x14ac:dyDescent="0.15">
      <c r="A668" s="347" t="s">
        <v>2121</v>
      </c>
      <c r="B668" s="347">
        <v>6</v>
      </c>
      <c r="C668" s="347" t="s">
        <v>994</v>
      </c>
      <c r="E668" s="347" t="s">
        <v>631</v>
      </c>
      <c r="F668" s="348" t="s">
        <v>941</v>
      </c>
      <c r="G668" s="347" t="s">
        <v>969</v>
      </c>
      <c r="H668" s="347" t="s">
        <v>970</v>
      </c>
      <c r="I668" s="347" t="s">
        <v>971</v>
      </c>
      <c r="J668" s="347" t="s">
        <v>989</v>
      </c>
      <c r="K668" s="350" t="s">
        <v>2122</v>
      </c>
      <c r="L668" s="349" t="s">
        <v>979</v>
      </c>
      <c r="M668" s="350" t="s">
        <v>2123</v>
      </c>
      <c r="N668" s="350" t="s">
        <v>2124</v>
      </c>
      <c r="Q668" s="347" t="s">
        <v>631</v>
      </c>
      <c r="T668" s="347" t="s">
        <v>631</v>
      </c>
      <c r="V668" s="347" t="s">
        <v>631</v>
      </c>
      <c r="Y668" s="347" t="s">
        <v>631</v>
      </c>
      <c r="Z668" s="349" t="s">
        <v>975</v>
      </c>
    </row>
    <row r="669" spans="1:26" ht="16.899999999999999" customHeight="1" x14ac:dyDescent="0.15">
      <c r="A669" s="347" t="s">
        <v>2125</v>
      </c>
      <c r="B669" s="347">
        <v>6</v>
      </c>
      <c r="C669" s="347" t="s">
        <v>977</v>
      </c>
      <c r="D669" s="347" t="s">
        <v>631</v>
      </c>
      <c r="F669" s="348" t="s">
        <v>2126</v>
      </c>
      <c r="G669" s="347" t="s">
        <v>984</v>
      </c>
      <c r="H669" s="347" t="s">
        <v>970</v>
      </c>
      <c r="I669" s="347" t="s">
        <v>971</v>
      </c>
      <c r="J669" s="347" t="s">
        <v>989</v>
      </c>
      <c r="K669" s="350" t="s">
        <v>2127</v>
      </c>
      <c r="L669" s="349" t="s">
        <v>2128</v>
      </c>
      <c r="M669" s="350" t="s">
        <v>2129</v>
      </c>
      <c r="N669" s="350" t="s">
        <v>2130</v>
      </c>
      <c r="P669" s="347" t="s">
        <v>631</v>
      </c>
      <c r="Z669" s="349" t="s">
        <v>975</v>
      </c>
    </row>
    <row r="670" spans="1:26" ht="16.899999999999999" customHeight="1" x14ac:dyDescent="0.15">
      <c r="A670" s="347" t="s">
        <v>2131</v>
      </c>
      <c r="B670" s="347">
        <v>6</v>
      </c>
      <c r="C670" s="347" t="s">
        <v>977</v>
      </c>
      <c r="E670" s="347" t="s">
        <v>631</v>
      </c>
      <c r="F670" s="348" t="s">
        <v>941</v>
      </c>
      <c r="G670" s="347" t="s">
        <v>978</v>
      </c>
      <c r="H670" s="347" t="s">
        <v>970</v>
      </c>
      <c r="I670" s="347" t="s">
        <v>971</v>
      </c>
      <c r="J670" s="347" t="s">
        <v>989</v>
      </c>
      <c r="K670" s="350" t="s">
        <v>2132</v>
      </c>
      <c r="L670" s="349" t="s">
        <v>979</v>
      </c>
      <c r="M670" s="350" t="s">
        <v>2133</v>
      </c>
      <c r="N670" s="350" t="s">
        <v>2134</v>
      </c>
      <c r="T670" s="347" t="s">
        <v>631</v>
      </c>
      <c r="V670" s="347" t="s">
        <v>631</v>
      </c>
      <c r="Y670" s="347" t="s">
        <v>631</v>
      </c>
      <c r="Z670" s="349" t="s">
        <v>975</v>
      </c>
    </row>
    <row r="671" spans="1:26" ht="16.899999999999999" customHeight="1" x14ac:dyDescent="0.15">
      <c r="A671" s="347" t="s">
        <v>2135</v>
      </c>
      <c r="B671" s="347">
        <v>6</v>
      </c>
      <c r="C671" s="347" t="s">
        <v>977</v>
      </c>
      <c r="F671" s="348" t="s">
        <v>1016</v>
      </c>
      <c r="G671" s="347" t="s">
        <v>984</v>
      </c>
      <c r="H671" s="347" t="s">
        <v>970</v>
      </c>
      <c r="I671" s="347" t="s">
        <v>971</v>
      </c>
      <c r="J671" s="347" t="s">
        <v>989</v>
      </c>
      <c r="K671" s="350" t="s">
        <v>2136</v>
      </c>
      <c r="L671" s="349" t="s">
        <v>1109</v>
      </c>
      <c r="M671" s="350" t="s">
        <v>2137</v>
      </c>
      <c r="N671" s="350" t="s">
        <v>2138</v>
      </c>
      <c r="O671" s="347" t="s">
        <v>631</v>
      </c>
      <c r="V671" s="347" t="s">
        <v>631</v>
      </c>
      <c r="Z671" s="349" t="s">
        <v>975</v>
      </c>
    </row>
    <row r="672" spans="1:26" ht="16.899999999999999" customHeight="1" x14ac:dyDescent="0.15">
      <c r="A672" s="347" t="s">
        <v>2139</v>
      </c>
      <c r="B672" s="347">
        <v>6</v>
      </c>
      <c r="C672" s="347" t="s">
        <v>983</v>
      </c>
      <c r="F672" s="348" t="s">
        <v>941</v>
      </c>
      <c r="G672" s="347" t="s">
        <v>969</v>
      </c>
      <c r="H672" s="347" t="s">
        <v>970</v>
      </c>
      <c r="I672" s="347" t="s">
        <v>971</v>
      </c>
      <c r="K672" s="350"/>
      <c r="L672" s="349" t="s">
        <v>972</v>
      </c>
      <c r="M672" s="350" t="s">
        <v>2140</v>
      </c>
      <c r="N672" s="350" t="s">
        <v>2141</v>
      </c>
      <c r="P672" s="347" t="s">
        <v>631</v>
      </c>
      <c r="Y672" s="347" t="s">
        <v>631</v>
      </c>
      <c r="Z672" s="349" t="s">
        <v>975</v>
      </c>
    </row>
    <row r="673" spans="1:26" ht="16.899999999999999" customHeight="1" x14ac:dyDescent="0.15">
      <c r="A673" s="347" t="s">
        <v>2142</v>
      </c>
      <c r="B673" s="347">
        <v>6</v>
      </c>
      <c r="C673" s="347" t="s">
        <v>977</v>
      </c>
      <c r="F673" s="348" t="s">
        <v>941</v>
      </c>
      <c r="G673" s="347" t="s">
        <v>969</v>
      </c>
      <c r="H673" s="347" t="s">
        <v>970</v>
      </c>
      <c r="I673" s="347" t="s">
        <v>971</v>
      </c>
      <c r="K673" s="350"/>
      <c r="L673" s="349" t="s">
        <v>972</v>
      </c>
      <c r="M673" s="350" t="s">
        <v>2143</v>
      </c>
      <c r="N673" s="350" t="s">
        <v>2144</v>
      </c>
      <c r="P673" s="347" t="s">
        <v>631</v>
      </c>
      <c r="Q673" s="347" t="s">
        <v>631</v>
      </c>
      <c r="Y673" s="347" t="s">
        <v>631</v>
      </c>
      <c r="Z673" s="349" t="s">
        <v>975</v>
      </c>
    </row>
    <row r="674" spans="1:26" ht="16.899999999999999" customHeight="1" x14ac:dyDescent="0.15">
      <c r="A674" s="347" t="s">
        <v>2145</v>
      </c>
      <c r="B674" s="347">
        <v>6</v>
      </c>
      <c r="C674" s="347" t="s">
        <v>1019</v>
      </c>
      <c r="F674" s="348" t="s">
        <v>1048</v>
      </c>
      <c r="G674" s="347" t="s">
        <v>978</v>
      </c>
      <c r="H674" s="347" t="s">
        <v>970</v>
      </c>
      <c r="I674" s="347" t="s">
        <v>971</v>
      </c>
      <c r="J674" s="347" t="s">
        <v>989</v>
      </c>
      <c r="K674" s="350" t="s">
        <v>2146</v>
      </c>
      <c r="L674" s="349" t="s">
        <v>972</v>
      </c>
      <c r="M674" s="350" t="s">
        <v>2147</v>
      </c>
      <c r="N674" s="350" t="s">
        <v>2148</v>
      </c>
      <c r="O674" s="347" t="s">
        <v>631</v>
      </c>
      <c r="P674" s="347" t="s">
        <v>631</v>
      </c>
      <c r="Q674" s="347" t="s">
        <v>631</v>
      </c>
      <c r="Z674" s="349" t="s">
        <v>975</v>
      </c>
    </row>
    <row r="675" spans="1:26" ht="16.899999999999999" customHeight="1" x14ac:dyDescent="0.15">
      <c r="A675" s="347" t="s">
        <v>2149</v>
      </c>
      <c r="B675" s="347">
        <v>6</v>
      </c>
      <c r="C675" s="347" t="s">
        <v>983</v>
      </c>
      <c r="F675" s="348" t="s">
        <v>1020</v>
      </c>
      <c r="G675" s="347" t="s">
        <v>978</v>
      </c>
      <c r="H675" s="347" t="s">
        <v>970</v>
      </c>
      <c r="I675" s="347" t="s">
        <v>971</v>
      </c>
      <c r="J675" s="347" t="s">
        <v>989</v>
      </c>
      <c r="K675" s="350" t="s">
        <v>2150</v>
      </c>
      <c r="L675" s="349" t="s">
        <v>1350</v>
      </c>
      <c r="M675" s="350" t="s">
        <v>2151</v>
      </c>
      <c r="N675" s="350" t="s">
        <v>2152</v>
      </c>
      <c r="V675" s="347" t="s">
        <v>631</v>
      </c>
      <c r="Z675" s="349" t="s">
        <v>975</v>
      </c>
    </row>
    <row r="676" spans="1:26" ht="16.899999999999999" customHeight="1" x14ac:dyDescent="0.15">
      <c r="A676" s="347" t="s">
        <v>2153</v>
      </c>
      <c r="B676" s="347">
        <v>6</v>
      </c>
      <c r="C676" s="347" t="s">
        <v>1007</v>
      </c>
      <c r="F676" s="348" t="s">
        <v>941</v>
      </c>
      <c r="G676" s="347" t="s">
        <v>969</v>
      </c>
      <c r="H676" s="347" t="s">
        <v>970</v>
      </c>
      <c r="J676" s="347" t="s">
        <v>989</v>
      </c>
      <c r="K676" s="350" t="s">
        <v>2154</v>
      </c>
      <c r="L676" s="349" t="s">
        <v>1109</v>
      </c>
      <c r="M676" s="350" t="s">
        <v>2155</v>
      </c>
      <c r="N676" s="350" t="s">
        <v>2156</v>
      </c>
      <c r="O676" s="347" t="s">
        <v>631</v>
      </c>
      <c r="T676" s="347" t="s">
        <v>631</v>
      </c>
      <c r="V676" s="347" t="s">
        <v>631</v>
      </c>
      <c r="Z676" s="349" t="s">
        <v>975</v>
      </c>
    </row>
    <row r="677" spans="1:26" ht="16.899999999999999" customHeight="1" x14ac:dyDescent="0.15">
      <c r="A677" s="347" t="s">
        <v>2157</v>
      </c>
      <c r="B677" s="347">
        <v>6</v>
      </c>
      <c r="C677" s="347" t="s">
        <v>994</v>
      </c>
      <c r="E677" s="347" t="s">
        <v>631</v>
      </c>
      <c r="F677" s="348" t="s">
        <v>941</v>
      </c>
      <c r="G677" s="347" t="s">
        <v>988</v>
      </c>
      <c r="H677" s="347" t="s">
        <v>970</v>
      </c>
      <c r="I677" s="347" t="s">
        <v>971</v>
      </c>
      <c r="J677" s="347" t="s">
        <v>989</v>
      </c>
      <c r="K677" s="350" t="s">
        <v>2158</v>
      </c>
      <c r="L677" s="349" t="s">
        <v>2159</v>
      </c>
      <c r="M677" s="350" t="s">
        <v>2160</v>
      </c>
      <c r="N677" s="350" t="s">
        <v>2161</v>
      </c>
      <c r="Q677" s="347" t="s">
        <v>631</v>
      </c>
      <c r="T677" s="347" t="s">
        <v>631</v>
      </c>
      <c r="V677" s="347" t="s">
        <v>631</v>
      </c>
      <c r="Z677" s="349" t="s">
        <v>975</v>
      </c>
    </row>
    <row r="678" spans="1:26" ht="16.899999999999999" customHeight="1" x14ac:dyDescent="0.15">
      <c r="A678" s="347" t="s">
        <v>2162</v>
      </c>
      <c r="B678" s="347">
        <v>6</v>
      </c>
      <c r="C678" s="347" t="s">
        <v>968</v>
      </c>
      <c r="F678" s="348" t="s">
        <v>941</v>
      </c>
      <c r="G678" s="347" t="s">
        <v>1793</v>
      </c>
      <c r="H678" s="347" t="s">
        <v>970</v>
      </c>
      <c r="I678" s="347" t="s">
        <v>971</v>
      </c>
      <c r="J678" s="347" t="s">
        <v>989</v>
      </c>
      <c r="K678" s="350" t="s">
        <v>2163</v>
      </c>
      <c r="L678" s="349" t="s">
        <v>972</v>
      </c>
      <c r="M678" s="350" t="s">
        <v>2164</v>
      </c>
      <c r="N678" s="350" t="s">
        <v>2165</v>
      </c>
      <c r="T678" s="347" t="s">
        <v>631</v>
      </c>
      <c r="V678" s="347" t="s">
        <v>631</v>
      </c>
      <c r="Z678" s="349" t="s">
        <v>975</v>
      </c>
    </row>
    <row r="679" spans="1:26" ht="16.899999999999999" customHeight="1" x14ac:dyDescent="0.15">
      <c r="A679" s="347" t="s">
        <v>2166</v>
      </c>
      <c r="B679" s="347">
        <v>6</v>
      </c>
      <c r="C679" s="347" t="s">
        <v>1007</v>
      </c>
      <c r="E679" s="347" t="s">
        <v>631</v>
      </c>
      <c r="F679" s="348" t="s">
        <v>941</v>
      </c>
      <c r="G679" s="347" t="s">
        <v>709</v>
      </c>
      <c r="H679" s="347" t="s">
        <v>970</v>
      </c>
      <c r="K679" s="350"/>
      <c r="L679" s="349" t="s">
        <v>979</v>
      </c>
      <c r="M679" s="350" t="s">
        <v>2167</v>
      </c>
      <c r="N679" s="350" t="s">
        <v>2168</v>
      </c>
      <c r="O679" s="347" t="s">
        <v>631</v>
      </c>
      <c r="V679" s="347" t="s">
        <v>631</v>
      </c>
      <c r="Z679" s="349" t="s">
        <v>975</v>
      </c>
    </row>
    <row r="680" spans="1:26" ht="16.899999999999999" customHeight="1" x14ac:dyDescent="0.15">
      <c r="A680" s="347" t="s">
        <v>2169</v>
      </c>
      <c r="B680" s="347">
        <v>6</v>
      </c>
      <c r="C680" s="347" t="s">
        <v>1019</v>
      </c>
      <c r="F680" s="348" t="s">
        <v>1048</v>
      </c>
      <c r="G680" s="347" t="s">
        <v>969</v>
      </c>
      <c r="H680" s="347" t="s">
        <v>970</v>
      </c>
      <c r="I680" s="347" t="s">
        <v>971</v>
      </c>
      <c r="K680" s="350"/>
      <c r="L680" s="349" t="s">
        <v>972</v>
      </c>
      <c r="M680" s="350" t="s">
        <v>2170</v>
      </c>
      <c r="N680" s="350" t="s">
        <v>2171</v>
      </c>
      <c r="P680" s="347" t="s">
        <v>631</v>
      </c>
      <c r="Z680" s="349" t="s">
        <v>975</v>
      </c>
    </row>
    <row r="681" spans="1:26" ht="16.899999999999999" customHeight="1" x14ac:dyDescent="0.15">
      <c r="A681" s="347" t="s">
        <v>2172</v>
      </c>
      <c r="B681" s="347">
        <v>6</v>
      </c>
      <c r="C681" s="347" t="s">
        <v>987</v>
      </c>
      <c r="F681" s="348" t="s">
        <v>941</v>
      </c>
      <c r="G681" s="347" t="s">
        <v>988</v>
      </c>
      <c r="H681" s="347" t="s">
        <v>970</v>
      </c>
      <c r="I681" s="347" t="s">
        <v>971</v>
      </c>
      <c r="J681" s="347" t="s">
        <v>989</v>
      </c>
      <c r="K681" s="350" t="s">
        <v>2173</v>
      </c>
      <c r="L681" s="349" t="s">
        <v>1381</v>
      </c>
      <c r="M681" s="350" t="s">
        <v>2174</v>
      </c>
      <c r="N681" s="350" t="s">
        <v>2175</v>
      </c>
      <c r="O681" s="347" t="s">
        <v>631</v>
      </c>
      <c r="V681" s="347" t="s">
        <v>631</v>
      </c>
      <c r="Z681" s="349" t="s">
        <v>975</v>
      </c>
    </row>
    <row r="682" spans="1:26" ht="16.899999999999999" customHeight="1" x14ac:dyDescent="0.15">
      <c r="A682" s="347" t="s">
        <v>2176</v>
      </c>
      <c r="B682" s="347">
        <v>6</v>
      </c>
      <c r="C682" s="347" t="s">
        <v>1019</v>
      </c>
      <c r="E682" s="347" t="s">
        <v>631</v>
      </c>
      <c r="F682" s="348" t="s">
        <v>941</v>
      </c>
      <c r="G682" s="347" t="s">
        <v>1134</v>
      </c>
      <c r="H682" s="347" t="s">
        <v>970</v>
      </c>
      <c r="I682" s="347" t="s">
        <v>971</v>
      </c>
      <c r="J682" s="347" t="s">
        <v>989</v>
      </c>
      <c r="K682" s="350" t="s">
        <v>2177</v>
      </c>
      <c r="L682" s="349" t="s">
        <v>1211</v>
      </c>
      <c r="M682" s="350" t="s">
        <v>2178</v>
      </c>
      <c r="N682" s="350" t="s">
        <v>2179</v>
      </c>
      <c r="U682" s="347" t="s">
        <v>631</v>
      </c>
      <c r="V682" s="347" t="s">
        <v>631</v>
      </c>
      <c r="Z682" s="349" t="s">
        <v>975</v>
      </c>
    </row>
    <row r="683" spans="1:26" ht="16.899999999999999" customHeight="1" x14ac:dyDescent="0.15">
      <c r="A683" s="347" t="s">
        <v>2180</v>
      </c>
      <c r="B683" s="347">
        <v>6</v>
      </c>
      <c r="C683" s="347" t="s">
        <v>968</v>
      </c>
      <c r="E683" s="347" t="s">
        <v>631</v>
      </c>
      <c r="F683" s="348" t="s">
        <v>941</v>
      </c>
      <c r="G683" s="347" t="s">
        <v>978</v>
      </c>
      <c r="H683" s="347" t="s">
        <v>970</v>
      </c>
      <c r="I683" s="347" t="s">
        <v>971</v>
      </c>
      <c r="J683" s="347" t="s">
        <v>989</v>
      </c>
      <c r="K683" s="350" t="s">
        <v>2181</v>
      </c>
      <c r="L683" s="349" t="s">
        <v>979</v>
      </c>
      <c r="M683" s="350" t="s">
        <v>2182</v>
      </c>
      <c r="N683" s="350" t="s">
        <v>2183</v>
      </c>
      <c r="P683" s="347" t="s">
        <v>631</v>
      </c>
      <c r="Q683" s="347" t="s">
        <v>631</v>
      </c>
      <c r="T683" s="347" t="s">
        <v>631</v>
      </c>
      <c r="V683" s="347" t="s">
        <v>631</v>
      </c>
      <c r="Z683" s="349" t="s">
        <v>975</v>
      </c>
    </row>
    <row r="684" spans="1:26" ht="16.899999999999999" customHeight="1" x14ac:dyDescent="0.15">
      <c r="A684" s="347" t="s">
        <v>2184</v>
      </c>
      <c r="B684" s="347">
        <v>6</v>
      </c>
      <c r="C684" s="347" t="s">
        <v>1019</v>
      </c>
      <c r="F684" s="348" t="s">
        <v>941</v>
      </c>
      <c r="G684" s="347" t="s">
        <v>2185</v>
      </c>
      <c r="H684" s="347" t="s">
        <v>970</v>
      </c>
      <c r="I684" s="347" t="s">
        <v>971</v>
      </c>
      <c r="J684" s="347" t="s">
        <v>989</v>
      </c>
      <c r="K684" s="350" t="s">
        <v>2186</v>
      </c>
      <c r="L684" s="349" t="s">
        <v>1048</v>
      </c>
      <c r="M684" s="350" t="s">
        <v>2187</v>
      </c>
      <c r="N684" s="350" t="s">
        <v>2188</v>
      </c>
      <c r="U684" s="347" t="s">
        <v>631</v>
      </c>
      <c r="V684" s="347" t="s">
        <v>631</v>
      </c>
      <c r="Z684" s="349" t="s">
        <v>975</v>
      </c>
    </row>
    <row r="685" spans="1:26" ht="16.899999999999999" customHeight="1" x14ac:dyDescent="0.15">
      <c r="A685" s="347" t="s">
        <v>2189</v>
      </c>
      <c r="B685" s="347">
        <v>6</v>
      </c>
      <c r="C685" s="347" t="s">
        <v>1019</v>
      </c>
      <c r="F685" s="348" t="s">
        <v>941</v>
      </c>
      <c r="G685" s="347" t="s">
        <v>1008</v>
      </c>
      <c r="H685" s="347" t="s">
        <v>970</v>
      </c>
      <c r="I685" s="347" t="s">
        <v>971</v>
      </c>
      <c r="K685" s="350"/>
      <c r="L685" s="349" t="s">
        <v>1020</v>
      </c>
      <c r="M685" s="350" t="s">
        <v>2190</v>
      </c>
      <c r="N685" s="350" t="s">
        <v>2191</v>
      </c>
      <c r="Q685" s="347" t="s">
        <v>631</v>
      </c>
      <c r="Z685" s="349" t="s">
        <v>975</v>
      </c>
    </row>
    <row r="686" spans="1:26" ht="16.899999999999999" customHeight="1" x14ac:dyDescent="0.15">
      <c r="A686" s="347" t="s">
        <v>2192</v>
      </c>
      <c r="B686" s="347">
        <v>6</v>
      </c>
      <c r="C686" s="347" t="s">
        <v>1013</v>
      </c>
      <c r="F686" s="348" t="s">
        <v>941</v>
      </c>
      <c r="G686" s="347" t="s">
        <v>984</v>
      </c>
      <c r="H686" s="347" t="s">
        <v>970</v>
      </c>
      <c r="I686" s="347" t="s">
        <v>971</v>
      </c>
      <c r="J686" s="347" t="s">
        <v>989</v>
      </c>
      <c r="K686" s="350" t="s">
        <v>2193</v>
      </c>
      <c r="L686" s="349" t="s">
        <v>1016</v>
      </c>
      <c r="M686" s="350" t="s">
        <v>2194</v>
      </c>
      <c r="N686" s="350" t="s">
        <v>2195</v>
      </c>
      <c r="O686" s="347" t="s">
        <v>631</v>
      </c>
      <c r="P686" s="347" t="s">
        <v>631</v>
      </c>
      <c r="T686" s="347" t="s">
        <v>631</v>
      </c>
      <c r="U686" s="347" t="s">
        <v>631</v>
      </c>
      <c r="V686" s="347" t="s">
        <v>631</v>
      </c>
      <c r="Y686" s="347" t="s">
        <v>631</v>
      </c>
      <c r="Z686" s="349" t="s">
        <v>975</v>
      </c>
    </row>
    <row r="687" spans="1:26" ht="16.899999999999999" customHeight="1" x14ac:dyDescent="0.15">
      <c r="A687" s="347" t="s">
        <v>2196</v>
      </c>
      <c r="B687" s="347">
        <v>6</v>
      </c>
      <c r="C687" s="347" t="s">
        <v>968</v>
      </c>
      <c r="E687" s="347" t="s">
        <v>631</v>
      </c>
      <c r="F687" s="348" t="s">
        <v>941</v>
      </c>
      <c r="G687" s="347" t="s">
        <v>988</v>
      </c>
      <c r="H687" s="347" t="s">
        <v>970</v>
      </c>
      <c r="I687" s="347" t="s">
        <v>971</v>
      </c>
      <c r="J687" s="347" t="s">
        <v>989</v>
      </c>
      <c r="K687" s="350" t="s">
        <v>2197</v>
      </c>
      <c r="L687" s="349" t="s">
        <v>1161</v>
      </c>
      <c r="M687" s="350" t="s">
        <v>2198</v>
      </c>
      <c r="N687" s="350" t="s">
        <v>2199</v>
      </c>
      <c r="V687" s="347" t="s">
        <v>631</v>
      </c>
      <c r="Z687" s="349" t="s">
        <v>975</v>
      </c>
    </row>
    <row r="688" spans="1:26" ht="16.899999999999999" customHeight="1" x14ac:dyDescent="0.15">
      <c r="A688" s="347" t="s">
        <v>2200</v>
      </c>
      <c r="B688" s="347">
        <v>6</v>
      </c>
      <c r="C688" s="347" t="s">
        <v>1019</v>
      </c>
      <c r="E688" s="347" t="s">
        <v>631</v>
      </c>
      <c r="F688" s="348" t="s">
        <v>941</v>
      </c>
      <c r="G688" s="347" t="s">
        <v>988</v>
      </c>
      <c r="H688" s="347" t="s">
        <v>970</v>
      </c>
      <c r="I688" s="347" t="s">
        <v>971</v>
      </c>
      <c r="J688" s="347" t="s">
        <v>989</v>
      </c>
      <c r="K688" s="350" t="s">
        <v>2201</v>
      </c>
      <c r="L688" s="349" t="s">
        <v>1161</v>
      </c>
      <c r="M688" s="350" t="s">
        <v>2202</v>
      </c>
      <c r="N688" s="350" t="s">
        <v>2203</v>
      </c>
      <c r="Q688" s="347" t="s">
        <v>631</v>
      </c>
      <c r="Z688" s="349" t="s">
        <v>975</v>
      </c>
    </row>
    <row r="689" spans="1:26" ht="16.899999999999999" customHeight="1" x14ac:dyDescent="0.15">
      <c r="A689" s="347" t="s">
        <v>2204</v>
      </c>
      <c r="B689" s="347">
        <v>6</v>
      </c>
      <c r="C689" s="347" t="s">
        <v>994</v>
      </c>
      <c r="F689" s="348" t="s">
        <v>1020</v>
      </c>
      <c r="G689" s="347" t="s">
        <v>709</v>
      </c>
      <c r="H689" s="347" t="s">
        <v>970</v>
      </c>
      <c r="I689" s="347" t="s">
        <v>971</v>
      </c>
      <c r="J689" s="347" t="s">
        <v>989</v>
      </c>
      <c r="K689" s="350" t="s">
        <v>2205</v>
      </c>
      <c r="L689" s="349" t="s">
        <v>1104</v>
      </c>
      <c r="M689" s="350" t="s">
        <v>2206</v>
      </c>
      <c r="N689" s="350" t="s">
        <v>2207</v>
      </c>
      <c r="Q689" s="347" t="s">
        <v>631</v>
      </c>
      <c r="Z689" s="349" t="s">
        <v>975</v>
      </c>
    </row>
    <row r="690" spans="1:26" ht="16.899999999999999" customHeight="1" x14ac:dyDescent="0.15">
      <c r="A690" s="347" t="s">
        <v>2208</v>
      </c>
      <c r="B690" s="347">
        <v>6</v>
      </c>
      <c r="C690" s="347" t="s">
        <v>1019</v>
      </c>
      <c r="F690" s="348" t="s">
        <v>941</v>
      </c>
      <c r="G690" s="347" t="s">
        <v>2185</v>
      </c>
      <c r="H690" s="347" t="s">
        <v>970</v>
      </c>
      <c r="K690" s="350"/>
      <c r="L690" s="349" t="s">
        <v>972</v>
      </c>
      <c r="M690" s="350" t="s">
        <v>2209</v>
      </c>
      <c r="N690" s="350" t="s">
        <v>2210</v>
      </c>
      <c r="P690" s="347" t="s">
        <v>631</v>
      </c>
      <c r="Z690" s="349" t="s">
        <v>975</v>
      </c>
    </row>
    <row r="691" spans="1:26" ht="16.899999999999999" customHeight="1" x14ac:dyDescent="0.15">
      <c r="A691" s="347" t="s">
        <v>2427</v>
      </c>
      <c r="B691" s="347">
        <v>6</v>
      </c>
      <c r="C691" s="347" t="s">
        <v>994</v>
      </c>
      <c r="E691" s="347" t="s">
        <v>631</v>
      </c>
      <c r="F691" s="348" t="s">
        <v>1047</v>
      </c>
      <c r="G691" s="347" t="s">
        <v>978</v>
      </c>
      <c r="H691" s="347" t="s">
        <v>970</v>
      </c>
      <c r="I691" s="347" t="s">
        <v>971</v>
      </c>
      <c r="J691" s="347" t="s">
        <v>989</v>
      </c>
      <c r="K691" s="444" t="s">
        <v>2428</v>
      </c>
      <c r="L691" s="349" t="s">
        <v>2413</v>
      </c>
      <c r="M691" s="350" t="s">
        <v>2429</v>
      </c>
      <c r="N691" s="350" t="s">
        <v>2430</v>
      </c>
      <c r="T691" s="347" t="s">
        <v>631</v>
      </c>
      <c r="U691" s="347" t="s">
        <v>631</v>
      </c>
      <c r="V691" s="347" t="s">
        <v>631</v>
      </c>
      <c r="Z691" s="349" t="s">
        <v>2416</v>
      </c>
    </row>
    <row r="692" spans="1:26" ht="16.899999999999999" customHeight="1" x14ac:dyDescent="0.15">
      <c r="A692" s="347" t="s">
        <v>2665</v>
      </c>
      <c r="B692" s="347">
        <v>6</v>
      </c>
      <c r="C692" s="347" t="s">
        <v>994</v>
      </c>
      <c r="F692" s="348" t="s">
        <v>941</v>
      </c>
      <c r="G692" s="347" t="s">
        <v>988</v>
      </c>
      <c r="H692" s="347" t="s">
        <v>970</v>
      </c>
      <c r="I692" s="347" t="s">
        <v>971</v>
      </c>
      <c r="K692" s="444"/>
      <c r="L692" s="349" t="s">
        <v>972</v>
      </c>
      <c r="M692" s="350" t="s">
        <v>2666</v>
      </c>
      <c r="N692" s="350" t="s">
        <v>2667</v>
      </c>
      <c r="Q692" s="347" t="s">
        <v>631</v>
      </c>
      <c r="Z692" s="446" t="s">
        <v>2457</v>
      </c>
    </row>
    <row r="693" spans="1:26" ht="16.899999999999999" customHeight="1" x14ac:dyDescent="0.15">
      <c r="A693" s="347" t="s">
        <v>2668</v>
      </c>
      <c r="B693" s="347">
        <v>6</v>
      </c>
      <c r="C693" s="347" t="s">
        <v>994</v>
      </c>
      <c r="F693" s="348" t="s">
        <v>1016</v>
      </c>
      <c r="G693" s="347" t="s">
        <v>2472</v>
      </c>
      <c r="H693" s="347" t="s">
        <v>970</v>
      </c>
      <c r="I693" s="347" t="s">
        <v>971</v>
      </c>
      <c r="J693" s="347" t="s">
        <v>989</v>
      </c>
      <c r="K693" s="444" t="s">
        <v>2669</v>
      </c>
      <c r="L693" s="349" t="s">
        <v>972</v>
      </c>
      <c r="M693" s="350" t="s">
        <v>2670</v>
      </c>
      <c r="N693" s="350" t="s">
        <v>2671</v>
      </c>
      <c r="V693" s="347" t="s">
        <v>631</v>
      </c>
      <c r="Z693" s="446" t="s">
        <v>2457</v>
      </c>
    </row>
    <row r="694" spans="1:26" ht="16.899999999999999" customHeight="1" x14ac:dyDescent="0.15">
      <c r="A694" s="347" t="s">
        <v>2672</v>
      </c>
      <c r="B694" s="347">
        <v>6</v>
      </c>
      <c r="C694" s="347" t="s">
        <v>977</v>
      </c>
      <c r="F694" s="348" t="s">
        <v>1048</v>
      </c>
      <c r="G694" s="347" t="s">
        <v>2472</v>
      </c>
      <c r="H694" s="347" t="s">
        <v>970</v>
      </c>
      <c r="I694" s="347" t="s">
        <v>971</v>
      </c>
      <c r="J694" s="347" t="s">
        <v>989</v>
      </c>
      <c r="K694" s="444" t="s">
        <v>2673</v>
      </c>
      <c r="L694" s="349" t="s">
        <v>1109</v>
      </c>
      <c r="M694" s="350" t="s">
        <v>2674</v>
      </c>
      <c r="N694" s="350" t="s">
        <v>2675</v>
      </c>
      <c r="Q694" s="347" t="s">
        <v>631</v>
      </c>
      <c r="Z694" s="446" t="s">
        <v>2457</v>
      </c>
    </row>
    <row r="695" spans="1:26" ht="16.899999999999999" customHeight="1" x14ac:dyDescent="0.15">
      <c r="A695" s="347" t="s">
        <v>2676</v>
      </c>
      <c r="B695" s="347">
        <v>6</v>
      </c>
      <c r="C695" s="347" t="s">
        <v>994</v>
      </c>
      <c r="E695" s="347" t="s">
        <v>631</v>
      </c>
      <c r="F695" s="348" t="s">
        <v>941</v>
      </c>
      <c r="G695" s="347" t="s">
        <v>978</v>
      </c>
      <c r="H695" s="347" t="s">
        <v>970</v>
      </c>
      <c r="I695" s="347" t="s">
        <v>971</v>
      </c>
      <c r="K695" s="444"/>
      <c r="L695" s="349" t="s">
        <v>2490</v>
      </c>
      <c r="M695" s="350" t="s">
        <v>2677</v>
      </c>
      <c r="N695" s="350" t="s">
        <v>2678</v>
      </c>
      <c r="Q695" s="347" t="s">
        <v>631</v>
      </c>
      <c r="T695" s="347" t="s">
        <v>631</v>
      </c>
      <c r="U695" s="347" t="s">
        <v>631</v>
      </c>
      <c r="V695" s="347" t="s">
        <v>631</v>
      </c>
      <c r="Z695" s="446" t="s">
        <v>2457</v>
      </c>
    </row>
    <row r="696" spans="1:26" ht="16.899999999999999" customHeight="1" x14ac:dyDescent="0.15">
      <c r="A696" s="347" t="s">
        <v>2679</v>
      </c>
      <c r="B696" s="347">
        <v>6</v>
      </c>
      <c r="C696" s="347" t="s">
        <v>994</v>
      </c>
      <c r="E696" s="347" t="s">
        <v>631</v>
      </c>
      <c r="F696" s="348" t="s">
        <v>941</v>
      </c>
      <c r="G696" s="347" t="s">
        <v>978</v>
      </c>
      <c r="H696" s="347" t="s">
        <v>970</v>
      </c>
      <c r="I696" s="347" t="s">
        <v>971</v>
      </c>
      <c r="K696" s="444"/>
      <c r="L696" s="349" t="s">
        <v>2490</v>
      </c>
      <c r="M696" s="350" t="s">
        <v>2680</v>
      </c>
      <c r="N696" s="350" t="s">
        <v>2681</v>
      </c>
      <c r="Q696" s="347" t="s">
        <v>631</v>
      </c>
      <c r="T696" s="347" t="s">
        <v>631</v>
      </c>
      <c r="U696" s="347" t="s">
        <v>631</v>
      </c>
      <c r="V696" s="347" t="s">
        <v>631</v>
      </c>
      <c r="Z696" s="446" t="s">
        <v>2457</v>
      </c>
    </row>
    <row r="697" spans="1:26" ht="16.899999999999999" customHeight="1" x14ac:dyDescent="0.15">
      <c r="A697" s="347" t="s">
        <v>2682</v>
      </c>
      <c r="B697" s="347">
        <v>6</v>
      </c>
      <c r="C697" s="347" t="s">
        <v>994</v>
      </c>
      <c r="E697" s="347" t="s">
        <v>631</v>
      </c>
      <c r="F697" s="348" t="s">
        <v>941</v>
      </c>
      <c r="G697" s="347" t="s">
        <v>978</v>
      </c>
      <c r="H697" s="347" t="s">
        <v>970</v>
      </c>
      <c r="I697" s="347" t="s">
        <v>971</v>
      </c>
      <c r="K697" s="444"/>
      <c r="L697" s="349" t="s">
        <v>2490</v>
      </c>
      <c r="M697" s="350" t="s">
        <v>2683</v>
      </c>
      <c r="N697" s="350" t="s">
        <v>2684</v>
      </c>
      <c r="Q697" s="347" t="s">
        <v>631</v>
      </c>
      <c r="T697" s="347" t="s">
        <v>631</v>
      </c>
      <c r="U697" s="347" t="s">
        <v>631</v>
      </c>
      <c r="V697" s="347" t="s">
        <v>631</v>
      </c>
      <c r="Z697" s="446" t="s">
        <v>2457</v>
      </c>
    </row>
    <row r="698" spans="1:26" ht="16.899999999999999" customHeight="1" x14ac:dyDescent="0.15">
      <c r="A698" s="347" t="s">
        <v>2685</v>
      </c>
      <c r="B698" s="347">
        <v>6</v>
      </c>
      <c r="C698" s="347" t="s">
        <v>994</v>
      </c>
      <c r="E698" s="347" t="s">
        <v>631</v>
      </c>
      <c r="F698" s="348" t="s">
        <v>941</v>
      </c>
      <c r="G698" s="347" t="s">
        <v>978</v>
      </c>
      <c r="H698" s="347" t="s">
        <v>970</v>
      </c>
      <c r="I698" s="347" t="s">
        <v>971</v>
      </c>
      <c r="K698" s="444"/>
      <c r="L698" s="349" t="s">
        <v>2490</v>
      </c>
      <c r="M698" s="350" t="s">
        <v>2686</v>
      </c>
      <c r="N698" s="350" t="s">
        <v>2687</v>
      </c>
      <c r="Q698" s="347" t="s">
        <v>631</v>
      </c>
      <c r="T698" s="347" t="s">
        <v>631</v>
      </c>
      <c r="U698" s="347" t="s">
        <v>631</v>
      </c>
      <c r="V698" s="347" t="s">
        <v>631</v>
      </c>
      <c r="Z698" s="446" t="s">
        <v>2457</v>
      </c>
    </row>
    <row r="699" spans="1:26" ht="16.899999999999999" customHeight="1" x14ac:dyDescent="0.15">
      <c r="A699" s="347" t="s">
        <v>2688</v>
      </c>
      <c r="B699" s="347">
        <v>6</v>
      </c>
      <c r="C699" s="347" t="s">
        <v>987</v>
      </c>
      <c r="E699" s="347" t="s">
        <v>631</v>
      </c>
      <c r="F699" s="348" t="s">
        <v>941</v>
      </c>
      <c r="G699" s="347" t="s">
        <v>969</v>
      </c>
      <c r="I699" s="347" t="s">
        <v>971</v>
      </c>
      <c r="K699" s="444"/>
      <c r="L699" s="349" t="s">
        <v>2413</v>
      </c>
      <c r="M699" s="350" t="s">
        <v>2689</v>
      </c>
      <c r="N699" s="350" t="s">
        <v>2690</v>
      </c>
      <c r="T699" s="347" t="s">
        <v>631</v>
      </c>
      <c r="U699" s="347" t="s">
        <v>631</v>
      </c>
      <c r="V699" s="347" t="s">
        <v>631</v>
      </c>
      <c r="Z699" s="446" t="s">
        <v>2457</v>
      </c>
    </row>
    <row r="700" spans="1:26" ht="16.899999999999999" customHeight="1" x14ac:dyDescent="0.15">
      <c r="A700" s="347" t="s">
        <v>2691</v>
      </c>
      <c r="B700" s="347">
        <v>6</v>
      </c>
      <c r="C700" s="347" t="s">
        <v>1019</v>
      </c>
      <c r="F700" s="348" t="s">
        <v>941</v>
      </c>
      <c r="G700" s="347" t="s">
        <v>709</v>
      </c>
      <c r="H700" s="347" t="s">
        <v>970</v>
      </c>
      <c r="K700" s="444"/>
      <c r="L700" s="349" t="s">
        <v>972</v>
      </c>
      <c r="M700" s="350" t="s">
        <v>2692</v>
      </c>
      <c r="N700" s="350" t="s">
        <v>2693</v>
      </c>
      <c r="T700" s="347" t="s">
        <v>631</v>
      </c>
      <c r="U700" s="347" t="s">
        <v>631</v>
      </c>
      <c r="V700" s="347" t="s">
        <v>631</v>
      </c>
      <c r="Z700" s="446" t="s">
        <v>2457</v>
      </c>
    </row>
    <row r="701" spans="1:26" ht="16.899999999999999" customHeight="1" x14ac:dyDescent="0.15">
      <c r="A701" s="347" t="s">
        <v>2694</v>
      </c>
      <c r="B701" s="347">
        <v>6</v>
      </c>
      <c r="C701" s="347" t="s">
        <v>983</v>
      </c>
      <c r="F701" s="348" t="s">
        <v>2695</v>
      </c>
      <c r="G701" s="347" t="s">
        <v>969</v>
      </c>
      <c r="H701" s="347" t="s">
        <v>970</v>
      </c>
      <c r="I701" s="347" t="s">
        <v>971</v>
      </c>
      <c r="J701" s="347" t="s">
        <v>989</v>
      </c>
      <c r="K701" s="444" t="s">
        <v>2696</v>
      </c>
      <c r="L701" s="349" t="s">
        <v>1104</v>
      </c>
      <c r="M701" s="350" t="s">
        <v>2697</v>
      </c>
      <c r="N701" s="350" t="s">
        <v>2698</v>
      </c>
      <c r="U701" s="347" t="s">
        <v>631</v>
      </c>
      <c r="V701" s="347" t="s">
        <v>631</v>
      </c>
      <c r="Z701" s="446" t="s">
        <v>2457</v>
      </c>
    </row>
    <row r="702" spans="1:26" ht="16.899999999999999" customHeight="1" x14ac:dyDescent="0.15">
      <c r="A702" s="347" t="s">
        <v>2785</v>
      </c>
      <c r="B702" s="347">
        <v>6</v>
      </c>
      <c r="C702" s="347" t="s">
        <v>977</v>
      </c>
      <c r="E702" s="347" t="s">
        <v>631</v>
      </c>
      <c r="F702" s="348" t="s">
        <v>1047</v>
      </c>
      <c r="G702" s="347" t="s">
        <v>969</v>
      </c>
      <c r="H702" s="347" t="s">
        <v>970</v>
      </c>
      <c r="I702" s="347" t="s">
        <v>971</v>
      </c>
      <c r="J702" s="347" t="s">
        <v>989</v>
      </c>
      <c r="K702" s="444" t="s">
        <v>2786</v>
      </c>
      <c r="L702" s="349" t="s">
        <v>2413</v>
      </c>
      <c r="M702" s="350" t="s">
        <v>2787</v>
      </c>
      <c r="N702" s="350" t="s">
        <v>2788</v>
      </c>
      <c r="T702" s="347" t="s">
        <v>631</v>
      </c>
      <c r="V702" s="347" t="s">
        <v>631</v>
      </c>
      <c r="Z702" s="446" t="s">
        <v>2769</v>
      </c>
    </row>
    <row r="703" spans="1:26" ht="16.899999999999999" customHeight="1" x14ac:dyDescent="0.15">
      <c r="A703" s="347" t="s">
        <v>2917</v>
      </c>
      <c r="B703" s="347">
        <v>6</v>
      </c>
      <c r="C703" s="347" t="s">
        <v>968</v>
      </c>
      <c r="F703" s="348" t="s">
        <v>941</v>
      </c>
      <c r="G703" s="347" t="s">
        <v>2943</v>
      </c>
      <c r="H703" s="347" t="s">
        <v>970</v>
      </c>
      <c r="I703" s="347" t="s">
        <v>971</v>
      </c>
      <c r="J703" s="347" t="s">
        <v>989</v>
      </c>
      <c r="K703" s="349" t="s">
        <v>2918</v>
      </c>
      <c r="L703" s="349" t="s">
        <v>972</v>
      </c>
      <c r="M703" s="350" t="s">
        <v>2919</v>
      </c>
      <c r="N703" s="445" t="s">
        <v>2920</v>
      </c>
      <c r="V703" s="347" t="s">
        <v>631</v>
      </c>
      <c r="Z703" s="446" t="s">
        <v>2888</v>
      </c>
    </row>
    <row r="704" spans="1:26" ht="16.899999999999999" customHeight="1" x14ac:dyDescent="0.15">
      <c r="A704" s="347" t="s">
        <v>5605</v>
      </c>
      <c r="B704" s="347">
        <v>6</v>
      </c>
      <c r="C704" s="347" t="s">
        <v>968</v>
      </c>
      <c r="E704" s="347" t="s">
        <v>631</v>
      </c>
      <c r="F704" s="348" t="s">
        <v>941</v>
      </c>
      <c r="G704" s="347" t="s">
        <v>978</v>
      </c>
      <c r="H704" s="347" t="s">
        <v>970</v>
      </c>
      <c r="I704" s="347" t="s">
        <v>971</v>
      </c>
      <c r="K704" s="350"/>
      <c r="L704" s="349" t="s">
        <v>2413</v>
      </c>
      <c r="M704" s="350" t="s">
        <v>5606</v>
      </c>
      <c r="N704" s="350" t="s">
        <v>5607</v>
      </c>
      <c r="T704" s="347" t="s">
        <v>631</v>
      </c>
      <c r="U704" s="347" t="s">
        <v>631</v>
      </c>
      <c r="V704" s="347" t="s">
        <v>631</v>
      </c>
      <c r="Z704" s="349" t="s">
        <v>3197</v>
      </c>
    </row>
    <row r="705" spans="1:26" ht="16.899999999999999" customHeight="1" x14ac:dyDescent="0.15">
      <c r="A705" s="347" t="s">
        <v>6439</v>
      </c>
      <c r="B705" s="347">
        <v>6</v>
      </c>
      <c r="C705" s="347" t="s">
        <v>1019</v>
      </c>
      <c r="E705" s="347" t="s">
        <v>631</v>
      </c>
      <c r="F705" s="348" t="s">
        <v>941</v>
      </c>
      <c r="G705" s="347" t="s">
        <v>988</v>
      </c>
      <c r="H705" s="347" t="s">
        <v>970</v>
      </c>
      <c r="I705" s="347" t="s">
        <v>6323</v>
      </c>
      <c r="J705" s="347" t="s">
        <v>989</v>
      </c>
      <c r="K705" s="350" t="s">
        <v>6440</v>
      </c>
      <c r="L705" s="349" t="s">
        <v>6522</v>
      </c>
      <c r="M705" s="350" t="s">
        <v>6441</v>
      </c>
      <c r="N705" s="350" t="s">
        <v>6442</v>
      </c>
      <c r="Q705" s="347" t="s">
        <v>631</v>
      </c>
      <c r="T705" s="347" t="s">
        <v>631</v>
      </c>
      <c r="U705" s="347" t="s">
        <v>631</v>
      </c>
      <c r="V705" s="347" t="s">
        <v>631</v>
      </c>
      <c r="Y705" s="347" t="s">
        <v>631</v>
      </c>
      <c r="Z705" s="349" t="s">
        <v>5820</v>
      </c>
    </row>
    <row r="706" spans="1:26" ht="16.899999999999999" customHeight="1" x14ac:dyDescent="0.15">
      <c r="A706" s="347" t="s">
        <v>6443</v>
      </c>
      <c r="B706" s="347">
        <v>6</v>
      </c>
      <c r="C706" s="347" t="s">
        <v>983</v>
      </c>
      <c r="F706" s="348" t="s">
        <v>941</v>
      </c>
      <c r="G706" s="347" t="s">
        <v>988</v>
      </c>
      <c r="H706" s="347" t="s">
        <v>970</v>
      </c>
      <c r="I706" s="347" t="s">
        <v>6323</v>
      </c>
      <c r="J706" s="347" t="s">
        <v>989</v>
      </c>
      <c r="K706" s="350" t="s">
        <v>6444</v>
      </c>
      <c r="L706" s="349" t="s">
        <v>972</v>
      </c>
      <c r="M706" s="350" t="s">
        <v>6445</v>
      </c>
      <c r="N706" s="350" t="s">
        <v>6446</v>
      </c>
      <c r="T706" s="347" t="s">
        <v>631</v>
      </c>
      <c r="U706" s="347" t="s">
        <v>631</v>
      </c>
      <c r="V706" s="347" t="s">
        <v>631</v>
      </c>
      <c r="Y706" s="347" t="s">
        <v>631</v>
      </c>
      <c r="Z706" s="349" t="s">
        <v>5820</v>
      </c>
    </row>
    <row r="707" spans="1:26" ht="16.899999999999999" customHeight="1" x14ac:dyDescent="0.15">
      <c r="A707" s="347" t="s">
        <v>7958</v>
      </c>
      <c r="B707" s="347">
        <v>6</v>
      </c>
      <c r="C707" s="347" t="s">
        <v>6520</v>
      </c>
      <c r="E707" s="347" t="s">
        <v>2950</v>
      </c>
      <c r="F707" s="348" t="s">
        <v>2995</v>
      </c>
      <c r="G707" s="347" t="s">
        <v>2943</v>
      </c>
      <c r="H707" s="347" t="s">
        <v>2953</v>
      </c>
      <c r="I707" s="347" t="s">
        <v>6323</v>
      </c>
      <c r="J707" s="347" t="s">
        <v>6335</v>
      </c>
      <c r="K707" s="350" t="s">
        <v>7930</v>
      </c>
      <c r="L707" s="349" t="s">
        <v>6522</v>
      </c>
      <c r="M707" s="350" t="s">
        <v>7959</v>
      </c>
      <c r="N707" s="350" t="s">
        <v>7960</v>
      </c>
      <c r="P707" s="347" t="s">
        <v>2950</v>
      </c>
      <c r="V707" s="347" t="s">
        <v>2950</v>
      </c>
      <c r="Z707" s="349" t="s">
        <v>7878</v>
      </c>
    </row>
    <row r="708" spans="1:26" ht="16.899999999999999" customHeight="1" x14ac:dyDescent="0.15">
      <c r="A708" s="347" t="s">
        <v>7961</v>
      </c>
      <c r="B708" s="347">
        <v>6</v>
      </c>
      <c r="C708" s="347" t="s">
        <v>2976</v>
      </c>
      <c r="D708" s="347" t="s">
        <v>2950</v>
      </c>
      <c r="F708" s="348" t="s">
        <v>7896</v>
      </c>
      <c r="G708" s="347" t="s">
        <v>2972</v>
      </c>
      <c r="H708" s="347" t="s">
        <v>2953</v>
      </c>
      <c r="I708" s="347" t="s">
        <v>6323</v>
      </c>
      <c r="J708" s="347" t="s">
        <v>6335</v>
      </c>
      <c r="K708" s="350" t="s">
        <v>7962</v>
      </c>
      <c r="L708" s="349" t="s">
        <v>7963</v>
      </c>
      <c r="M708" s="350" t="s">
        <v>7964</v>
      </c>
      <c r="N708" s="350" t="s">
        <v>7965</v>
      </c>
      <c r="O708" s="347" t="s">
        <v>2950</v>
      </c>
      <c r="V708" s="347" t="s">
        <v>2950</v>
      </c>
      <c r="Z708" s="349" t="s">
        <v>7878</v>
      </c>
    </row>
    <row r="709" spans="1:26" ht="16.899999999999999" customHeight="1" x14ac:dyDescent="0.15">
      <c r="A709" s="347" t="s">
        <v>8145</v>
      </c>
      <c r="B709" s="347">
        <v>6</v>
      </c>
      <c r="C709" s="347" t="s">
        <v>6520</v>
      </c>
      <c r="E709" s="347" t="s">
        <v>2950</v>
      </c>
      <c r="F709" s="348" t="s">
        <v>2995</v>
      </c>
      <c r="G709" s="347" t="s">
        <v>2943</v>
      </c>
      <c r="H709" s="347" t="s">
        <v>2953</v>
      </c>
      <c r="I709" s="347" t="s">
        <v>6323</v>
      </c>
      <c r="J709" s="347" t="s">
        <v>6335</v>
      </c>
      <c r="K709" s="350" t="s">
        <v>8146</v>
      </c>
      <c r="L709" s="349" t="s">
        <v>8007</v>
      </c>
      <c r="M709" s="350" t="s">
        <v>8147</v>
      </c>
      <c r="N709" s="350" t="s">
        <v>8148</v>
      </c>
      <c r="T709" s="347" t="s">
        <v>2950</v>
      </c>
      <c r="V709" s="347" t="s">
        <v>2950</v>
      </c>
      <c r="Z709" s="349" t="s">
        <v>7972</v>
      </c>
    </row>
    <row r="710" spans="1:26" ht="16.899999999999999" customHeight="1" x14ac:dyDescent="0.15">
      <c r="A710" s="347" t="s">
        <v>8299</v>
      </c>
      <c r="B710" s="347">
        <v>6</v>
      </c>
      <c r="C710" s="347" t="s">
        <v>8154</v>
      </c>
      <c r="F710" s="348" t="s">
        <v>2995</v>
      </c>
      <c r="G710" s="347" t="s">
        <v>2943</v>
      </c>
      <c r="H710" s="347" t="s">
        <v>2953</v>
      </c>
      <c r="I710" s="347" t="s">
        <v>6323</v>
      </c>
      <c r="J710" s="347" t="s">
        <v>6335</v>
      </c>
      <c r="K710" s="350" t="s">
        <v>8300</v>
      </c>
      <c r="L710" s="349" t="s">
        <v>2987</v>
      </c>
      <c r="M710" s="350" t="s">
        <v>8301</v>
      </c>
      <c r="N710" s="350" t="s">
        <v>8302</v>
      </c>
      <c r="T710" s="347" t="s">
        <v>2950</v>
      </c>
      <c r="U710" s="347" t="s">
        <v>2950</v>
      </c>
      <c r="V710" s="347" t="s">
        <v>2950</v>
      </c>
      <c r="Z710" s="349" t="s">
        <v>8157</v>
      </c>
    </row>
    <row r="711" spans="1:26" ht="16.899999999999999" customHeight="1" x14ac:dyDescent="0.15">
      <c r="A711" s="347" t="s">
        <v>8528</v>
      </c>
      <c r="B711" s="347">
        <v>6</v>
      </c>
      <c r="C711" s="347" t="s">
        <v>968</v>
      </c>
      <c r="F711" s="348" t="s">
        <v>941</v>
      </c>
      <c r="G711" s="347" t="s">
        <v>978</v>
      </c>
      <c r="H711" s="347" t="s">
        <v>970</v>
      </c>
      <c r="I711" s="347" t="s">
        <v>971</v>
      </c>
      <c r="K711" s="350"/>
      <c r="L711" s="349" t="s">
        <v>1048</v>
      </c>
      <c r="M711" s="350" t="s">
        <v>9605</v>
      </c>
      <c r="N711" s="350" t="s">
        <v>8529</v>
      </c>
      <c r="O711" s="347" t="s">
        <v>631</v>
      </c>
      <c r="P711" s="347" t="s">
        <v>631</v>
      </c>
      <c r="Q711" s="347" t="s">
        <v>631</v>
      </c>
      <c r="Z711" s="349" t="s">
        <v>8537</v>
      </c>
    </row>
    <row r="712" spans="1:26" ht="16.899999999999999" customHeight="1" x14ac:dyDescent="0.15">
      <c r="A712" s="347" t="s">
        <v>9674</v>
      </c>
      <c r="B712" s="347">
        <v>6</v>
      </c>
      <c r="C712" s="347" t="s">
        <v>1019</v>
      </c>
      <c r="E712" s="347" t="s">
        <v>631</v>
      </c>
      <c r="F712" s="348" t="s">
        <v>941</v>
      </c>
      <c r="G712" s="347" t="s">
        <v>1134</v>
      </c>
      <c r="H712" s="347" t="s">
        <v>970</v>
      </c>
      <c r="I712" s="347" t="s">
        <v>971</v>
      </c>
      <c r="K712" s="350"/>
      <c r="L712" s="349" t="s">
        <v>1211</v>
      </c>
      <c r="M712" s="350" t="s">
        <v>9684</v>
      </c>
      <c r="N712" s="350" t="s">
        <v>9675</v>
      </c>
      <c r="Q712" s="347" t="s">
        <v>631</v>
      </c>
      <c r="V712" s="347" t="s">
        <v>631</v>
      </c>
      <c r="Z712" s="349" t="s">
        <v>9638</v>
      </c>
    </row>
    <row r="713" spans="1:26" ht="16.899999999999999" customHeight="1" x14ac:dyDescent="0.15">
      <c r="A713" s="347" t="s">
        <v>9647</v>
      </c>
      <c r="B713" s="347">
        <v>6</v>
      </c>
      <c r="C713" s="347" t="s">
        <v>7883</v>
      </c>
      <c r="E713" s="347" t="s">
        <v>2950</v>
      </c>
      <c r="F713" s="348" t="s">
        <v>941</v>
      </c>
      <c r="G713" s="347" t="s">
        <v>2970</v>
      </c>
      <c r="H713" s="347" t="s">
        <v>970</v>
      </c>
      <c r="I713" s="347" t="s">
        <v>971</v>
      </c>
      <c r="J713" s="347" t="s">
        <v>989</v>
      </c>
      <c r="K713" s="350" t="s">
        <v>9685</v>
      </c>
      <c r="L713" s="349" t="s">
        <v>8007</v>
      </c>
      <c r="M713" s="350" t="s">
        <v>9648</v>
      </c>
      <c r="N713" s="350" t="s">
        <v>9686</v>
      </c>
      <c r="Q713" s="347" t="s">
        <v>631</v>
      </c>
      <c r="T713" s="347" t="s">
        <v>631</v>
      </c>
      <c r="V713" s="347" t="s">
        <v>631</v>
      </c>
      <c r="Z713" s="349" t="s">
        <v>9638</v>
      </c>
    </row>
    <row r="714" spans="1:26" ht="16.899999999999999" customHeight="1" x14ac:dyDescent="0.15">
      <c r="A714" s="347" t="s">
        <v>9687</v>
      </c>
      <c r="B714" s="347">
        <v>6</v>
      </c>
      <c r="C714" s="347" t="s">
        <v>983</v>
      </c>
      <c r="F714" s="348" t="s">
        <v>1047</v>
      </c>
      <c r="G714" s="347" t="s">
        <v>1722</v>
      </c>
      <c r="H714" s="347" t="s">
        <v>970</v>
      </c>
      <c r="I714" s="347" t="s">
        <v>971</v>
      </c>
      <c r="J714" s="347" t="s">
        <v>989</v>
      </c>
      <c r="K714" s="350" t="s">
        <v>9688</v>
      </c>
      <c r="L714" s="349" t="s">
        <v>972</v>
      </c>
      <c r="M714" s="350" t="s">
        <v>9710</v>
      </c>
      <c r="N714" s="350" t="s">
        <v>9689</v>
      </c>
      <c r="P714" s="347" t="s">
        <v>631</v>
      </c>
      <c r="Q714" s="347" t="s">
        <v>631</v>
      </c>
      <c r="U714" s="347" t="s">
        <v>631</v>
      </c>
      <c r="V714" s="347" t="s">
        <v>631</v>
      </c>
      <c r="Z714" s="349" t="s">
        <v>9638</v>
      </c>
    </row>
    <row r="715" spans="1:26" ht="16.899999999999999" customHeight="1" x14ac:dyDescent="0.15">
      <c r="A715" s="347" t="s">
        <v>10094</v>
      </c>
      <c r="B715" s="347">
        <v>6</v>
      </c>
      <c r="C715" s="347" t="s">
        <v>1007</v>
      </c>
      <c r="E715" s="347" t="s">
        <v>631</v>
      </c>
      <c r="F715" s="348" t="s">
        <v>941</v>
      </c>
      <c r="G715" s="347" t="s">
        <v>978</v>
      </c>
      <c r="H715" s="347" t="s">
        <v>970</v>
      </c>
      <c r="K715" s="350"/>
      <c r="L715" s="349" t="s">
        <v>979</v>
      </c>
      <c r="M715" s="350" t="s">
        <v>10119</v>
      </c>
      <c r="N715" s="350" t="s">
        <v>10095</v>
      </c>
      <c r="O715" s="347" t="s">
        <v>10123</v>
      </c>
      <c r="P715" s="347" t="s">
        <v>10123</v>
      </c>
      <c r="Z715" s="349" t="s">
        <v>10124</v>
      </c>
    </row>
    <row r="716" spans="1:26" ht="16.899999999999999" customHeight="1" x14ac:dyDescent="0.15">
      <c r="A716" s="347" t="s">
        <v>10096</v>
      </c>
      <c r="B716" s="347">
        <v>6</v>
      </c>
      <c r="C716" s="347" t="s">
        <v>968</v>
      </c>
      <c r="F716" s="348" t="s">
        <v>941</v>
      </c>
      <c r="G716" s="347" t="s">
        <v>978</v>
      </c>
      <c r="H716" s="347" t="s">
        <v>970</v>
      </c>
      <c r="I716" s="347" t="s">
        <v>971</v>
      </c>
      <c r="J716" s="347" t="s">
        <v>989</v>
      </c>
      <c r="K716" s="350" t="s">
        <v>10097</v>
      </c>
      <c r="L716" s="349" t="s">
        <v>1016</v>
      </c>
      <c r="M716" s="350" t="s">
        <v>10120</v>
      </c>
      <c r="N716" s="350" t="s">
        <v>10098</v>
      </c>
      <c r="Q716" s="347" t="s">
        <v>10123</v>
      </c>
      <c r="T716" s="347" t="s">
        <v>10123</v>
      </c>
      <c r="V716" s="347" t="s">
        <v>10123</v>
      </c>
      <c r="Z716" s="349" t="s">
        <v>10124</v>
      </c>
    </row>
    <row r="717" spans="1:26" ht="16.899999999999999" customHeight="1" x14ac:dyDescent="0.15">
      <c r="A717" s="347" t="s">
        <v>2211</v>
      </c>
      <c r="B717" s="347">
        <v>7</v>
      </c>
      <c r="C717" s="347" t="s">
        <v>1019</v>
      </c>
      <c r="E717" s="347" t="s">
        <v>631</v>
      </c>
      <c r="F717" s="348" t="s">
        <v>941</v>
      </c>
      <c r="G717" s="347" t="s">
        <v>1134</v>
      </c>
      <c r="H717" s="347" t="s">
        <v>970</v>
      </c>
      <c r="I717" s="347" t="s">
        <v>971</v>
      </c>
      <c r="K717" s="350"/>
      <c r="L717" s="349" t="s">
        <v>1161</v>
      </c>
      <c r="M717" s="350" t="s">
        <v>2212</v>
      </c>
      <c r="N717" s="350" t="s">
        <v>2213</v>
      </c>
      <c r="P717" s="347" t="s">
        <v>631</v>
      </c>
      <c r="Z717" s="349" t="s">
        <v>975</v>
      </c>
    </row>
    <row r="718" spans="1:26" ht="16.899999999999999" customHeight="1" x14ac:dyDescent="0.15">
      <c r="A718" s="347" t="s">
        <v>2214</v>
      </c>
      <c r="B718" s="347">
        <v>7</v>
      </c>
      <c r="C718" s="347" t="s">
        <v>968</v>
      </c>
      <c r="E718" s="347" t="s">
        <v>631</v>
      </c>
      <c r="F718" s="348" t="s">
        <v>941</v>
      </c>
      <c r="G718" s="347" t="s">
        <v>1541</v>
      </c>
      <c r="H718" s="347" t="s">
        <v>970</v>
      </c>
      <c r="I718" s="347" t="s">
        <v>971</v>
      </c>
      <c r="J718" s="347" t="s">
        <v>989</v>
      </c>
      <c r="K718" s="350" t="s">
        <v>1630</v>
      </c>
      <c r="L718" s="349" t="s">
        <v>979</v>
      </c>
      <c r="M718" s="350" t="s">
        <v>2215</v>
      </c>
      <c r="N718" s="350" t="s">
        <v>2216</v>
      </c>
      <c r="T718" s="347" t="s">
        <v>631</v>
      </c>
      <c r="V718" s="347" t="s">
        <v>631</v>
      </c>
      <c r="Z718" s="349" t="s">
        <v>975</v>
      </c>
    </row>
    <row r="719" spans="1:26" ht="16.899999999999999" customHeight="1" x14ac:dyDescent="0.15">
      <c r="A719" s="347" t="s">
        <v>2217</v>
      </c>
      <c r="B719" s="347">
        <v>7</v>
      </c>
      <c r="C719" s="347" t="s">
        <v>968</v>
      </c>
      <c r="F719" s="348" t="s">
        <v>1047</v>
      </c>
      <c r="G719" s="347" t="s">
        <v>709</v>
      </c>
      <c r="H719" s="347" t="s">
        <v>970</v>
      </c>
      <c r="K719" s="350"/>
      <c r="L719" s="349" t="s">
        <v>972</v>
      </c>
      <c r="M719" s="350" t="s">
        <v>2218</v>
      </c>
      <c r="N719" s="350" t="s">
        <v>2219</v>
      </c>
      <c r="P719" s="347" t="s">
        <v>631</v>
      </c>
      <c r="Z719" s="349" t="s">
        <v>975</v>
      </c>
    </row>
    <row r="720" spans="1:26" ht="16.899999999999999" customHeight="1" x14ac:dyDescent="0.15">
      <c r="A720" s="347" t="s">
        <v>2220</v>
      </c>
      <c r="B720" s="347">
        <v>7</v>
      </c>
      <c r="C720" s="347" t="s">
        <v>1019</v>
      </c>
      <c r="F720" s="348" t="s">
        <v>941</v>
      </c>
      <c r="G720" s="347" t="s">
        <v>978</v>
      </c>
      <c r="H720" s="347" t="s">
        <v>970</v>
      </c>
      <c r="I720" s="347" t="s">
        <v>971</v>
      </c>
      <c r="K720" s="350"/>
      <c r="L720" s="349" t="s">
        <v>2221</v>
      </c>
      <c r="M720" s="350" t="s">
        <v>2222</v>
      </c>
      <c r="N720" s="350" t="s">
        <v>2223</v>
      </c>
      <c r="O720" s="347" t="s">
        <v>631</v>
      </c>
      <c r="P720" s="347" t="s">
        <v>631</v>
      </c>
      <c r="T720" s="347" t="s">
        <v>631</v>
      </c>
      <c r="U720" s="347" t="s">
        <v>631</v>
      </c>
      <c r="V720" s="347" t="s">
        <v>631</v>
      </c>
      <c r="Y720" s="347" t="s">
        <v>631</v>
      </c>
      <c r="Z720" s="349" t="s">
        <v>975</v>
      </c>
    </row>
    <row r="721" spans="1:26" ht="16.899999999999999" customHeight="1" x14ac:dyDescent="0.15">
      <c r="A721" s="347" t="s">
        <v>2224</v>
      </c>
      <c r="B721" s="347">
        <v>7</v>
      </c>
      <c r="C721" s="347" t="s">
        <v>983</v>
      </c>
      <c r="F721" s="348" t="s">
        <v>941</v>
      </c>
      <c r="G721" s="347" t="s">
        <v>969</v>
      </c>
      <c r="H721" s="347" t="s">
        <v>970</v>
      </c>
      <c r="I721" s="347" t="s">
        <v>971</v>
      </c>
      <c r="K721" s="350"/>
      <c r="L721" s="349" t="s">
        <v>972</v>
      </c>
      <c r="M721" s="350" t="s">
        <v>2225</v>
      </c>
      <c r="N721" s="350" t="s">
        <v>2226</v>
      </c>
      <c r="T721" s="347" t="s">
        <v>631</v>
      </c>
      <c r="U721" s="347" t="s">
        <v>631</v>
      </c>
      <c r="V721" s="347" t="s">
        <v>631</v>
      </c>
      <c r="Y721" s="347" t="s">
        <v>631</v>
      </c>
      <c r="Z721" s="349" t="s">
        <v>975</v>
      </c>
    </row>
    <row r="722" spans="1:26" ht="16.899999999999999" customHeight="1" x14ac:dyDescent="0.15">
      <c r="A722" s="347" t="s">
        <v>2227</v>
      </c>
      <c r="B722" s="347">
        <v>7</v>
      </c>
      <c r="C722" s="347" t="s">
        <v>968</v>
      </c>
      <c r="F722" s="348" t="s">
        <v>941</v>
      </c>
      <c r="G722" s="347" t="s">
        <v>1541</v>
      </c>
      <c r="H722" s="347" t="s">
        <v>970</v>
      </c>
      <c r="I722" s="347" t="s">
        <v>971</v>
      </c>
      <c r="K722" s="350"/>
      <c r="L722" s="349" t="s">
        <v>972</v>
      </c>
      <c r="M722" s="350" t="s">
        <v>2228</v>
      </c>
      <c r="N722" s="350" t="s">
        <v>2229</v>
      </c>
      <c r="P722" s="347" t="s">
        <v>631</v>
      </c>
      <c r="Q722" s="347" t="s">
        <v>631</v>
      </c>
      <c r="T722" s="347" t="s">
        <v>631</v>
      </c>
      <c r="Z722" s="349" t="s">
        <v>975</v>
      </c>
    </row>
    <row r="723" spans="1:26" ht="16.899999999999999" customHeight="1" x14ac:dyDescent="0.15">
      <c r="A723" s="347" t="s">
        <v>2230</v>
      </c>
      <c r="B723" s="347">
        <v>7</v>
      </c>
      <c r="C723" s="347" t="s">
        <v>968</v>
      </c>
      <c r="E723" s="347" t="s">
        <v>631</v>
      </c>
      <c r="F723" s="348" t="s">
        <v>941</v>
      </c>
      <c r="G723" s="347" t="s">
        <v>2231</v>
      </c>
      <c r="H723" s="347" t="s">
        <v>970</v>
      </c>
      <c r="I723" s="347" t="s">
        <v>971</v>
      </c>
      <c r="J723" s="347" t="s">
        <v>989</v>
      </c>
      <c r="K723" s="350" t="s">
        <v>2232</v>
      </c>
      <c r="L723" s="349" t="s">
        <v>1211</v>
      </c>
      <c r="M723" s="350" t="s">
        <v>2233</v>
      </c>
      <c r="N723" s="350" t="s">
        <v>2234</v>
      </c>
      <c r="O723" s="347" t="s">
        <v>631</v>
      </c>
      <c r="U723" s="347" t="s">
        <v>631</v>
      </c>
      <c r="V723" s="347" t="s">
        <v>631</v>
      </c>
      <c r="Y723" s="347" t="s">
        <v>631</v>
      </c>
      <c r="Z723" s="349" t="s">
        <v>975</v>
      </c>
    </row>
    <row r="724" spans="1:26" ht="16.899999999999999" customHeight="1" x14ac:dyDescent="0.15">
      <c r="A724" s="347" t="s">
        <v>2235</v>
      </c>
      <c r="B724" s="347">
        <v>7</v>
      </c>
      <c r="C724" s="347" t="s">
        <v>987</v>
      </c>
      <c r="F724" s="348" t="s">
        <v>1048</v>
      </c>
      <c r="G724" s="347" t="s">
        <v>2236</v>
      </c>
      <c r="H724" s="347" t="s">
        <v>970</v>
      </c>
      <c r="I724" s="347" t="s">
        <v>971</v>
      </c>
      <c r="K724" s="350"/>
      <c r="L724" s="349" t="s">
        <v>1256</v>
      </c>
      <c r="M724" s="350" t="s">
        <v>2237</v>
      </c>
      <c r="N724" s="350" t="s">
        <v>2238</v>
      </c>
      <c r="O724" s="347" t="s">
        <v>631</v>
      </c>
      <c r="Q724" s="347" t="s">
        <v>631</v>
      </c>
      <c r="V724" s="347" t="s">
        <v>631</v>
      </c>
      <c r="Z724" s="349" t="s">
        <v>975</v>
      </c>
    </row>
    <row r="725" spans="1:26" ht="16.899999999999999" customHeight="1" x14ac:dyDescent="0.15">
      <c r="A725" s="347" t="s">
        <v>2239</v>
      </c>
      <c r="B725" s="347">
        <v>7</v>
      </c>
      <c r="C725" s="347" t="s">
        <v>1019</v>
      </c>
      <c r="F725" s="348" t="s">
        <v>1020</v>
      </c>
      <c r="G725" s="347" t="s">
        <v>1793</v>
      </c>
      <c r="H725" s="347" t="s">
        <v>970</v>
      </c>
      <c r="I725" s="347" t="s">
        <v>971</v>
      </c>
      <c r="J725" s="347" t="s">
        <v>989</v>
      </c>
      <c r="K725" s="350" t="s">
        <v>2240</v>
      </c>
      <c r="L725" s="349" t="s">
        <v>1109</v>
      </c>
      <c r="M725" s="350" t="s">
        <v>2241</v>
      </c>
      <c r="N725" s="350" t="s">
        <v>2242</v>
      </c>
      <c r="O725" s="347" t="s">
        <v>631</v>
      </c>
      <c r="V725" s="347" t="s">
        <v>631</v>
      </c>
      <c r="Z725" s="349" t="s">
        <v>975</v>
      </c>
    </row>
    <row r="726" spans="1:26" ht="16.899999999999999" customHeight="1" x14ac:dyDescent="0.15">
      <c r="A726" s="347" t="s">
        <v>2243</v>
      </c>
      <c r="B726" s="347">
        <v>7</v>
      </c>
      <c r="C726" s="347" t="s">
        <v>968</v>
      </c>
      <c r="E726" s="347" t="s">
        <v>631</v>
      </c>
      <c r="F726" s="348" t="s">
        <v>941</v>
      </c>
      <c r="G726" s="347" t="s">
        <v>1134</v>
      </c>
      <c r="H726" s="347" t="s">
        <v>970</v>
      </c>
      <c r="I726" s="347" t="s">
        <v>971</v>
      </c>
      <c r="J726" s="347" t="s">
        <v>989</v>
      </c>
      <c r="K726" s="350" t="s">
        <v>2244</v>
      </c>
      <c r="L726" s="349" t="s">
        <v>979</v>
      </c>
      <c r="M726" s="350" t="s">
        <v>2245</v>
      </c>
      <c r="N726" s="350" t="s">
        <v>2246</v>
      </c>
      <c r="O726" s="347" t="s">
        <v>631</v>
      </c>
      <c r="V726" s="347" t="s">
        <v>631</v>
      </c>
      <c r="Z726" s="349" t="s">
        <v>975</v>
      </c>
    </row>
    <row r="727" spans="1:26" ht="16.899999999999999" customHeight="1" x14ac:dyDescent="0.15">
      <c r="A727" s="347" t="s">
        <v>2247</v>
      </c>
      <c r="B727" s="347">
        <v>7</v>
      </c>
      <c r="C727" s="347" t="s">
        <v>1019</v>
      </c>
      <c r="F727" s="348" t="s">
        <v>941</v>
      </c>
      <c r="G727" s="347" t="s">
        <v>984</v>
      </c>
      <c r="H727" s="347" t="s">
        <v>970</v>
      </c>
      <c r="I727" s="347" t="s">
        <v>971</v>
      </c>
      <c r="J727" s="347" t="s">
        <v>989</v>
      </c>
      <c r="K727" s="350" t="s">
        <v>2248</v>
      </c>
      <c r="L727" s="349" t="s">
        <v>972</v>
      </c>
      <c r="M727" s="350" t="s">
        <v>2249</v>
      </c>
      <c r="N727" s="350" t="s">
        <v>2250</v>
      </c>
      <c r="P727" s="347" t="s">
        <v>631</v>
      </c>
      <c r="Q727" s="347" t="s">
        <v>631</v>
      </c>
      <c r="T727" s="347" t="s">
        <v>631</v>
      </c>
      <c r="U727" s="347" t="s">
        <v>631</v>
      </c>
      <c r="V727" s="347" t="s">
        <v>631</v>
      </c>
      <c r="Y727" s="347" t="s">
        <v>631</v>
      </c>
      <c r="Z727" s="349" t="s">
        <v>975</v>
      </c>
    </row>
    <row r="728" spans="1:26" ht="16.899999999999999" customHeight="1" x14ac:dyDescent="0.15">
      <c r="A728" s="347" t="s">
        <v>2251</v>
      </c>
      <c r="B728" s="347">
        <v>7</v>
      </c>
      <c r="C728" s="347" t="s">
        <v>1007</v>
      </c>
      <c r="F728" s="348" t="s">
        <v>941</v>
      </c>
      <c r="G728" s="347" t="s">
        <v>969</v>
      </c>
      <c r="H728" s="347" t="s">
        <v>970</v>
      </c>
      <c r="K728" s="350"/>
      <c r="L728" s="349" t="s">
        <v>972</v>
      </c>
      <c r="M728" s="350" t="s">
        <v>2252</v>
      </c>
      <c r="N728" s="350" t="s">
        <v>2253</v>
      </c>
      <c r="O728" s="347" t="s">
        <v>631</v>
      </c>
      <c r="P728" s="347" t="s">
        <v>631</v>
      </c>
      <c r="Z728" s="349" t="s">
        <v>975</v>
      </c>
    </row>
    <row r="729" spans="1:26" ht="16.899999999999999" customHeight="1" x14ac:dyDescent="0.15">
      <c r="A729" s="347" t="s">
        <v>2254</v>
      </c>
      <c r="B729" s="347">
        <v>7</v>
      </c>
      <c r="C729" s="347" t="s">
        <v>968</v>
      </c>
      <c r="F729" s="348" t="s">
        <v>941</v>
      </c>
      <c r="G729" s="347" t="s">
        <v>978</v>
      </c>
      <c r="H729" s="347" t="s">
        <v>970</v>
      </c>
      <c r="I729" s="347" t="s">
        <v>971</v>
      </c>
      <c r="K729" s="350"/>
      <c r="L729" s="349" t="s">
        <v>972</v>
      </c>
      <c r="M729" s="350" t="s">
        <v>2255</v>
      </c>
      <c r="N729" s="350" t="s">
        <v>2256</v>
      </c>
      <c r="O729" s="347" t="s">
        <v>631</v>
      </c>
      <c r="T729" s="347" t="s">
        <v>631</v>
      </c>
      <c r="V729" s="347" t="s">
        <v>631</v>
      </c>
      <c r="Y729" s="347" t="s">
        <v>631</v>
      </c>
      <c r="Z729" s="349" t="s">
        <v>975</v>
      </c>
    </row>
    <row r="730" spans="1:26" ht="16.899999999999999" customHeight="1" x14ac:dyDescent="0.15">
      <c r="A730" s="347" t="s">
        <v>2257</v>
      </c>
      <c r="B730" s="347">
        <v>7</v>
      </c>
      <c r="C730" s="347" t="s">
        <v>987</v>
      </c>
      <c r="E730" s="347" t="s">
        <v>631</v>
      </c>
      <c r="F730" s="348" t="s">
        <v>941</v>
      </c>
      <c r="G730" s="347" t="s">
        <v>2258</v>
      </c>
      <c r="H730" s="347" t="s">
        <v>970</v>
      </c>
      <c r="I730" s="347" t="s">
        <v>971</v>
      </c>
      <c r="J730" s="347" t="s">
        <v>989</v>
      </c>
      <c r="K730" s="350" t="s">
        <v>2259</v>
      </c>
      <c r="L730" s="349" t="s">
        <v>2118</v>
      </c>
      <c r="M730" s="350" t="s">
        <v>2260</v>
      </c>
      <c r="N730" s="350" t="s">
        <v>2261</v>
      </c>
      <c r="O730" s="347" t="s">
        <v>631</v>
      </c>
      <c r="V730" s="347" t="s">
        <v>631</v>
      </c>
      <c r="Z730" s="349" t="s">
        <v>975</v>
      </c>
    </row>
    <row r="731" spans="1:26" ht="16.899999999999999" customHeight="1" x14ac:dyDescent="0.15">
      <c r="A731" s="347" t="s">
        <v>2262</v>
      </c>
      <c r="B731" s="347">
        <v>7</v>
      </c>
      <c r="C731" s="347" t="s">
        <v>994</v>
      </c>
      <c r="F731" s="348" t="s">
        <v>1020</v>
      </c>
      <c r="G731" s="347" t="s">
        <v>984</v>
      </c>
      <c r="H731" s="347" t="s">
        <v>970</v>
      </c>
      <c r="I731" s="347" t="s">
        <v>971</v>
      </c>
      <c r="J731" s="347" t="s">
        <v>989</v>
      </c>
      <c r="K731" s="350" t="s">
        <v>2263</v>
      </c>
      <c r="L731" s="349" t="s">
        <v>1016</v>
      </c>
      <c r="M731" s="350" t="s">
        <v>2264</v>
      </c>
      <c r="N731" s="350" t="s">
        <v>2265</v>
      </c>
      <c r="O731" s="347" t="s">
        <v>631</v>
      </c>
      <c r="P731" s="347" t="s">
        <v>631</v>
      </c>
      <c r="Q731" s="347" t="s">
        <v>631</v>
      </c>
      <c r="Y731" s="347" t="s">
        <v>631</v>
      </c>
      <c r="Z731" s="349" t="s">
        <v>975</v>
      </c>
    </row>
    <row r="732" spans="1:26" ht="16.899999999999999" customHeight="1" x14ac:dyDescent="0.15">
      <c r="A732" s="347" t="s">
        <v>2266</v>
      </c>
      <c r="B732" s="347">
        <v>7</v>
      </c>
      <c r="C732" s="347" t="s">
        <v>983</v>
      </c>
      <c r="F732" s="348" t="s">
        <v>1016</v>
      </c>
      <c r="G732" s="347" t="s">
        <v>984</v>
      </c>
      <c r="H732" s="347" t="s">
        <v>970</v>
      </c>
      <c r="I732" s="347" t="s">
        <v>971</v>
      </c>
      <c r="J732" s="347" t="s">
        <v>989</v>
      </c>
      <c r="K732" s="350" t="s">
        <v>2267</v>
      </c>
      <c r="L732" s="349" t="s">
        <v>972</v>
      </c>
      <c r="M732" s="350" t="s">
        <v>2268</v>
      </c>
      <c r="N732" s="350" t="s">
        <v>2269</v>
      </c>
      <c r="O732" s="347" t="s">
        <v>631</v>
      </c>
      <c r="P732" s="347" t="s">
        <v>631</v>
      </c>
      <c r="Y732" s="347" t="s">
        <v>631</v>
      </c>
      <c r="Z732" s="349" t="s">
        <v>975</v>
      </c>
    </row>
    <row r="733" spans="1:26" ht="16.899999999999999" customHeight="1" x14ac:dyDescent="0.15">
      <c r="A733" s="347" t="s">
        <v>2270</v>
      </c>
      <c r="B733" s="347">
        <v>7</v>
      </c>
      <c r="C733" s="347" t="s">
        <v>994</v>
      </c>
      <c r="E733" s="347" t="s">
        <v>631</v>
      </c>
      <c r="F733" s="348" t="s">
        <v>941</v>
      </c>
      <c r="G733" s="347" t="s">
        <v>2231</v>
      </c>
      <c r="H733" s="347" t="s">
        <v>970</v>
      </c>
      <c r="I733" s="347" t="s">
        <v>971</v>
      </c>
      <c r="J733" s="347" t="s">
        <v>989</v>
      </c>
      <c r="K733" s="350" t="s">
        <v>2271</v>
      </c>
      <c r="L733" s="349" t="s">
        <v>979</v>
      </c>
      <c r="M733" s="350" t="s">
        <v>2272</v>
      </c>
      <c r="N733" s="350" t="s">
        <v>2273</v>
      </c>
      <c r="Q733" s="347" t="s">
        <v>631</v>
      </c>
      <c r="T733" s="347" t="s">
        <v>631</v>
      </c>
      <c r="V733" s="347" t="s">
        <v>631</v>
      </c>
      <c r="Z733" s="349" t="s">
        <v>975</v>
      </c>
    </row>
    <row r="734" spans="1:26" ht="16.899999999999999" customHeight="1" x14ac:dyDescent="0.15">
      <c r="A734" s="347" t="s">
        <v>2274</v>
      </c>
      <c r="B734" s="347">
        <v>7</v>
      </c>
      <c r="C734" s="347" t="s">
        <v>994</v>
      </c>
      <c r="F734" s="348" t="s">
        <v>941</v>
      </c>
      <c r="G734" s="347" t="s">
        <v>984</v>
      </c>
      <c r="H734" s="347" t="s">
        <v>970</v>
      </c>
      <c r="I734" s="347" t="s">
        <v>971</v>
      </c>
      <c r="J734" s="347" t="s">
        <v>989</v>
      </c>
      <c r="K734" s="350" t="s">
        <v>2275</v>
      </c>
      <c r="L734" s="349" t="s">
        <v>1381</v>
      </c>
      <c r="M734" s="350" t="s">
        <v>2276</v>
      </c>
      <c r="N734" s="350" t="s">
        <v>2277</v>
      </c>
      <c r="V734" s="347" t="s">
        <v>631</v>
      </c>
      <c r="Z734" s="349" t="s">
        <v>975</v>
      </c>
    </row>
    <row r="735" spans="1:26" ht="16.899999999999999" customHeight="1" x14ac:dyDescent="0.15">
      <c r="A735" s="347" t="s">
        <v>2278</v>
      </c>
      <c r="B735" s="347">
        <v>7</v>
      </c>
      <c r="C735" s="347" t="s">
        <v>987</v>
      </c>
      <c r="F735" s="348" t="s">
        <v>2279</v>
      </c>
      <c r="G735" s="347" t="s">
        <v>984</v>
      </c>
      <c r="H735" s="347" t="s">
        <v>970</v>
      </c>
      <c r="I735" s="347" t="s">
        <v>971</v>
      </c>
      <c r="J735" s="347" t="s">
        <v>989</v>
      </c>
      <c r="K735" s="350" t="s">
        <v>2280</v>
      </c>
      <c r="L735" s="349" t="s">
        <v>1381</v>
      </c>
      <c r="M735" s="350" t="s">
        <v>2281</v>
      </c>
      <c r="N735" s="350" t="s">
        <v>2282</v>
      </c>
      <c r="V735" s="347" t="s">
        <v>631</v>
      </c>
      <c r="Z735" s="349" t="s">
        <v>975</v>
      </c>
    </row>
    <row r="736" spans="1:26" ht="16.899999999999999" customHeight="1" x14ac:dyDescent="0.15">
      <c r="A736" s="347" t="s">
        <v>2283</v>
      </c>
      <c r="B736" s="347">
        <v>7</v>
      </c>
      <c r="C736" s="347" t="s">
        <v>977</v>
      </c>
      <c r="F736" s="348" t="s">
        <v>1020</v>
      </c>
      <c r="G736" s="347" t="s">
        <v>984</v>
      </c>
      <c r="H736" s="347" t="s">
        <v>970</v>
      </c>
      <c r="I736" s="347" t="s">
        <v>971</v>
      </c>
      <c r="J736" s="347" t="s">
        <v>989</v>
      </c>
      <c r="K736" s="350" t="s">
        <v>2284</v>
      </c>
      <c r="L736" s="349" t="s">
        <v>2285</v>
      </c>
      <c r="M736" s="350" t="s">
        <v>2286</v>
      </c>
      <c r="N736" s="350" t="s">
        <v>2287</v>
      </c>
      <c r="O736" s="347" t="s">
        <v>631</v>
      </c>
      <c r="P736" s="347" t="s">
        <v>631</v>
      </c>
      <c r="Q736" s="347" t="s">
        <v>631</v>
      </c>
      <c r="V736" s="347" t="s">
        <v>631</v>
      </c>
      <c r="Z736" s="349" t="s">
        <v>975</v>
      </c>
    </row>
    <row r="737" spans="1:26" ht="16.899999999999999" customHeight="1" x14ac:dyDescent="0.15">
      <c r="A737" s="347" t="s">
        <v>2288</v>
      </c>
      <c r="B737" s="347">
        <v>7</v>
      </c>
      <c r="C737" s="347" t="s">
        <v>1019</v>
      </c>
      <c r="F737" s="348" t="s">
        <v>941</v>
      </c>
      <c r="G737" s="347" t="s">
        <v>1008</v>
      </c>
      <c r="H737" s="347" t="s">
        <v>970</v>
      </c>
      <c r="K737" s="350"/>
      <c r="L737" s="349" t="s">
        <v>972</v>
      </c>
      <c r="M737" s="350" t="s">
        <v>2289</v>
      </c>
      <c r="N737" s="350" t="s">
        <v>2290</v>
      </c>
      <c r="O737" s="347" t="s">
        <v>631</v>
      </c>
      <c r="T737" s="347" t="s">
        <v>631</v>
      </c>
      <c r="V737" s="347" t="s">
        <v>631</v>
      </c>
      <c r="Z737" s="349" t="s">
        <v>975</v>
      </c>
    </row>
    <row r="738" spans="1:26" ht="16.899999999999999" customHeight="1" x14ac:dyDescent="0.15">
      <c r="A738" s="347" t="s">
        <v>2431</v>
      </c>
      <c r="B738" s="347">
        <v>7</v>
      </c>
      <c r="C738" s="347" t="s">
        <v>1019</v>
      </c>
      <c r="F738" s="348" t="s">
        <v>1048</v>
      </c>
      <c r="G738" s="347" t="s">
        <v>2432</v>
      </c>
      <c r="H738" s="347" t="s">
        <v>970</v>
      </c>
      <c r="I738" s="347" t="s">
        <v>971</v>
      </c>
      <c r="J738" s="347" t="s">
        <v>989</v>
      </c>
      <c r="K738" s="444" t="s">
        <v>2433</v>
      </c>
      <c r="L738" s="349" t="s">
        <v>2434</v>
      </c>
      <c r="M738" s="350" t="s">
        <v>2435</v>
      </c>
      <c r="N738" s="350" t="s">
        <v>2436</v>
      </c>
      <c r="O738" s="347" t="s">
        <v>631</v>
      </c>
      <c r="T738" s="347" t="s">
        <v>631</v>
      </c>
      <c r="U738" s="347" t="s">
        <v>631</v>
      </c>
      <c r="V738" s="347" t="s">
        <v>631</v>
      </c>
      <c r="Z738" s="349" t="s">
        <v>2416</v>
      </c>
    </row>
    <row r="739" spans="1:26" ht="16.899999999999999" customHeight="1" x14ac:dyDescent="0.15">
      <c r="A739" s="347" t="s">
        <v>2699</v>
      </c>
      <c r="B739" s="347">
        <v>7</v>
      </c>
      <c r="C739" s="347" t="s">
        <v>968</v>
      </c>
      <c r="F739" s="348" t="s">
        <v>941</v>
      </c>
      <c r="G739" s="347" t="s">
        <v>978</v>
      </c>
      <c r="H739" s="347" t="s">
        <v>970</v>
      </c>
      <c r="I739" s="347" t="s">
        <v>971</v>
      </c>
      <c r="K739" s="444"/>
      <c r="L739" s="349" t="s">
        <v>1016</v>
      </c>
      <c r="M739" s="350" t="s">
        <v>2700</v>
      </c>
      <c r="N739" s="350" t="s">
        <v>2701</v>
      </c>
      <c r="T739" s="347" t="s">
        <v>631</v>
      </c>
      <c r="U739" s="347" t="s">
        <v>631</v>
      </c>
      <c r="V739" s="347" t="s">
        <v>631</v>
      </c>
      <c r="Z739" s="446" t="s">
        <v>2457</v>
      </c>
    </row>
    <row r="740" spans="1:26" ht="16.899999999999999" customHeight="1" x14ac:dyDescent="0.15">
      <c r="A740" s="347" t="s">
        <v>2702</v>
      </c>
      <c r="B740" s="347">
        <v>7</v>
      </c>
      <c r="C740" s="347" t="s">
        <v>1007</v>
      </c>
      <c r="F740" s="348" t="s">
        <v>941</v>
      </c>
      <c r="G740" s="347" t="s">
        <v>969</v>
      </c>
      <c r="H740" s="347" t="s">
        <v>970</v>
      </c>
      <c r="K740" s="444"/>
      <c r="L740" s="349" t="s">
        <v>972</v>
      </c>
      <c r="M740" s="350" t="s">
        <v>2703</v>
      </c>
      <c r="N740" s="350" t="s">
        <v>2704</v>
      </c>
      <c r="T740" s="347" t="s">
        <v>631</v>
      </c>
      <c r="U740" s="347" t="s">
        <v>631</v>
      </c>
      <c r="V740" s="347" t="s">
        <v>631</v>
      </c>
      <c r="Z740" s="446" t="s">
        <v>2457</v>
      </c>
    </row>
    <row r="741" spans="1:26" ht="16.899999999999999" customHeight="1" x14ac:dyDescent="0.15">
      <c r="A741" s="347" t="s">
        <v>2705</v>
      </c>
      <c r="B741" s="347">
        <v>7</v>
      </c>
      <c r="C741" s="347" t="s">
        <v>1019</v>
      </c>
      <c r="F741" s="348" t="s">
        <v>1016</v>
      </c>
      <c r="G741" s="347" t="s">
        <v>988</v>
      </c>
      <c r="H741" s="347" t="s">
        <v>970</v>
      </c>
      <c r="I741" s="347" t="s">
        <v>971</v>
      </c>
      <c r="J741" s="347" t="s">
        <v>989</v>
      </c>
      <c r="K741" s="444" t="s">
        <v>2706</v>
      </c>
      <c r="L741" s="349" t="s">
        <v>1109</v>
      </c>
      <c r="M741" s="350" t="s">
        <v>2707</v>
      </c>
      <c r="N741" s="350" t="s">
        <v>2708</v>
      </c>
      <c r="P741" s="347" t="s">
        <v>631</v>
      </c>
      <c r="Z741" s="446" t="s">
        <v>2457</v>
      </c>
    </row>
    <row r="742" spans="1:26" ht="16.899999999999999" customHeight="1" x14ac:dyDescent="0.15">
      <c r="A742" s="347" t="s">
        <v>2709</v>
      </c>
      <c r="B742" s="347">
        <v>7</v>
      </c>
      <c r="C742" s="347" t="s">
        <v>968</v>
      </c>
      <c r="E742" s="347" t="s">
        <v>631</v>
      </c>
      <c r="F742" s="348" t="s">
        <v>941</v>
      </c>
      <c r="G742" s="347" t="s">
        <v>1793</v>
      </c>
      <c r="H742" s="347" t="s">
        <v>970</v>
      </c>
      <c r="J742" s="347" t="s">
        <v>989</v>
      </c>
      <c r="K742" s="444" t="s">
        <v>2710</v>
      </c>
      <c r="L742" s="349" t="s">
        <v>2413</v>
      </c>
      <c r="M742" s="350" t="s">
        <v>2711</v>
      </c>
      <c r="N742" s="350" t="s">
        <v>2712</v>
      </c>
      <c r="Q742" s="347" t="s">
        <v>631</v>
      </c>
      <c r="T742" s="347" t="s">
        <v>631</v>
      </c>
      <c r="V742" s="347" t="s">
        <v>631</v>
      </c>
      <c r="Z742" s="446" t="s">
        <v>2457</v>
      </c>
    </row>
    <row r="743" spans="1:26" ht="16.899999999999999" customHeight="1" x14ac:dyDescent="0.15">
      <c r="A743" s="347" t="s">
        <v>2789</v>
      </c>
      <c r="B743" s="347">
        <v>7</v>
      </c>
      <c r="C743" s="347" t="s">
        <v>994</v>
      </c>
      <c r="E743" s="347" t="s">
        <v>631</v>
      </c>
      <c r="F743" s="348" t="s">
        <v>1047</v>
      </c>
      <c r="G743" s="347" t="s">
        <v>978</v>
      </c>
      <c r="H743" s="347" t="s">
        <v>970</v>
      </c>
      <c r="I743" s="347" t="s">
        <v>971</v>
      </c>
      <c r="J743" s="347" t="s">
        <v>989</v>
      </c>
      <c r="K743" s="444" t="s">
        <v>2790</v>
      </c>
      <c r="L743" s="349" t="s">
        <v>2413</v>
      </c>
      <c r="M743" s="350" t="s">
        <v>2791</v>
      </c>
      <c r="N743" s="350" t="s">
        <v>2792</v>
      </c>
      <c r="Q743" s="347" t="s">
        <v>631</v>
      </c>
      <c r="T743" s="347" t="s">
        <v>631</v>
      </c>
      <c r="V743" s="347" t="s">
        <v>631</v>
      </c>
      <c r="Z743" s="446" t="s">
        <v>2769</v>
      </c>
    </row>
    <row r="744" spans="1:26" ht="16.899999999999999" customHeight="1" x14ac:dyDescent="0.15">
      <c r="A744" s="347" t="s">
        <v>2921</v>
      </c>
      <c r="B744" s="347">
        <v>7</v>
      </c>
      <c r="C744" s="347" t="s">
        <v>983</v>
      </c>
      <c r="E744" s="347" t="s">
        <v>631</v>
      </c>
      <c r="F744" s="348" t="s">
        <v>941</v>
      </c>
      <c r="G744" s="347" t="s">
        <v>969</v>
      </c>
      <c r="H744" s="347" t="s">
        <v>970</v>
      </c>
      <c r="I744" s="347" t="s">
        <v>971</v>
      </c>
      <c r="J744" s="347" t="s">
        <v>989</v>
      </c>
      <c r="K744" s="349" t="s">
        <v>2922</v>
      </c>
      <c r="L744" s="349" t="s">
        <v>2421</v>
      </c>
      <c r="M744" s="350" t="s">
        <v>2923</v>
      </c>
      <c r="N744" s="445" t="s">
        <v>2924</v>
      </c>
      <c r="V744" s="347" t="s">
        <v>631</v>
      </c>
      <c r="Z744" s="446" t="s">
        <v>2888</v>
      </c>
    </row>
    <row r="745" spans="1:26" ht="16.899999999999999" customHeight="1" x14ac:dyDescent="0.15">
      <c r="A745" s="347" t="s">
        <v>5608</v>
      </c>
      <c r="B745" s="347">
        <v>7</v>
      </c>
      <c r="C745" s="347" t="s">
        <v>968</v>
      </c>
      <c r="E745" s="347" t="s">
        <v>631</v>
      </c>
      <c r="F745" s="348" t="s">
        <v>1047</v>
      </c>
      <c r="G745" s="347" t="s">
        <v>988</v>
      </c>
      <c r="H745" s="347" t="s">
        <v>970</v>
      </c>
      <c r="K745" s="350"/>
      <c r="L745" s="349" t="s">
        <v>2413</v>
      </c>
      <c r="M745" s="350" t="s">
        <v>5609</v>
      </c>
      <c r="N745" s="350" t="s">
        <v>5610</v>
      </c>
      <c r="T745" s="347" t="s">
        <v>631</v>
      </c>
      <c r="U745" s="347" t="s">
        <v>631</v>
      </c>
      <c r="V745" s="347" t="s">
        <v>631</v>
      </c>
      <c r="Z745" s="349" t="s">
        <v>3197</v>
      </c>
    </row>
    <row r="746" spans="1:26" ht="16.899999999999999" customHeight="1" x14ac:dyDescent="0.15">
      <c r="A746" s="347" t="s">
        <v>6447</v>
      </c>
      <c r="B746" s="347">
        <v>7</v>
      </c>
      <c r="C746" s="347" t="s">
        <v>983</v>
      </c>
      <c r="F746" s="348" t="s">
        <v>941</v>
      </c>
      <c r="G746" s="347" t="s">
        <v>988</v>
      </c>
      <c r="H746" s="347" t="s">
        <v>970</v>
      </c>
      <c r="I746" s="347" t="s">
        <v>6323</v>
      </c>
      <c r="J746" s="347" t="s">
        <v>989</v>
      </c>
      <c r="K746" s="350" t="s">
        <v>6448</v>
      </c>
      <c r="L746" s="349" t="s">
        <v>972</v>
      </c>
      <c r="M746" s="350" t="s">
        <v>6449</v>
      </c>
      <c r="N746" s="350" t="s">
        <v>6450</v>
      </c>
      <c r="P746" s="347" t="s">
        <v>631</v>
      </c>
      <c r="U746" s="347" t="s">
        <v>631</v>
      </c>
      <c r="V746" s="347" t="s">
        <v>631</v>
      </c>
      <c r="Y746" s="347" t="s">
        <v>631</v>
      </c>
      <c r="Z746" s="349" t="s">
        <v>5820</v>
      </c>
    </row>
    <row r="747" spans="1:26" ht="16.899999999999999" customHeight="1" x14ac:dyDescent="0.15">
      <c r="A747" s="347" t="s">
        <v>6451</v>
      </c>
      <c r="B747" s="347">
        <v>7</v>
      </c>
      <c r="C747" s="347" t="s">
        <v>968</v>
      </c>
      <c r="E747" s="347" t="s">
        <v>2950</v>
      </c>
      <c r="F747" s="348" t="s">
        <v>941</v>
      </c>
      <c r="G747" s="347" t="s">
        <v>988</v>
      </c>
      <c r="H747" s="347" t="s">
        <v>970</v>
      </c>
      <c r="I747" s="347" t="s">
        <v>6323</v>
      </c>
      <c r="J747" s="347" t="s">
        <v>989</v>
      </c>
      <c r="K747" s="350" t="s">
        <v>6452</v>
      </c>
      <c r="L747" s="349" t="s">
        <v>6453</v>
      </c>
      <c r="M747" s="350" t="s">
        <v>6454</v>
      </c>
      <c r="N747" s="350" t="s">
        <v>6455</v>
      </c>
      <c r="T747" s="347" t="s">
        <v>631</v>
      </c>
      <c r="V747" s="347" t="s">
        <v>631</v>
      </c>
      <c r="Y747" s="347" t="s">
        <v>631</v>
      </c>
      <c r="Z747" s="349" t="s">
        <v>5820</v>
      </c>
    </row>
    <row r="748" spans="1:26" ht="16.899999999999999" customHeight="1" x14ac:dyDescent="0.15">
      <c r="A748" s="347" t="s">
        <v>8149</v>
      </c>
      <c r="B748" s="347">
        <v>7</v>
      </c>
      <c r="C748" s="347" t="s">
        <v>2983</v>
      </c>
      <c r="E748" s="347" t="s">
        <v>2950</v>
      </c>
      <c r="F748" s="348" t="s">
        <v>2995</v>
      </c>
      <c r="G748" s="347" t="s">
        <v>2986</v>
      </c>
      <c r="H748" s="347" t="s">
        <v>2953</v>
      </c>
      <c r="I748" s="347" t="s">
        <v>6323</v>
      </c>
      <c r="J748" s="347" t="s">
        <v>6335</v>
      </c>
      <c r="K748" s="350" t="s">
        <v>8150</v>
      </c>
      <c r="L748" s="349" t="s">
        <v>8007</v>
      </c>
      <c r="M748" s="350" t="s">
        <v>8151</v>
      </c>
      <c r="N748" s="350" t="s">
        <v>8152</v>
      </c>
      <c r="O748" s="347" t="s">
        <v>2950</v>
      </c>
      <c r="P748" s="347" t="s">
        <v>2950</v>
      </c>
      <c r="V748" s="347" t="s">
        <v>2950</v>
      </c>
      <c r="Z748" s="349" t="s">
        <v>7972</v>
      </c>
    </row>
    <row r="749" spans="1:26" ht="16.899999999999999" customHeight="1" x14ac:dyDescent="0.15">
      <c r="A749" s="347" t="s">
        <v>9690</v>
      </c>
      <c r="B749" s="347">
        <v>7</v>
      </c>
      <c r="C749" s="347" t="s">
        <v>983</v>
      </c>
      <c r="D749" s="347" t="s">
        <v>631</v>
      </c>
      <c r="F749" s="348" t="s">
        <v>1048</v>
      </c>
      <c r="G749" s="347" t="s">
        <v>1722</v>
      </c>
      <c r="H749" s="347" t="s">
        <v>970</v>
      </c>
      <c r="I749" s="347" t="s">
        <v>971</v>
      </c>
      <c r="J749" s="347" t="s">
        <v>989</v>
      </c>
      <c r="K749" s="350" t="s">
        <v>9691</v>
      </c>
      <c r="L749" s="349" t="s">
        <v>1048</v>
      </c>
      <c r="M749" s="350" t="s">
        <v>9711</v>
      </c>
      <c r="N749" s="350" t="s">
        <v>9692</v>
      </c>
      <c r="O749" s="347" t="s">
        <v>631</v>
      </c>
      <c r="T749" s="347" t="s">
        <v>631</v>
      </c>
      <c r="V749" s="347" t="s">
        <v>631</v>
      </c>
      <c r="Z749" s="349" t="s">
        <v>9638</v>
      </c>
    </row>
    <row r="750" spans="1:26" ht="16.899999999999999" customHeight="1" x14ac:dyDescent="0.15">
      <c r="A750" s="347" t="s">
        <v>9693</v>
      </c>
      <c r="B750" s="347">
        <v>7</v>
      </c>
      <c r="C750" s="347" t="s">
        <v>994</v>
      </c>
      <c r="E750" s="347" t="s">
        <v>631</v>
      </c>
      <c r="F750" s="348" t="s">
        <v>941</v>
      </c>
      <c r="G750" s="347" t="s">
        <v>709</v>
      </c>
      <c r="H750" s="347" t="s">
        <v>970</v>
      </c>
      <c r="I750" s="347" t="s">
        <v>971</v>
      </c>
      <c r="J750" s="347" t="s">
        <v>989</v>
      </c>
      <c r="K750" s="350" t="s">
        <v>9694</v>
      </c>
      <c r="L750" s="349" t="s">
        <v>979</v>
      </c>
      <c r="M750" s="350" t="s">
        <v>9712</v>
      </c>
      <c r="N750" s="350" t="s">
        <v>9695</v>
      </c>
      <c r="P750" s="347" t="s">
        <v>631</v>
      </c>
      <c r="T750" s="347" t="s">
        <v>631</v>
      </c>
      <c r="V750" s="347" t="s">
        <v>631</v>
      </c>
      <c r="Z750" s="349" t="s">
        <v>9638</v>
      </c>
    </row>
    <row r="751" spans="1:26" ht="16.899999999999999" customHeight="1" x14ac:dyDescent="0.15">
      <c r="A751" s="347" t="s">
        <v>9696</v>
      </c>
      <c r="B751" s="347">
        <v>7</v>
      </c>
      <c r="C751" s="347" t="s">
        <v>968</v>
      </c>
      <c r="E751" s="347" t="s">
        <v>631</v>
      </c>
      <c r="F751" s="348" t="s">
        <v>941</v>
      </c>
      <c r="G751" s="347" t="s">
        <v>1801</v>
      </c>
      <c r="H751" s="347" t="s">
        <v>970</v>
      </c>
      <c r="I751" s="347" t="s">
        <v>971</v>
      </c>
      <c r="J751" s="347" t="s">
        <v>989</v>
      </c>
      <c r="K751" s="350" t="s">
        <v>9697</v>
      </c>
      <c r="L751" s="349" t="s">
        <v>979</v>
      </c>
      <c r="M751" s="350" t="s">
        <v>9713</v>
      </c>
      <c r="N751" s="350" t="s">
        <v>9698</v>
      </c>
      <c r="P751" s="347" t="s">
        <v>631</v>
      </c>
      <c r="Q751" s="347" t="s">
        <v>631</v>
      </c>
      <c r="V751" s="347" t="s">
        <v>631</v>
      </c>
      <c r="Z751" s="349" t="s">
        <v>9638</v>
      </c>
    </row>
    <row r="752" spans="1:26" ht="16.899999999999999" customHeight="1" x14ac:dyDescent="0.15">
      <c r="A752" s="347" t="s">
        <v>9699</v>
      </c>
      <c r="B752" s="347">
        <v>7</v>
      </c>
      <c r="C752" s="347" t="s">
        <v>1007</v>
      </c>
      <c r="E752" s="347" t="s">
        <v>631</v>
      </c>
      <c r="F752" s="348" t="s">
        <v>941</v>
      </c>
      <c r="G752" s="347" t="s">
        <v>9665</v>
      </c>
      <c r="H752" s="347" t="s">
        <v>970</v>
      </c>
      <c r="J752" s="347" t="s">
        <v>989</v>
      </c>
      <c r="K752" s="350" t="s">
        <v>9700</v>
      </c>
      <c r="L752" s="349" t="s">
        <v>979</v>
      </c>
      <c r="M752" s="350" t="s">
        <v>9701</v>
      </c>
      <c r="N752" s="350" t="s">
        <v>9702</v>
      </c>
      <c r="O752" s="347" t="s">
        <v>631</v>
      </c>
      <c r="U752" s="347" t="s">
        <v>631</v>
      </c>
      <c r="Z752" s="349" t="s">
        <v>9638</v>
      </c>
    </row>
    <row r="753" spans="1:26" ht="16.899999999999999" customHeight="1" x14ac:dyDescent="0.15">
      <c r="A753" s="347" t="s">
        <v>10099</v>
      </c>
      <c r="B753" s="347">
        <v>7</v>
      </c>
      <c r="C753" s="347" t="s">
        <v>994</v>
      </c>
      <c r="F753" s="348" t="s">
        <v>941</v>
      </c>
      <c r="G753" s="347" t="s">
        <v>984</v>
      </c>
      <c r="H753" s="347" t="s">
        <v>970</v>
      </c>
      <c r="I753" s="347" t="s">
        <v>971</v>
      </c>
      <c r="K753" s="350"/>
      <c r="L753" s="349" t="s">
        <v>1016</v>
      </c>
      <c r="M753" s="350" t="s">
        <v>10100</v>
      </c>
      <c r="N753" s="350" t="s">
        <v>10101</v>
      </c>
      <c r="T753" s="347" t="s">
        <v>10123</v>
      </c>
      <c r="V753" s="347" t="s">
        <v>10123</v>
      </c>
      <c r="Z753" s="349" t="s">
        <v>10124</v>
      </c>
    </row>
    <row r="754" spans="1:26" ht="16.899999999999999" customHeight="1" x14ac:dyDescent="0.15">
      <c r="A754" s="347" t="s">
        <v>2291</v>
      </c>
      <c r="B754" s="347">
        <v>8</v>
      </c>
      <c r="C754" s="347" t="s">
        <v>994</v>
      </c>
      <c r="F754" s="348" t="s">
        <v>941</v>
      </c>
      <c r="G754" s="347" t="s">
        <v>709</v>
      </c>
      <c r="H754" s="347" t="s">
        <v>970</v>
      </c>
      <c r="I754" s="347" t="s">
        <v>971</v>
      </c>
      <c r="K754" s="350"/>
      <c r="L754" s="349" t="s">
        <v>1109</v>
      </c>
      <c r="M754" s="350" t="s">
        <v>2292</v>
      </c>
      <c r="N754" s="350" t="s">
        <v>2293</v>
      </c>
      <c r="Q754" s="347" t="s">
        <v>631</v>
      </c>
      <c r="Z754" s="349" t="s">
        <v>975</v>
      </c>
    </row>
    <row r="755" spans="1:26" ht="16.899999999999999" customHeight="1" x14ac:dyDescent="0.15">
      <c r="A755" s="347" t="s">
        <v>2294</v>
      </c>
      <c r="B755" s="347">
        <v>8</v>
      </c>
      <c r="C755" s="347" t="s">
        <v>977</v>
      </c>
      <c r="E755" s="347" t="s">
        <v>631</v>
      </c>
      <c r="F755" s="348" t="s">
        <v>941</v>
      </c>
      <c r="G755" s="347" t="s">
        <v>978</v>
      </c>
      <c r="H755" s="347" t="s">
        <v>970</v>
      </c>
      <c r="I755" s="347" t="s">
        <v>971</v>
      </c>
      <c r="J755" s="347" t="s">
        <v>989</v>
      </c>
      <c r="K755" s="350" t="s">
        <v>2295</v>
      </c>
      <c r="L755" s="349" t="s">
        <v>1211</v>
      </c>
      <c r="M755" s="350" t="s">
        <v>2296</v>
      </c>
      <c r="N755" s="350" t="s">
        <v>2297</v>
      </c>
      <c r="P755" s="347" t="s">
        <v>631</v>
      </c>
      <c r="V755" s="347" t="s">
        <v>631</v>
      </c>
      <c r="Y755" s="347" t="s">
        <v>631</v>
      </c>
      <c r="Z755" s="349" t="s">
        <v>975</v>
      </c>
    </row>
    <row r="756" spans="1:26" ht="16.899999999999999" customHeight="1" x14ac:dyDescent="0.15">
      <c r="A756" s="347" t="s">
        <v>2298</v>
      </c>
      <c r="B756" s="347">
        <v>8</v>
      </c>
      <c r="C756" s="347" t="s">
        <v>1007</v>
      </c>
      <c r="F756" s="348" t="s">
        <v>1016</v>
      </c>
      <c r="G756" s="347" t="s">
        <v>969</v>
      </c>
      <c r="H756" s="347" t="s">
        <v>970</v>
      </c>
      <c r="I756" s="347" t="s">
        <v>971</v>
      </c>
      <c r="J756" s="347" t="s">
        <v>989</v>
      </c>
      <c r="K756" s="350" t="s">
        <v>2299</v>
      </c>
      <c r="L756" s="349" t="s">
        <v>2300</v>
      </c>
      <c r="M756" s="350" t="s">
        <v>2301</v>
      </c>
      <c r="N756" s="350" t="s">
        <v>2302</v>
      </c>
      <c r="O756" s="347" t="s">
        <v>631</v>
      </c>
      <c r="Q756" s="347" t="s">
        <v>631</v>
      </c>
      <c r="V756" s="347" t="s">
        <v>631</v>
      </c>
      <c r="Y756" s="347" t="s">
        <v>631</v>
      </c>
      <c r="Z756" s="349" t="s">
        <v>975</v>
      </c>
    </row>
    <row r="757" spans="1:26" ht="16.899999999999999" customHeight="1" x14ac:dyDescent="0.15">
      <c r="A757" s="347" t="s">
        <v>2303</v>
      </c>
      <c r="B757" s="347">
        <v>8</v>
      </c>
      <c r="C757" s="347" t="s">
        <v>1007</v>
      </c>
      <c r="F757" s="348" t="s">
        <v>941</v>
      </c>
      <c r="G757" s="347" t="s">
        <v>1541</v>
      </c>
      <c r="H757" s="347" t="s">
        <v>970</v>
      </c>
      <c r="I757" s="347" t="s">
        <v>971</v>
      </c>
      <c r="J757" s="347" t="s">
        <v>989</v>
      </c>
      <c r="K757" s="350" t="s">
        <v>2304</v>
      </c>
      <c r="L757" s="349" t="s">
        <v>972</v>
      </c>
      <c r="M757" s="350" t="s">
        <v>2305</v>
      </c>
      <c r="N757" s="350" t="s">
        <v>2306</v>
      </c>
      <c r="O757" s="347" t="s">
        <v>631</v>
      </c>
      <c r="Q757" s="347" t="s">
        <v>631</v>
      </c>
      <c r="U757" s="347" t="s">
        <v>631</v>
      </c>
      <c r="V757" s="347" t="s">
        <v>631</v>
      </c>
      <c r="Y757" s="347" t="s">
        <v>631</v>
      </c>
      <c r="Z757" s="349" t="s">
        <v>975</v>
      </c>
    </row>
    <row r="758" spans="1:26" ht="16.899999999999999" customHeight="1" x14ac:dyDescent="0.15">
      <c r="A758" s="347" t="s">
        <v>2307</v>
      </c>
      <c r="B758" s="347">
        <v>8</v>
      </c>
      <c r="C758" s="347" t="s">
        <v>983</v>
      </c>
      <c r="F758" s="348" t="s">
        <v>1016</v>
      </c>
      <c r="G758" s="347" t="s">
        <v>984</v>
      </c>
      <c r="H758" s="347" t="s">
        <v>970</v>
      </c>
      <c r="I758" s="347" t="s">
        <v>971</v>
      </c>
      <c r="J758" s="347" t="s">
        <v>989</v>
      </c>
      <c r="K758" s="350" t="s">
        <v>2308</v>
      </c>
      <c r="L758" s="349" t="s">
        <v>972</v>
      </c>
      <c r="M758" s="350" t="s">
        <v>2309</v>
      </c>
      <c r="N758" s="350" t="s">
        <v>2310</v>
      </c>
      <c r="V758" s="347" t="s">
        <v>631</v>
      </c>
      <c r="Y758" s="347" t="s">
        <v>631</v>
      </c>
      <c r="Z758" s="349" t="s">
        <v>975</v>
      </c>
    </row>
    <row r="759" spans="1:26" ht="16.899999999999999" customHeight="1" x14ac:dyDescent="0.15">
      <c r="A759" s="347" t="s">
        <v>2311</v>
      </c>
      <c r="B759" s="347">
        <v>8</v>
      </c>
      <c r="C759" s="347" t="s">
        <v>994</v>
      </c>
      <c r="E759" s="347" t="s">
        <v>631</v>
      </c>
      <c r="F759" s="348" t="s">
        <v>1048</v>
      </c>
      <c r="G759" s="347" t="s">
        <v>978</v>
      </c>
      <c r="H759" s="347" t="s">
        <v>970</v>
      </c>
      <c r="I759" s="347" t="s">
        <v>971</v>
      </c>
      <c r="J759" s="347" t="s">
        <v>989</v>
      </c>
      <c r="K759" s="350" t="s">
        <v>2312</v>
      </c>
      <c r="L759" s="349" t="s">
        <v>1550</v>
      </c>
      <c r="M759" s="350" t="s">
        <v>2313</v>
      </c>
      <c r="N759" s="350" t="s">
        <v>2314</v>
      </c>
      <c r="P759" s="347" t="s">
        <v>631</v>
      </c>
      <c r="Q759" s="347" t="s">
        <v>631</v>
      </c>
      <c r="V759" s="347" t="s">
        <v>631</v>
      </c>
      <c r="Z759" s="349" t="s">
        <v>975</v>
      </c>
    </row>
    <row r="760" spans="1:26" ht="16.899999999999999" customHeight="1" x14ac:dyDescent="0.15">
      <c r="A760" s="347" t="s">
        <v>2315</v>
      </c>
      <c r="B760" s="347">
        <v>8</v>
      </c>
      <c r="C760" s="347" t="s">
        <v>1019</v>
      </c>
      <c r="F760" s="348" t="s">
        <v>941</v>
      </c>
      <c r="G760" s="347" t="s">
        <v>969</v>
      </c>
      <c r="I760" s="347" t="s">
        <v>971</v>
      </c>
      <c r="K760" s="350"/>
      <c r="L760" s="349" t="s">
        <v>1016</v>
      </c>
      <c r="M760" s="350" t="s">
        <v>2316</v>
      </c>
      <c r="N760" s="350" t="s">
        <v>2317</v>
      </c>
      <c r="T760" s="347" t="s">
        <v>631</v>
      </c>
      <c r="U760" s="347" t="s">
        <v>631</v>
      </c>
      <c r="V760" s="347" t="s">
        <v>631</v>
      </c>
      <c r="Z760" s="349" t="s">
        <v>975</v>
      </c>
    </row>
    <row r="761" spans="1:26" ht="16.899999999999999" customHeight="1" x14ac:dyDescent="0.15">
      <c r="A761" s="347" t="s">
        <v>2318</v>
      </c>
      <c r="B761" s="347">
        <v>8</v>
      </c>
      <c r="C761" s="347" t="s">
        <v>1007</v>
      </c>
      <c r="E761" s="347" t="s">
        <v>631</v>
      </c>
      <c r="F761" s="348" t="s">
        <v>941</v>
      </c>
      <c r="G761" s="347" t="s">
        <v>969</v>
      </c>
      <c r="H761" s="347" t="s">
        <v>970</v>
      </c>
      <c r="I761" s="347" t="s">
        <v>971</v>
      </c>
      <c r="K761" s="350"/>
      <c r="L761" s="349" t="s">
        <v>1211</v>
      </c>
      <c r="M761" s="350" t="s">
        <v>2319</v>
      </c>
      <c r="N761" s="350" t="s">
        <v>2320</v>
      </c>
      <c r="O761" s="347" t="s">
        <v>631</v>
      </c>
      <c r="T761" s="347" t="s">
        <v>631</v>
      </c>
      <c r="U761" s="347" t="s">
        <v>631</v>
      </c>
      <c r="V761" s="347" t="s">
        <v>631</v>
      </c>
      <c r="Y761" s="347" t="s">
        <v>631</v>
      </c>
      <c r="Z761" s="349" t="s">
        <v>975</v>
      </c>
    </row>
    <row r="762" spans="1:26" ht="16.899999999999999" customHeight="1" x14ac:dyDescent="0.15">
      <c r="A762" s="347" t="s">
        <v>2321</v>
      </c>
      <c r="B762" s="347">
        <v>8</v>
      </c>
      <c r="C762" s="347" t="s">
        <v>994</v>
      </c>
      <c r="E762" s="347" t="s">
        <v>631</v>
      </c>
      <c r="F762" s="348" t="s">
        <v>941</v>
      </c>
      <c r="G762" s="347" t="s">
        <v>1801</v>
      </c>
      <c r="H762" s="347" t="s">
        <v>970</v>
      </c>
      <c r="I762" s="347" t="s">
        <v>971</v>
      </c>
      <c r="J762" s="347" t="s">
        <v>989</v>
      </c>
      <c r="K762" s="350" t="s">
        <v>2322</v>
      </c>
      <c r="L762" s="349" t="s">
        <v>979</v>
      </c>
      <c r="M762" s="350" t="s">
        <v>2323</v>
      </c>
      <c r="N762" s="350" t="s">
        <v>2324</v>
      </c>
      <c r="P762" s="347" t="s">
        <v>631</v>
      </c>
      <c r="Q762" s="347" t="s">
        <v>631</v>
      </c>
      <c r="T762" s="347" t="s">
        <v>631</v>
      </c>
      <c r="Z762" s="349" t="s">
        <v>975</v>
      </c>
    </row>
    <row r="763" spans="1:26" ht="16.899999999999999" customHeight="1" x14ac:dyDescent="0.15">
      <c r="A763" s="347" t="s">
        <v>2325</v>
      </c>
      <c r="B763" s="347">
        <v>8</v>
      </c>
      <c r="C763" s="347" t="s">
        <v>1007</v>
      </c>
      <c r="F763" s="348" t="s">
        <v>941</v>
      </c>
      <c r="G763" s="347" t="s">
        <v>978</v>
      </c>
      <c r="H763" s="347" t="s">
        <v>970</v>
      </c>
      <c r="K763" s="350"/>
      <c r="L763" s="349" t="s">
        <v>1016</v>
      </c>
      <c r="M763" s="350" t="s">
        <v>2326</v>
      </c>
      <c r="N763" s="350" t="s">
        <v>2327</v>
      </c>
      <c r="O763" s="347" t="s">
        <v>631</v>
      </c>
      <c r="U763" s="347" t="s">
        <v>631</v>
      </c>
      <c r="Z763" s="349" t="s">
        <v>975</v>
      </c>
    </row>
    <row r="764" spans="1:26" ht="16.899999999999999" customHeight="1" x14ac:dyDescent="0.15">
      <c r="A764" s="347" t="s">
        <v>2328</v>
      </c>
      <c r="B764" s="347">
        <v>8</v>
      </c>
      <c r="C764" s="347" t="s">
        <v>977</v>
      </c>
      <c r="E764" s="347" t="s">
        <v>631</v>
      </c>
      <c r="F764" s="348" t="s">
        <v>941</v>
      </c>
      <c r="G764" s="347" t="s">
        <v>978</v>
      </c>
      <c r="H764" s="347" t="s">
        <v>970</v>
      </c>
      <c r="I764" s="347" t="s">
        <v>971</v>
      </c>
      <c r="J764" s="347" t="s">
        <v>989</v>
      </c>
      <c r="K764" s="350" t="s">
        <v>2329</v>
      </c>
      <c r="L764" s="349" t="s">
        <v>979</v>
      </c>
      <c r="M764" s="350" t="s">
        <v>2330</v>
      </c>
      <c r="N764" s="350" t="s">
        <v>2331</v>
      </c>
      <c r="P764" s="347" t="s">
        <v>631</v>
      </c>
      <c r="Z764" s="349" t="s">
        <v>975</v>
      </c>
    </row>
    <row r="765" spans="1:26" ht="16.899999999999999" customHeight="1" x14ac:dyDescent="0.15">
      <c r="A765" s="347" t="s">
        <v>2332</v>
      </c>
      <c r="B765" s="347">
        <v>8</v>
      </c>
      <c r="C765" s="347" t="s">
        <v>1019</v>
      </c>
      <c r="E765" s="347" t="s">
        <v>631</v>
      </c>
      <c r="F765" s="348" t="s">
        <v>941</v>
      </c>
      <c r="G765" s="347" t="s">
        <v>1541</v>
      </c>
      <c r="H765" s="347" t="s">
        <v>970</v>
      </c>
      <c r="I765" s="347" t="s">
        <v>971</v>
      </c>
      <c r="K765" s="350"/>
      <c r="L765" s="349" t="s">
        <v>979</v>
      </c>
      <c r="M765" s="350" t="s">
        <v>2333</v>
      </c>
      <c r="N765" s="350" t="s">
        <v>2334</v>
      </c>
      <c r="Q765" s="347" t="s">
        <v>631</v>
      </c>
      <c r="T765" s="347" t="s">
        <v>631</v>
      </c>
      <c r="V765" s="347" t="s">
        <v>631</v>
      </c>
      <c r="Z765" s="349" t="s">
        <v>975</v>
      </c>
    </row>
    <row r="766" spans="1:26" ht="16.899999999999999" customHeight="1" x14ac:dyDescent="0.15">
      <c r="A766" s="347" t="s">
        <v>2335</v>
      </c>
      <c r="B766" s="347">
        <v>8</v>
      </c>
      <c r="C766" s="347" t="s">
        <v>1019</v>
      </c>
      <c r="E766" s="347" t="s">
        <v>631</v>
      </c>
      <c r="F766" s="348" t="s">
        <v>941</v>
      </c>
      <c r="G766" s="347" t="s">
        <v>969</v>
      </c>
      <c r="H766" s="347" t="s">
        <v>970</v>
      </c>
      <c r="I766" s="347" t="s">
        <v>971</v>
      </c>
      <c r="K766" s="350"/>
      <c r="L766" s="349" t="s">
        <v>1161</v>
      </c>
      <c r="M766" s="350" t="s">
        <v>2336</v>
      </c>
      <c r="N766" s="350" t="s">
        <v>2337</v>
      </c>
      <c r="V766" s="347" t="s">
        <v>631</v>
      </c>
      <c r="Z766" s="349" t="s">
        <v>975</v>
      </c>
    </row>
    <row r="767" spans="1:26" ht="16.899999999999999" customHeight="1" x14ac:dyDescent="0.15">
      <c r="A767" s="347" t="s">
        <v>2338</v>
      </c>
      <c r="B767" s="347">
        <v>8</v>
      </c>
      <c r="C767" s="347" t="s">
        <v>977</v>
      </c>
      <c r="F767" s="348" t="s">
        <v>941</v>
      </c>
      <c r="G767" s="347" t="s">
        <v>984</v>
      </c>
      <c r="H767" s="347" t="s">
        <v>970</v>
      </c>
      <c r="I767" s="347" t="s">
        <v>971</v>
      </c>
      <c r="K767" s="350"/>
      <c r="L767" s="349" t="s">
        <v>1109</v>
      </c>
      <c r="M767" s="350" t="s">
        <v>2339</v>
      </c>
      <c r="N767" s="350" t="s">
        <v>2340</v>
      </c>
      <c r="O767" s="347" t="s">
        <v>631</v>
      </c>
      <c r="V767" s="347" t="s">
        <v>631</v>
      </c>
      <c r="Y767" s="347" t="s">
        <v>631</v>
      </c>
      <c r="Z767" s="349" t="s">
        <v>975</v>
      </c>
    </row>
    <row r="768" spans="1:26" ht="16.899999999999999" customHeight="1" x14ac:dyDescent="0.15">
      <c r="A768" s="347" t="s">
        <v>2341</v>
      </c>
      <c r="B768" s="347">
        <v>8</v>
      </c>
      <c r="C768" s="347" t="s">
        <v>1007</v>
      </c>
      <c r="F768" s="348" t="s">
        <v>941</v>
      </c>
      <c r="G768" s="347" t="s">
        <v>969</v>
      </c>
      <c r="H768" s="347" t="s">
        <v>970</v>
      </c>
      <c r="K768" s="350"/>
      <c r="L768" s="349" t="s">
        <v>972</v>
      </c>
      <c r="M768" s="350" t="s">
        <v>2342</v>
      </c>
      <c r="N768" s="350" t="s">
        <v>2343</v>
      </c>
      <c r="O768" s="347" t="s">
        <v>631</v>
      </c>
      <c r="T768" s="347" t="s">
        <v>631</v>
      </c>
      <c r="U768" s="347" t="s">
        <v>631</v>
      </c>
      <c r="V768" s="347" t="s">
        <v>631</v>
      </c>
      <c r="Y768" s="347" t="s">
        <v>631</v>
      </c>
      <c r="Z768" s="349" t="s">
        <v>975</v>
      </c>
    </row>
    <row r="769" spans="1:26" ht="16.899999999999999" customHeight="1" x14ac:dyDescent="0.15">
      <c r="A769" s="347" t="s">
        <v>2344</v>
      </c>
      <c r="B769" s="347">
        <v>8</v>
      </c>
      <c r="C769" s="347" t="s">
        <v>968</v>
      </c>
      <c r="F769" s="348" t="s">
        <v>941</v>
      </c>
      <c r="G769" s="347" t="s">
        <v>1541</v>
      </c>
      <c r="H769" s="347" t="s">
        <v>970</v>
      </c>
      <c r="I769" s="347" t="s">
        <v>971</v>
      </c>
      <c r="J769" s="347" t="s">
        <v>989</v>
      </c>
      <c r="K769" s="350" t="s">
        <v>2345</v>
      </c>
      <c r="L769" s="349" t="s">
        <v>972</v>
      </c>
      <c r="M769" s="350" t="s">
        <v>2346</v>
      </c>
      <c r="N769" s="350" t="s">
        <v>2347</v>
      </c>
      <c r="P769" s="347" t="s">
        <v>631</v>
      </c>
      <c r="Q769" s="347" t="s">
        <v>631</v>
      </c>
      <c r="T769" s="347" t="s">
        <v>631</v>
      </c>
      <c r="V769" s="347" t="s">
        <v>631</v>
      </c>
      <c r="Z769" s="349" t="s">
        <v>975</v>
      </c>
    </row>
    <row r="770" spans="1:26" ht="16.899999999999999" customHeight="1" x14ac:dyDescent="0.15">
      <c r="A770" s="347" t="s">
        <v>528</v>
      </c>
      <c r="B770" s="347">
        <v>8</v>
      </c>
      <c r="C770" s="347" t="s">
        <v>1013</v>
      </c>
      <c r="F770" s="348" t="s">
        <v>941</v>
      </c>
      <c r="G770" s="347" t="s">
        <v>1705</v>
      </c>
      <c r="H770" s="347" t="s">
        <v>970</v>
      </c>
      <c r="I770" s="347" t="s">
        <v>971</v>
      </c>
      <c r="J770" s="347" t="s">
        <v>989</v>
      </c>
      <c r="K770" s="350" t="s">
        <v>2348</v>
      </c>
      <c r="L770" s="349" t="s">
        <v>1109</v>
      </c>
      <c r="M770" s="350" t="s">
        <v>2349</v>
      </c>
      <c r="N770" s="350" t="s">
        <v>2350</v>
      </c>
      <c r="V770" s="347" t="s">
        <v>631</v>
      </c>
      <c r="Z770" s="349" t="s">
        <v>975</v>
      </c>
    </row>
    <row r="771" spans="1:26" ht="16.899999999999999" customHeight="1" x14ac:dyDescent="0.15">
      <c r="A771" s="347" t="s">
        <v>2351</v>
      </c>
      <c r="B771" s="347">
        <v>8</v>
      </c>
      <c r="C771" s="347" t="s">
        <v>1019</v>
      </c>
      <c r="E771" s="347" t="s">
        <v>631</v>
      </c>
      <c r="F771" s="348" t="s">
        <v>1020</v>
      </c>
      <c r="G771" s="347" t="s">
        <v>1591</v>
      </c>
      <c r="H771" s="347" t="s">
        <v>970</v>
      </c>
      <c r="I771" s="347" t="s">
        <v>971</v>
      </c>
      <c r="K771" s="350"/>
      <c r="L771" s="349" t="s">
        <v>2352</v>
      </c>
      <c r="M771" s="350" t="s">
        <v>2353</v>
      </c>
      <c r="N771" s="350" t="s">
        <v>2354</v>
      </c>
      <c r="Q771" s="347" t="s">
        <v>631</v>
      </c>
      <c r="Z771" s="349" t="s">
        <v>975</v>
      </c>
    </row>
    <row r="772" spans="1:26" ht="16.899999999999999" customHeight="1" x14ac:dyDescent="0.15">
      <c r="A772" s="347" t="s">
        <v>2713</v>
      </c>
      <c r="B772" s="347">
        <v>8</v>
      </c>
      <c r="C772" s="347" t="s">
        <v>983</v>
      </c>
      <c r="F772" s="348" t="s">
        <v>941</v>
      </c>
      <c r="G772" s="347" t="s">
        <v>1541</v>
      </c>
      <c r="H772" s="347" t="s">
        <v>970</v>
      </c>
      <c r="I772" s="347" t="s">
        <v>971</v>
      </c>
      <c r="J772" s="347" t="s">
        <v>989</v>
      </c>
      <c r="K772" s="444" t="s">
        <v>2714</v>
      </c>
      <c r="L772" s="349" t="s">
        <v>972</v>
      </c>
      <c r="M772" s="350" t="s">
        <v>2715</v>
      </c>
      <c r="N772" s="350" t="s">
        <v>2716</v>
      </c>
      <c r="T772" s="347" t="s">
        <v>631</v>
      </c>
      <c r="V772" s="347" t="s">
        <v>631</v>
      </c>
      <c r="Z772" s="446" t="s">
        <v>2457</v>
      </c>
    </row>
    <row r="773" spans="1:26" ht="16.899999999999999" customHeight="1" x14ac:dyDescent="0.15">
      <c r="A773" s="347" t="s">
        <v>2717</v>
      </c>
      <c r="B773" s="347">
        <v>8</v>
      </c>
      <c r="C773" s="347" t="s">
        <v>987</v>
      </c>
      <c r="E773" s="347" t="s">
        <v>631</v>
      </c>
      <c r="F773" s="348" t="s">
        <v>941</v>
      </c>
      <c r="G773" s="347" t="s">
        <v>988</v>
      </c>
      <c r="I773" s="347" t="s">
        <v>971</v>
      </c>
      <c r="K773" s="444"/>
      <c r="L773" s="349" t="s">
        <v>2413</v>
      </c>
      <c r="M773" s="350" t="s">
        <v>2718</v>
      </c>
      <c r="N773" s="350" t="s">
        <v>2719</v>
      </c>
      <c r="V773" s="347" t="s">
        <v>631</v>
      </c>
      <c r="Z773" s="446" t="s">
        <v>2457</v>
      </c>
    </row>
    <row r="774" spans="1:26" ht="16.899999999999999" customHeight="1" x14ac:dyDescent="0.15">
      <c r="A774" s="347" t="s">
        <v>2720</v>
      </c>
      <c r="B774" s="347">
        <v>8</v>
      </c>
      <c r="C774" s="347" t="s">
        <v>968</v>
      </c>
      <c r="E774" s="347" t="s">
        <v>631</v>
      </c>
      <c r="F774" s="348" t="s">
        <v>941</v>
      </c>
      <c r="G774" s="347" t="s">
        <v>1541</v>
      </c>
      <c r="H774" s="347" t="s">
        <v>970</v>
      </c>
      <c r="J774" s="347" t="s">
        <v>989</v>
      </c>
      <c r="K774" s="444" t="s">
        <v>2721</v>
      </c>
      <c r="L774" s="349" t="s">
        <v>2490</v>
      </c>
      <c r="M774" s="350" t="s">
        <v>2722</v>
      </c>
      <c r="N774" s="350" t="s">
        <v>2723</v>
      </c>
      <c r="U774" s="347" t="s">
        <v>631</v>
      </c>
      <c r="V774" s="347" t="s">
        <v>631</v>
      </c>
      <c r="Z774" s="446" t="s">
        <v>2457</v>
      </c>
    </row>
    <row r="775" spans="1:26" ht="16.899999999999999" customHeight="1" x14ac:dyDescent="0.15">
      <c r="A775" s="347" t="s">
        <v>2724</v>
      </c>
      <c r="B775" s="347">
        <v>8</v>
      </c>
      <c r="C775" s="347" t="s">
        <v>1019</v>
      </c>
      <c r="F775" s="348" t="s">
        <v>1020</v>
      </c>
      <c r="G775" s="347" t="s">
        <v>1591</v>
      </c>
      <c r="H775" s="347" t="s">
        <v>970</v>
      </c>
      <c r="I775" s="347" t="s">
        <v>971</v>
      </c>
      <c r="J775" s="347" t="s">
        <v>989</v>
      </c>
      <c r="K775" s="444" t="s">
        <v>2725</v>
      </c>
      <c r="L775" s="349" t="s">
        <v>972</v>
      </c>
      <c r="M775" s="350" t="s">
        <v>2726</v>
      </c>
      <c r="N775" s="350" t="s">
        <v>2727</v>
      </c>
      <c r="V775" s="347" t="s">
        <v>631</v>
      </c>
      <c r="Z775" s="446" t="s">
        <v>2457</v>
      </c>
    </row>
    <row r="776" spans="1:26" ht="16.899999999999999" customHeight="1" x14ac:dyDescent="0.15">
      <c r="A776" s="347" t="s">
        <v>2925</v>
      </c>
      <c r="B776" s="347">
        <v>8</v>
      </c>
      <c r="C776" s="347" t="s">
        <v>968</v>
      </c>
      <c r="E776" s="347" t="s">
        <v>631</v>
      </c>
      <c r="F776" s="348" t="s">
        <v>941</v>
      </c>
      <c r="G776" s="347" t="s">
        <v>1541</v>
      </c>
      <c r="H776" s="347" t="s">
        <v>970</v>
      </c>
      <c r="I776" s="347" t="s">
        <v>971</v>
      </c>
      <c r="J776" s="347" t="s">
        <v>989</v>
      </c>
      <c r="K776" s="349" t="s">
        <v>2926</v>
      </c>
      <c r="L776" s="349" t="s">
        <v>2413</v>
      </c>
      <c r="M776" s="350" t="s">
        <v>2927</v>
      </c>
      <c r="N776" s="445" t="s">
        <v>2928</v>
      </c>
      <c r="V776" s="347" t="s">
        <v>631</v>
      </c>
      <c r="Z776" s="446" t="s">
        <v>2888</v>
      </c>
    </row>
    <row r="777" spans="1:26" ht="16.899999999999999" customHeight="1" x14ac:dyDescent="0.15">
      <c r="A777" s="347" t="s">
        <v>2929</v>
      </c>
      <c r="B777" s="347">
        <v>8</v>
      </c>
      <c r="C777" s="347" t="s">
        <v>1019</v>
      </c>
      <c r="E777" s="347" t="s">
        <v>631</v>
      </c>
      <c r="F777" s="348" t="s">
        <v>941</v>
      </c>
      <c r="G777" s="347" t="s">
        <v>969</v>
      </c>
      <c r="H777" s="347" t="s">
        <v>970</v>
      </c>
      <c r="I777" s="347" t="s">
        <v>971</v>
      </c>
      <c r="J777" s="347" t="s">
        <v>989</v>
      </c>
      <c r="K777" s="349" t="s">
        <v>2930</v>
      </c>
      <c r="L777" s="349" t="s">
        <v>2413</v>
      </c>
      <c r="M777" s="350" t="s">
        <v>2931</v>
      </c>
      <c r="N777" s="445" t="s">
        <v>2932</v>
      </c>
      <c r="V777" s="347" t="s">
        <v>631</v>
      </c>
      <c r="Z777" s="446" t="s">
        <v>2888</v>
      </c>
    </row>
    <row r="778" spans="1:26" ht="16.899999999999999" customHeight="1" x14ac:dyDescent="0.15">
      <c r="A778" s="347" t="s">
        <v>5611</v>
      </c>
      <c r="B778" s="347">
        <v>8</v>
      </c>
      <c r="C778" s="347" t="s">
        <v>1019</v>
      </c>
      <c r="F778" s="348" t="s">
        <v>941</v>
      </c>
      <c r="G778" s="347" t="s">
        <v>978</v>
      </c>
      <c r="H778" s="347" t="s">
        <v>970</v>
      </c>
      <c r="I778" s="347" t="s">
        <v>971</v>
      </c>
      <c r="K778" s="350"/>
      <c r="L778" s="349" t="s">
        <v>1016</v>
      </c>
      <c r="M778" s="350" t="s">
        <v>5612</v>
      </c>
      <c r="N778" s="350" t="s">
        <v>5613</v>
      </c>
      <c r="O778" s="347" t="s">
        <v>631</v>
      </c>
      <c r="P778" s="347" t="s">
        <v>631</v>
      </c>
      <c r="Q778" s="347" t="s">
        <v>631</v>
      </c>
      <c r="T778" s="347" t="s">
        <v>631</v>
      </c>
      <c r="U778" s="347" t="s">
        <v>631</v>
      </c>
      <c r="V778" s="347" t="s">
        <v>631</v>
      </c>
      <c r="Z778" s="349" t="s">
        <v>3197</v>
      </c>
    </row>
    <row r="779" spans="1:26" ht="16.899999999999999" customHeight="1" x14ac:dyDescent="0.15">
      <c r="A779" s="347" t="s">
        <v>6456</v>
      </c>
      <c r="B779" s="347">
        <v>8</v>
      </c>
      <c r="C779" s="347" t="s">
        <v>1019</v>
      </c>
      <c r="F779" s="348" t="s">
        <v>941</v>
      </c>
      <c r="G779" s="347" t="s">
        <v>978</v>
      </c>
      <c r="H779" s="347" t="s">
        <v>970</v>
      </c>
      <c r="I779" s="347" t="s">
        <v>6323</v>
      </c>
      <c r="J779" s="347" t="s">
        <v>989</v>
      </c>
      <c r="K779" s="350" t="s">
        <v>6457</v>
      </c>
      <c r="L779" s="349" t="s">
        <v>972</v>
      </c>
      <c r="M779" s="350" t="s">
        <v>6458</v>
      </c>
      <c r="N779" s="350" t="s">
        <v>6459</v>
      </c>
      <c r="O779" s="347" t="s">
        <v>631</v>
      </c>
      <c r="U779" s="347" t="s">
        <v>631</v>
      </c>
      <c r="V779" s="347" t="s">
        <v>631</v>
      </c>
      <c r="Z779" s="349" t="s">
        <v>5820</v>
      </c>
    </row>
    <row r="780" spans="1:26" ht="16.899999999999999" customHeight="1" x14ac:dyDescent="0.15">
      <c r="A780" s="347" t="s">
        <v>6460</v>
      </c>
      <c r="B780" s="347">
        <v>8</v>
      </c>
      <c r="C780" s="347" t="s">
        <v>1019</v>
      </c>
      <c r="F780" s="348" t="s">
        <v>941</v>
      </c>
      <c r="G780" s="347" t="s">
        <v>978</v>
      </c>
      <c r="H780" s="347" t="s">
        <v>970</v>
      </c>
      <c r="I780" s="347" t="s">
        <v>6323</v>
      </c>
      <c r="J780" s="347" t="s">
        <v>989</v>
      </c>
      <c r="K780" s="350" t="s">
        <v>6461</v>
      </c>
      <c r="L780" s="349" t="s">
        <v>972</v>
      </c>
      <c r="M780" s="350" t="s">
        <v>6462</v>
      </c>
      <c r="N780" s="350" t="s">
        <v>6463</v>
      </c>
      <c r="Q780" s="347" t="s">
        <v>631</v>
      </c>
      <c r="T780" s="347" t="s">
        <v>631</v>
      </c>
      <c r="V780" s="347" t="s">
        <v>631</v>
      </c>
      <c r="Y780" s="347" t="s">
        <v>631</v>
      </c>
      <c r="Z780" s="349" t="s">
        <v>5820</v>
      </c>
    </row>
    <row r="781" spans="1:26" ht="16.899999999999999" customHeight="1" x14ac:dyDescent="0.15">
      <c r="A781" s="347" t="s">
        <v>8530</v>
      </c>
      <c r="B781" s="347">
        <v>8</v>
      </c>
      <c r="C781" s="347" t="s">
        <v>983</v>
      </c>
      <c r="E781" s="347" t="s">
        <v>2950</v>
      </c>
      <c r="F781" s="348" t="s">
        <v>941</v>
      </c>
      <c r="G781" s="347" t="s">
        <v>969</v>
      </c>
      <c r="H781" s="347" t="s">
        <v>970</v>
      </c>
      <c r="I781" s="347" t="s">
        <v>971</v>
      </c>
      <c r="J781" s="347" t="s">
        <v>989</v>
      </c>
      <c r="K781" s="350" t="s">
        <v>8531</v>
      </c>
      <c r="L781" s="349" t="s">
        <v>6522</v>
      </c>
      <c r="M781" s="350" t="s">
        <v>8532</v>
      </c>
      <c r="N781" s="350" t="s">
        <v>8533</v>
      </c>
      <c r="P781" s="347" t="s">
        <v>631</v>
      </c>
      <c r="V781" s="347" t="s">
        <v>631</v>
      </c>
      <c r="Z781" s="349" t="s">
        <v>8537</v>
      </c>
    </row>
    <row r="782" spans="1:26" ht="16.899999999999999" customHeight="1" x14ac:dyDescent="0.15">
      <c r="A782" s="347" t="s">
        <v>9703</v>
      </c>
      <c r="B782" s="347">
        <v>8</v>
      </c>
      <c r="C782" s="347" t="s">
        <v>994</v>
      </c>
      <c r="F782" s="348" t="s">
        <v>941</v>
      </c>
      <c r="G782" s="347" t="s">
        <v>978</v>
      </c>
      <c r="H782" s="347" t="s">
        <v>970</v>
      </c>
      <c r="I782" s="347" t="s">
        <v>971</v>
      </c>
      <c r="J782" s="347" t="s">
        <v>989</v>
      </c>
      <c r="K782" s="350" t="s">
        <v>9704</v>
      </c>
      <c r="L782" s="349" t="s">
        <v>1020</v>
      </c>
      <c r="M782" s="350" t="s">
        <v>9714</v>
      </c>
      <c r="N782" s="350" t="s">
        <v>9705</v>
      </c>
      <c r="O782" s="347" t="s">
        <v>631</v>
      </c>
      <c r="T782" s="347" t="s">
        <v>631</v>
      </c>
      <c r="V782" s="347" t="s">
        <v>631</v>
      </c>
      <c r="Z782" s="349" t="s">
        <v>9638</v>
      </c>
    </row>
    <row r="783" spans="1:26" ht="16.899999999999999" customHeight="1" x14ac:dyDescent="0.15">
      <c r="A783" s="347" t="s">
        <v>9706</v>
      </c>
      <c r="B783" s="347">
        <v>8</v>
      </c>
      <c r="C783" s="347" t="s">
        <v>1007</v>
      </c>
      <c r="E783" s="347" t="s">
        <v>631</v>
      </c>
      <c r="F783" s="348" t="s">
        <v>941</v>
      </c>
      <c r="G783" s="347" t="s">
        <v>969</v>
      </c>
      <c r="H783" s="347" t="s">
        <v>970</v>
      </c>
      <c r="I783" s="347" t="s">
        <v>971</v>
      </c>
      <c r="J783" s="347" t="s">
        <v>989</v>
      </c>
      <c r="K783" s="350" t="s">
        <v>9707</v>
      </c>
      <c r="L783" s="349" t="s">
        <v>979</v>
      </c>
      <c r="M783" s="350" t="s">
        <v>9708</v>
      </c>
      <c r="N783" s="350" t="s">
        <v>9709</v>
      </c>
      <c r="O783" s="347" t="s">
        <v>631</v>
      </c>
      <c r="T783" s="347" t="s">
        <v>631</v>
      </c>
      <c r="V783" s="347" t="s">
        <v>631</v>
      </c>
      <c r="Z783" s="349" t="s">
        <v>9638</v>
      </c>
    </row>
    <row r="784" spans="1:26" ht="16.899999999999999" customHeight="1" x14ac:dyDescent="0.15">
      <c r="A784" s="347" t="s">
        <v>10102</v>
      </c>
      <c r="B784" s="347">
        <v>8</v>
      </c>
      <c r="C784" s="347" t="s">
        <v>968</v>
      </c>
      <c r="E784" s="347" t="s">
        <v>631</v>
      </c>
      <c r="F784" s="348" t="s">
        <v>1047</v>
      </c>
      <c r="G784" s="347" t="s">
        <v>978</v>
      </c>
      <c r="H784" s="347" t="s">
        <v>970</v>
      </c>
      <c r="I784" s="347" t="s">
        <v>971</v>
      </c>
      <c r="K784" s="350"/>
      <c r="L784" s="349" t="s">
        <v>979</v>
      </c>
      <c r="M784" s="350" t="s">
        <v>10121</v>
      </c>
      <c r="N784" s="350" t="s">
        <v>10103</v>
      </c>
      <c r="P784" s="347" t="s">
        <v>10123</v>
      </c>
      <c r="V784" s="347" t="s">
        <v>10123</v>
      </c>
      <c r="Z784" s="349" t="s">
        <v>10124</v>
      </c>
    </row>
    <row r="785" spans="1:26" ht="16.899999999999999" customHeight="1" x14ac:dyDescent="0.15">
      <c r="A785" s="347" t="s">
        <v>2355</v>
      </c>
      <c r="B785" s="347">
        <v>9</v>
      </c>
      <c r="C785" s="347" t="s">
        <v>983</v>
      </c>
      <c r="F785" s="348" t="s">
        <v>1016</v>
      </c>
      <c r="G785" s="347" t="s">
        <v>1008</v>
      </c>
      <c r="H785" s="347" t="s">
        <v>970</v>
      </c>
      <c r="I785" s="347" t="s">
        <v>971</v>
      </c>
      <c r="J785" s="347" t="s">
        <v>989</v>
      </c>
      <c r="K785" s="350" t="s">
        <v>2356</v>
      </c>
      <c r="L785" s="349" t="s">
        <v>1350</v>
      </c>
      <c r="M785" s="350" t="s">
        <v>2357</v>
      </c>
      <c r="N785" s="350" t="s">
        <v>2358</v>
      </c>
      <c r="P785" s="347" t="s">
        <v>631</v>
      </c>
      <c r="U785" s="347" t="s">
        <v>631</v>
      </c>
      <c r="V785" s="347" t="s">
        <v>631</v>
      </c>
      <c r="Y785" s="347" t="s">
        <v>631</v>
      </c>
      <c r="Z785" s="349" t="s">
        <v>975</v>
      </c>
    </row>
    <row r="786" spans="1:26" ht="16.899999999999999" customHeight="1" x14ac:dyDescent="0.15">
      <c r="A786" s="347" t="s">
        <v>2359</v>
      </c>
      <c r="B786" s="347">
        <v>9</v>
      </c>
      <c r="C786" s="347" t="s">
        <v>1013</v>
      </c>
      <c r="F786" s="348" t="s">
        <v>1020</v>
      </c>
      <c r="G786" s="347" t="s">
        <v>984</v>
      </c>
      <c r="H786" s="347" t="s">
        <v>970</v>
      </c>
      <c r="I786" s="347" t="s">
        <v>971</v>
      </c>
      <c r="J786" s="347" t="s">
        <v>989</v>
      </c>
      <c r="K786" s="350" t="s">
        <v>2360</v>
      </c>
      <c r="L786" s="349" t="s">
        <v>1104</v>
      </c>
      <c r="M786" s="350" t="s">
        <v>2361</v>
      </c>
      <c r="N786" s="350" t="s">
        <v>2362</v>
      </c>
      <c r="O786" s="347" t="s">
        <v>631</v>
      </c>
      <c r="Q786" s="347" t="s">
        <v>631</v>
      </c>
      <c r="U786" s="347" t="s">
        <v>631</v>
      </c>
      <c r="V786" s="347" t="s">
        <v>631</v>
      </c>
      <c r="Y786" s="347" t="s">
        <v>631</v>
      </c>
      <c r="Z786" s="349" t="s">
        <v>975</v>
      </c>
    </row>
    <row r="787" spans="1:26" ht="16.899999999999999" customHeight="1" x14ac:dyDescent="0.15">
      <c r="A787" s="347" t="s">
        <v>2363</v>
      </c>
      <c r="B787" s="347">
        <v>9</v>
      </c>
      <c r="C787" s="347" t="s">
        <v>1019</v>
      </c>
      <c r="E787" s="347" t="s">
        <v>631</v>
      </c>
      <c r="F787" s="348" t="s">
        <v>941</v>
      </c>
      <c r="G787" s="347" t="s">
        <v>969</v>
      </c>
      <c r="H787" s="347" t="s">
        <v>970</v>
      </c>
      <c r="I787" s="347" t="s">
        <v>971</v>
      </c>
      <c r="J787" s="347" t="s">
        <v>989</v>
      </c>
      <c r="K787" s="350" t="s">
        <v>2364</v>
      </c>
      <c r="L787" s="349" t="s">
        <v>979</v>
      </c>
      <c r="M787" s="350" t="s">
        <v>2365</v>
      </c>
      <c r="N787" s="350" t="s">
        <v>2366</v>
      </c>
      <c r="P787" s="347" t="s">
        <v>631</v>
      </c>
      <c r="T787" s="347" t="s">
        <v>631</v>
      </c>
      <c r="U787" s="347" t="s">
        <v>631</v>
      </c>
      <c r="V787" s="347" t="s">
        <v>631</v>
      </c>
      <c r="Z787" s="349" t="s">
        <v>975</v>
      </c>
    </row>
    <row r="788" spans="1:26" ht="16.899999999999999" customHeight="1" x14ac:dyDescent="0.15">
      <c r="A788" s="347" t="s">
        <v>2367</v>
      </c>
      <c r="B788" s="347">
        <v>9</v>
      </c>
      <c r="C788" s="347" t="s">
        <v>977</v>
      </c>
      <c r="F788" s="348" t="s">
        <v>1020</v>
      </c>
      <c r="G788" s="347" t="s">
        <v>709</v>
      </c>
      <c r="H788" s="347" t="s">
        <v>970</v>
      </c>
      <c r="I788" s="347" t="s">
        <v>971</v>
      </c>
      <c r="J788" s="347" t="s">
        <v>989</v>
      </c>
      <c r="K788" s="350" t="s">
        <v>2368</v>
      </c>
      <c r="L788" s="349" t="s">
        <v>1851</v>
      </c>
      <c r="M788" s="350" t="s">
        <v>2369</v>
      </c>
      <c r="N788" s="350" t="s">
        <v>2370</v>
      </c>
      <c r="U788" s="347" t="s">
        <v>631</v>
      </c>
      <c r="V788" s="347" t="s">
        <v>631</v>
      </c>
      <c r="Z788" s="349" t="s">
        <v>975</v>
      </c>
    </row>
    <row r="789" spans="1:26" ht="16.899999999999999" customHeight="1" x14ac:dyDescent="0.15">
      <c r="A789" s="347" t="s">
        <v>2371</v>
      </c>
      <c r="B789" s="347">
        <v>9</v>
      </c>
      <c r="C789" s="347" t="s">
        <v>977</v>
      </c>
      <c r="F789" s="348" t="s">
        <v>941</v>
      </c>
      <c r="G789" s="347" t="s">
        <v>969</v>
      </c>
      <c r="H789" s="347" t="s">
        <v>970</v>
      </c>
      <c r="I789" s="347" t="s">
        <v>971</v>
      </c>
      <c r="K789" s="350"/>
      <c r="L789" s="349" t="s">
        <v>972</v>
      </c>
      <c r="M789" s="350" t="s">
        <v>2372</v>
      </c>
      <c r="N789" s="350" t="s">
        <v>2373</v>
      </c>
      <c r="P789" s="347" t="s">
        <v>631</v>
      </c>
      <c r="Y789" s="347" t="s">
        <v>631</v>
      </c>
      <c r="Z789" s="349" t="s">
        <v>975</v>
      </c>
    </row>
    <row r="790" spans="1:26" ht="16.899999999999999" customHeight="1" x14ac:dyDescent="0.15">
      <c r="A790" s="347" t="s">
        <v>2374</v>
      </c>
      <c r="B790" s="347">
        <v>9</v>
      </c>
      <c r="C790" s="347" t="s">
        <v>968</v>
      </c>
      <c r="F790" s="348" t="s">
        <v>941</v>
      </c>
      <c r="G790" s="347" t="s">
        <v>1591</v>
      </c>
      <c r="H790" s="347" t="s">
        <v>970</v>
      </c>
      <c r="I790" s="347" t="s">
        <v>971</v>
      </c>
      <c r="K790" s="350"/>
      <c r="L790" s="349" t="s">
        <v>972</v>
      </c>
      <c r="M790" s="350" t="s">
        <v>2375</v>
      </c>
      <c r="N790" s="350" t="s">
        <v>2376</v>
      </c>
      <c r="T790" s="347" t="s">
        <v>631</v>
      </c>
      <c r="V790" s="347" t="s">
        <v>631</v>
      </c>
      <c r="Z790" s="349" t="s">
        <v>975</v>
      </c>
    </row>
    <row r="791" spans="1:26" ht="16.899999999999999" customHeight="1" x14ac:dyDescent="0.15">
      <c r="A791" s="347" t="s">
        <v>2377</v>
      </c>
      <c r="B791" s="347">
        <v>9</v>
      </c>
      <c r="C791" s="347" t="s">
        <v>1007</v>
      </c>
      <c r="F791" s="348" t="s">
        <v>941</v>
      </c>
      <c r="G791" s="347" t="s">
        <v>969</v>
      </c>
      <c r="H791" s="347" t="s">
        <v>970</v>
      </c>
      <c r="K791" s="350"/>
      <c r="L791" s="349" t="s">
        <v>972</v>
      </c>
      <c r="M791" s="350" t="s">
        <v>2378</v>
      </c>
      <c r="N791" s="350" t="s">
        <v>2379</v>
      </c>
      <c r="O791" s="347" t="s">
        <v>631</v>
      </c>
      <c r="P791" s="347" t="s">
        <v>631</v>
      </c>
      <c r="Z791" s="349" t="s">
        <v>975</v>
      </c>
    </row>
    <row r="792" spans="1:26" ht="16.899999999999999" customHeight="1" x14ac:dyDescent="0.15">
      <c r="A792" s="347" t="s">
        <v>2380</v>
      </c>
      <c r="B792" s="347">
        <v>9</v>
      </c>
      <c r="C792" s="347" t="s">
        <v>1007</v>
      </c>
      <c r="F792" s="348" t="s">
        <v>941</v>
      </c>
      <c r="G792" s="347" t="s">
        <v>969</v>
      </c>
      <c r="H792" s="347" t="s">
        <v>970</v>
      </c>
      <c r="K792" s="350"/>
      <c r="L792" s="349" t="s">
        <v>972</v>
      </c>
      <c r="M792" s="350" t="s">
        <v>2381</v>
      </c>
      <c r="N792" s="350" t="s">
        <v>2382</v>
      </c>
      <c r="O792" s="347" t="s">
        <v>631</v>
      </c>
      <c r="T792" s="347" t="s">
        <v>631</v>
      </c>
      <c r="U792" s="347" t="s">
        <v>631</v>
      </c>
      <c r="V792" s="347" t="s">
        <v>631</v>
      </c>
      <c r="Y792" s="347" t="s">
        <v>631</v>
      </c>
      <c r="Z792" s="349" t="s">
        <v>975</v>
      </c>
    </row>
    <row r="793" spans="1:26" ht="16.899999999999999" customHeight="1" x14ac:dyDescent="0.15">
      <c r="A793" s="347" t="s">
        <v>2383</v>
      </c>
      <c r="B793" s="347">
        <v>9</v>
      </c>
      <c r="C793" s="347" t="s">
        <v>977</v>
      </c>
      <c r="F793" s="348" t="s">
        <v>941</v>
      </c>
      <c r="G793" s="347" t="s">
        <v>969</v>
      </c>
      <c r="H793" s="347" t="s">
        <v>970</v>
      </c>
      <c r="I793" s="347" t="s">
        <v>971</v>
      </c>
      <c r="K793" s="350"/>
      <c r="L793" s="349" t="s">
        <v>1048</v>
      </c>
      <c r="M793" s="350" t="s">
        <v>2384</v>
      </c>
      <c r="N793" s="350" t="s">
        <v>2385</v>
      </c>
      <c r="O793" s="347" t="s">
        <v>631</v>
      </c>
      <c r="V793" s="347" t="s">
        <v>631</v>
      </c>
      <c r="Z793" s="349" t="s">
        <v>975</v>
      </c>
    </row>
    <row r="794" spans="1:26" ht="16.899999999999999" customHeight="1" x14ac:dyDescent="0.15">
      <c r="A794" s="347" t="s">
        <v>2386</v>
      </c>
      <c r="B794" s="347">
        <v>9</v>
      </c>
      <c r="C794" s="347" t="s">
        <v>994</v>
      </c>
      <c r="E794" s="347" t="s">
        <v>631</v>
      </c>
      <c r="F794" s="348" t="s">
        <v>941</v>
      </c>
      <c r="G794" s="347" t="s">
        <v>978</v>
      </c>
      <c r="H794" s="347" t="s">
        <v>970</v>
      </c>
      <c r="I794" s="347" t="s">
        <v>971</v>
      </c>
      <c r="J794" s="347" t="s">
        <v>989</v>
      </c>
      <c r="K794" s="350" t="s">
        <v>2387</v>
      </c>
      <c r="L794" s="349" t="s">
        <v>1211</v>
      </c>
      <c r="M794" s="350" t="s">
        <v>2388</v>
      </c>
      <c r="N794" s="350" t="s">
        <v>2389</v>
      </c>
      <c r="Q794" s="347" t="s">
        <v>631</v>
      </c>
      <c r="V794" s="347" t="s">
        <v>631</v>
      </c>
      <c r="Z794" s="349" t="s">
        <v>975</v>
      </c>
    </row>
    <row r="795" spans="1:26" ht="16.899999999999999" customHeight="1" x14ac:dyDescent="0.15">
      <c r="A795" s="347" t="s">
        <v>2390</v>
      </c>
      <c r="B795" s="347">
        <v>9</v>
      </c>
      <c r="C795" s="347" t="s">
        <v>1019</v>
      </c>
      <c r="E795" s="347" t="s">
        <v>631</v>
      </c>
      <c r="F795" s="348" t="s">
        <v>941</v>
      </c>
      <c r="G795" s="347" t="s">
        <v>1591</v>
      </c>
      <c r="H795" s="347" t="s">
        <v>970</v>
      </c>
      <c r="I795" s="347" t="s">
        <v>971</v>
      </c>
      <c r="K795" s="350"/>
      <c r="L795" s="349" t="s">
        <v>979</v>
      </c>
      <c r="M795" s="350" t="s">
        <v>2391</v>
      </c>
      <c r="N795" s="350" t="s">
        <v>2392</v>
      </c>
      <c r="Q795" s="347" t="s">
        <v>631</v>
      </c>
      <c r="Z795" s="349" t="s">
        <v>975</v>
      </c>
    </row>
    <row r="796" spans="1:26" ht="16.899999999999999" customHeight="1" x14ac:dyDescent="0.15">
      <c r="A796" s="347" t="s">
        <v>2393</v>
      </c>
      <c r="B796" s="347">
        <v>9</v>
      </c>
      <c r="C796" s="347" t="s">
        <v>994</v>
      </c>
      <c r="F796" s="348" t="s">
        <v>941</v>
      </c>
      <c r="G796" s="347" t="s">
        <v>978</v>
      </c>
      <c r="H796" s="347" t="s">
        <v>970</v>
      </c>
      <c r="K796" s="350"/>
      <c r="L796" s="349" t="s">
        <v>972</v>
      </c>
      <c r="M796" s="350" t="s">
        <v>2394</v>
      </c>
      <c r="N796" s="350" t="s">
        <v>2395</v>
      </c>
      <c r="T796" s="347" t="s">
        <v>631</v>
      </c>
      <c r="V796" s="347" t="s">
        <v>631</v>
      </c>
      <c r="Y796" s="347" t="s">
        <v>631</v>
      </c>
      <c r="Z796" s="349" t="s">
        <v>975</v>
      </c>
    </row>
    <row r="797" spans="1:26" ht="16.899999999999999" customHeight="1" x14ac:dyDescent="0.15">
      <c r="A797" s="347" t="s">
        <v>2396</v>
      </c>
      <c r="B797" s="347">
        <v>9</v>
      </c>
      <c r="C797" s="347" t="s">
        <v>994</v>
      </c>
      <c r="E797" s="347" t="s">
        <v>631</v>
      </c>
      <c r="F797" s="348" t="s">
        <v>941</v>
      </c>
      <c r="G797" s="347" t="s">
        <v>709</v>
      </c>
      <c r="H797" s="347" t="s">
        <v>970</v>
      </c>
      <c r="I797" s="347" t="s">
        <v>971</v>
      </c>
      <c r="J797" s="347" t="s">
        <v>989</v>
      </c>
      <c r="K797" s="350" t="s">
        <v>2397</v>
      </c>
      <c r="L797" s="349" t="s">
        <v>1211</v>
      </c>
      <c r="M797" s="350" t="s">
        <v>2398</v>
      </c>
      <c r="N797" s="350" t="s">
        <v>2399</v>
      </c>
      <c r="O797" s="347" t="s">
        <v>631</v>
      </c>
      <c r="U797" s="347" t="s">
        <v>631</v>
      </c>
      <c r="V797" s="347" t="s">
        <v>631</v>
      </c>
      <c r="Y797" s="347" t="s">
        <v>631</v>
      </c>
      <c r="Z797" s="349" t="s">
        <v>975</v>
      </c>
    </row>
    <row r="798" spans="1:26" ht="16.899999999999999" customHeight="1" x14ac:dyDescent="0.15">
      <c r="A798" s="347" t="s">
        <v>2400</v>
      </c>
      <c r="B798" s="347">
        <v>9</v>
      </c>
      <c r="C798" s="347" t="s">
        <v>983</v>
      </c>
      <c r="F798" s="348" t="s">
        <v>1016</v>
      </c>
      <c r="G798" s="347" t="s">
        <v>984</v>
      </c>
      <c r="H798" s="347" t="s">
        <v>970</v>
      </c>
      <c r="I798" s="347" t="s">
        <v>971</v>
      </c>
      <c r="J798" s="347" t="s">
        <v>989</v>
      </c>
      <c r="K798" s="350" t="s">
        <v>2401</v>
      </c>
      <c r="L798" s="349" t="s">
        <v>972</v>
      </c>
      <c r="M798" s="350" t="s">
        <v>2402</v>
      </c>
      <c r="N798" s="350" t="s">
        <v>2403</v>
      </c>
      <c r="P798" s="347" t="s">
        <v>631</v>
      </c>
      <c r="Q798" s="347" t="s">
        <v>631</v>
      </c>
      <c r="Y798" s="347" t="s">
        <v>631</v>
      </c>
      <c r="Z798" s="349" t="s">
        <v>975</v>
      </c>
    </row>
    <row r="799" spans="1:26" ht="16.899999999999999" customHeight="1" x14ac:dyDescent="0.15">
      <c r="A799" s="347" t="s">
        <v>2404</v>
      </c>
      <c r="B799" s="347">
        <v>9</v>
      </c>
      <c r="C799" s="347" t="s">
        <v>987</v>
      </c>
      <c r="E799" s="347" t="s">
        <v>631</v>
      </c>
      <c r="F799" s="348" t="s">
        <v>941</v>
      </c>
      <c r="G799" s="347" t="s">
        <v>988</v>
      </c>
      <c r="H799" s="347" t="s">
        <v>970</v>
      </c>
      <c r="I799" s="347" t="s">
        <v>971</v>
      </c>
      <c r="K799" s="350"/>
      <c r="L799" s="349" t="s">
        <v>979</v>
      </c>
      <c r="M799" s="350" t="s">
        <v>2405</v>
      </c>
      <c r="N799" s="350" t="s">
        <v>2406</v>
      </c>
      <c r="U799" s="347" t="s">
        <v>631</v>
      </c>
      <c r="V799" s="347" t="s">
        <v>631</v>
      </c>
      <c r="Z799" s="349" t="s">
        <v>975</v>
      </c>
    </row>
    <row r="800" spans="1:26" ht="16.899999999999999" customHeight="1" x14ac:dyDescent="0.15">
      <c r="A800" s="347" t="s">
        <v>2407</v>
      </c>
      <c r="B800" s="347">
        <v>9</v>
      </c>
      <c r="C800" s="347" t="s">
        <v>1019</v>
      </c>
      <c r="F800" s="348" t="s">
        <v>941</v>
      </c>
      <c r="G800" s="347" t="s">
        <v>978</v>
      </c>
      <c r="H800" s="347" t="s">
        <v>970</v>
      </c>
      <c r="K800" s="350"/>
      <c r="L800" s="349" t="s">
        <v>972</v>
      </c>
      <c r="M800" s="350" t="s">
        <v>2408</v>
      </c>
      <c r="N800" s="350" t="s">
        <v>2409</v>
      </c>
      <c r="T800" s="347" t="s">
        <v>631</v>
      </c>
      <c r="V800" s="347" t="s">
        <v>631</v>
      </c>
      <c r="Z800" s="349" t="s">
        <v>975</v>
      </c>
    </row>
    <row r="801" spans="1:27" ht="16.899999999999999" customHeight="1" x14ac:dyDescent="0.15">
      <c r="A801" s="347" t="s">
        <v>2728</v>
      </c>
      <c r="B801" s="347">
        <v>9</v>
      </c>
      <c r="C801" s="347" t="s">
        <v>977</v>
      </c>
      <c r="E801" s="347" t="s">
        <v>631</v>
      </c>
      <c r="F801" s="348" t="s">
        <v>941</v>
      </c>
      <c r="G801" s="347" t="s">
        <v>978</v>
      </c>
      <c r="H801" s="347" t="s">
        <v>970</v>
      </c>
      <c r="I801" s="347" t="s">
        <v>971</v>
      </c>
      <c r="J801" s="347" t="s">
        <v>989</v>
      </c>
      <c r="K801" s="444" t="s">
        <v>2729</v>
      </c>
      <c r="L801" s="349" t="s">
        <v>2490</v>
      </c>
      <c r="M801" s="350" t="s">
        <v>2730</v>
      </c>
      <c r="N801" s="350" t="s">
        <v>2731</v>
      </c>
      <c r="V801" s="347" t="s">
        <v>631</v>
      </c>
      <c r="Z801" s="446" t="s">
        <v>2457</v>
      </c>
    </row>
    <row r="802" spans="1:27" ht="16.899999999999999" customHeight="1" x14ac:dyDescent="0.15">
      <c r="A802" s="347" t="s">
        <v>2732</v>
      </c>
      <c r="B802" s="347">
        <v>9</v>
      </c>
      <c r="C802" s="347" t="s">
        <v>994</v>
      </c>
      <c r="E802" s="347" t="s">
        <v>631</v>
      </c>
      <c r="F802" s="348" t="s">
        <v>941</v>
      </c>
      <c r="G802" s="347" t="s">
        <v>988</v>
      </c>
      <c r="H802" s="347" t="s">
        <v>970</v>
      </c>
      <c r="I802" s="347" t="s">
        <v>971</v>
      </c>
      <c r="J802" s="347" t="s">
        <v>989</v>
      </c>
      <c r="K802" s="444" t="s">
        <v>2733</v>
      </c>
      <c r="L802" s="349" t="s">
        <v>2421</v>
      </c>
      <c r="M802" s="350" t="s">
        <v>2734</v>
      </c>
      <c r="N802" s="350" t="s">
        <v>2735</v>
      </c>
      <c r="O802" s="347" t="s">
        <v>631</v>
      </c>
      <c r="T802" s="347" t="s">
        <v>631</v>
      </c>
      <c r="V802" s="347" t="s">
        <v>631</v>
      </c>
      <c r="Z802" s="446" t="s">
        <v>2457</v>
      </c>
    </row>
    <row r="803" spans="1:27" ht="16.899999999999999" customHeight="1" x14ac:dyDescent="0.15">
      <c r="A803" s="347" t="s">
        <v>2736</v>
      </c>
      <c r="B803" s="347">
        <v>9</v>
      </c>
      <c r="C803" s="347" t="s">
        <v>1007</v>
      </c>
      <c r="F803" s="348" t="s">
        <v>941</v>
      </c>
      <c r="G803" s="347" t="s">
        <v>1134</v>
      </c>
      <c r="I803" s="347" t="s">
        <v>971</v>
      </c>
      <c r="K803" s="444"/>
      <c r="L803" s="349" t="s">
        <v>972</v>
      </c>
      <c r="M803" s="350" t="s">
        <v>2737</v>
      </c>
      <c r="N803" s="350" t="s">
        <v>2738</v>
      </c>
      <c r="O803" s="347" t="s">
        <v>631</v>
      </c>
      <c r="T803" s="347" t="s">
        <v>631</v>
      </c>
      <c r="U803" s="347" t="s">
        <v>631</v>
      </c>
      <c r="V803" s="347" t="s">
        <v>631</v>
      </c>
      <c r="Z803" s="446" t="s">
        <v>2457</v>
      </c>
    </row>
    <row r="804" spans="1:27" ht="16.899999999999999" customHeight="1" x14ac:dyDescent="0.15">
      <c r="A804" s="347" t="s">
        <v>2933</v>
      </c>
      <c r="B804" s="347">
        <v>9</v>
      </c>
      <c r="C804" s="347" t="s">
        <v>968</v>
      </c>
      <c r="E804" s="347" t="s">
        <v>2950</v>
      </c>
      <c r="F804" s="348" t="s">
        <v>941</v>
      </c>
      <c r="G804" s="347" t="s">
        <v>2934</v>
      </c>
      <c r="H804" s="347" t="s">
        <v>970</v>
      </c>
      <c r="I804" s="347" t="s">
        <v>971</v>
      </c>
      <c r="J804" s="347" t="s">
        <v>989</v>
      </c>
      <c r="K804" s="349" t="s">
        <v>2935</v>
      </c>
      <c r="L804" s="349" t="s">
        <v>2413</v>
      </c>
      <c r="M804" s="350" t="s">
        <v>2936</v>
      </c>
      <c r="N804" s="445" t="s">
        <v>2937</v>
      </c>
      <c r="V804" s="347" t="s">
        <v>631</v>
      </c>
      <c r="Z804" s="446" t="s">
        <v>2888</v>
      </c>
    </row>
    <row r="805" spans="1:27" ht="16.899999999999999" customHeight="1" x14ac:dyDescent="0.15">
      <c r="A805" s="347" t="s">
        <v>2938</v>
      </c>
      <c r="B805" s="347">
        <v>9</v>
      </c>
      <c r="C805" s="347" t="s">
        <v>983</v>
      </c>
      <c r="F805" s="348" t="s">
        <v>941</v>
      </c>
      <c r="G805" s="347" t="s">
        <v>1134</v>
      </c>
      <c r="H805" s="347" t="s">
        <v>970</v>
      </c>
      <c r="I805" s="347" t="s">
        <v>971</v>
      </c>
      <c r="J805" s="347" t="s">
        <v>989</v>
      </c>
      <c r="K805" s="349" t="s">
        <v>2939</v>
      </c>
      <c r="L805" s="349" t="s">
        <v>972</v>
      </c>
      <c r="M805" s="350" t="s">
        <v>2984</v>
      </c>
      <c r="N805" s="445" t="s">
        <v>2940</v>
      </c>
      <c r="V805" s="347" t="s">
        <v>2950</v>
      </c>
      <c r="Z805" s="446" t="s">
        <v>2888</v>
      </c>
    </row>
    <row r="806" spans="1:27" ht="16.899999999999999" customHeight="1" x14ac:dyDescent="0.15">
      <c r="A806" s="347" t="s">
        <v>5614</v>
      </c>
      <c r="B806" s="347">
        <v>9</v>
      </c>
      <c r="C806" s="347" t="s">
        <v>968</v>
      </c>
      <c r="F806" s="348" t="s">
        <v>941</v>
      </c>
      <c r="G806" s="347" t="s">
        <v>978</v>
      </c>
      <c r="I806" s="347" t="s">
        <v>971</v>
      </c>
      <c r="K806" s="350"/>
      <c r="L806" s="349" t="s">
        <v>972</v>
      </c>
      <c r="M806" s="350" t="s">
        <v>5615</v>
      </c>
      <c r="N806" s="350" t="s">
        <v>5616</v>
      </c>
      <c r="T806" s="347" t="s">
        <v>631</v>
      </c>
      <c r="U806" s="347" t="s">
        <v>631</v>
      </c>
      <c r="V806" s="347" t="s">
        <v>631</v>
      </c>
      <c r="Z806" s="349" t="s">
        <v>3197</v>
      </c>
    </row>
    <row r="807" spans="1:27" ht="16.899999999999999" customHeight="1" x14ac:dyDescent="0.15">
      <c r="A807" s="347" t="s">
        <v>6464</v>
      </c>
      <c r="B807" s="347">
        <v>9</v>
      </c>
      <c r="C807" s="347" t="s">
        <v>1019</v>
      </c>
      <c r="F807" s="348" t="s">
        <v>941</v>
      </c>
      <c r="G807" s="347" t="s">
        <v>969</v>
      </c>
      <c r="H807" s="347" t="s">
        <v>970</v>
      </c>
      <c r="I807" s="347" t="s">
        <v>6323</v>
      </c>
      <c r="J807" s="347" t="s">
        <v>989</v>
      </c>
      <c r="K807" s="350" t="s">
        <v>6465</v>
      </c>
      <c r="L807" s="349" t="s">
        <v>972</v>
      </c>
      <c r="M807" s="350" t="s">
        <v>6466</v>
      </c>
      <c r="N807" s="350" t="s">
        <v>6467</v>
      </c>
      <c r="Q807" s="347" t="s">
        <v>631</v>
      </c>
      <c r="V807" s="347" t="s">
        <v>631</v>
      </c>
      <c r="Y807" s="347" t="s">
        <v>631</v>
      </c>
      <c r="Z807" s="349" t="s">
        <v>5820</v>
      </c>
    </row>
    <row r="808" spans="1:27" ht="16.899999999999999" customHeight="1" x14ac:dyDescent="0.15">
      <c r="A808" s="347" t="s">
        <v>6468</v>
      </c>
      <c r="B808" s="347">
        <v>9</v>
      </c>
      <c r="C808" s="347" t="s">
        <v>983</v>
      </c>
      <c r="F808" s="348" t="s">
        <v>2995</v>
      </c>
      <c r="G808" s="347" t="s">
        <v>2472</v>
      </c>
      <c r="H808" s="347" t="s">
        <v>970</v>
      </c>
      <c r="I808" s="347" t="s">
        <v>6323</v>
      </c>
      <c r="J808" s="347" t="s">
        <v>989</v>
      </c>
      <c r="K808" s="350" t="s">
        <v>6469</v>
      </c>
      <c r="L808" s="349" t="s">
        <v>972</v>
      </c>
      <c r="M808" s="350" t="s">
        <v>6470</v>
      </c>
      <c r="N808" s="350" t="s">
        <v>6471</v>
      </c>
      <c r="P808" s="347" t="s">
        <v>2950</v>
      </c>
      <c r="T808" s="347" t="s">
        <v>631</v>
      </c>
      <c r="U808" s="347" t="s">
        <v>631</v>
      </c>
      <c r="V808" s="347" t="s">
        <v>631</v>
      </c>
      <c r="Y808" s="347" t="s">
        <v>631</v>
      </c>
      <c r="Z808" s="349" t="s">
        <v>5820</v>
      </c>
    </row>
    <row r="809" spans="1:27" ht="16.899999999999999" customHeight="1" x14ac:dyDescent="0.15">
      <c r="A809" s="347" t="s">
        <v>7966</v>
      </c>
      <c r="B809" s="347">
        <v>9</v>
      </c>
      <c r="C809" s="347" t="s">
        <v>7883</v>
      </c>
      <c r="F809" s="348" t="s">
        <v>2995</v>
      </c>
      <c r="G809" s="347" t="s">
        <v>2972</v>
      </c>
      <c r="H809" s="347" t="s">
        <v>2953</v>
      </c>
      <c r="I809" s="347" t="s">
        <v>6323</v>
      </c>
      <c r="K809" s="350"/>
      <c r="L809" s="349" t="s">
        <v>2987</v>
      </c>
      <c r="M809" s="350" t="s">
        <v>7967</v>
      </c>
      <c r="N809" s="350" t="s">
        <v>7968</v>
      </c>
      <c r="T809" s="347" t="s">
        <v>2950</v>
      </c>
      <c r="U809" s="347" t="s">
        <v>2950</v>
      </c>
      <c r="V809" s="347" t="s">
        <v>2950</v>
      </c>
      <c r="Z809" s="349" t="s">
        <v>7878</v>
      </c>
    </row>
    <row r="810" spans="1:27" ht="16.899999999999999" customHeight="1" x14ac:dyDescent="0.15">
      <c r="A810" s="347" t="s">
        <v>8534</v>
      </c>
      <c r="B810" s="347">
        <v>9</v>
      </c>
      <c r="C810" s="347" t="s">
        <v>968</v>
      </c>
      <c r="F810" s="348" t="s">
        <v>941</v>
      </c>
      <c r="G810" s="347" t="s">
        <v>978</v>
      </c>
      <c r="H810" s="347" t="s">
        <v>970</v>
      </c>
      <c r="I810" s="347" t="s">
        <v>971</v>
      </c>
      <c r="K810" s="350"/>
      <c r="L810" s="349" t="s">
        <v>972</v>
      </c>
      <c r="M810" s="350" t="s">
        <v>9606</v>
      </c>
      <c r="N810" s="350" t="s">
        <v>8535</v>
      </c>
      <c r="P810" s="347" t="s">
        <v>631</v>
      </c>
      <c r="Q810" s="347" t="s">
        <v>631</v>
      </c>
      <c r="T810" s="347" t="s">
        <v>2950</v>
      </c>
      <c r="Z810" s="349" t="s">
        <v>8537</v>
      </c>
    </row>
    <row r="811" spans="1:27" ht="16.899999999999999" customHeight="1" x14ac:dyDescent="0.15">
      <c r="A811" s="347" t="s">
        <v>10125</v>
      </c>
      <c r="B811" s="347">
        <v>9</v>
      </c>
      <c r="C811" s="347" t="s">
        <v>1019</v>
      </c>
      <c r="E811" s="347" t="s">
        <v>631</v>
      </c>
      <c r="F811" s="348" t="s">
        <v>1047</v>
      </c>
      <c r="G811" s="347" t="s">
        <v>969</v>
      </c>
      <c r="H811" s="347" t="s">
        <v>970</v>
      </c>
      <c r="I811" s="347" t="s">
        <v>971</v>
      </c>
      <c r="K811" s="350"/>
      <c r="L811" s="349" t="s">
        <v>979</v>
      </c>
      <c r="M811" s="350" t="s">
        <v>10122</v>
      </c>
      <c r="N811" s="350" t="s">
        <v>2437</v>
      </c>
      <c r="T811" s="347" t="s">
        <v>10123</v>
      </c>
      <c r="U811" s="347" t="s">
        <v>10123</v>
      </c>
      <c r="V811" s="347" t="s">
        <v>10123</v>
      </c>
      <c r="Z811" s="349" t="s">
        <v>10124</v>
      </c>
    </row>
    <row r="812" spans="1:27" ht="16.899999999999999" customHeight="1" x14ac:dyDescent="0.15">
      <c r="K812" s="350"/>
      <c r="L812" s="349"/>
      <c r="N812" s="350"/>
    </row>
    <row r="813" spans="1:27" ht="16.899999999999999" customHeight="1" x14ac:dyDescent="0.15">
      <c r="K813" s="350"/>
      <c r="L813" s="349"/>
      <c r="N813" s="350"/>
    </row>
    <row r="814" spans="1:27" ht="16.899999999999999" customHeight="1" x14ac:dyDescent="0.15">
      <c r="A814" s="356"/>
      <c r="B814" s="356"/>
      <c r="C814" s="356"/>
      <c r="D814" s="356"/>
      <c r="E814" s="356"/>
      <c r="F814" s="357"/>
      <c r="G814" s="356"/>
      <c r="H814" s="356"/>
      <c r="I814" s="356"/>
      <c r="J814" s="356"/>
      <c r="K814" s="358"/>
      <c r="L814" s="359"/>
      <c r="M814" s="358"/>
      <c r="N814" s="358"/>
      <c r="O814" s="356"/>
      <c r="P814" s="356"/>
      <c r="Q814" s="356"/>
      <c r="R814" s="356"/>
      <c r="S814" s="356"/>
      <c r="T814" s="356"/>
      <c r="U814" s="356"/>
      <c r="V814" s="356"/>
      <c r="W814" s="356"/>
      <c r="X814" s="356"/>
      <c r="Y814" s="356"/>
      <c r="Z814" s="359"/>
    </row>
    <row r="815" spans="1:27" ht="16.899999999999999" customHeight="1" x14ac:dyDescent="0.15">
      <c r="A815" s="366" t="str">
        <f>IF(自定义调整栏!H3="","",自定义调整栏!H3)</f>
        <v/>
      </c>
      <c r="B815" s="367" t="str">
        <f>IF(自定义调整栏!H3="","",IF(自定义调整栏!G3="戏法",0,自定义调整栏!G3))</f>
        <v/>
      </c>
      <c r="C815" s="367" t="str">
        <f>IF(自定义调整栏!H3="","",自定义调整栏!J3)</f>
        <v/>
      </c>
      <c r="D815" s="367" t="str">
        <f>IF(自定义调整栏!S3="","",自定义调整栏!S3)</f>
        <v/>
      </c>
      <c r="E815" s="367" t="str">
        <f>IF(自定义调整栏!R3="","",自定义调整栏!R3)</f>
        <v/>
      </c>
      <c r="F815" s="368" t="str">
        <f>IF(自定义调整栏!K3="","",自定义调整栏!K3)</f>
        <v/>
      </c>
      <c r="G815" s="367" t="str">
        <f>IF(自定义调整栏!I3="","",自定义调整栏!I3)</f>
        <v/>
      </c>
      <c r="H815" s="367" t="str">
        <f>IF(自定义调整栏!L3="","",自定义调整栏!L3)</f>
        <v/>
      </c>
      <c r="I815" s="367" t="str">
        <f>IF(自定义调整栏!M3="","",自定义调整栏!M3)</f>
        <v/>
      </c>
      <c r="J815" s="367" t="str">
        <f>IF(自定义调整栏!N3="","",自定义调整栏!N3)</f>
        <v/>
      </c>
      <c r="K815" s="369" t="str">
        <f>IF(自定义调整栏!O3="","",自定义调整栏!O3)</f>
        <v/>
      </c>
      <c r="L815" s="370" t="str">
        <f>IF(自定义调整栏!P3="","",自定义调整栏!P3)</f>
        <v/>
      </c>
      <c r="M815" s="371" t="str">
        <f>IF(自定义调整栏!Q3="","",自定义调整栏!Q3)</f>
        <v/>
      </c>
      <c r="N815" s="369" t="s">
        <v>2858</v>
      </c>
      <c r="O815" s="367"/>
      <c r="P815" s="367"/>
      <c r="Q815" s="367"/>
      <c r="R815" s="367"/>
      <c r="S815" s="367"/>
      <c r="T815" s="367"/>
      <c r="U815" s="367"/>
      <c r="V815" s="367"/>
      <c r="W815" s="367"/>
      <c r="X815" s="367"/>
      <c r="Y815" s="367"/>
      <c r="Z815" s="372" t="s">
        <v>2859</v>
      </c>
      <c r="AA815" s="355"/>
    </row>
    <row r="816" spans="1:27" ht="16.899999999999999" customHeight="1" x14ac:dyDescent="0.15">
      <c r="A816" s="373" t="str">
        <f>IF(自定义调整栏!H4="","",自定义调整栏!H4)</f>
        <v/>
      </c>
      <c r="B816" s="347" t="str">
        <f>IF(自定义调整栏!H4="","",IF(自定义调整栏!G4="戏法",0,自定义调整栏!G4))</f>
        <v/>
      </c>
      <c r="C816" s="347" t="str">
        <f>IF(自定义调整栏!H4="","",自定义调整栏!J4)</f>
        <v/>
      </c>
      <c r="D816" s="347" t="str">
        <f>IF(自定义调整栏!S4="","",自定义调整栏!S4)</f>
        <v/>
      </c>
      <c r="E816" s="347" t="str">
        <f>IF(自定义调整栏!R4="","",自定义调整栏!R4)</f>
        <v/>
      </c>
      <c r="F816" s="348" t="str">
        <f>IF(自定义调整栏!K4="","",自定义调整栏!K4)</f>
        <v/>
      </c>
      <c r="G816" s="347" t="str">
        <f>IF(自定义调整栏!I4="","",自定义调整栏!I4)</f>
        <v/>
      </c>
      <c r="H816" s="347" t="str">
        <f>IF(自定义调整栏!L4="","",自定义调整栏!L4)</f>
        <v/>
      </c>
      <c r="I816" s="347" t="str">
        <f>IF(自定义调整栏!M4="","",自定义调整栏!M4)</f>
        <v/>
      </c>
      <c r="J816" s="347" t="str">
        <f>IF(自定义调整栏!N4="","",自定义调整栏!N4)</f>
        <v/>
      </c>
      <c r="K816" s="353" t="str">
        <f>IF(自定义调整栏!O4="","",自定义调整栏!O4)</f>
        <v/>
      </c>
      <c r="L816" s="351" t="str">
        <f>IF(自定义调整栏!P4="","",自定义调整栏!P4)</f>
        <v/>
      </c>
      <c r="M816" s="350" t="str">
        <f>IF(自定义调整栏!Q4="","",自定义调整栏!Q4)</f>
        <v/>
      </c>
      <c r="N816" s="353" t="s">
        <v>2858</v>
      </c>
      <c r="Z816" s="374" t="s">
        <v>2859</v>
      </c>
      <c r="AA816" s="355"/>
    </row>
    <row r="817" spans="1:27" ht="16.899999999999999" customHeight="1" x14ac:dyDescent="0.15">
      <c r="A817" s="373" t="str">
        <f>IF(自定义调整栏!H5="","",自定义调整栏!H5)</f>
        <v/>
      </c>
      <c r="B817" s="347" t="str">
        <f>IF(自定义调整栏!H5="","",IF(自定义调整栏!G5="戏法",0,自定义调整栏!G5))</f>
        <v/>
      </c>
      <c r="C817" s="347" t="str">
        <f>IF(自定义调整栏!H5="","",自定义调整栏!J5)</f>
        <v/>
      </c>
      <c r="D817" s="347" t="str">
        <f>IF(自定义调整栏!S5="","",自定义调整栏!S5)</f>
        <v/>
      </c>
      <c r="E817" s="347" t="str">
        <f>IF(自定义调整栏!R5="","",自定义调整栏!R5)</f>
        <v/>
      </c>
      <c r="F817" s="348" t="str">
        <f>IF(自定义调整栏!K5="","",自定义调整栏!K5)</f>
        <v/>
      </c>
      <c r="G817" s="347" t="str">
        <f>IF(自定义调整栏!I5="","",自定义调整栏!I5)</f>
        <v/>
      </c>
      <c r="H817" s="347" t="str">
        <f>IF(自定义调整栏!L5="","",自定义调整栏!L5)</f>
        <v/>
      </c>
      <c r="I817" s="347" t="str">
        <f>IF(自定义调整栏!M5="","",自定义调整栏!M5)</f>
        <v/>
      </c>
      <c r="J817" s="347" t="str">
        <f>IF(自定义调整栏!N5="","",自定义调整栏!N5)</f>
        <v/>
      </c>
      <c r="K817" s="353" t="str">
        <f>IF(自定义调整栏!O5="","",自定义调整栏!O5)</f>
        <v/>
      </c>
      <c r="L817" s="351" t="str">
        <f>IF(自定义调整栏!P5="","",自定义调整栏!P5)</f>
        <v/>
      </c>
      <c r="M817" s="350" t="str">
        <f>IF(自定义调整栏!Q5="","",自定义调整栏!Q5)</f>
        <v/>
      </c>
      <c r="N817" s="353" t="s">
        <v>2858</v>
      </c>
      <c r="Z817" s="374" t="s">
        <v>2859</v>
      </c>
      <c r="AA817" s="355"/>
    </row>
    <row r="818" spans="1:27" ht="16.899999999999999" customHeight="1" x14ac:dyDescent="0.15">
      <c r="A818" s="373" t="str">
        <f>IF(自定义调整栏!H6="","",自定义调整栏!H6)</f>
        <v/>
      </c>
      <c r="B818" s="347" t="str">
        <f>IF(自定义调整栏!H6="","",IF(自定义调整栏!G6="戏法",0,自定义调整栏!G6))</f>
        <v/>
      </c>
      <c r="C818" s="347" t="str">
        <f>IF(自定义调整栏!H6="","",自定义调整栏!J6)</f>
        <v/>
      </c>
      <c r="D818" s="347" t="str">
        <f>IF(自定义调整栏!S6="","",自定义调整栏!S6)</f>
        <v/>
      </c>
      <c r="E818" s="347" t="str">
        <f>IF(自定义调整栏!R6="","",自定义调整栏!R6)</f>
        <v/>
      </c>
      <c r="F818" s="348" t="str">
        <f>IF(自定义调整栏!K6="","",自定义调整栏!K6)</f>
        <v/>
      </c>
      <c r="G818" s="347" t="str">
        <f>IF(自定义调整栏!I6="","",自定义调整栏!I6)</f>
        <v/>
      </c>
      <c r="H818" s="347" t="str">
        <f>IF(自定义调整栏!L6="","",自定义调整栏!L6)</f>
        <v/>
      </c>
      <c r="I818" s="347" t="str">
        <f>IF(自定义调整栏!M6="","",自定义调整栏!M6)</f>
        <v/>
      </c>
      <c r="J818" s="347" t="str">
        <f>IF(自定义调整栏!N6="","",自定义调整栏!N6)</f>
        <v/>
      </c>
      <c r="K818" s="353" t="str">
        <f>IF(自定义调整栏!O6="","",自定义调整栏!O6)</f>
        <v/>
      </c>
      <c r="L818" s="351" t="str">
        <f>IF(自定义调整栏!P6="","",自定义调整栏!P6)</f>
        <v/>
      </c>
      <c r="M818" s="350" t="str">
        <f>IF(自定义调整栏!Q6="","",自定义调整栏!Q6)</f>
        <v/>
      </c>
      <c r="N818" s="353" t="s">
        <v>2858</v>
      </c>
      <c r="Z818" s="374" t="s">
        <v>2859</v>
      </c>
      <c r="AA818" s="355"/>
    </row>
    <row r="819" spans="1:27" ht="16.899999999999999" customHeight="1" x14ac:dyDescent="0.15">
      <c r="A819" s="373" t="str">
        <f>IF(自定义调整栏!H7="","",自定义调整栏!H7)</f>
        <v/>
      </c>
      <c r="B819" s="347" t="str">
        <f>IF(自定义调整栏!H7="","",IF(自定义调整栏!G7="戏法",0,自定义调整栏!G7))</f>
        <v/>
      </c>
      <c r="C819" s="347" t="str">
        <f>IF(自定义调整栏!H7="","",自定义调整栏!J7)</f>
        <v/>
      </c>
      <c r="D819" s="347" t="str">
        <f>IF(自定义调整栏!S7="","",自定义调整栏!S7)</f>
        <v/>
      </c>
      <c r="E819" s="347" t="str">
        <f>IF(自定义调整栏!R7="","",自定义调整栏!R7)</f>
        <v/>
      </c>
      <c r="F819" s="348" t="str">
        <f>IF(自定义调整栏!K7="","",自定义调整栏!K7)</f>
        <v/>
      </c>
      <c r="G819" s="347" t="str">
        <f>IF(自定义调整栏!I7="","",自定义调整栏!I7)</f>
        <v/>
      </c>
      <c r="H819" s="347" t="str">
        <f>IF(自定义调整栏!L7="","",自定义调整栏!L7)</f>
        <v/>
      </c>
      <c r="I819" s="347" t="str">
        <f>IF(自定义调整栏!M7="","",自定义调整栏!M7)</f>
        <v/>
      </c>
      <c r="J819" s="347" t="str">
        <f>IF(自定义调整栏!N7="","",自定义调整栏!N7)</f>
        <v/>
      </c>
      <c r="K819" s="353" t="str">
        <f>IF(自定义调整栏!O7="","",自定义调整栏!O7)</f>
        <v/>
      </c>
      <c r="L819" s="351" t="str">
        <f>IF(自定义调整栏!P7="","",自定义调整栏!P7)</f>
        <v/>
      </c>
      <c r="M819" s="350" t="str">
        <f>IF(自定义调整栏!Q7="","",自定义调整栏!Q7)</f>
        <v/>
      </c>
      <c r="N819" s="353" t="s">
        <v>2858</v>
      </c>
      <c r="Z819" s="374" t="s">
        <v>2859</v>
      </c>
      <c r="AA819" s="355"/>
    </row>
    <row r="820" spans="1:27" ht="16.899999999999999" customHeight="1" x14ac:dyDescent="0.15">
      <c r="A820" s="373" t="str">
        <f>IF(自定义调整栏!H8="","",自定义调整栏!H8)</f>
        <v/>
      </c>
      <c r="B820" s="347" t="str">
        <f>IF(自定义调整栏!H8="","",IF(自定义调整栏!G8="戏法",0,自定义调整栏!G8))</f>
        <v/>
      </c>
      <c r="C820" s="347" t="str">
        <f>IF(自定义调整栏!H8="","",自定义调整栏!J8)</f>
        <v/>
      </c>
      <c r="D820" s="347" t="str">
        <f>IF(自定义调整栏!S8="","",自定义调整栏!S8)</f>
        <v/>
      </c>
      <c r="E820" s="347" t="str">
        <f>IF(自定义调整栏!R8="","",自定义调整栏!R8)</f>
        <v/>
      </c>
      <c r="F820" s="348" t="str">
        <f>IF(自定义调整栏!K8="","",自定义调整栏!K8)</f>
        <v/>
      </c>
      <c r="G820" s="347" t="str">
        <f>IF(自定义调整栏!I8="","",自定义调整栏!I8)</f>
        <v/>
      </c>
      <c r="H820" s="347" t="str">
        <f>IF(自定义调整栏!L8="","",自定义调整栏!L8)</f>
        <v/>
      </c>
      <c r="I820" s="347" t="str">
        <f>IF(自定义调整栏!M8="","",自定义调整栏!M8)</f>
        <v/>
      </c>
      <c r="J820" s="347" t="str">
        <f>IF(自定义调整栏!N8="","",自定义调整栏!N8)</f>
        <v/>
      </c>
      <c r="K820" s="353" t="str">
        <f>IF(自定义调整栏!O8="","",自定义调整栏!O8)</f>
        <v/>
      </c>
      <c r="L820" s="351" t="str">
        <f>IF(自定义调整栏!P8="","",自定义调整栏!P8)</f>
        <v/>
      </c>
      <c r="M820" s="350" t="str">
        <f>IF(自定义调整栏!Q8="","",自定义调整栏!Q8)</f>
        <v/>
      </c>
      <c r="N820" s="353" t="s">
        <v>2858</v>
      </c>
      <c r="Z820" s="374" t="s">
        <v>2859</v>
      </c>
      <c r="AA820" s="355"/>
    </row>
    <row r="821" spans="1:27" ht="16.899999999999999" customHeight="1" x14ac:dyDescent="0.15">
      <c r="A821" s="373" t="str">
        <f>IF(自定义调整栏!H9="","",自定义调整栏!H9)</f>
        <v/>
      </c>
      <c r="B821" s="347" t="str">
        <f>IF(自定义调整栏!H9="","",IF(自定义调整栏!G9="戏法",0,自定义调整栏!G9))</f>
        <v/>
      </c>
      <c r="C821" s="347" t="str">
        <f>IF(自定义调整栏!H9="","",自定义调整栏!J9)</f>
        <v/>
      </c>
      <c r="D821" s="347" t="str">
        <f>IF(自定义调整栏!S9="","",自定义调整栏!S9)</f>
        <v/>
      </c>
      <c r="E821" s="347" t="str">
        <f>IF(自定义调整栏!R9="","",自定义调整栏!R9)</f>
        <v/>
      </c>
      <c r="F821" s="348" t="str">
        <f>IF(自定义调整栏!K9="","",自定义调整栏!K9)</f>
        <v/>
      </c>
      <c r="G821" s="347" t="str">
        <f>IF(自定义调整栏!I9="","",自定义调整栏!I9)</f>
        <v/>
      </c>
      <c r="H821" s="347" t="str">
        <f>IF(自定义调整栏!L9="","",自定义调整栏!L9)</f>
        <v/>
      </c>
      <c r="I821" s="347" t="str">
        <f>IF(自定义调整栏!M9="","",自定义调整栏!M9)</f>
        <v/>
      </c>
      <c r="J821" s="347" t="str">
        <f>IF(自定义调整栏!N9="","",自定义调整栏!N9)</f>
        <v/>
      </c>
      <c r="K821" s="353" t="str">
        <f>IF(自定义调整栏!O9="","",自定义调整栏!O9)</f>
        <v/>
      </c>
      <c r="L821" s="351" t="str">
        <f>IF(自定义调整栏!P9="","",自定义调整栏!P9)</f>
        <v/>
      </c>
      <c r="M821" s="350" t="str">
        <f>IF(自定义调整栏!Q9="","",自定义调整栏!Q9)</f>
        <v/>
      </c>
      <c r="N821" s="353" t="s">
        <v>2858</v>
      </c>
      <c r="Z821" s="374" t="s">
        <v>2859</v>
      </c>
      <c r="AA821" s="355"/>
    </row>
    <row r="822" spans="1:27" ht="16.899999999999999" customHeight="1" x14ac:dyDescent="0.15">
      <c r="A822" s="373" t="str">
        <f>IF(自定义调整栏!H10="","",自定义调整栏!H10)</f>
        <v/>
      </c>
      <c r="B822" s="347" t="str">
        <f>IF(自定义调整栏!H10="","",IF(自定义调整栏!G10="戏法",0,自定义调整栏!G10))</f>
        <v/>
      </c>
      <c r="C822" s="347" t="str">
        <f>IF(自定义调整栏!H10="","",自定义调整栏!J10)</f>
        <v/>
      </c>
      <c r="D822" s="347" t="str">
        <f>IF(自定义调整栏!S10="","",自定义调整栏!S10)</f>
        <v/>
      </c>
      <c r="E822" s="347" t="str">
        <f>IF(自定义调整栏!R10="","",自定义调整栏!R10)</f>
        <v/>
      </c>
      <c r="F822" s="348" t="str">
        <f>IF(自定义调整栏!K10="","",自定义调整栏!K10)</f>
        <v/>
      </c>
      <c r="G822" s="347" t="str">
        <f>IF(自定义调整栏!I10="","",自定义调整栏!I10)</f>
        <v/>
      </c>
      <c r="H822" s="347" t="str">
        <f>IF(自定义调整栏!L10="","",自定义调整栏!L10)</f>
        <v/>
      </c>
      <c r="I822" s="347" t="str">
        <f>IF(自定义调整栏!M10="","",自定义调整栏!M10)</f>
        <v/>
      </c>
      <c r="J822" s="347" t="str">
        <f>IF(自定义调整栏!N10="","",自定义调整栏!N10)</f>
        <v/>
      </c>
      <c r="K822" s="353" t="str">
        <f>IF(自定义调整栏!O10="","",自定义调整栏!O10)</f>
        <v/>
      </c>
      <c r="L822" s="351" t="str">
        <f>IF(自定义调整栏!P10="","",自定义调整栏!P10)</f>
        <v/>
      </c>
      <c r="M822" s="350" t="str">
        <f>IF(自定义调整栏!Q10="","",自定义调整栏!Q10)</f>
        <v/>
      </c>
      <c r="N822" s="353" t="s">
        <v>2858</v>
      </c>
      <c r="Z822" s="374" t="s">
        <v>2859</v>
      </c>
      <c r="AA822" s="355"/>
    </row>
    <row r="823" spans="1:27" ht="16.899999999999999" customHeight="1" x14ac:dyDescent="0.15">
      <c r="A823" s="373" t="str">
        <f>IF(自定义调整栏!H11="","",自定义调整栏!H11)</f>
        <v/>
      </c>
      <c r="B823" s="347" t="str">
        <f>IF(自定义调整栏!H11="","",IF(自定义调整栏!G11="戏法",0,自定义调整栏!G11))</f>
        <v/>
      </c>
      <c r="C823" s="347" t="str">
        <f>IF(自定义调整栏!H11="","",自定义调整栏!J11)</f>
        <v/>
      </c>
      <c r="D823" s="347" t="str">
        <f>IF(自定义调整栏!S11="","",自定义调整栏!S11)</f>
        <v/>
      </c>
      <c r="E823" s="347" t="str">
        <f>IF(自定义调整栏!R11="","",自定义调整栏!R11)</f>
        <v/>
      </c>
      <c r="F823" s="348" t="str">
        <f>IF(自定义调整栏!K11="","",自定义调整栏!K11)</f>
        <v/>
      </c>
      <c r="G823" s="347" t="str">
        <f>IF(自定义调整栏!I11="","",自定义调整栏!I11)</f>
        <v/>
      </c>
      <c r="H823" s="347" t="str">
        <f>IF(自定义调整栏!L11="","",自定义调整栏!L11)</f>
        <v/>
      </c>
      <c r="I823" s="347" t="str">
        <f>IF(自定义调整栏!M11="","",自定义调整栏!M11)</f>
        <v/>
      </c>
      <c r="J823" s="347" t="str">
        <f>IF(自定义调整栏!N11="","",自定义调整栏!N11)</f>
        <v/>
      </c>
      <c r="K823" s="353" t="str">
        <f>IF(自定义调整栏!O11="","",自定义调整栏!O11)</f>
        <v/>
      </c>
      <c r="L823" s="351" t="str">
        <f>IF(自定义调整栏!P11="","",自定义调整栏!P11)</f>
        <v/>
      </c>
      <c r="M823" s="350" t="str">
        <f>IF(自定义调整栏!Q11="","",自定义调整栏!Q11)</f>
        <v/>
      </c>
      <c r="N823" s="353" t="s">
        <v>2858</v>
      </c>
      <c r="Z823" s="374" t="s">
        <v>2859</v>
      </c>
      <c r="AA823" s="355"/>
    </row>
    <row r="824" spans="1:27" ht="16.899999999999999" customHeight="1" x14ac:dyDescent="0.15">
      <c r="A824" s="373" t="str">
        <f>IF(自定义调整栏!H12="","",自定义调整栏!H12)</f>
        <v/>
      </c>
      <c r="B824" s="347" t="str">
        <f>IF(自定义调整栏!H12="","",IF(自定义调整栏!G12="戏法",0,自定义调整栏!G12))</f>
        <v/>
      </c>
      <c r="C824" s="347" t="str">
        <f>IF(自定义调整栏!H12="","",自定义调整栏!J12)</f>
        <v/>
      </c>
      <c r="D824" s="347" t="str">
        <f>IF(自定义调整栏!S12="","",自定义调整栏!S12)</f>
        <v/>
      </c>
      <c r="E824" s="347" t="str">
        <f>IF(自定义调整栏!R12="","",自定义调整栏!R12)</f>
        <v/>
      </c>
      <c r="F824" s="348" t="str">
        <f>IF(自定义调整栏!K12="","",自定义调整栏!K12)</f>
        <v/>
      </c>
      <c r="G824" s="347" t="str">
        <f>IF(自定义调整栏!I12="","",自定义调整栏!I12)</f>
        <v/>
      </c>
      <c r="H824" s="347" t="str">
        <f>IF(自定义调整栏!L12="","",自定义调整栏!L12)</f>
        <v/>
      </c>
      <c r="I824" s="347" t="str">
        <f>IF(自定义调整栏!M12="","",自定义调整栏!M12)</f>
        <v/>
      </c>
      <c r="J824" s="347" t="str">
        <f>IF(自定义调整栏!N12="","",自定义调整栏!N12)</f>
        <v/>
      </c>
      <c r="K824" s="353" t="str">
        <f>IF(自定义调整栏!O12="","",自定义调整栏!O12)</f>
        <v/>
      </c>
      <c r="L824" s="351" t="str">
        <f>IF(自定义调整栏!P12="","",自定义调整栏!P12)</f>
        <v/>
      </c>
      <c r="M824" s="350" t="str">
        <f>IF(自定义调整栏!Q12="","",自定义调整栏!Q12)</f>
        <v/>
      </c>
      <c r="N824" s="353" t="s">
        <v>2858</v>
      </c>
      <c r="Z824" s="374" t="s">
        <v>2859</v>
      </c>
      <c r="AA824" s="355"/>
    </row>
    <row r="825" spans="1:27" ht="16.899999999999999" customHeight="1" x14ac:dyDescent="0.15">
      <c r="A825" s="373" t="str">
        <f>IF(自定义调整栏!H13="","",自定义调整栏!H13)</f>
        <v/>
      </c>
      <c r="B825" s="347" t="str">
        <f>IF(自定义调整栏!H13="","",IF(自定义调整栏!G13="戏法",0,自定义调整栏!G13))</f>
        <v/>
      </c>
      <c r="C825" s="347" t="str">
        <f>IF(自定义调整栏!H13="","",自定义调整栏!J13)</f>
        <v/>
      </c>
      <c r="D825" s="347" t="str">
        <f>IF(自定义调整栏!S13="","",自定义调整栏!S13)</f>
        <v/>
      </c>
      <c r="E825" s="347" t="str">
        <f>IF(自定义调整栏!R13="","",自定义调整栏!R13)</f>
        <v/>
      </c>
      <c r="F825" s="348" t="str">
        <f>IF(自定义调整栏!K13="","",自定义调整栏!K13)</f>
        <v/>
      </c>
      <c r="G825" s="347" t="str">
        <f>IF(自定义调整栏!I13="","",自定义调整栏!I13)</f>
        <v/>
      </c>
      <c r="H825" s="347" t="str">
        <f>IF(自定义调整栏!L13="","",自定义调整栏!L13)</f>
        <v/>
      </c>
      <c r="I825" s="347" t="str">
        <f>IF(自定义调整栏!M13="","",自定义调整栏!M13)</f>
        <v/>
      </c>
      <c r="J825" s="347" t="str">
        <f>IF(自定义调整栏!N13="","",自定义调整栏!N13)</f>
        <v/>
      </c>
      <c r="K825" s="353" t="str">
        <f>IF(自定义调整栏!O13="","",自定义调整栏!O13)</f>
        <v/>
      </c>
      <c r="L825" s="351" t="str">
        <f>IF(自定义调整栏!P13="","",自定义调整栏!P13)</f>
        <v/>
      </c>
      <c r="M825" s="350" t="str">
        <f>IF(自定义调整栏!Q13="","",自定义调整栏!Q13)</f>
        <v/>
      </c>
      <c r="N825" s="353" t="s">
        <v>2858</v>
      </c>
      <c r="Z825" s="374" t="s">
        <v>2859</v>
      </c>
      <c r="AA825" s="355"/>
    </row>
    <row r="826" spans="1:27" ht="16.899999999999999" customHeight="1" x14ac:dyDescent="0.15">
      <c r="A826" s="373" t="str">
        <f>IF(自定义调整栏!H14="","",自定义调整栏!H14)</f>
        <v/>
      </c>
      <c r="B826" s="347" t="str">
        <f>IF(自定义调整栏!H14="","",IF(自定义调整栏!G14="戏法",0,自定义调整栏!G14))</f>
        <v/>
      </c>
      <c r="C826" s="347" t="str">
        <f>IF(自定义调整栏!H14="","",自定义调整栏!J14)</f>
        <v/>
      </c>
      <c r="D826" s="347" t="str">
        <f>IF(自定义调整栏!S14="","",自定义调整栏!S14)</f>
        <v/>
      </c>
      <c r="E826" s="347" t="str">
        <f>IF(自定义调整栏!R14="","",自定义调整栏!R14)</f>
        <v/>
      </c>
      <c r="F826" s="348" t="str">
        <f>IF(自定义调整栏!K14="","",自定义调整栏!K14)</f>
        <v/>
      </c>
      <c r="G826" s="347" t="str">
        <f>IF(自定义调整栏!I14="","",自定义调整栏!I14)</f>
        <v/>
      </c>
      <c r="H826" s="347" t="str">
        <f>IF(自定义调整栏!L14="","",自定义调整栏!L14)</f>
        <v/>
      </c>
      <c r="I826" s="347" t="str">
        <f>IF(自定义调整栏!M14="","",自定义调整栏!M14)</f>
        <v/>
      </c>
      <c r="J826" s="347" t="str">
        <f>IF(自定义调整栏!N14="","",自定义调整栏!N14)</f>
        <v/>
      </c>
      <c r="K826" s="353" t="str">
        <f>IF(自定义调整栏!O14="","",自定义调整栏!O14)</f>
        <v/>
      </c>
      <c r="L826" s="351" t="str">
        <f>IF(自定义调整栏!P14="","",自定义调整栏!P14)</f>
        <v/>
      </c>
      <c r="M826" s="350" t="str">
        <f>IF(自定义调整栏!Q14="","",自定义调整栏!Q14)</f>
        <v/>
      </c>
      <c r="N826" s="353" t="s">
        <v>2858</v>
      </c>
      <c r="Z826" s="374" t="s">
        <v>2859</v>
      </c>
      <c r="AA826" s="355"/>
    </row>
    <row r="827" spans="1:27" ht="16.899999999999999" customHeight="1" x14ac:dyDescent="0.15">
      <c r="A827" s="373" t="str">
        <f>IF(自定义调整栏!H15="","",自定义调整栏!H15)</f>
        <v/>
      </c>
      <c r="B827" s="347" t="str">
        <f>IF(自定义调整栏!H15="","",IF(自定义调整栏!G15="戏法",0,自定义调整栏!G15))</f>
        <v/>
      </c>
      <c r="C827" s="347" t="str">
        <f>IF(自定义调整栏!H15="","",自定义调整栏!J15)</f>
        <v/>
      </c>
      <c r="D827" s="347" t="str">
        <f>IF(自定义调整栏!S15="","",自定义调整栏!S15)</f>
        <v/>
      </c>
      <c r="E827" s="347" t="str">
        <f>IF(自定义调整栏!R15="","",自定义调整栏!R15)</f>
        <v/>
      </c>
      <c r="F827" s="348" t="str">
        <f>IF(自定义调整栏!K15="","",自定义调整栏!K15)</f>
        <v/>
      </c>
      <c r="G827" s="347" t="str">
        <f>IF(自定义调整栏!I15="","",自定义调整栏!I15)</f>
        <v/>
      </c>
      <c r="H827" s="347" t="str">
        <f>IF(自定义调整栏!L15="","",自定义调整栏!L15)</f>
        <v/>
      </c>
      <c r="I827" s="347" t="str">
        <f>IF(自定义调整栏!M15="","",自定义调整栏!M15)</f>
        <v/>
      </c>
      <c r="J827" s="347" t="str">
        <f>IF(自定义调整栏!N15="","",自定义调整栏!N15)</f>
        <v/>
      </c>
      <c r="K827" s="353" t="str">
        <f>IF(自定义调整栏!O15="","",自定义调整栏!O15)</f>
        <v/>
      </c>
      <c r="L827" s="351" t="str">
        <f>IF(自定义调整栏!P15="","",自定义调整栏!P15)</f>
        <v/>
      </c>
      <c r="M827" s="350" t="str">
        <f>IF(自定义调整栏!Q15="","",自定义调整栏!Q15)</f>
        <v/>
      </c>
      <c r="N827" s="353" t="s">
        <v>2858</v>
      </c>
      <c r="Z827" s="374" t="s">
        <v>2859</v>
      </c>
      <c r="AA827" s="355"/>
    </row>
    <row r="828" spans="1:27" ht="16.899999999999999" customHeight="1" x14ac:dyDescent="0.15">
      <c r="A828" s="373" t="str">
        <f>IF(自定义调整栏!H16="","",自定义调整栏!H16)</f>
        <v/>
      </c>
      <c r="B828" s="347" t="str">
        <f>IF(自定义调整栏!H16="","",IF(自定义调整栏!G16="戏法",0,自定义调整栏!G16))</f>
        <v/>
      </c>
      <c r="C828" s="347" t="str">
        <f>IF(自定义调整栏!H16="","",自定义调整栏!J16)</f>
        <v/>
      </c>
      <c r="D828" s="347" t="str">
        <f>IF(自定义调整栏!S16="","",自定义调整栏!S16)</f>
        <v/>
      </c>
      <c r="E828" s="347" t="str">
        <f>IF(自定义调整栏!R16="","",自定义调整栏!R16)</f>
        <v/>
      </c>
      <c r="F828" s="348" t="str">
        <f>IF(自定义调整栏!K16="","",自定义调整栏!K16)</f>
        <v/>
      </c>
      <c r="G828" s="347" t="str">
        <f>IF(自定义调整栏!I16="","",自定义调整栏!I16)</f>
        <v/>
      </c>
      <c r="H828" s="347" t="str">
        <f>IF(自定义调整栏!L16="","",自定义调整栏!L16)</f>
        <v/>
      </c>
      <c r="I828" s="347" t="str">
        <f>IF(自定义调整栏!M16="","",自定义调整栏!M16)</f>
        <v/>
      </c>
      <c r="J828" s="347" t="str">
        <f>IF(自定义调整栏!N16="","",自定义调整栏!N16)</f>
        <v/>
      </c>
      <c r="K828" s="353" t="str">
        <f>IF(自定义调整栏!O16="","",自定义调整栏!O16)</f>
        <v/>
      </c>
      <c r="L828" s="351" t="str">
        <f>IF(自定义调整栏!P16="","",自定义调整栏!P16)</f>
        <v/>
      </c>
      <c r="M828" s="350" t="str">
        <f>IF(自定义调整栏!Q16="","",自定义调整栏!Q16)</f>
        <v/>
      </c>
      <c r="N828" s="353" t="s">
        <v>2858</v>
      </c>
      <c r="Z828" s="374" t="s">
        <v>2859</v>
      </c>
      <c r="AA828" s="355"/>
    </row>
    <row r="829" spans="1:27" ht="16.899999999999999" customHeight="1" x14ac:dyDescent="0.15">
      <c r="A829" s="373" t="str">
        <f>IF(自定义调整栏!H17="","",自定义调整栏!H17)</f>
        <v/>
      </c>
      <c r="B829" s="347" t="str">
        <f>IF(自定义调整栏!H17="","",IF(自定义调整栏!G17="戏法",0,自定义调整栏!G17))</f>
        <v/>
      </c>
      <c r="C829" s="347" t="str">
        <f>IF(自定义调整栏!H17="","",自定义调整栏!J17)</f>
        <v/>
      </c>
      <c r="D829" s="347" t="str">
        <f>IF(自定义调整栏!S17="","",自定义调整栏!S17)</f>
        <v/>
      </c>
      <c r="E829" s="347" t="str">
        <f>IF(自定义调整栏!R17="","",自定义调整栏!R17)</f>
        <v/>
      </c>
      <c r="F829" s="348" t="str">
        <f>IF(自定义调整栏!K17="","",自定义调整栏!K17)</f>
        <v/>
      </c>
      <c r="G829" s="347" t="str">
        <f>IF(自定义调整栏!I17="","",自定义调整栏!I17)</f>
        <v/>
      </c>
      <c r="H829" s="347" t="str">
        <f>IF(自定义调整栏!L17="","",自定义调整栏!L17)</f>
        <v/>
      </c>
      <c r="I829" s="347" t="str">
        <f>IF(自定义调整栏!M17="","",自定义调整栏!M17)</f>
        <v/>
      </c>
      <c r="J829" s="347" t="str">
        <f>IF(自定义调整栏!N17="","",自定义调整栏!N17)</f>
        <v/>
      </c>
      <c r="K829" s="353" t="str">
        <f>IF(自定义调整栏!O17="","",自定义调整栏!O17)</f>
        <v/>
      </c>
      <c r="L829" s="351" t="str">
        <f>IF(自定义调整栏!P17="","",自定义调整栏!P17)</f>
        <v/>
      </c>
      <c r="M829" s="350" t="str">
        <f>IF(自定义调整栏!Q17="","",自定义调整栏!Q17)</f>
        <v/>
      </c>
      <c r="N829" s="353" t="s">
        <v>2858</v>
      </c>
      <c r="Z829" s="374" t="s">
        <v>2859</v>
      </c>
      <c r="AA829" s="355"/>
    </row>
    <row r="830" spans="1:27" ht="16.899999999999999" customHeight="1" x14ac:dyDescent="0.15">
      <c r="A830" s="373" t="str">
        <f>IF(自定义调整栏!H18="","",自定义调整栏!H18)</f>
        <v/>
      </c>
      <c r="B830" s="347" t="str">
        <f>IF(自定义调整栏!H18="","",IF(自定义调整栏!G18="戏法",0,自定义调整栏!G18))</f>
        <v/>
      </c>
      <c r="C830" s="347" t="str">
        <f>IF(自定义调整栏!H18="","",自定义调整栏!J18)</f>
        <v/>
      </c>
      <c r="D830" s="347" t="str">
        <f>IF(自定义调整栏!S18="","",自定义调整栏!S18)</f>
        <v/>
      </c>
      <c r="E830" s="347" t="str">
        <f>IF(自定义调整栏!R18="","",自定义调整栏!R18)</f>
        <v/>
      </c>
      <c r="F830" s="348" t="str">
        <f>IF(自定义调整栏!K18="","",自定义调整栏!K18)</f>
        <v/>
      </c>
      <c r="G830" s="347" t="str">
        <f>IF(自定义调整栏!I18="","",自定义调整栏!I18)</f>
        <v/>
      </c>
      <c r="H830" s="347" t="str">
        <f>IF(自定义调整栏!L18="","",自定义调整栏!L18)</f>
        <v/>
      </c>
      <c r="I830" s="347" t="str">
        <f>IF(自定义调整栏!M18="","",自定义调整栏!M18)</f>
        <v/>
      </c>
      <c r="J830" s="347" t="str">
        <f>IF(自定义调整栏!N18="","",自定义调整栏!N18)</f>
        <v/>
      </c>
      <c r="K830" s="353" t="str">
        <f>IF(自定义调整栏!O18="","",自定义调整栏!O18)</f>
        <v/>
      </c>
      <c r="L830" s="351" t="str">
        <f>IF(自定义调整栏!P18="","",自定义调整栏!P18)</f>
        <v/>
      </c>
      <c r="M830" s="350" t="str">
        <f>IF(自定义调整栏!Q18="","",自定义调整栏!Q18)</f>
        <v/>
      </c>
      <c r="N830" s="353" t="s">
        <v>2858</v>
      </c>
      <c r="Z830" s="374" t="s">
        <v>2859</v>
      </c>
      <c r="AA830" s="355"/>
    </row>
    <row r="831" spans="1:27" ht="16.899999999999999" customHeight="1" x14ac:dyDescent="0.15">
      <c r="A831" s="373" t="str">
        <f>IF(自定义调整栏!H19="","",自定义调整栏!H19)</f>
        <v/>
      </c>
      <c r="B831" s="347" t="str">
        <f>IF(自定义调整栏!H19="","",IF(自定义调整栏!G19="戏法",0,自定义调整栏!G19))</f>
        <v/>
      </c>
      <c r="C831" s="347" t="str">
        <f>IF(自定义调整栏!H19="","",自定义调整栏!J19)</f>
        <v/>
      </c>
      <c r="D831" s="347" t="str">
        <f>IF(自定义调整栏!S19="","",自定义调整栏!S19)</f>
        <v/>
      </c>
      <c r="E831" s="347" t="str">
        <f>IF(自定义调整栏!R19="","",自定义调整栏!R19)</f>
        <v/>
      </c>
      <c r="F831" s="348" t="str">
        <f>IF(自定义调整栏!K19="","",自定义调整栏!K19)</f>
        <v/>
      </c>
      <c r="G831" s="347" t="str">
        <f>IF(自定义调整栏!I19="","",自定义调整栏!I19)</f>
        <v/>
      </c>
      <c r="H831" s="347" t="str">
        <f>IF(自定义调整栏!L19="","",自定义调整栏!L19)</f>
        <v/>
      </c>
      <c r="I831" s="347" t="str">
        <f>IF(自定义调整栏!M19="","",自定义调整栏!M19)</f>
        <v/>
      </c>
      <c r="J831" s="347" t="str">
        <f>IF(自定义调整栏!N19="","",自定义调整栏!N19)</f>
        <v/>
      </c>
      <c r="K831" s="353" t="str">
        <f>IF(自定义调整栏!O19="","",自定义调整栏!O19)</f>
        <v/>
      </c>
      <c r="L831" s="351" t="str">
        <f>IF(自定义调整栏!P19="","",自定义调整栏!P19)</f>
        <v/>
      </c>
      <c r="M831" s="350" t="str">
        <f>IF(自定义调整栏!Q19="","",自定义调整栏!Q19)</f>
        <v/>
      </c>
      <c r="N831" s="353" t="s">
        <v>2858</v>
      </c>
      <c r="Z831" s="374" t="s">
        <v>2859</v>
      </c>
      <c r="AA831" s="355"/>
    </row>
    <row r="832" spans="1:27" ht="16.899999999999999" customHeight="1" x14ac:dyDescent="0.15">
      <c r="A832" s="373" t="str">
        <f>IF(自定义调整栏!H20="","",自定义调整栏!H20)</f>
        <v/>
      </c>
      <c r="B832" s="347" t="str">
        <f>IF(自定义调整栏!H20="","",IF(自定义调整栏!G20="戏法",0,自定义调整栏!G20))</f>
        <v/>
      </c>
      <c r="C832" s="347" t="str">
        <f>IF(自定义调整栏!H20="","",自定义调整栏!J20)</f>
        <v/>
      </c>
      <c r="D832" s="347" t="str">
        <f>IF(自定义调整栏!S20="","",自定义调整栏!S20)</f>
        <v/>
      </c>
      <c r="E832" s="347" t="str">
        <f>IF(自定义调整栏!R20="","",自定义调整栏!R20)</f>
        <v/>
      </c>
      <c r="F832" s="348" t="str">
        <f>IF(自定义调整栏!K20="","",自定义调整栏!K20)</f>
        <v/>
      </c>
      <c r="G832" s="347" t="str">
        <f>IF(自定义调整栏!I20="","",自定义调整栏!I20)</f>
        <v/>
      </c>
      <c r="H832" s="347" t="str">
        <f>IF(自定义调整栏!L20="","",自定义调整栏!L20)</f>
        <v/>
      </c>
      <c r="I832" s="347" t="str">
        <f>IF(自定义调整栏!M20="","",自定义调整栏!M20)</f>
        <v/>
      </c>
      <c r="J832" s="347" t="str">
        <f>IF(自定义调整栏!N20="","",自定义调整栏!N20)</f>
        <v/>
      </c>
      <c r="K832" s="353" t="str">
        <f>IF(自定义调整栏!O20="","",自定义调整栏!O20)</f>
        <v/>
      </c>
      <c r="L832" s="351" t="str">
        <f>IF(自定义调整栏!P20="","",自定义调整栏!P20)</f>
        <v/>
      </c>
      <c r="M832" s="350" t="str">
        <f>IF(自定义调整栏!Q20="","",自定义调整栏!Q20)</f>
        <v/>
      </c>
      <c r="N832" s="353" t="s">
        <v>2858</v>
      </c>
      <c r="Z832" s="374" t="s">
        <v>2859</v>
      </c>
      <c r="AA832" s="355"/>
    </row>
    <row r="833" spans="1:27" ht="16.899999999999999" customHeight="1" x14ac:dyDescent="0.15">
      <c r="A833" s="373" t="str">
        <f>IF(自定义调整栏!H21="","",自定义调整栏!H21)</f>
        <v/>
      </c>
      <c r="B833" s="347" t="str">
        <f>IF(自定义调整栏!H21="","",IF(自定义调整栏!G21="戏法",0,自定义调整栏!G21))</f>
        <v/>
      </c>
      <c r="C833" s="347" t="str">
        <f>IF(自定义调整栏!H21="","",自定义调整栏!J21)</f>
        <v/>
      </c>
      <c r="D833" s="347" t="str">
        <f>IF(自定义调整栏!S21="","",自定义调整栏!S21)</f>
        <v/>
      </c>
      <c r="E833" s="347" t="str">
        <f>IF(自定义调整栏!R21="","",自定义调整栏!R21)</f>
        <v/>
      </c>
      <c r="F833" s="348" t="str">
        <f>IF(自定义调整栏!K21="","",自定义调整栏!K21)</f>
        <v/>
      </c>
      <c r="G833" s="347" t="str">
        <f>IF(自定义调整栏!I21="","",自定义调整栏!I21)</f>
        <v/>
      </c>
      <c r="H833" s="347" t="str">
        <f>IF(自定义调整栏!L21="","",自定义调整栏!L21)</f>
        <v/>
      </c>
      <c r="I833" s="347" t="str">
        <f>IF(自定义调整栏!M21="","",自定义调整栏!M21)</f>
        <v/>
      </c>
      <c r="J833" s="347" t="str">
        <f>IF(自定义调整栏!N21="","",自定义调整栏!N21)</f>
        <v/>
      </c>
      <c r="K833" s="353" t="str">
        <f>IF(自定义调整栏!O21="","",自定义调整栏!O21)</f>
        <v/>
      </c>
      <c r="L833" s="351" t="str">
        <f>IF(自定义调整栏!P21="","",自定义调整栏!P21)</f>
        <v/>
      </c>
      <c r="M833" s="350" t="str">
        <f>IF(自定义调整栏!Q21="","",自定义调整栏!Q21)</f>
        <v/>
      </c>
      <c r="N833" s="353" t="s">
        <v>2858</v>
      </c>
      <c r="Z833" s="374" t="s">
        <v>2859</v>
      </c>
      <c r="AA833" s="355"/>
    </row>
    <row r="834" spans="1:27" ht="16.899999999999999" customHeight="1" x14ac:dyDescent="0.15">
      <c r="A834" s="373" t="str">
        <f>IF(自定义调整栏!H22="","",自定义调整栏!H22)</f>
        <v/>
      </c>
      <c r="B834" s="347" t="str">
        <f>IF(自定义调整栏!H22="","",IF(自定义调整栏!G22="戏法",0,自定义调整栏!G22))</f>
        <v/>
      </c>
      <c r="C834" s="347" t="str">
        <f>IF(自定义调整栏!H22="","",自定义调整栏!J22)</f>
        <v/>
      </c>
      <c r="D834" s="347" t="str">
        <f>IF(自定义调整栏!S22="","",自定义调整栏!S22)</f>
        <v/>
      </c>
      <c r="E834" s="347" t="str">
        <f>IF(自定义调整栏!R22="","",自定义调整栏!R22)</f>
        <v/>
      </c>
      <c r="F834" s="348" t="str">
        <f>IF(自定义调整栏!K22="","",自定义调整栏!K22)</f>
        <v/>
      </c>
      <c r="G834" s="347" t="str">
        <f>IF(自定义调整栏!I22="","",自定义调整栏!I22)</f>
        <v/>
      </c>
      <c r="H834" s="347" t="str">
        <f>IF(自定义调整栏!L22="","",自定义调整栏!L22)</f>
        <v/>
      </c>
      <c r="I834" s="347" t="str">
        <f>IF(自定义调整栏!M22="","",自定义调整栏!M22)</f>
        <v/>
      </c>
      <c r="J834" s="347" t="str">
        <f>IF(自定义调整栏!N22="","",自定义调整栏!N22)</f>
        <v/>
      </c>
      <c r="K834" s="353" t="str">
        <f>IF(自定义调整栏!O22="","",自定义调整栏!O22)</f>
        <v/>
      </c>
      <c r="L834" s="351" t="str">
        <f>IF(自定义调整栏!P22="","",自定义调整栏!P22)</f>
        <v/>
      </c>
      <c r="M834" s="350" t="str">
        <f>IF(自定义调整栏!Q22="","",自定义调整栏!Q22)</f>
        <v/>
      </c>
      <c r="N834" s="353" t="s">
        <v>2858</v>
      </c>
      <c r="Z834" s="374" t="s">
        <v>2859</v>
      </c>
      <c r="AA834" s="355"/>
    </row>
    <row r="835" spans="1:27" ht="16.899999999999999" customHeight="1" x14ac:dyDescent="0.15">
      <c r="A835" s="373" t="str">
        <f>IF(自定义调整栏!H23="","",自定义调整栏!H23)</f>
        <v/>
      </c>
      <c r="B835" s="347" t="str">
        <f>IF(自定义调整栏!H23="","",IF(自定义调整栏!G23="戏法",0,自定义调整栏!G23))</f>
        <v/>
      </c>
      <c r="C835" s="347" t="str">
        <f>IF(自定义调整栏!H23="","",自定义调整栏!J23)</f>
        <v/>
      </c>
      <c r="D835" s="347" t="str">
        <f>IF(自定义调整栏!S23="","",自定义调整栏!S23)</f>
        <v/>
      </c>
      <c r="E835" s="347" t="str">
        <f>IF(自定义调整栏!R23="","",自定义调整栏!R23)</f>
        <v/>
      </c>
      <c r="F835" s="348" t="str">
        <f>IF(自定义调整栏!K23="","",自定义调整栏!K23)</f>
        <v/>
      </c>
      <c r="G835" s="347" t="str">
        <f>IF(自定义调整栏!I23="","",自定义调整栏!I23)</f>
        <v/>
      </c>
      <c r="H835" s="347" t="str">
        <f>IF(自定义调整栏!L23="","",自定义调整栏!L23)</f>
        <v/>
      </c>
      <c r="I835" s="347" t="str">
        <f>IF(自定义调整栏!M23="","",自定义调整栏!M23)</f>
        <v/>
      </c>
      <c r="J835" s="347" t="str">
        <f>IF(自定义调整栏!N23="","",自定义调整栏!N23)</f>
        <v/>
      </c>
      <c r="K835" s="353" t="str">
        <f>IF(自定义调整栏!O23="","",自定义调整栏!O23)</f>
        <v/>
      </c>
      <c r="L835" s="351" t="str">
        <f>IF(自定义调整栏!P23="","",自定义调整栏!P23)</f>
        <v/>
      </c>
      <c r="M835" s="350" t="str">
        <f>IF(自定义调整栏!Q23="","",自定义调整栏!Q23)</f>
        <v/>
      </c>
      <c r="N835" s="353" t="s">
        <v>2858</v>
      </c>
      <c r="Z835" s="374" t="s">
        <v>2859</v>
      </c>
      <c r="AA835" s="355"/>
    </row>
    <row r="836" spans="1:27" ht="16.899999999999999" customHeight="1" x14ac:dyDescent="0.15">
      <c r="A836" s="373" t="str">
        <f>IF(自定义调整栏!H24="","",自定义调整栏!H24)</f>
        <v/>
      </c>
      <c r="B836" s="347" t="str">
        <f>IF(自定义调整栏!H24="","",IF(自定义调整栏!G24="戏法",0,自定义调整栏!G24))</f>
        <v/>
      </c>
      <c r="C836" s="347" t="str">
        <f>IF(自定义调整栏!H24="","",自定义调整栏!J24)</f>
        <v/>
      </c>
      <c r="D836" s="347" t="str">
        <f>IF(自定义调整栏!S24="","",自定义调整栏!S24)</f>
        <v/>
      </c>
      <c r="E836" s="347" t="str">
        <f>IF(自定义调整栏!R24="","",自定义调整栏!R24)</f>
        <v/>
      </c>
      <c r="F836" s="348" t="str">
        <f>IF(自定义调整栏!K24="","",自定义调整栏!K24)</f>
        <v/>
      </c>
      <c r="G836" s="347" t="str">
        <f>IF(自定义调整栏!I24="","",自定义调整栏!I24)</f>
        <v/>
      </c>
      <c r="H836" s="347" t="str">
        <f>IF(自定义调整栏!L24="","",自定义调整栏!L24)</f>
        <v/>
      </c>
      <c r="I836" s="347" t="str">
        <f>IF(自定义调整栏!M24="","",自定义调整栏!M24)</f>
        <v/>
      </c>
      <c r="J836" s="347" t="str">
        <f>IF(自定义调整栏!N24="","",自定义调整栏!N24)</f>
        <v/>
      </c>
      <c r="K836" s="353" t="str">
        <f>IF(自定义调整栏!O24="","",自定义调整栏!O24)</f>
        <v/>
      </c>
      <c r="L836" s="351" t="str">
        <f>IF(自定义调整栏!P24="","",自定义调整栏!P24)</f>
        <v/>
      </c>
      <c r="M836" s="350" t="str">
        <f>IF(自定义调整栏!Q24="","",自定义调整栏!Q24)</f>
        <v/>
      </c>
      <c r="N836" s="353" t="s">
        <v>2858</v>
      </c>
      <c r="Z836" s="374" t="s">
        <v>2859</v>
      </c>
      <c r="AA836" s="355"/>
    </row>
    <row r="837" spans="1:27" ht="16.899999999999999" customHeight="1" x14ac:dyDescent="0.15">
      <c r="A837" s="373" t="str">
        <f>IF(自定义调整栏!H25="","",自定义调整栏!H25)</f>
        <v/>
      </c>
      <c r="B837" s="347" t="str">
        <f>IF(自定义调整栏!H25="","",IF(自定义调整栏!G25="戏法",0,自定义调整栏!G25))</f>
        <v/>
      </c>
      <c r="C837" s="347" t="str">
        <f>IF(自定义调整栏!H25="","",自定义调整栏!J25)</f>
        <v/>
      </c>
      <c r="D837" s="347" t="str">
        <f>IF(自定义调整栏!S25="","",自定义调整栏!S25)</f>
        <v/>
      </c>
      <c r="E837" s="347" t="str">
        <f>IF(自定义调整栏!R25="","",自定义调整栏!R25)</f>
        <v/>
      </c>
      <c r="F837" s="348" t="str">
        <f>IF(自定义调整栏!K25="","",自定义调整栏!K25)</f>
        <v/>
      </c>
      <c r="G837" s="347" t="str">
        <f>IF(自定义调整栏!I25="","",自定义调整栏!I25)</f>
        <v/>
      </c>
      <c r="H837" s="347" t="str">
        <f>IF(自定义调整栏!L25="","",自定义调整栏!L25)</f>
        <v/>
      </c>
      <c r="I837" s="347" t="str">
        <f>IF(自定义调整栏!M25="","",自定义调整栏!M25)</f>
        <v/>
      </c>
      <c r="J837" s="347" t="str">
        <f>IF(自定义调整栏!N25="","",自定义调整栏!N25)</f>
        <v/>
      </c>
      <c r="K837" s="353" t="str">
        <f>IF(自定义调整栏!O25="","",自定义调整栏!O25)</f>
        <v/>
      </c>
      <c r="L837" s="351" t="str">
        <f>IF(自定义调整栏!P25="","",自定义调整栏!P25)</f>
        <v/>
      </c>
      <c r="M837" s="350" t="str">
        <f>IF(自定义调整栏!Q25="","",自定义调整栏!Q25)</f>
        <v/>
      </c>
      <c r="N837" s="353" t="s">
        <v>2858</v>
      </c>
      <c r="Z837" s="374" t="s">
        <v>2859</v>
      </c>
      <c r="AA837" s="355"/>
    </row>
    <row r="838" spans="1:27" ht="16.899999999999999" customHeight="1" x14ac:dyDescent="0.15">
      <c r="A838" s="373" t="str">
        <f>IF(自定义调整栏!H26="","",自定义调整栏!H26)</f>
        <v/>
      </c>
      <c r="B838" s="347" t="str">
        <f>IF(自定义调整栏!H26="","",IF(自定义调整栏!G26="戏法",0,自定义调整栏!G26))</f>
        <v/>
      </c>
      <c r="C838" s="347" t="str">
        <f>IF(自定义调整栏!H26="","",自定义调整栏!J26)</f>
        <v/>
      </c>
      <c r="D838" s="347" t="str">
        <f>IF(自定义调整栏!S26="","",自定义调整栏!S26)</f>
        <v/>
      </c>
      <c r="E838" s="347" t="str">
        <f>IF(自定义调整栏!R26="","",自定义调整栏!R26)</f>
        <v/>
      </c>
      <c r="F838" s="348" t="str">
        <f>IF(自定义调整栏!K26="","",自定义调整栏!K26)</f>
        <v/>
      </c>
      <c r="G838" s="347" t="str">
        <f>IF(自定义调整栏!I26="","",自定义调整栏!I26)</f>
        <v/>
      </c>
      <c r="H838" s="347" t="str">
        <f>IF(自定义调整栏!L26="","",自定义调整栏!L26)</f>
        <v/>
      </c>
      <c r="I838" s="347" t="str">
        <f>IF(自定义调整栏!M26="","",自定义调整栏!M26)</f>
        <v/>
      </c>
      <c r="J838" s="347" t="str">
        <f>IF(自定义调整栏!N26="","",自定义调整栏!N26)</f>
        <v/>
      </c>
      <c r="K838" s="353" t="str">
        <f>IF(自定义调整栏!O26="","",自定义调整栏!O26)</f>
        <v/>
      </c>
      <c r="L838" s="351" t="str">
        <f>IF(自定义调整栏!P26="","",自定义调整栏!P26)</f>
        <v/>
      </c>
      <c r="M838" s="350" t="str">
        <f>IF(自定义调整栏!Q26="","",自定义调整栏!Q26)</f>
        <v/>
      </c>
      <c r="N838" s="353" t="s">
        <v>2858</v>
      </c>
      <c r="Z838" s="374" t="s">
        <v>2859</v>
      </c>
      <c r="AA838" s="355"/>
    </row>
    <row r="839" spans="1:27" ht="16.899999999999999" customHeight="1" x14ac:dyDescent="0.15">
      <c r="A839" s="373" t="str">
        <f>IF(自定义调整栏!H27="","",自定义调整栏!H27)</f>
        <v/>
      </c>
      <c r="B839" s="347" t="str">
        <f>IF(自定义调整栏!H27="","",IF(自定义调整栏!G27="戏法",0,自定义调整栏!G27))</f>
        <v/>
      </c>
      <c r="C839" s="347" t="str">
        <f>IF(自定义调整栏!H27="","",自定义调整栏!J27)</f>
        <v/>
      </c>
      <c r="D839" s="347" t="str">
        <f>IF(自定义调整栏!S27="","",自定义调整栏!S27)</f>
        <v/>
      </c>
      <c r="E839" s="347" t="str">
        <f>IF(自定义调整栏!R27="","",自定义调整栏!R27)</f>
        <v/>
      </c>
      <c r="F839" s="348" t="str">
        <f>IF(自定义调整栏!K27="","",自定义调整栏!K27)</f>
        <v/>
      </c>
      <c r="G839" s="347" t="str">
        <f>IF(自定义调整栏!I27="","",自定义调整栏!I27)</f>
        <v/>
      </c>
      <c r="H839" s="347" t="str">
        <f>IF(自定义调整栏!L27="","",自定义调整栏!L27)</f>
        <v/>
      </c>
      <c r="I839" s="347" t="str">
        <f>IF(自定义调整栏!M27="","",自定义调整栏!M27)</f>
        <v/>
      </c>
      <c r="J839" s="347" t="str">
        <f>IF(自定义调整栏!N27="","",自定义调整栏!N27)</f>
        <v/>
      </c>
      <c r="K839" s="353" t="str">
        <f>IF(自定义调整栏!O27="","",自定义调整栏!O27)</f>
        <v/>
      </c>
      <c r="L839" s="351" t="str">
        <f>IF(自定义调整栏!P27="","",自定义调整栏!P27)</f>
        <v/>
      </c>
      <c r="M839" s="350" t="str">
        <f>IF(自定义调整栏!Q27="","",自定义调整栏!Q27)</f>
        <v/>
      </c>
      <c r="N839" s="353" t="s">
        <v>2858</v>
      </c>
      <c r="Z839" s="374" t="s">
        <v>2859</v>
      </c>
      <c r="AA839" s="355"/>
    </row>
    <row r="840" spans="1:27" ht="16.899999999999999" customHeight="1" x14ac:dyDescent="0.15">
      <c r="A840" s="373" t="str">
        <f>IF(自定义调整栏!H28="","",自定义调整栏!H28)</f>
        <v/>
      </c>
      <c r="B840" s="347" t="str">
        <f>IF(自定义调整栏!H28="","",IF(自定义调整栏!G28="戏法",0,自定义调整栏!G28))</f>
        <v/>
      </c>
      <c r="C840" s="347" t="str">
        <f>IF(自定义调整栏!H28="","",自定义调整栏!J28)</f>
        <v/>
      </c>
      <c r="D840" s="347" t="str">
        <f>IF(自定义调整栏!S28="","",自定义调整栏!S28)</f>
        <v/>
      </c>
      <c r="E840" s="347" t="str">
        <f>IF(自定义调整栏!R28="","",自定义调整栏!R28)</f>
        <v/>
      </c>
      <c r="F840" s="348" t="str">
        <f>IF(自定义调整栏!K28="","",自定义调整栏!K28)</f>
        <v/>
      </c>
      <c r="G840" s="347" t="str">
        <f>IF(自定义调整栏!I28="","",自定义调整栏!I28)</f>
        <v/>
      </c>
      <c r="H840" s="347" t="str">
        <f>IF(自定义调整栏!L28="","",自定义调整栏!L28)</f>
        <v/>
      </c>
      <c r="I840" s="347" t="str">
        <f>IF(自定义调整栏!M28="","",自定义调整栏!M28)</f>
        <v/>
      </c>
      <c r="J840" s="347" t="str">
        <f>IF(自定义调整栏!N28="","",自定义调整栏!N28)</f>
        <v/>
      </c>
      <c r="K840" s="353" t="str">
        <f>IF(自定义调整栏!O28="","",自定义调整栏!O28)</f>
        <v/>
      </c>
      <c r="L840" s="351" t="str">
        <f>IF(自定义调整栏!P28="","",自定义调整栏!P28)</f>
        <v/>
      </c>
      <c r="M840" s="350" t="str">
        <f>IF(自定义调整栏!Q28="","",自定义调整栏!Q28)</f>
        <v/>
      </c>
      <c r="N840" s="353" t="s">
        <v>2858</v>
      </c>
      <c r="Z840" s="374" t="s">
        <v>2859</v>
      </c>
      <c r="AA840" s="355"/>
    </row>
    <row r="841" spans="1:27" ht="16.899999999999999" customHeight="1" x14ac:dyDescent="0.15">
      <c r="A841" s="373" t="str">
        <f>IF(自定义调整栏!H29="","",自定义调整栏!H29)</f>
        <v/>
      </c>
      <c r="B841" s="347" t="str">
        <f>IF(自定义调整栏!H29="","",IF(自定义调整栏!G29="戏法",0,自定义调整栏!G29))</f>
        <v/>
      </c>
      <c r="C841" s="347" t="str">
        <f>IF(自定义调整栏!H29="","",自定义调整栏!J29)</f>
        <v/>
      </c>
      <c r="D841" s="347" t="str">
        <f>IF(自定义调整栏!S29="","",自定义调整栏!S29)</f>
        <v/>
      </c>
      <c r="E841" s="347" t="str">
        <f>IF(自定义调整栏!R29="","",自定义调整栏!R29)</f>
        <v/>
      </c>
      <c r="F841" s="348" t="str">
        <f>IF(自定义调整栏!K29="","",自定义调整栏!K29)</f>
        <v/>
      </c>
      <c r="G841" s="347" t="str">
        <f>IF(自定义调整栏!I29="","",自定义调整栏!I29)</f>
        <v/>
      </c>
      <c r="H841" s="347" t="str">
        <f>IF(自定义调整栏!L29="","",自定义调整栏!L29)</f>
        <v/>
      </c>
      <c r="I841" s="347" t="str">
        <f>IF(自定义调整栏!M29="","",自定义调整栏!M29)</f>
        <v/>
      </c>
      <c r="J841" s="347" t="str">
        <f>IF(自定义调整栏!N29="","",自定义调整栏!N29)</f>
        <v/>
      </c>
      <c r="K841" s="353" t="str">
        <f>IF(自定义调整栏!O29="","",自定义调整栏!O29)</f>
        <v/>
      </c>
      <c r="L841" s="351" t="str">
        <f>IF(自定义调整栏!P29="","",自定义调整栏!P29)</f>
        <v/>
      </c>
      <c r="M841" s="350" t="str">
        <f>IF(自定义调整栏!Q29="","",自定义调整栏!Q29)</f>
        <v/>
      </c>
      <c r="N841" s="353" t="s">
        <v>2858</v>
      </c>
      <c r="Z841" s="374" t="s">
        <v>2859</v>
      </c>
      <c r="AA841" s="355"/>
    </row>
    <row r="842" spans="1:27" ht="16.899999999999999" customHeight="1" x14ac:dyDescent="0.15">
      <c r="A842" s="373" t="str">
        <f>IF(自定义调整栏!H30="","",自定义调整栏!H30)</f>
        <v/>
      </c>
      <c r="B842" s="347" t="str">
        <f>IF(自定义调整栏!H30="","",IF(自定义调整栏!G30="戏法",0,自定义调整栏!G30))</f>
        <v/>
      </c>
      <c r="C842" s="347" t="str">
        <f>IF(自定义调整栏!H30="","",自定义调整栏!J30)</f>
        <v/>
      </c>
      <c r="D842" s="347" t="str">
        <f>IF(自定义调整栏!S30="","",自定义调整栏!S30)</f>
        <v/>
      </c>
      <c r="E842" s="347" t="str">
        <f>IF(自定义调整栏!R30="","",自定义调整栏!R30)</f>
        <v/>
      </c>
      <c r="F842" s="348" t="str">
        <f>IF(自定义调整栏!K30="","",自定义调整栏!K30)</f>
        <v/>
      </c>
      <c r="G842" s="347" t="str">
        <f>IF(自定义调整栏!I30="","",自定义调整栏!I30)</f>
        <v/>
      </c>
      <c r="H842" s="347" t="str">
        <f>IF(自定义调整栏!L30="","",自定义调整栏!L30)</f>
        <v/>
      </c>
      <c r="I842" s="347" t="str">
        <f>IF(自定义调整栏!M30="","",自定义调整栏!M30)</f>
        <v/>
      </c>
      <c r="J842" s="347" t="str">
        <f>IF(自定义调整栏!N30="","",自定义调整栏!N30)</f>
        <v/>
      </c>
      <c r="K842" s="353" t="str">
        <f>IF(自定义调整栏!O30="","",自定义调整栏!O30)</f>
        <v/>
      </c>
      <c r="L842" s="351" t="str">
        <f>IF(自定义调整栏!P30="","",自定义调整栏!P30)</f>
        <v/>
      </c>
      <c r="M842" s="350" t="str">
        <f>IF(自定义调整栏!Q30="","",自定义调整栏!Q30)</f>
        <v/>
      </c>
      <c r="N842" s="353" t="s">
        <v>2858</v>
      </c>
      <c r="Z842" s="374" t="s">
        <v>2859</v>
      </c>
      <c r="AA842" s="355"/>
    </row>
    <row r="843" spans="1:27" ht="16.899999999999999" customHeight="1" x14ac:dyDescent="0.15">
      <c r="A843" s="373" t="str">
        <f>IF(自定义调整栏!H31="","",自定义调整栏!H31)</f>
        <v/>
      </c>
      <c r="B843" s="347" t="str">
        <f>IF(自定义调整栏!H31="","",IF(自定义调整栏!G31="戏法",0,自定义调整栏!G31))</f>
        <v/>
      </c>
      <c r="C843" s="347" t="str">
        <f>IF(自定义调整栏!H31="","",自定义调整栏!J31)</f>
        <v/>
      </c>
      <c r="D843" s="347" t="str">
        <f>IF(自定义调整栏!S31="","",自定义调整栏!S31)</f>
        <v/>
      </c>
      <c r="E843" s="347" t="str">
        <f>IF(自定义调整栏!R31="","",自定义调整栏!R31)</f>
        <v/>
      </c>
      <c r="F843" s="348" t="str">
        <f>IF(自定义调整栏!K31="","",自定义调整栏!K31)</f>
        <v/>
      </c>
      <c r="G843" s="347" t="str">
        <f>IF(自定义调整栏!I31="","",自定义调整栏!I31)</f>
        <v/>
      </c>
      <c r="H843" s="347" t="str">
        <f>IF(自定义调整栏!L31="","",自定义调整栏!L31)</f>
        <v/>
      </c>
      <c r="I843" s="347" t="str">
        <f>IF(自定义调整栏!M31="","",自定义调整栏!M31)</f>
        <v/>
      </c>
      <c r="J843" s="347" t="str">
        <f>IF(自定义调整栏!N31="","",自定义调整栏!N31)</f>
        <v/>
      </c>
      <c r="K843" s="353" t="str">
        <f>IF(自定义调整栏!O31="","",自定义调整栏!O31)</f>
        <v/>
      </c>
      <c r="L843" s="351" t="str">
        <f>IF(自定义调整栏!P31="","",自定义调整栏!P31)</f>
        <v/>
      </c>
      <c r="M843" s="350" t="str">
        <f>IF(自定义调整栏!Q31="","",自定义调整栏!Q31)</f>
        <v/>
      </c>
      <c r="N843" s="353" t="s">
        <v>2858</v>
      </c>
      <c r="Z843" s="374" t="s">
        <v>2859</v>
      </c>
      <c r="AA843" s="355"/>
    </row>
    <row r="844" spans="1:27" ht="16.899999999999999" customHeight="1" x14ac:dyDescent="0.15">
      <c r="A844" s="373" t="str">
        <f>IF(自定义调整栏!H32="","",自定义调整栏!H32)</f>
        <v/>
      </c>
      <c r="B844" s="347" t="str">
        <f>IF(自定义调整栏!H32="","",IF(自定义调整栏!G32="戏法",0,自定义调整栏!G32))</f>
        <v/>
      </c>
      <c r="C844" s="347" t="str">
        <f>IF(自定义调整栏!H32="","",自定义调整栏!J32)</f>
        <v/>
      </c>
      <c r="D844" s="347" t="str">
        <f>IF(自定义调整栏!S32="","",自定义调整栏!S32)</f>
        <v/>
      </c>
      <c r="E844" s="347" t="str">
        <f>IF(自定义调整栏!R32="","",自定义调整栏!R32)</f>
        <v/>
      </c>
      <c r="F844" s="348" t="str">
        <f>IF(自定义调整栏!K32="","",自定义调整栏!K32)</f>
        <v/>
      </c>
      <c r="G844" s="347" t="str">
        <f>IF(自定义调整栏!I32="","",自定义调整栏!I32)</f>
        <v/>
      </c>
      <c r="H844" s="347" t="str">
        <f>IF(自定义调整栏!L32="","",自定义调整栏!L32)</f>
        <v/>
      </c>
      <c r="I844" s="347" t="str">
        <f>IF(自定义调整栏!M32="","",自定义调整栏!M32)</f>
        <v/>
      </c>
      <c r="J844" s="347" t="str">
        <f>IF(自定义调整栏!N32="","",自定义调整栏!N32)</f>
        <v/>
      </c>
      <c r="K844" s="353" t="str">
        <f>IF(自定义调整栏!O32="","",自定义调整栏!O32)</f>
        <v/>
      </c>
      <c r="L844" s="351" t="str">
        <f>IF(自定义调整栏!P32="","",自定义调整栏!P32)</f>
        <v/>
      </c>
      <c r="M844" s="350" t="str">
        <f>IF(自定义调整栏!Q32="","",自定义调整栏!Q32)</f>
        <v/>
      </c>
      <c r="N844" s="353" t="s">
        <v>2858</v>
      </c>
      <c r="Z844" s="374" t="s">
        <v>2859</v>
      </c>
      <c r="AA844" s="355"/>
    </row>
    <row r="845" spans="1:27" ht="16.899999999999999" customHeight="1" x14ac:dyDescent="0.15">
      <c r="A845" s="373" t="str">
        <f>IF(自定义调整栏!H33="","",自定义调整栏!H33)</f>
        <v/>
      </c>
      <c r="B845" s="347" t="str">
        <f>IF(自定义调整栏!H33="","",IF(自定义调整栏!G33="戏法",0,自定义调整栏!G33))</f>
        <v/>
      </c>
      <c r="C845" s="347" t="str">
        <f>IF(自定义调整栏!H33="","",自定义调整栏!J33)</f>
        <v/>
      </c>
      <c r="D845" s="347" t="str">
        <f>IF(自定义调整栏!S33="","",自定义调整栏!S33)</f>
        <v/>
      </c>
      <c r="E845" s="347" t="str">
        <f>IF(自定义调整栏!R33="","",自定义调整栏!R33)</f>
        <v/>
      </c>
      <c r="F845" s="348" t="str">
        <f>IF(自定义调整栏!K33="","",自定义调整栏!K33)</f>
        <v/>
      </c>
      <c r="G845" s="347" t="str">
        <f>IF(自定义调整栏!I33="","",自定义调整栏!I33)</f>
        <v/>
      </c>
      <c r="H845" s="347" t="str">
        <f>IF(自定义调整栏!L33="","",自定义调整栏!L33)</f>
        <v/>
      </c>
      <c r="I845" s="347" t="str">
        <f>IF(自定义调整栏!M33="","",自定义调整栏!M33)</f>
        <v/>
      </c>
      <c r="J845" s="347" t="str">
        <f>IF(自定义调整栏!N33="","",自定义调整栏!N33)</f>
        <v/>
      </c>
      <c r="K845" s="353" t="str">
        <f>IF(自定义调整栏!O33="","",自定义调整栏!O33)</f>
        <v/>
      </c>
      <c r="L845" s="351" t="str">
        <f>IF(自定义调整栏!P33="","",自定义调整栏!P33)</f>
        <v/>
      </c>
      <c r="M845" s="350" t="str">
        <f>IF(自定义调整栏!Q33="","",自定义调整栏!Q33)</f>
        <v/>
      </c>
      <c r="N845" s="353" t="s">
        <v>2858</v>
      </c>
      <c r="Z845" s="374" t="s">
        <v>2859</v>
      </c>
      <c r="AA845" s="355"/>
    </row>
    <row r="846" spans="1:27" ht="16.899999999999999" customHeight="1" x14ac:dyDescent="0.15">
      <c r="A846" s="373" t="str">
        <f>IF(自定义调整栏!H34="","",自定义调整栏!H34)</f>
        <v/>
      </c>
      <c r="B846" s="347" t="str">
        <f>IF(自定义调整栏!H34="","",IF(自定义调整栏!G34="戏法",0,自定义调整栏!G34))</f>
        <v/>
      </c>
      <c r="C846" s="347" t="str">
        <f>IF(自定义调整栏!H34="","",自定义调整栏!J34)</f>
        <v/>
      </c>
      <c r="D846" s="347" t="str">
        <f>IF(自定义调整栏!S34="","",自定义调整栏!S34)</f>
        <v/>
      </c>
      <c r="E846" s="347" t="str">
        <f>IF(自定义调整栏!R34="","",自定义调整栏!R34)</f>
        <v/>
      </c>
      <c r="F846" s="348" t="str">
        <f>IF(自定义调整栏!K34="","",自定义调整栏!K34)</f>
        <v/>
      </c>
      <c r="G846" s="347" t="str">
        <f>IF(自定义调整栏!I34="","",自定义调整栏!I34)</f>
        <v/>
      </c>
      <c r="H846" s="347" t="str">
        <f>IF(自定义调整栏!L34="","",自定义调整栏!L34)</f>
        <v/>
      </c>
      <c r="I846" s="347" t="str">
        <f>IF(自定义调整栏!M34="","",自定义调整栏!M34)</f>
        <v/>
      </c>
      <c r="J846" s="347" t="str">
        <f>IF(自定义调整栏!N34="","",自定义调整栏!N34)</f>
        <v/>
      </c>
      <c r="K846" s="353" t="str">
        <f>IF(自定义调整栏!O34="","",自定义调整栏!O34)</f>
        <v/>
      </c>
      <c r="L846" s="351" t="str">
        <f>IF(自定义调整栏!P34="","",自定义调整栏!P34)</f>
        <v/>
      </c>
      <c r="M846" s="350" t="str">
        <f>IF(自定义调整栏!Q34="","",自定义调整栏!Q34)</f>
        <v/>
      </c>
      <c r="N846" s="353" t="s">
        <v>2858</v>
      </c>
      <c r="Z846" s="374" t="s">
        <v>2859</v>
      </c>
      <c r="AA846" s="355"/>
    </row>
    <row r="847" spans="1:27" ht="16.899999999999999" customHeight="1" x14ac:dyDescent="0.15">
      <c r="A847" s="373" t="str">
        <f>IF(自定义调整栏!H35="","",自定义调整栏!H35)</f>
        <v/>
      </c>
      <c r="B847" s="347" t="str">
        <f>IF(自定义调整栏!H35="","",IF(自定义调整栏!G35="戏法",0,自定义调整栏!G35))</f>
        <v/>
      </c>
      <c r="C847" s="347" t="str">
        <f>IF(自定义调整栏!H35="","",自定义调整栏!J35)</f>
        <v/>
      </c>
      <c r="D847" s="347" t="str">
        <f>IF(自定义调整栏!S35="","",自定义调整栏!S35)</f>
        <v/>
      </c>
      <c r="E847" s="347" t="str">
        <f>IF(自定义调整栏!R35="","",自定义调整栏!R35)</f>
        <v/>
      </c>
      <c r="F847" s="348" t="str">
        <f>IF(自定义调整栏!K35="","",自定义调整栏!K35)</f>
        <v/>
      </c>
      <c r="G847" s="347" t="str">
        <f>IF(自定义调整栏!I35="","",自定义调整栏!I35)</f>
        <v/>
      </c>
      <c r="H847" s="347" t="str">
        <f>IF(自定义调整栏!L35="","",自定义调整栏!L35)</f>
        <v/>
      </c>
      <c r="I847" s="347" t="str">
        <f>IF(自定义调整栏!M35="","",自定义调整栏!M35)</f>
        <v/>
      </c>
      <c r="J847" s="347" t="str">
        <f>IF(自定义调整栏!N35="","",自定义调整栏!N35)</f>
        <v/>
      </c>
      <c r="K847" s="353" t="str">
        <f>IF(自定义调整栏!O35="","",自定义调整栏!O35)</f>
        <v/>
      </c>
      <c r="L847" s="351" t="str">
        <f>IF(自定义调整栏!P35="","",自定义调整栏!P35)</f>
        <v/>
      </c>
      <c r="M847" s="350" t="str">
        <f>IF(自定义调整栏!Q35="","",自定义调整栏!Q35)</f>
        <v/>
      </c>
      <c r="N847" s="353" t="s">
        <v>2858</v>
      </c>
      <c r="Z847" s="374" t="s">
        <v>2859</v>
      </c>
      <c r="AA847" s="355"/>
    </row>
    <row r="848" spans="1:27" ht="16.899999999999999" customHeight="1" x14ac:dyDescent="0.15">
      <c r="A848" s="373" t="str">
        <f>IF(自定义调整栏!H36="","",自定义调整栏!H36)</f>
        <v/>
      </c>
      <c r="B848" s="347" t="str">
        <f>IF(自定义调整栏!H36="","",IF(自定义调整栏!G36="戏法",0,自定义调整栏!G36))</f>
        <v/>
      </c>
      <c r="C848" s="347" t="str">
        <f>IF(自定义调整栏!H36="","",自定义调整栏!J36)</f>
        <v/>
      </c>
      <c r="D848" s="347" t="str">
        <f>IF(自定义调整栏!S36="","",自定义调整栏!S36)</f>
        <v/>
      </c>
      <c r="E848" s="347" t="str">
        <f>IF(自定义调整栏!R36="","",自定义调整栏!R36)</f>
        <v/>
      </c>
      <c r="F848" s="348" t="str">
        <f>IF(自定义调整栏!K36="","",自定义调整栏!K36)</f>
        <v/>
      </c>
      <c r="G848" s="347" t="str">
        <f>IF(自定义调整栏!I36="","",自定义调整栏!I36)</f>
        <v/>
      </c>
      <c r="H848" s="347" t="str">
        <f>IF(自定义调整栏!L36="","",自定义调整栏!L36)</f>
        <v/>
      </c>
      <c r="I848" s="347" t="str">
        <f>IF(自定义调整栏!M36="","",自定义调整栏!M36)</f>
        <v/>
      </c>
      <c r="J848" s="347" t="str">
        <f>IF(自定义调整栏!N36="","",自定义调整栏!N36)</f>
        <v/>
      </c>
      <c r="K848" s="353" t="str">
        <f>IF(自定义调整栏!O36="","",自定义调整栏!O36)</f>
        <v/>
      </c>
      <c r="L848" s="351" t="str">
        <f>IF(自定义调整栏!P36="","",自定义调整栏!P36)</f>
        <v/>
      </c>
      <c r="M848" s="350" t="str">
        <f>IF(自定义调整栏!Q36="","",自定义调整栏!Q36)</f>
        <v/>
      </c>
      <c r="N848" s="353" t="s">
        <v>2858</v>
      </c>
      <c r="Z848" s="374" t="s">
        <v>2859</v>
      </c>
      <c r="AA848" s="355"/>
    </row>
    <row r="849" spans="1:27" ht="16.899999999999999" customHeight="1" x14ac:dyDescent="0.15">
      <c r="A849" s="373" t="str">
        <f>IF(自定义调整栏!H37="","",自定义调整栏!H37)</f>
        <v/>
      </c>
      <c r="B849" s="347" t="str">
        <f>IF(自定义调整栏!H37="","",IF(自定义调整栏!G37="戏法",0,自定义调整栏!G37))</f>
        <v/>
      </c>
      <c r="C849" s="347" t="str">
        <f>IF(自定义调整栏!H37="","",自定义调整栏!J37)</f>
        <v/>
      </c>
      <c r="D849" s="347" t="str">
        <f>IF(自定义调整栏!S37="","",自定义调整栏!S37)</f>
        <v/>
      </c>
      <c r="E849" s="347" t="str">
        <f>IF(自定义调整栏!R37="","",自定义调整栏!R37)</f>
        <v/>
      </c>
      <c r="F849" s="348" t="str">
        <f>IF(自定义调整栏!K37="","",自定义调整栏!K37)</f>
        <v/>
      </c>
      <c r="G849" s="347" t="str">
        <f>IF(自定义调整栏!I37="","",自定义调整栏!I37)</f>
        <v/>
      </c>
      <c r="H849" s="347" t="str">
        <f>IF(自定义调整栏!L37="","",自定义调整栏!L37)</f>
        <v/>
      </c>
      <c r="I849" s="347" t="str">
        <f>IF(自定义调整栏!M37="","",自定义调整栏!M37)</f>
        <v/>
      </c>
      <c r="J849" s="347" t="str">
        <f>IF(自定义调整栏!N37="","",自定义调整栏!N37)</f>
        <v/>
      </c>
      <c r="K849" s="353" t="str">
        <f>IF(自定义调整栏!O37="","",自定义调整栏!O37)</f>
        <v/>
      </c>
      <c r="L849" s="351" t="str">
        <f>IF(自定义调整栏!P37="","",自定义调整栏!P37)</f>
        <v/>
      </c>
      <c r="M849" s="350" t="str">
        <f>IF(自定义调整栏!Q37="","",自定义调整栏!Q37)</f>
        <v/>
      </c>
      <c r="N849" s="353" t="s">
        <v>2858</v>
      </c>
      <c r="Z849" s="374" t="s">
        <v>2859</v>
      </c>
      <c r="AA849" s="355"/>
    </row>
    <row r="850" spans="1:27" ht="16.899999999999999" customHeight="1" x14ac:dyDescent="0.15">
      <c r="A850" s="373" t="str">
        <f>IF(自定义调整栏!H38="","",自定义调整栏!H38)</f>
        <v/>
      </c>
      <c r="B850" s="347" t="str">
        <f>IF(自定义调整栏!H38="","",IF(自定义调整栏!G38="戏法",0,自定义调整栏!G38))</f>
        <v/>
      </c>
      <c r="C850" s="347" t="str">
        <f>IF(自定义调整栏!H38="","",自定义调整栏!J38)</f>
        <v/>
      </c>
      <c r="D850" s="347" t="str">
        <f>IF(自定义调整栏!S38="","",自定义调整栏!S38)</f>
        <v/>
      </c>
      <c r="E850" s="347" t="str">
        <f>IF(自定义调整栏!R38="","",自定义调整栏!R38)</f>
        <v/>
      </c>
      <c r="F850" s="348" t="str">
        <f>IF(自定义调整栏!K38="","",自定义调整栏!K38)</f>
        <v/>
      </c>
      <c r="G850" s="347" t="str">
        <f>IF(自定义调整栏!I38="","",自定义调整栏!I38)</f>
        <v/>
      </c>
      <c r="H850" s="347" t="str">
        <f>IF(自定义调整栏!L38="","",自定义调整栏!L38)</f>
        <v/>
      </c>
      <c r="I850" s="347" t="str">
        <f>IF(自定义调整栏!M38="","",自定义调整栏!M38)</f>
        <v/>
      </c>
      <c r="J850" s="347" t="str">
        <f>IF(自定义调整栏!N38="","",自定义调整栏!N38)</f>
        <v/>
      </c>
      <c r="K850" s="353" t="str">
        <f>IF(自定义调整栏!O38="","",自定义调整栏!O38)</f>
        <v/>
      </c>
      <c r="L850" s="351" t="str">
        <f>IF(自定义调整栏!P38="","",自定义调整栏!P38)</f>
        <v/>
      </c>
      <c r="M850" s="350" t="str">
        <f>IF(自定义调整栏!Q38="","",自定义调整栏!Q38)</f>
        <v/>
      </c>
      <c r="N850" s="353" t="s">
        <v>2858</v>
      </c>
      <c r="Z850" s="374" t="s">
        <v>2859</v>
      </c>
      <c r="AA850" s="355"/>
    </row>
    <row r="851" spans="1:27" ht="16.899999999999999" customHeight="1" x14ac:dyDescent="0.15">
      <c r="A851" s="373" t="str">
        <f>IF(自定义调整栏!H39="","",自定义调整栏!H39)</f>
        <v/>
      </c>
      <c r="B851" s="347" t="str">
        <f>IF(自定义调整栏!H39="","",IF(自定义调整栏!G39="戏法",0,自定义调整栏!G39))</f>
        <v/>
      </c>
      <c r="C851" s="347" t="str">
        <f>IF(自定义调整栏!H39="","",自定义调整栏!J39)</f>
        <v/>
      </c>
      <c r="D851" s="347" t="str">
        <f>IF(自定义调整栏!S39="","",自定义调整栏!S39)</f>
        <v/>
      </c>
      <c r="E851" s="347" t="str">
        <f>IF(自定义调整栏!R39="","",自定义调整栏!R39)</f>
        <v/>
      </c>
      <c r="F851" s="348" t="str">
        <f>IF(自定义调整栏!K39="","",自定义调整栏!K39)</f>
        <v/>
      </c>
      <c r="G851" s="347" t="str">
        <f>IF(自定义调整栏!I39="","",自定义调整栏!I39)</f>
        <v/>
      </c>
      <c r="H851" s="347" t="str">
        <f>IF(自定义调整栏!L39="","",自定义调整栏!L39)</f>
        <v/>
      </c>
      <c r="I851" s="347" t="str">
        <f>IF(自定义调整栏!M39="","",自定义调整栏!M39)</f>
        <v/>
      </c>
      <c r="J851" s="347" t="str">
        <f>IF(自定义调整栏!N39="","",自定义调整栏!N39)</f>
        <v/>
      </c>
      <c r="K851" s="353" t="str">
        <f>IF(自定义调整栏!O39="","",自定义调整栏!O39)</f>
        <v/>
      </c>
      <c r="L851" s="351" t="str">
        <f>IF(自定义调整栏!P39="","",自定义调整栏!P39)</f>
        <v/>
      </c>
      <c r="M851" s="350" t="str">
        <f>IF(自定义调整栏!Q39="","",自定义调整栏!Q39)</f>
        <v/>
      </c>
      <c r="N851" s="353" t="s">
        <v>2858</v>
      </c>
      <c r="Z851" s="374" t="s">
        <v>2859</v>
      </c>
      <c r="AA851" s="355"/>
    </row>
    <row r="852" spans="1:27" ht="16.899999999999999" customHeight="1" x14ac:dyDescent="0.15">
      <c r="A852" s="373" t="str">
        <f>IF(自定义调整栏!H40="","",自定义调整栏!H40)</f>
        <v/>
      </c>
      <c r="B852" s="347" t="str">
        <f>IF(自定义调整栏!H40="","",IF(自定义调整栏!G40="戏法",0,自定义调整栏!G40))</f>
        <v/>
      </c>
      <c r="C852" s="347" t="str">
        <f>IF(自定义调整栏!H40="","",自定义调整栏!J40)</f>
        <v/>
      </c>
      <c r="D852" s="347" t="str">
        <f>IF(自定义调整栏!S40="","",自定义调整栏!S40)</f>
        <v/>
      </c>
      <c r="E852" s="347" t="str">
        <f>IF(自定义调整栏!R40="","",自定义调整栏!R40)</f>
        <v/>
      </c>
      <c r="F852" s="348" t="str">
        <f>IF(自定义调整栏!K40="","",自定义调整栏!K40)</f>
        <v/>
      </c>
      <c r="G852" s="347" t="str">
        <f>IF(自定义调整栏!I40="","",自定义调整栏!I40)</f>
        <v/>
      </c>
      <c r="H852" s="347" t="str">
        <f>IF(自定义调整栏!L40="","",自定义调整栏!L40)</f>
        <v/>
      </c>
      <c r="I852" s="347" t="str">
        <f>IF(自定义调整栏!M40="","",自定义调整栏!M40)</f>
        <v/>
      </c>
      <c r="J852" s="347" t="str">
        <f>IF(自定义调整栏!N40="","",自定义调整栏!N40)</f>
        <v/>
      </c>
      <c r="K852" s="353" t="str">
        <f>IF(自定义调整栏!O40="","",自定义调整栏!O40)</f>
        <v/>
      </c>
      <c r="L852" s="351" t="str">
        <f>IF(自定义调整栏!P40="","",自定义调整栏!P40)</f>
        <v/>
      </c>
      <c r="M852" s="350" t="str">
        <f>IF(自定义调整栏!Q40="","",自定义调整栏!Q40)</f>
        <v/>
      </c>
      <c r="N852" s="353" t="s">
        <v>2858</v>
      </c>
      <c r="Z852" s="374" t="s">
        <v>2859</v>
      </c>
      <c r="AA852" s="355"/>
    </row>
    <row r="853" spans="1:27" ht="16.899999999999999" customHeight="1" x14ac:dyDescent="0.15">
      <c r="A853" s="373" t="str">
        <f>IF(自定义调整栏!H41="","",自定义调整栏!H41)</f>
        <v/>
      </c>
      <c r="B853" s="347" t="str">
        <f>IF(自定义调整栏!H41="","",IF(自定义调整栏!G41="戏法",0,自定义调整栏!G41))</f>
        <v/>
      </c>
      <c r="C853" s="347" t="str">
        <f>IF(自定义调整栏!H41="","",自定义调整栏!J41)</f>
        <v/>
      </c>
      <c r="D853" s="347" t="str">
        <f>IF(自定义调整栏!S41="","",自定义调整栏!S41)</f>
        <v/>
      </c>
      <c r="E853" s="347" t="str">
        <f>IF(自定义调整栏!R41="","",自定义调整栏!R41)</f>
        <v/>
      </c>
      <c r="F853" s="348" t="str">
        <f>IF(自定义调整栏!K41="","",自定义调整栏!K41)</f>
        <v/>
      </c>
      <c r="G853" s="347" t="str">
        <f>IF(自定义调整栏!I41="","",自定义调整栏!I41)</f>
        <v/>
      </c>
      <c r="H853" s="347" t="str">
        <f>IF(自定义调整栏!L41="","",自定义调整栏!L41)</f>
        <v/>
      </c>
      <c r="I853" s="347" t="str">
        <f>IF(自定义调整栏!M41="","",自定义调整栏!M41)</f>
        <v/>
      </c>
      <c r="J853" s="347" t="str">
        <f>IF(自定义调整栏!N41="","",自定义调整栏!N41)</f>
        <v/>
      </c>
      <c r="K853" s="353" t="str">
        <f>IF(自定义调整栏!O41="","",自定义调整栏!O41)</f>
        <v/>
      </c>
      <c r="L853" s="351" t="str">
        <f>IF(自定义调整栏!P41="","",自定义调整栏!P41)</f>
        <v/>
      </c>
      <c r="M853" s="350" t="str">
        <f>IF(自定义调整栏!Q41="","",自定义调整栏!Q41)</f>
        <v/>
      </c>
      <c r="N853" s="353" t="s">
        <v>2858</v>
      </c>
      <c r="Z853" s="374" t="s">
        <v>2859</v>
      </c>
      <c r="AA853" s="355"/>
    </row>
    <row r="854" spans="1:27" ht="16.899999999999999" customHeight="1" x14ac:dyDescent="0.15">
      <c r="A854" s="373" t="str">
        <f>IF(自定义调整栏!H42="","",自定义调整栏!H42)</f>
        <v/>
      </c>
      <c r="B854" s="347" t="str">
        <f>IF(自定义调整栏!H42="","",IF(自定义调整栏!G42="戏法",0,自定义调整栏!G42))</f>
        <v/>
      </c>
      <c r="C854" s="347" t="str">
        <f>IF(自定义调整栏!H42="","",自定义调整栏!J42)</f>
        <v/>
      </c>
      <c r="D854" s="347" t="str">
        <f>IF(自定义调整栏!S42="","",自定义调整栏!S42)</f>
        <v/>
      </c>
      <c r="E854" s="347" t="str">
        <f>IF(自定义调整栏!R42="","",自定义调整栏!R42)</f>
        <v/>
      </c>
      <c r="F854" s="348" t="str">
        <f>IF(自定义调整栏!K42="","",自定义调整栏!K42)</f>
        <v/>
      </c>
      <c r="G854" s="347" t="str">
        <f>IF(自定义调整栏!I42="","",自定义调整栏!I42)</f>
        <v/>
      </c>
      <c r="H854" s="347" t="str">
        <f>IF(自定义调整栏!L42="","",自定义调整栏!L42)</f>
        <v/>
      </c>
      <c r="I854" s="347" t="str">
        <f>IF(自定义调整栏!M42="","",自定义调整栏!M42)</f>
        <v/>
      </c>
      <c r="J854" s="347" t="str">
        <f>IF(自定义调整栏!N42="","",自定义调整栏!N42)</f>
        <v/>
      </c>
      <c r="K854" s="353" t="str">
        <f>IF(自定义调整栏!O42="","",自定义调整栏!O42)</f>
        <v/>
      </c>
      <c r="L854" s="351" t="str">
        <f>IF(自定义调整栏!P42="","",自定义调整栏!P42)</f>
        <v/>
      </c>
      <c r="M854" s="350" t="str">
        <f>IF(自定义调整栏!Q42="","",自定义调整栏!Q42)</f>
        <v/>
      </c>
      <c r="N854" s="353" t="s">
        <v>2858</v>
      </c>
      <c r="Z854" s="374" t="s">
        <v>2859</v>
      </c>
      <c r="AA854" s="355"/>
    </row>
    <row r="855" spans="1:27" ht="16.899999999999999" customHeight="1" x14ac:dyDescent="0.15">
      <c r="A855" s="373" t="str">
        <f>IF(自定义调整栏!H43="","",自定义调整栏!H43)</f>
        <v/>
      </c>
      <c r="B855" s="347" t="str">
        <f>IF(自定义调整栏!H43="","",IF(自定义调整栏!G43="戏法",0,自定义调整栏!G43))</f>
        <v/>
      </c>
      <c r="C855" s="347" t="str">
        <f>IF(自定义调整栏!H43="","",自定义调整栏!J43)</f>
        <v/>
      </c>
      <c r="D855" s="347" t="str">
        <f>IF(自定义调整栏!S43="","",自定义调整栏!S43)</f>
        <v/>
      </c>
      <c r="E855" s="347" t="str">
        <f>IF(自定义调整栏!R43="","",自定义调整栏!R43)</f>
        <v/>
      </c>
      <c r="F855" s="348" t="str">
        <f>IF(自定义调整栏!K43="","",自定义调整栏!K43)</f>
        <v/>
      </c>
      <c r="G855" s="347" t="str">
        <f>IF(自定义调整栏!I43="","",自定义调整栏!I43)</f>
        <v/>
      </c>
      <c r="H855" s="347" t="str">
        <f>IF(自定义调整栏!L43="","",自定义调整栏!L43)</f>
        <v/>
      </c>
      <c r="I855" s="347" t="str">
        <f>IF(自定义调整栏!M43="","",自定义调整栏!M43)</f>
        <v/>
      </c>
      <c r="J855" s="347" t="str">
        <f>IF(自定义调整栏!N43="","",自定义调整栏!N43)</f>
        <v/>
      </c>
      <c r="K855" s="353" t="str">
        <f>IF(自定义调整栏!O43="","",自定义调整栏!O43)</f>
        <v/>
      </c>
      <c r="L855" s="351" t="str">
        <f>IF(自定义调整栏!P43="","",自定义调整栏!P43)</f>
        <v/>
      </c>
      <c r="M855" s="350" t="str">
        <f>IF(自定义调整栏!Q43="","",自定义调整栏!Q43)</f>
        <v/>
      </c>
      <c r="N855" s="353" t="s">
        <v>2858</v>
      </c>
      <c r="Z855" s="374" t="s">
        <v>2859</v>
      </c>
      <c r="AA855" s="355"/>
    </row>
    <row r="856" spans="1:27" ht="16.899999999999999" customHeight="1" x14ac:dyDescent="0.15">
      <c r="A856" s="373" t="str">
        <f>IF(自定义调整栏!H44="","",自定义调整栏!H44)</f>
        <v/>
      </c>
      <c r="B856" s="347" t="str">
        <f>IF(自定义调整栏!H44="","",IF(自定义调整栏!G44="戏法",0,自定义调整栏!G44))</f>
        <v/>
      </c>
      <c r="C856" s="347" t="str">
        <f>IF(自定义调整栏!H44="","",自定义调整栏!J44)</f>
        <v/>
      </c>
      <c r="D856" s="347" t="str">
        <f>IF(自定义调整栏!S44="","",自定义调整栏!S44)</f>
        <v/>
      </c>
      <c r="E856" s="347" t="str">
        <f>IF(自定义调整栏!R44="","",自定义调整栏!R44)</f>
        <v/>
      </c>
      <c r="F856" s="348" t="str">
        <f>IF(自定义调整栏!K44="","",自定义调整栏!K44)</f>
        <v/>
      </c>
      <c r="G856" s="347" t="str">
        <f>IF(自定义调整栏!I44="","",自定义调整栏!I44)</f>
        <v/>
      </c>
      <c r="H856" s="347" t="str">
        <f>IF(自定义调整栏!L44="","",自定义调整栏!L44)</f>
        <v/>
      </c>
      <c r="I856" s="347" t="str">
        <f>IF(自定义调整栏!M44="","",自定义调整栏!M44)</f>
        <v/>
      </c>
      <c r="J856" s="347" t="str">
        <f>IF(自定义调整栏!N44="","",自定义调整栏!N44)</f>
        <v/>
      </c>
      <c r="K856" s="353" t="str">
        <f>IF(自定义调整栏!O44="","",自定义调整栏!O44)</f>
        <v/>
      </c>
      <c r="L856" s="351" t="str">
        <f>IF(自定义调整栏!P44="","",自定义调整栏!P44)</f>
        <v/>
      </c>
      <c r="M856" s="350" t="str">
        <f>IF(自定义调整栏!Q44="","",自定义调整栏!Q44)</f>
        <v/>
      </c>
      <c r="N856" s="353" t="s">
        <v>2858</v>
      </c>
      <c r="Z856" s="374" t="s">
        <v>2859</v>
      </c>
      <c r="AA856" s="355"/>
    </row>
    <row r="857" spans="1:27" ht="16.899999999999999" customHeight="1" x14ac:dyDescent="0.15">
      <c r="A857" s="373" t="str">
        <f>IF(自定义调整栏!H45="","",自定义调整栏!H45)</f>
        <v/>
      </c>
      <c r="B857" s="347" t="str">
        <f>IF(自定义调整栏!H45="","",IF(自定义调整栏!G45="戏法",0,自定义调整栏!G45))</f>
        <v/>
      </c>
      <c r="C857" s="347" t="str">
        <f>IF(自定义调整栏!H45="","",自定义调整栏!J45)</f>
        <v/>
      </c>
      <c r="D857" s="347" t="str">
        <f>IF(自定义调整栏!S45="","",自定义调整栏!S45)</f>
        <v/>
      </c>
      <c r="E857" s="347" t="str">
        <f>IF(自定义调整栏!R45="","",自定义调整栏!R45)</f>
        <v/>
      </c>
      <c r="F857" s="348" t="str">
        <f>IF(自定义调整栏!K45="","",自定义调整栏!K45)</f>
        <v/>
      </c>
      <c r="G857" s="347" t="str">
        <f>IF(自定义调整栏!I45="","",自定义调整栏!I45)</f>
        <v/>
      </c>
      <c r="H857" s="347" t="str">
        <f>IF(自定义调整栏!L45="","",自定义调整栏!L45)</f>
        <v/>
      </c>
      <c r="I857" s="347" t="str">
        <f>IF(自定义调整栏!M45="","",自定义调整栏!M45)</f>
        <v/>
      </c>
      <c r="J857" s="347" t="str">
        <f>IF(自定义调整栏!N45="","",自定义调整栏!N45)</f>
        <v/>
      </c>
      <c r="K857" s="353" t="str">
        <f>IF(自定义调整栏!O45="","",自定义调整栏!O45)</f>
        <v/>
      </c>
      <c r="L857" s="351" t="str">
        <f>IF(自定义调整栏!P45="","",自定义调整栏!P45)</f>
        <v/>
      </c>
      <c r="M857" s="350" t="str">
        <f>IF(自定义调整栏!Q45="","",自定义调整栏!Q45)</f>
        <v/>
      </c>
      <c r="N857" s="353" t="s">
        <v>2858</v>
      </c>
      <c r="Z857" s="374" t="s">
        <v>2859</v>
      </c>
      <c r="AA857" s="355"/>
    </row>
    <row r="858" spans="1:27" ht="16.899999999999999" customHeight="1" x14ac:dyDescent="0.15">
      <c r="A858" s="373" t="str">
        <f>IF(自定义调整栏!H46="","",自定义调整栏!H46)</f>
        <v/>
      </c>
      <c r="B858" s="347" t="str">
        <f>IF(自定义调整栏!H46="","",IF(自定义调整栏!G46="戏法",0,自定义调整栏!G46))</f>
        <v/>
      </c>
      <c r="C858" s="347" t="str">
        <f>IF(自定义调整栏!H46="","",自定义调整栏!J46)</f>
        <v/>
      </c>
      <c r="D858" s="347" t="str">
        <f>IF(自定义调整栏!S46="","",自定义调整栏!S46)</f>
        <v/>
      </c>
      <c r="E858" s="347" t="str">
        <f>IF(自定义调整栏!R46="","",自定义调整栏!R46)</f>
        <v/>
      </c>
      <c r="F858" s="348" t="str">
        <f>IF(自定义调整栏!K46="","",自定义调整栏!K46)</f>
        <v/>
      </c>
      <c r="G858" s="347" t="str">
        <f>IF(自定义调整栏!I46="","",自定义调整栏!I46)</f>
        <v/>
      </c>
      <c r="H858" s="347" t="str">
        <f>IF(自定义调整栏!L46="","",自定义调整栏!L46)</f>
        <v/>
      </c>
      <c r="I858" s="347" t="str">
        <f>IF(自定义调整栏!M46="","",自定义调整栏!M46)</f>
        <v/>
      </c>
      <c r="J858" s="347" t="str">
        <f>IF(自定义调整栏!N46="","",自定义调整栏!N46)</f>
        <v/>
      </c>
      <c r="K858" s="353" t="str">
        <f>IF(自定义调整栏!O46="","",自定义调整栏!O46)</f>
        <v/>
      </c>
      <c r="L858" s="351" t="str">
        <f>IF(自定义调整栏!P46="","",自定义调整栏!P46)</f>
        <v/>
      </c>
      <c r="M858" s="350" t="str">
        <f>IF(自定义调整栏!Q46="","",自定义调整栏!Q46)</f>
        <v/>
      </c>
      <c r="N858" s="353" t="s">
        <v>2858</v>
      </c>
      <c r="Z858" s="374" t="s">
        <v>2859</v>
      </c>
      <c r="AA858" s="355"/>
    </row>
    <row r="859" spans="1:27" ht="16.899999999999999" customHeight="1" x14ac:dyDescent="0.15">
      <c r="A859" s="373" t="str">
        <f>IF(自定义调整栏!H47="","",自定义调整栏!H47)</f>
        <v/>
      </c>
      <c r="B859" s="347" t="str">
        <f>IF(自定义调整栏!H47="","",IF(自定义调整栏!G47="戏法",0,自定义调整栏!G47))</f>
        <v/>
      </c>
      <c r="C859" s="347" t="str">
        <f>IF(自定义调整栏!H47="","",自定义调整栏!J47)</f>
        <v/>
      </c>
      <c r="D859" s="347" t="str">
        <f>IF(自定义调整栏!S47="","",自定义调整栏!S47)</f>
        <v/>
      </c>
      <c r="E859" s="347" t="str">
        <f>IF(自定义调整栏!R47="","",自定义调整栏!R47)</f>
        <v/>
      </c>
      <c r="F859" s="348" t="str">
        <f>IF(自定义调整栏!K47="","",自定义调整栏!K47)</f>
        <v/>
      </c>
      <c r="G859" s="347" t="str">
        <f>IF(自定义调整栏!I47="","",自定义调整栏!I47)</f>
        <v/>
      </c>
      <c r="H859" s="347" t="str">
        <f>IF(自定义调整栏!L47="","",自定义调整栏!L47)</f>
        <v/>
      </c>
      <c r="I859" s="347" t="str">
        <f>IF(自定义调整栏!M47="","",自定义调整栏!M47)</f>
        <v/>
      </c>
      <c r="J859" s="347" t="str">
        <f>IF(自定义调整栏!N47="","",自定义调整栏!N47)</f>
        <v/>
      </c>
      <c r="K859" s="353" t="str">
        <f>IF(自定义调整栏!O47="","",自定义调整栏!O47)</f>
        <v/>
      </c>
      <c r="L859" s="351" t="str">
        <f>IF(自定义调整栏!P47="","",自定义调整栏!P47)</f>
        <v/>
      </c>
      <c r="M859" s="350" t="str">
        <f>IF(自定义调整栏!Q47="","",自定义调整栏!Q47)</f>
        <v/>
      </c>
      <c r="N859" s="353" t="s">
        <v>2858</v>
      </c>
      <c r="Z859" s="374" t="s">
        <v>2859</v>
      </c>
      <c r="AA859" s="355"/>
    </row>
    <row r="860" spans="1:27" ht="16.899999999999999" customHeight="1" x14ac:dyDescent="0.15">
      <c r="A860" s="373" t="str">
        <f>IF(自定义调整栏!H48="","",自定义调整栏!H48)</f>
        <v/>
      </c>
      <c r="B860" s="347" t="str">
        <f>IF(自定义调整栏!H48="","",IF(自定义调整栏!G48="戏法",0,自定义调整栏!G48))</f>
        <v/>
      </c>
      <c r="C860" s="347" t="str">
        <f>IF(自定义调整栏!H48="","",自定义调整栏!J48)</f>
        <v/>
      </c>
      <c r="D860" s="347" t="str">
        <f>IF(自定义调整栏!S48="","",自定义调整栏!S48)</f>
        <v/>
      </c>
      <c r="E860" s="347" t="str">
        <f>IF(自定义调整栏!R48="","",自定义调整栏!R48)</f>
        <v/>
      </c>
      <c r="F860" s="348" t="str">
        <f>IF(自定义调整栏!K48="","",自定义调整栏!K48)</f>
        <v/>
      </c>
      <c r="G860" s="347" t="str">
        <f>IF(自定义调整栏!I48="","",自定义调整栏!I48)</f>
        <v/>
      </c>
      <c r="H860" s="347" t="str">
        <f>IF(自定义调整栏!L48="","",自定义调整栏!L48)</f>
        <v/>
      </c>
      <c r="I860" s="347" t="str">
        <f>IF(自定义调整栏!M48="","",自定义调整栏!M48)</f>
        <v/>
      </c>
      <c r="J860" s="347" t="str">
        <f>IF(自定义调整栏!N48="","",自定义调整栏!N48)</f>
        <v/>
      </c>
      <c r="K860" s="353" t="str">
        <f>IF(自定义调整栏!O48="","",自定义调整栏!O48)</f>
        <v/>
      </c>
      <c r="L860" s="351" t="str">
        <f>IF(自定义调整栏!P48="","",自定义调整栏!P48)</f>
        <v/>
      </c>
      <c r="M860" s="350" t="str">
        <f>IF(自定义调整栏!Q48="","",自定义调整栏!Q48)</f>
        <v/>
      </c>
      <c r="N860" s="353" t="s">
        <v>2858</v>
      </c>
      <c r="Z860" s="374" t="s">
        <v>2859</v>
      </c>
      <c r="AA860" s="355"/>
    </row>
    <row r="861" spans="1:27" ht="16.899999999999999" customHeight="1" x14ac:dyDescent="0.15">
      <c r="A861" s="373" t="str">
        <f>IF(自定义调整栏!H49="","",自定义调整栏!H49)</f>
        <v/>
      </c>
      <c r="B861" s="347" t="str">
        <f>IF(自定义调整栏!H49="","",IF(自定义调整栏!G49="戏法",0,自定义调整栏!G49))</f>
        <v/>
      </c>
      <c r="C861" s="347" t="str">
        <f>IF(自定义调整栏!H49="","",自定义调整栏!J49)</f>
        <v/>
      </c>
      <c r="D861" s="347" t="str">
        <f>IF(自定义调整栏!S49="","",自定义调整栏!S49)</f>
        <v/>
      </c>
      <c r="E861" s="347" t="str">
        <f>IF(自定义调整栏!R49="","",自定义调整栏!R49)</f>
        <v/>
      </c>
      <c r="F861" s="348" t="str">
        <f>IF(自定义调整栏!K49="","",自定义调整栏!K49)</f>
        <v/>
      </c>
      <c r="G861" s="347" t="str">
        <f>IF(自定义调整栏!I49="","",自定义调整栏!I49)</f>
        <v/>
      </c>
      <c r="H861" s="347" t="str">
        <f>IF(自定义调整栏!L49="","",自定义调整栏!L49)</f>
        <v/>
      </c>
      <c r="I861" s="347" t="str">
        <f>IF(自定义调整栏!M49="","",自定义调整栏!M49)</f>
        <v/>
      </c>
      <c r="J861" s="347" t="str">
        <f>IF(自定义调整栏!N49="","",自定义调整栏!N49)</f>
        <v/>
      </c>
      <c r="K861" s="353" t="str">
        <f>IF(自定义调整栏!O49="","",自定义调整栏!O49)</f>
        <v/>
      </c>
      <c r="L861" s="351" t="str">
        <f>IF(自定义调整栏!P49="","",自定义调整栏!P49)</f>
        <v/>
      </c>
      <c r="M861" s="350" t="str">
        <f>IF(自定义调整栏!Q49="","",自定义调整栏!Q49)</f>
        <v/>
      </c>
      <c r="N861" s="353" t="s">
        <v>2858</v>
      </c>
      <c r="Z861" s="374" t="s">
        <v>2859</v>
      </c>
      <c r="AA861" s="355"/>
    </row>
    <row r="862" spans="1:27" ht="16.899999999999999" customHeight="1" x14ac:dyDescent="0.15">
      <c r="A862" s="373" t="str">
        <f>IF(自定义调整栏!H50="","",自定义调整栏!H50)</f>
        <v/>
      </c>
      <c r="B862" s="347" t="str">
        <f>IF(自定义调整栏!H50="","",IF(自定义调整栏!G50="戏法",0,自定义调整栏!G50))</f>
        <v/>
      </c>
      <c r="C862" s="347" t="str">
        <f>IF(自定义调整栏!H50="","",自定义调整栏!J50)</f>
        <v/>
      </c>
      <c r="D862" s="347" t="str">
        <f>IF(自定义调整栏!S50="","",自定义调整栏!S50)</f>
        <v/>
      </c>
      <c r="E862" s="347" t="str">
        <f>IF(自定义调整栏!R50="","",自定义调整栏!R50)</f>
        <v/>
      </c>
      <c r="F862" s="348" t="str">
        <f>IF(自定义调整栏!K50="","",自定义调整栏!K50)</f>
        <v/>
      </c>
      <c r="G862" s="347" t="str">
        <f>IF(自定义调整栏!I50="","",自定义调整栏!I50)</f>
        <v/>
      </c>
      <c r="H862" s="347" t="str">
        <f>IF(自定义调整栏!L50="","",自定义调整栏!L50)</f>
        <v/>
      </c>
      <c r="I862" s="347" t="str">
        <f>IF(自定义调整栏!M50="","",自定义调整栏!M50)</f>
        <v/>
      </c>
      <c r="J862" s="347" t="str">
        <f>IF(自定义调整栏!N50="","",自定义调整栏!N50)</f>
        <v/>
      </c>
      <c r="K862" s="353" t="str">
        <f>IF(自定义调整栏!O50="","",自定义调整栏!O50)</f>
        <v/>
      </c>
      <c r="L862" s="351" t="str">
        <f>IF(自定义调整栏!P50="","",自定义调整栏!P50)</f>
        <v/>
      </c>
      <c r="M862" s="350" t="str">
        <f>IF(自定义调整栏!Q50="","",自定义调整栏!Q50)</f>
        <v/>
      </c>
      <c r="N862" s="353" t="s">
        <v>2858</v>
      </c>
      <c r="Z862" s="374" t="s">
        <v>2859</v>
      </c>
      <c r="AA862" s="355"/>
    </row>
    <row r="863" spans="1:27" ht="16.899999999999999" customHeight="1" x14ac:dyDescent="0.15">
      <c r="A863" s="373" t="str">
        <f>IF(自定义调整栏!H51="","",自定义调整栏!H51)</f>
        <v/>
      </c>
      <c r="B863" s="347" t="str">
        <f>IF(自定义调整栏!H51="","",IF(自定义调整栏!G51="戏法",0,自定义调整栏!G51))</f>
        <v/>
      </c>
      <c r="C863" s="347" t="str">
        <f>IF(自定义调整栏!H51="","",自定义调整栏!J51)</f>
        <v/>
      </c>
      <c r="D863" s="347" t="str">
        <f>IF(自定义调整栏!S51="","",自定义调整栏!S51)</f>
        <v/>
      </c>
      <c r="E863" s="347" t="str">
        <f>IF(自定义调整栏!R51="","",自定义调整栏!R51)</f>
        <v/>
      </c>
      <c r="F863" s="348" t="str">
        <f>IF(自定义调整栏!K51="","",自定义调整栏!K51)</f>
        <v/>
      </c>
      <c r="G863" s="347" t="str">
        <f>IF(自定义调整栏!I51="","",自定义调整栏!I51)</f>
        <v/>
      </c>
      <c r="H863" s="347" t="str">
        <f>IF(自定义调整栏!L51="","",自定义调整栏!L51)</f>
        <v/>
      </c>
      <c r="I863" s="347" t="str">
        <f>IF(自定义调整栏!M51="","",自定义调整栏!M51)</f>
        <v/>
      </c>
      <c r="J863" s="347" t="str">
        <f>IF(自定义调整栏!N51="","",自定义调整栏!N51)</f>
        <v/>
      </c>
      <c r="K863" s="353" t="str">
        <f>IF(自定义调整栏!O51="","",自定义调整栏!O51)</f>
        <v/>
      </c>
      <c r="L863" s="351" t="str">
        <f>IF(自定义调整栏!P51="","",自定义调整栏!P51)</f>
        <v/>
      </c>
      <c r="M863" s="350" t="str">
        <f>IF(自定义调整栏!Q51="","",自定义调整栏!Q51)</f>
        <v/>
      </c>
      <c r="N863" s="353" t="s">
        <v>2858</v>
      </c>
      <c r="Z863" s="374" t="s">
        <v>2859</v>
      </c>
      <c r="AA863" s="355"/>
    </row>
    <row r="864" spans="1:27" ht="16.899999999999999" customHeight="1" x14ac:dyDescent="0.15">
      <c r="A864" s="375" t="str">
        <f>IF(自定义调整栏!H52="","",自定义调整栏!H52)</f>
        <v/>
      </c>
      <c r="B864" s="376" t="str">
        <f>IF(自定义调整栏!H52="","",IF(自定义调整栏!G52="戏法",0,自定义调整栏!G52))</f>
        <v/>
      </c>
      <c r="C864" s="376" t="str">
        <f>IF(自定义调整栏!H52="","",自定义调整栏!J52)</f>
        <v/>
      </c>
      <c r="D864" s="376" t="str">
        <f>IF(自定义调整栏!S52="","",自定义调整栏!S52)</f>
        <v/>
      </c>
      <c r="E864" s="376" t="str">
        <f>IF(自定义调整栏!R52="","",自定义调整栏!R52)</f>
        <v/>
      </c>
      <c r="F864" s="377" t="str">
        <f>IF(自定义调整栏!K52="","",自定义调整栏!K52)</f>
        <v/>
      </c>
      <c r="G864" s="376" t="str">
        <f>IF(自定义调整栏!I52="","",自定义调整栏!I52)</f>
        <v/>
      </c>
      <c r="H864" s="376" t="str">
        <f>IF(自定义调整栏!L52="","",自定义调整栏!L52)</f>
        <v/>
      </c>
      <c r="I864" s="376" t="str">
        <f>IF(自定义调整栏!M52="","",自定义调整栏!M52)</f>
        <v/>
      </c>
      <c r="J864" s="376" t="str">
        <f>IF(自定义调整栏!N52="","",自定义调整栏!N52)</f>
        <v/>
      </c>
      <c r="K864" s="378" t="str">
        <f>IF(自定义调整栏!O52="","",自定义调整栏!O52)</f>
        <v/>
      </c>
      <c r="L864" s="379" t="str">
        <f>IF(自定义调整栏!P52="","",自定义调整栏!P52)</f>
        <v/>
      </c>
      <c r="M864" s="380" t="str">
        <f>IF(自定义调整栏!Q52="","",自定义调整栏!Q52)</f>
        <v/>
      </c>
      <c r="N864" s="378" t="s">
        <v>2858</v>
      </c>
      <c r="O864" s="376"/>
      <c r="P864" s="376"/>
      <c r="Q864" s="376"/>
      <c r="R864" s="376"/>
      <c r="S864" s="376"/>
      <c r="T864" s="376"/>
      <c r="U864" s="376"/>
      <c r="V864" s="376"/>
      <c r="W864" s="376"/>
      <c r="X864" s="376"/>
      <c r="Y864" s="376"/>
      <c r="Z864" s="381" t="s">
        <v>2859</v>
      </c>
      <c r="AA864" s="355"/>
    </row>
    <row r="865" spans="1:26" ht="16.899999999999999" customHeight="1" x14ac:dyDescent="0.15">
      <c r="A865" s="360"/>
      <c r="B865" s="360"/>
      <c r="C865" s="360"/>
      <c r="D865" s="360"/>
      <c r="E865" s="360"/>
      <c r="F865" s="361"/>
      <c r="G865" s="360"/>
      <c r="H865" s="360"/>
      <c r="I865" s="360"/>
      <c r="J865" s="360"/>
      <c r="K865" s="362"/>
      <c r="L865" s="363"/>
      <c r="M865" s="364"/>
      <c r="N865" s="362"/>
      <c r="O865" s="360"/>
      <c r="P865" s="360"/>
      <c r="Q865" s="360"/>
      <c r="R865" s="360"/>
      <c r="S865" s="360"/>
      <c r="T865" s="360"/>
      <c r="U865" s="360"/>
      <c r="V865" s="360"/>
      <c r="W865" s="360"/>
      <c r="X865" s="360"/>
      <c r="Y865" s="360"/>
      <c r="Z865" s="365"/>
    </row>
  </sheetData>
  <autoFilter ref="A2:Z865" xr:uid="{00000000-0009-0000-0000-00000C000000}"/>
  <phoneticPr fontId="68" type="noConversion"/>
  <conditionalFormatting sqref="A1:Y1048576">
    <cfRule type="expression" dxfId="13" priority="1">
      <formula>$C1="咒法"</formula>
    </cfRule>
    <cfRule type="expression" dxfId="12" priority="2">
      <formula>$C1="预言"</formula>
    </cfRule>
    <cfRule type="expression" dxfId="11" priority="3">
      <formula>$C1="变化"</formula>
    </cfRule>
    <cfRule type="expression" dxfId="10" priority="4">
      <formula>$C1="死灵"</formula>
    </cfRule>
    <cfRule type="expression" dxfId="9" priority="5">
      <formula>$C1="惑控"</formula>
    </cfRule>
    <cfRule type="expression" dxfId="8" priority="6">
      <formula>$C1="幻术"</formula>
    </cfRule>
    <cfRule type="expression" dxfId="7" priority="7">
      <formula>$C1="防护"</formula>
    </cfRule>
    <cfRule type="expression" dxfId="6" priority="8">
      <formula>$C1="塑能"</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CD1E-B941-4FAD-A7DA-5334B8E96931}">
  <sheetPr codeName="Sheet18">
    <tabColor rgb="FFFFFFCC"/>
  </sheetPr>
  <dimension ref="A1:BI71"/>
  <sheetViews>
    <sheetView zoomScale="85" zoomScaleNormal="85" workbookViewId="0">
      <selection activeCell="G2" sqref="G2:J5"/>
    </sheetView>
  </sheetViews>
  <sheetFormatPr defaultColWidth="3.875" defaultRowHeight="21" customHeight="1" x14ac:dyDescent="0.15"/>
  <cols>
    <col min="1" max="16384" width="3.875" style="120"/>
  </cols>
  <sheetData>
    <row r="1" spans="1:61" ht="21" customHeight="1" x14ac:dyDescent="0.15">
      <c r="A1" s="1041" t="s">
        <v>2968</v>
      </c>
      <c r="B1" s="1041"/>
      <c r="C1" s="1041"/>
      <c r="D1" s="1041"/>
      <c r="E1" s="1041"/>
      <c r="F1" s="1041"/>
      <c r="G1" s="1041"/>
      <c r="H1" s="1041"/>
      <c r="I1" s="1041"/>
      <c r="J1" s="1041"/>
      <c r="L1" s="1041" t="s">
        <v>2957</v>
      </c>
      <c r="M1" s="1041"/>
      <c r="N1" s="1041"/>
      <c r="O1" s="1041"/>
      <c r="P1" s="1041"/>
      <c r="Q1" s="1041"/>
      <c r="R1" s="1041"/>
      <c r="S1" s="1041"/>
      <c r="AA1" s="1041" t="s">
        <v>2967</v>
      </c>
      <c r="AB1" s="1041"/>
      <c r="AC1" s="1041"/>
      <c r="AD1" s="1041"/>
      <c r="AE1" s="1041"/>
      <c r="AF1" s="1041"/>
      <c r="AG1" s="1041"/>
      <c r="AI1" s="1041" t="s">
        <v>2966</v>
      </c>
      <c r="AJ1" s="1041"/>
      <c r="AK1" s="1041"/>
      <c r="AL1" s="1041"/>
      <c r="AM1" s="1041"/>
      <c r="AT1" s="120" t="s">
        <v>2969</v>
      </c>
      <c r="AW1" s="121" t="s">
        <v>2970</v>
      </c>
      <c r="AX1" s="121"/>
      <c r="AY1" s="121"/>
      <c r="AZ1" s="121" t="s">
        <v>2971</v>
      </c>
      <c r="BA1" s="121"/>
      <c r="BC1" s="120" t="s">
        <v>2972</v>
      </c>
      <c r="BF1" s="120" t="s">
        <v>2973</v>
      </c>
      <c r="BI1" s="120" t="s">
        <v>2974</v>
      </c>
    </row>
    <row r="2" spans="1:61" ht="21" customHeight="1" x14ac:dyDescent="0.15">
      <c r="B2" s="122"/>
      <c r="C2" s="122"/>
      <c r="D2" s="122"/>
      <c r="G2" s="1040" t="s">
        <v>2965</v>
      </c>
      <c r="H2" s="1040"/>
      <c r="I2" s="1040"/>
      <c r="J2" s="1040"/>
      <c r="N2" s="122"/>
      <c r="O2" s="122"/>
      <c r="P2" s="122"/>
      <c r="Q2" s="121"/>
      <c r="R2" s="121"/>
      <c r="AA2" s="122"/>
      <c r="AB2" s="122"/>
      <c r="AI2" s="1041" t="s">
        <v>2962</v>
      </c>
      <c r="AJ2" s="1041"/>
      <c r="AK2" s="1041"/>
      <c r="AL2" s="1041"/>
      <c r="AM2" s="1041"/>
      <c r="AQ2" s="123"/>
      <c r="AR2" s="124"/>
      <c r="AS2" s="124"/>
      <c r="AT2" s="124"/>
      <c r="AU2" s="125"/>
      <c r="AV2" s="125"/>
      <c r="AW2" s="125"/>
      <c r="AX2" s="126"/>
      <c r="AY2" s="126"/>
      <c r="AZ2" s="126"/>
      <c r="BA2" s="127"/>
      <c r="BB2" s="127"/>
      <c r="BC2" s="127"/>
      <c r="BD2" s="128"/>
      <c r="BE2" s="128"/>
      <c r="BF2" s="128"/>
      <c r="BG2" s="122"/>
      <c r="BH2" s="122"/>
      <c r="BI2" s="122"/>
    </row>
    <row r="3" spans="1:61" ht="21" customHeight="1" x14ac:dyDescent="0.15">
      <c r="A3" s="122"/>
      <c r="B3" s="122"/>
      <c r="C3" s="122"/>
      <c r="D3" s="122"/>
      <c r="E3" s="122"/>
      <c r="G3" s="1040"/>
      <c r="H3" s="1040"/>
      <c r="I3" s="1040"/>
      <c r="J3" s="1040"/>
      <c r="M3" s="122"/>
      <c r="N3" s="122"/>
      <c r="O3" s="122"/>
      <c r="P3" s="122"/>
      <c r="Q3" s="122"/>
      <c r="AA3" s="122"/>
      <c r="AB3" s="122"/>
      <c r="AL3" s="121"/>
      <c r="AR3" s="124"/>
      <c r="AS3" s="124"/>
      <c r="AT3" s="124"/>
      <c r="AU3" s="125"/>
      <c r="AV3" s="125"/>
      <c r="AW3" s="125"/>
      <c r="AX3" s="126"/>
      <c r="AY3" s="126"/>
      <c r="AZ3" s="126"/>
      <c r="BA3" s="127"/>
      <c r="BB3" s="127"/>
      <c r="BC3" s="127"/>
      <c r="BD3" s="128"/>
      <c r="BE3" s="128"/>
      <c r="BF3" s="128"/>
      <c r="BG3" s="122"/>
      <c r="BH3" s="122"/>
      <c r="BI3" s="122"/>
    </row>
    <row r="4" spans="1:61" ht="21" customHeight="1" x14ac:dyDescent="0.15">
      <c r="A4" s="122"/>
      <c r="B4" s="122"/>
      <c r="C4" s="119" t="s">
        <v>2955</v>
      </c>
      <c r="D4" s="122"/>
      <c r="E4" s="122"/>
      <c r="G4" s="1040"/>
      <c r="H4" s="1040"/>
      <c r="I4" s="1040"/>
      <c r="J4" s="1040"/>
      <c r="L4" s="122"/>
      <c r="M4" s="122"/>
      <c r="N4" s="122"/>
      <c r="O4" s="122"/>
      <c r="P4" s="122"/>
      <c r="Q4" s="122"/>
      <c r="R4" s="122"/>
      <c r="AI4" s="1041" t="s">
        <v>2964</v>
      </c>
      <c r="AJ4" s="1041"/>
      <c r="AK4" s="1041"/>
      <c r="AL4" s="1041"/>
      <c r="AM4" s="1041"/>
      <c r="AN4" s="1041"/>
      <c r="AO4" s="1041"/>
      <c r="AP4" s="1041"/>
      <c r="AR4" s="121"/>
      <c r="AS4" s="124"/>
      <c r="AT4" s="125"/>
      <c r="AU4" s="125"/>
      <c r="AV4" s="125"/>
      <c r="AW4" s="126"/>
      <c r="AX4" s="126"/>
      <c r="AY4" s="126"/>
      <c r="AZ4" s="127"/>
      <c r="BA4" s="127"/>
      <c r="BB4" s="127"/>
      <c r="BC4" s="128"/>
      <c r="BD4" s="128"/>
      <c r="BE4" s="128"/>
      <c r="BF4" s="122"/>
      <c r="BG4" s="122"/>
      <c r="BH4" s="122"/>
    </row>
    <row r="5" spans="1:61" ht="21" customHeight="1" x14ac:dyDescent="0.15">
      <c r="A5" s="122"/>
      <c r="B5" s="122"/>
      <c r="C5" s="122"/>
      <c r="D5" s="122"/>
      <c r="E5" s="122"/>
      <c r="G5" s="1040"/>
      <c r="H5" s="1040"/>
      <c r="I5" s="1040"/>
      <c r="J5" s="1040"/>
      <c r="L5" s="122"/>
      <c r="M5" s="122"/>
      <c r="N5" s="122"/>
      <c r="O5" s="119" t="s">
        <v>2955</v>
      </c>
      <c r="P5" s="122"/>
      <c r="Q5" s="122"/>
      <c r="R5" s="122"/>
      <c r="AA5" s="1041" t="s">
        <v>2963</v>
      </c>
      <c r="AB5" s="1041"/>
      <c r="AC5" s="1041"/>
      <c r="AD5" s="1041"/>
      <c r="AE5" s="1041"/>
      <c r="AF5" s="1041"/>
      <c r="AG5" s="1041"/>
      <c r="AI5" s="1041" t="s">
        <v>2962</v>
      </c>
      <c r="AJ5" s="1041"/>
      <c r="AK5" s="1041"/>
      <c r="AL5" s="1041"/>
      <c r="AM5" s="1041"/>
      <c r="AR5" s="121"/>
      <c r="AS5" s="121"/>
      <c r="AT5" s="125"/>
      <c r="AU5" s="125"/>
      <c r="AV5" s="125"/>
      <c r="AW5" s="126"/>
      <c r="AX5" s="126"/>
      <c r="AY5" s="126"/>
      <c r="AZ5" s="127"/>
      <c r="BA5" s="127"/>
      <c r="BB5" s="127"/>
      <c r="BC5" s="128"/>
      <c r="BD5" s="128"/>
      <c r="BE5" s="128"/>
      <c r="BF5" s="122"/>
      <c r="BG5" s="122"/>
      <c r="BH5" s="122"/>
    </row>
    <row r="6" spans="1:61" ht="21" customHeight="1" x14ac:dyDescent="0.15">
      <c r="B6" s="122"/>
      <c r="C6" s="122"/>
      <c r="D6" s="122"/>
      <c r="L6" s="122"/>
      <c r="M6" s="122"/>
      <c r="N6" s="122"/>
      <c r="O6" s="122"/>
      <c r="P6" s="122"/>
      <c r="Q6" s="122"/>
      <c r="R6" s="122"/>
      <c r="AB6" s="122"/>
      <c r="AC6" s="122"/>
      <c r="AR6" s="121"/>
      <c r="AS6" s="121"/>
      <c r="AT6" s="121"/>
      <c r="AU6" s="125"/>
      <c r="AV6" s="126"/>
      <c r="AW6" s="126"/>
      <c r="AX6" s="126"/>
      <c r="AY6" s="127"/>
      <c r="AZ6" s="127"/>
      <c r="BA6" s="127"/>
      <c r="BB6" s="128"/>
      <c r="BC6" s="128"/>
      <c r="BD6" s="128"/>
      <c r="BE6" s="122"/>
      <c r="BF6" s="122"/>
      <c r="BG6" s="122"/>
    </row>
    <row r="7" spans="1:61" ht="21" customHeight="1" x14ac:dyDescent="0.15">
      <c r="M7" s="122"/>
      <c r="N7" s="122"/>
      <c r="O7" s="122"/>
      <c r="P7" s="122"/>
      <c r="Q7" s="122"/>
      <c r="R7" s="121"/>
      <c r="AA7" s="122"/>
      <c r="AB7" s="122"/>
      <c r="AC7" s="122"/>
      <c r="AD7" s="122"/>
      <c r="AR7" s="121"/>
      <c r="AS7" s="121"/>
      <c r="AT7" s="121"/>
      <c r="AU7" s="121"/>
      <c r="AV7" s="126"/>
      <c r="AW7" s="126"/>
      <c r="AX7" s="126"/>
      <c r="AY7" s="127"/>
      <c r="AZ7" s="127"/>
      <c r="BA7" s="127"/>
      <c r="BB7" s="128"/>
      <c r="BC7" s="128"/>
      <c r="BD7" s="128"/>
      <c r="BE7" s="122"/>
      <c r="BF7" s="122"/>
      <c r="BG7" s="122"/>
    </row>
    <row r="8" spans="1:61" ht="21" customHeight="1" x14ac:dyDescent="0.15">
      <c r="A8" s="1041" t="s">
        <v>2961</v>
      </c>
      <c r="B8" s="1041"/>
      <c r="C8" s="1041"/>
      <c r="D8" s="1041"/>
      <c r="E8" s="1041"/>
      <c r="F8" s="1041"/>
      <c r="N8" s="122"/>
      <c r="O8" s="122"/>
      <c r="P8" s="122"/>
      <c r="Q8" s="121"/>
      <c r="R8" s="121"/>
      <c r="AA8" s="122"/>
      <c r="AB8" s="122"/>
      <c r="AC8" s="122"/>
      <c r="AD8" s="122"/>
      <c r="AJ8" s="1041" t="s">
        <v>2958</v>
      </c>
      <c r="AK8" s="1041"/>
      <c r="AL8" s="1041"/>
      <c r="AM8" s="1041"/>
      <c r="AN8" s="1041"/>
      <c r="AO8" s="1041"/>
      <c r="AP8" s="1041"/>
      <c r="AQ8" s="1041"/>
      <c r="AR8" s="121"/>
      <c r="AS8" s="121"/>
      <c r="AT8" s="121"/>
      <c r="AU8" s="121"/>
      <c r="AV8" s="121"/>
      <c r="AW8" s="126"/>
      <c r="AX8" s="127"/>
      <c r="AY8" s="127"/>
      <c r="AZ8" s="127"/>
      <c r="BA8" s="128"/>
      <c r="BB8" s="128"/>
      <c r="BC8" s="128"/>
      <c r="BD8" s="122"/>
      <c r="BE8" s="122"/>
      <c r="BF8" s="122"/>
    </row>
    <row r="9" spans="1:61" ht="21" customHeight="1" x14ac:dyDescent="0.15">
      <c r="B9" s="122"/>
      <c r="C9" s="122"/>
      <c r="D9" s="122"/>
      <c r="E9" s="122"/>
      <c r="AB9" s="122"/>
      <c r="AC9" s="122"/>
      <c r="AL9" s="122"/>
      <c r="AM9" s="122"/>
      <c r="AN9" s="122"/>
      <c r="AO9" s="122"/>
      <c r="AR9" s="121"/>
      <c r="AS9" s="121"/>
      <c r="AT9" s="121"/>
      <c r="AU9" s="121"/>
      <c r="AV9" s="121"/>
      <c r="AW9" s="121"/>
      <c r="AX9" s="127"/>
      <c r="AY9" s="127"/>
      <c r="AZ9" s="127"/>
      <c r="BA9" s="128"/>
      <c r="BB9" s="128"/>
      <c r="BC9" s="128"/>
      <c r="BD9" s="122"/>
      <c r="BE9" s="122"/>
      <c r="BF9" s="122"/>
    </row>
    <row r="10" spans="1:61" ht="21" customHeight="1" x14ac:dyDescent="0.15">
      <c r="A10" s="122"/>
      <c r="B10" s="122"/>
      <c r="C10" s="122"/>
      <c r="D10" s="122"/>
      <c r="E10" s="122"/>
      <c r="F10" s="122"/>
      <c r="L10" s="1041" t="s">
        <v>2956</v>
      </c>
      <c r="M10" s="1041"/>
      <c r="N10" s="1041"/>
      <c r="O10" s="1041"/>
      <c r="P10" s="1041"/>
      <c r="Q10" s="1041"/>
      <c r="R10" s="1041"/>
      <c r="S10" s="1041"/>
      <c r="T10" s="1041"/>
      <c r="U10" s="1041"/>
      <c r="V10" s="1041"/>
      <c r="W10" s="1041"/>
      <c r="X10" s="1041"/>
      <c r="AK10" s="122"/>
      <c r="AL10" s="122"/>
      <c r="AM10" s="122"/>
      <c r="AN10" s="122"/>
      <c r="AO10" s="122"/>
      <c r="AP10" s="122"/>
      <c r="AR10" s="121"/>
      <c r="AS10" s="121"/>
      <c r="AT10" s="121"/>
      <c r="AU10" s="121"/>
      <c r="AV10" s="121"/>
      <c r="AW10" s="121"/>
      <c r="AX10" s="121"/>
      <c r="AY10" s="127"/>
      <c r="AZ10" s="128"/>
      <c r="BA10" s="128"/>
      <c r="BB10" s="128"/>
      <c r="BC10" s="122"/>
      <c r="BD10" s="122"/>
      <c r="BE10" s="122"/>
    </row>
    <row r="11" spans="1:61" ht="21" customHeight="1" x14ac:dyDescent="0.15">
      <c r="A11" s="122"/>
      <c r="B11" s="122"/>
      <c r="C11" s="119" t="s">
        <v>2955</v>
      </c>
      <c r="D11" s="119" t="s">
        <v>2955</v>
      </c>
      <c r="E11" s="122"/>
      <c r="F11" s="122"/>
      <c r="P11" s="122"/>
      <c r="Q11" s="122"/>
      <c r="R11" s="122"/>
      <c r="S11" s="122"/>
      <c r="T11" s="122"/>
      <c r="AA11" s="1041" t="s">
        <v>2960</v>
      </c>
      <c r="AB11" s="1041"/>
      <c r="AC11" s="1041"/>
      <c r="AD11" s="1041"/>
      <c r="AE11" s="1041"/>
      <c r="AF11" s="1041"/>
      <c r="AJ11" s="122"/>
      <c r="AK11" s="122"/>
      <c r="AL11" s="122"/>
      <c r="AM11" s="122"/>
      <c r="AN11" s="122"/>
      <c r="AO11" s="122"/>
      <c r="AP11" s="122"/>
      <c r="AQ11" s="122"/>
      <c r="AR11" s="121"/>
      <c r="AS11" s="121"/>
      <c r="AT11" s="121"/>
      <c r="AU11" s="121"/>
      <c r="AV11" s="121"/>
      <c r="AW11" s="121"/>
      <c r="AX11" s="121"/>
      <c r="AY11" s="121"/>
      <c r="AZ11" s="128"/>
      <c r="BA11" s="128"/>
      <c r="BB11" s="128"/>
      <c r="BC11" s="122"/>
      <c r="BD11" s="122"/>
      <c r="BE11" s="122"/>
    </row>
    <row r="12" spans="1:61" ht="21" customHeight="1" x14ac:dyDescent="0.15">
      <c r="A12" s="122"/>
      <c r="B12" s="122"/>
      <c r="C12" s="119" t="s">
        <v>2955</v>
      </c>
      <c r="D12" s="119" t="s">
        <v>2955</v>
      </c>
      <c r="E12" s="122"/>
      <c r="F12" s="122"/>
      <c r="N12" s="122"/>
      <c r="O12" s="122"/>
      <c r="P12" s="122"/>
      <c r="Q12" s="122"/>
      <c r="R12" s="122"/>
      <c r="S12" s="122"/>
      <c r="T12" s="122"/>
      <c r="U12" s="122"/>
      <c r="V12" s="122"/>
      <c r="AB12" s="122"/>
      <c r="AC12" s="122"/>
      <c r="AD12" s="122"/>
      <c r="AE12" s="122"/>
      <c r="AJ12" s="122"/>
      <c r="AK12" s="122"/>
      <c r="AL12" s="122"/>
      <c r="AM12" s="122"/>
      <c r="AN12" s="122"/>
      <c r="AO12" s="122"/>
      <c r="AP12" s="122"/>
      <c r="AQ12" s="122"/>
      <c r="AR12" s="121"/>
      <c r="AS12" s="121"/>
      <c r="AT12" s="121"/>
      <c r="AU12" s="121"/>
      <c r="AV12" s="121"/>
      <c r="AW12" s="121"/>
      <c r="AX12" s="121"/>
      <c r="AY12" s="121"/>
      <c r="AZ12" s="121"/>
      <c r="BA12" s="128"/>
      <c r="BB12" s="122"/>
      <c r="BC12" s="122"/>
      <c r="BD12" s="122"/>
    </row>
    <row r="13" spans="1:61" ht="21" customHeight="1" x14ac:dyDescent="0.15">
      <c r="A13" s="122"/>
      <c r="B13" s="122"/>
      <c r="C13" s="122"/>
      <c r="D13" s="122"/>
      <c r="E13" s="122"/>
      <c r="F13" s="122"/>
      <c r="M13" s="122"/>
      <c r="N13" s="122"/>
      <c r="O13" s="122"/>
      <c r="P13" s="122"/>
      <c r="Q13" s="122"/>
      <c r="R13" s="122"/>
      <c r="S13" s="122"/>
      <c r="T13" s="122"/>
      <c r="U13" s="122"/>
      <c r="V13" s="122"/>
      <c r="W13" s="122"/>
      <c r="AA13" s="122"/>
      <c r="AB13" s="122"/>
      <c r="AC13" s="122"/>
      <c r="AD13" s="122"/>
      <c r="AE13" s="122"/>
      <c r="AF13" s="122"/>
      <c r="AJ13" s="122"/>
      <c r="AK13" s="122"/>
      <c r="AL13" s="122"/>
      <c r="AM13" s="122"/>
      <c r="AN13" s="122"/>
      <c r="AO13" s="122"/>
      <c r="AP13" s="122"/>
      <c r="AQ13" s="122"/>
      <c r="AR13" s="121"/>
      <c r="AS13" s="121"/>
      <c r="AT13" s="121"/>
      <c r="AU13" s="121"/>
      <c r="AV13" s="121"/>
      <c r="AW13" s="121"/>
      <c r="AX13" s="121"/>
      <c r="AY13" s="121"/>
      <c r="BB13" s="122"/>
      <c r="BC13" s="122"/>
      <c r="BD13" s="122"/>
    </row>
    <row r="14" spans="1:61" ht="21" customHeight="1" x14ac:dyDescent="0.15">
      <c r="B14" s="122"/>
      <c r="C14" s="122"/>
      <c r="D14" s="122"/>
      <c r="E14" s="122"/>
      <c r="M14" s="122"/>
      <c r="N14" s="122"/>
      <c r="O14" s="122"/>
      <c r="P14" s="122"/>
      <c r="Q14" s="122"/>
      <c r="R14" s="122"/>
      <c r="S14" s="122"/>
      <c r="T14" s="122"/>
      <c r="U14" s="122"/>
      <c r="V14" s="122"/>
      <c r="W14" s="122"/>
      <c r="AA14" s="122"/>
      <c r="AB14" s="122"/>
      <c r="AC14" s="122"/>
      <c r="AD14" s="122"/>
      <c r="AE14" s="122"/>
      <c r="AF14" s="122"/>
      <c r="AJ14" s="122"/>
      <c r="AK14" s="122"/>
      <c r="AL14" s="122"/>
      <c r="AM14" s="122"/>
      <c r="AN14" s="122"/>
      <c r="AO14" s="122"/>
      <c r="AP14" s="122"/>
      <c r="AQ14" s="122"/>
      <c r="AR14" s="121"/>
      <c r="AS14" s="121"/>
      <c r="AT14" s="121"/>
      <c r="AU14" s="121"/>
      <c r="AV14" s="121"/>
      <c r="AW14" s="121"/>
      <c r="AX14" s="121"/>
      <c r="AY14" s="121"/>
      <c r="BC14" s="122"/>
    </row>
    <row r="15" spans="1:61" ht="21" customHeight="1" x14ac:dyDescent="0.15">
      <c r="L15" s="122"/>
      <c r="M15" s="122"/>
      <c r="N15" s="122"/>
      <c r="O15" s="122"/>
      <c r="P15" s="122"/>
      <c r="Q15" s="122"/>
      <c r="R15" s="122"/>
      <c r="S15" s="122"/>
      <c r="T15" s="122"/>
      <c r="U15" s="122"/>
      <c r="V15" s="122"/>
      <c r="W15" s="122"/>
      <c r="X15" s="122"/>
      <c r="AA15" s="122"/>
      <c r="AB15" s="122"/>
      <c r="AC15" s="122"/>
      <c r="AD15" s="122"/>
      <c r="AE15" s="122"/>
      <c r="AF15" s="122"/>
      <c r="AK15" s="122"/>
      <c r="AL15" s="122"/>
      <c r="AM15" s="122"/>
      <c r="AN15" s="122"/>
      <c r="AO15" s="122"/>
      <c r="AP15" s="122"/>
    </row>
    <row r="16" spans="1:61" ht="21" customHeight="1" x14ac:dyDescent="0.15">
      <c r="A16" s="1041" t="s">
        <v>2959</v>
      </c>
      <c r="B16" s="1041"/>
      <c r="C16" s="1041"/>
      <c r="D16" s="1041"/>
      <c r="E16" s="1041"/>
      <c r="F16" s="1041"/>
      <c r="G16" s="1041"/>
      <c r="L16" s="122"/>
      <c r="M16" s="122"/>
      <c r="N16" s="122"/>
      <c r="O16" s="122"/>
      <c r="P16" s="122"/>
      <c r="Q16" s="122"/>
      <c r="R16" s="122"/>
      <c r="S16" s="122"/>
      <c r="T16" s="122"/>
      <c r="U16" s="122"/>
      <c r="V16" s="122"/>
      <c r="W16" s="122"/>
      <c r="X16" s="122"/>
      <c r="AA16" s="122"/>
      <c r="AB16" s="122"/>
      <c r="AC16" s="122"/>
      <c r="AD16" s="122"/>
      <c r="AE16" s="122"/>
      <c r="AF16" s="122"/>
      <c r="AL16" s="122"/>
      <c r="AM16" s="122"/>
      <c r="AN16" s="122"/>
      <c r="AO16" s="122"/>
    </row>
    <row r="17" spans="1:53" ht="21" customHeight="1" x14ac:dyDescent="0.15">
      <c r="B17" s="122"/>
      <c r="C17" s="122"/>
      <c r="D17" s="122"/>
      <c r="E17" s="122"/>
      <c r="F17" s="122"/>
      <c r="L17" s="122"/>
      <c r="M17" s="122"/>
      <c r="N17" s="122"/>
      <c r="O17" s="122"/>
      <c r="P17" s="122"/>
      <c r="Q17" s="122"/>
      <c r="R17" s="119" t="s">
        <v>2955</v>
      </c>
      <c r="S17" s="122"/>
      <c r="T17" s="122"/>
      <c r="U17" s="122"/>
      <c r="V17" s="122"/>
      <c r="W17" s="122"/>
      <c r="X17" s="122"/>
      <c r="AB17" s="122"/>
      <c r="AC17" s="122"/>
      <c r="AD17" s="122"/>
      <c r="AE17" s="122"/>
    </row>
    <row r="18" spans="1:53" ht="21" customHeight="1" x14ac:dyDescent="0.15">
      <c r="A18" s="122"/>
      <c r="B18" s="122"/>
      <c r="C18" s="122"/>
      <c r="D18" s="122"/>
      <c r="E18" s="122"/>
      <c r="F18" s="122"/>
      <c r="G18" s="122"/>
      <c r="L18" s="122"/>
      <c r="M18" s="122"/>
      <c r="N18" s="122"/>
      <c r="O18" s="122"/>
      <c r="P18" s="122"/>
      <c r="Q18" s="122"/>
      <c r="R18" s="122"/>
      <c r="S18" s="122"/>
      <c r="T18" s="122"/>
      <c r="U18" s="122"/>
      <c r="V18" s="122"/>
      <c r="W18" s="122"/>
      <c r="X18" s="122"/>
    </row>
    <row r="19" spans="1:53" ht="21" customHeight="1" x14ac:dyDescent="0.15">
      <c r="A19" s="122"/>
      <c r="B19" s="122"/>
      <c r="C19" s="119" t="s">
        <v>2955</v>
      </c>
      <c r="D19" s="119"/>
      <c r="E19" s="119" t="s">
        <v>2955</v>
      </c>
      <c r="F19" s="122"/>
      <c r="G19" s="122"/>
      <c r="L19" s="122"/>
      <c r="M19" s="122"/>
      <c r="N19" s="122"/>
      <c r="O19" s="122"/>
      <c r="P19" s="122"/>
      <c r="Q19" s="122"/>
      <c r="R19" s="122"/>
      <c r="S19" s="122"/>
      <c r="T19" s="122"/>
      <c r="U19" s="122"/>
      <c r="V19" s="122"/>
      <c r="W19" s="122"/>
      <c r="X19" s="122"/>
    </row>
    <row r="20" spans="1:53" ht="21" customHeight="1" x14ac:dyDescent="0.15">
      <c r="A20" s="122"/>
      <c r="B20" s="122"/>
      <c r="C20" s="119"/>
      <c r="D20" s="119"/>
      <c r="E20" s="119"/>
      <c r="F20" s="122"/>
      <c r="G20" s="122"/>
      <c r="M20" s="122"/>
      <c r="N20" s="122"/>
      <c r="O20" s="122"/>
      <c r="P20" s="122"/>
      <c r="Q20" s="122"/>
      <c r="R20" s="122"/>
      <c r="S20" s="122"/>
      <c r="T20" s="122"/>
      <c r="U20" s="122"/>
      <c r="V20" s="122"/>
      <c r="W20" s="122"/>
    </row>
    <row r="21" spans="1:53" ht="21" customHeight="1" x14ac:dyDescent="0.15">
      <c r="A21" s="122"/>
      <c r="B21" s="122"/>
      <c r="C21" s="119" t="s">
        <v>2955</v>
      </c>
      <c r="D21" s="119"/>
      <c r="E21" s="119" t="s">
        <v>2955</v>
      </c>
      <c r="F21" s="122"/>
      <c r="G21" s="122"/>
      <c r="M21" s="122"/>
      <c r="N21" s="122"/>
      <c r="O21" s="122"/>
      <c r="P21" s="122"/>
      <c r="Q21" s="122"/>
      <c r="R21" s="122"/>
      <c r="S21" s="122"/>
      <c r="T21" s="122"/>
      <c r="U21" s="122"/>
      <c r="V21" s="122"/>
      <c r="W21" s="122"/>
    </row>
    <row r="22" spans="1:53" ht="21" customHeight="1" x14ac:dyDescent="0.15">
      <c r="A22" s="122"/>
      <c r="B22" s="122"/>
      <c r="C22" s="122"/>
      <c r="D22" s="122"/>
      <c r="E22" s="122"/>
      <c r="F22" s="122"/>
      <c r="G22" s="122"/>
      <c r="N22" s="122"/>
      <c r="O22" s="122"/>
      <c r="P22" s="122"/>
      <c r="Q22" s="122"/>
      <c r="R22" s="122"/>
      <c r="S22" s="122"/>
      <c r="T22" s="122"/>
      <c r="U22" s="122"/>
      <c r="V22" s="122"/>
    </row>
    <row r="23" spans="1:53" ht="21" customHeight="1" x14ac:dyDescent="0.15">
      <c r="B23" s="122"/>
      <c r="C23" s="122"/>
      <c r="D23" s="122"/>
      <c r="E23" s="122"/>
      <c r="F23" s="122"/>
      <c r="P23" s="122"/>
      <c r="Q23" s="122"/>
      <c r="R23" s="122"/>
      <c r="S23" s="122"/>
      <c r="T23" s="122"/>
    </row>
    <row r="28" spans="1:53" ht="21" customHeight="1" x14ac:dyDescent="0.15">
      <c r="AP28" s="121"/>
      <c r="AQ28" s="121"/>
      <c r="AR28" s="121"/>
      <c r="AS28" s="121"/>
      <c r="AT28" s="121"/>
      <c r="AU28" s="121"/>
      <c r="AV28" s="121"/>
      <c r="AW28" s="121"/>
      <c r="AX28" s="121"/>
      <c r="AY28" s="121"/>
      <c r="AZ28" s="121"/>
      <c r="BA28" s="121"/>
    </row>
    <row r="29" spans="1:53" ht="21" customHeight="1" x14ac:dyDescent="0.15">
      <c r="AP29" s="121"/>
      <c r="AQ29" s="121"/>
      <c r="AR29" s="121"/>
      <c r="AS29" s="121"/>
      <c r="AT29" s="121"/>
      <c r="AU29" s="121"/>
      <c r="AV29" s="121"/>
      <c r="AW29" s="121"/>
      <c r="AX29" s="121"/>
      <c r="AY29" s="121"/>
      <c r="AZ29" s="121"/>
      <c r="BA29" s="121"/>
    </row>
    <row r="30" spans="1:53" ht="21" customHeight="1" x14ac:dyDescent="0.15">
      <c r="AT30" s="121"/>
      <c r="AU30" s="121"/>
      <c r="AV30" s="121"/>
      <c r="AW30" s="121"/>
      <c r="AX30" s="121"/>
      <c r="AY30" s="121"/>
      <c r="AZ30" s="121"/>
      <c r="BA30" s="121"/>
    </row>
    <row r="31" spans="1:53" ht="21" customHeight="1" x14ac:dyDescent="0.15">
      <c r="AT31" s="121"/>
      <c r="AU31" s="121"/>
      <c r="AV31" s="121"/>
      <c r="AW31" s="121"/>
      <c r="AX31" s="121"/>
      <c r="AY31" s="121"/>
      <c r="AZ31" s="121"/>
      <c r="BA31" s="121"/>
    </row>
    <row r="32" spans="1:53" ht="21" customHeight="1" x14ac:dyDescent="0.15">
      <c r="AT32" s="121"/>
      <c r="AU32" s="121"/>
      <c r="AV32" s="121"/>
      <c r="AW32" s="121"/>
      <c r="AX32" s="121"/>
      <c r="AY32" s="121"/>
      <c r="AZ32" s="121"/>
      <c r="BA32" s="121"/>
    </row>
    <row r="33" spans="22:55" ht="21" customHeight="1" x14ac:dyDescent="0.15">
      <c r="AD33" s="121"/>
      <c r="AE33" s="121"/>
      <c r="AF33" s="121"/>
      <c r="AG33" s="121"/>
      <c r="AH33" s="121"/>
      <c r="AI33" s="121"/>
      <c r="AJ33" s="121"/>
      <c r="AK33" s="121"/>
      <c r="AL33" s="121"/>
      <c r="AM33" s="121"/>
      <c r="AN33" s="121"/>
    </row>
    <row r="34" spans="22:55" ht="21" customHeight="1" x14ac:dyDescent="0.15">
      <c r="AD34" s="121"/>
      <c r="AE34" s="121"/>
      <c r="AF34" s="121"/>
      <c r="AG34" s="121"/>
      <c r="AH34" s="121"/>
      <c r="AI34" s="121"/>
      <c r="AJ34" s="121"/>
      <c r="AK34" s="121"/>
      <c r="AL34" s="121"/>
      <c r="AM34" s="121"/>
      <c r="AN34" s="121"/>
    </row>
    <row r="35" spans="22:55" ht="21" customHeight="1" x14ac:dyDescent="0.15">
      <c r="AD35" s="121"/>
      <c r="AE35" s="121"/>
      <c r="AF35" s="121"/>
      <c r="AG35" s="121"/>
      <c r="AH35" s="121"/>
      <c r="AI35" s="121"/>
      <c r="AJ35" s="121"/>
      <c r="AK35" s="121"/>
      <c r="AL35" s="121"/>
      <c r="AM35" s="121"/>
      <c r="AP35" s="121"/>
      <c r="AQ35" s="121"/>
      <c r="AR35" s="121"/>
      <c r="AS35" s="121"/>
    </row>
    <row r="36" spans="22:55" ht="21" customHeight="1" x14ac:dyDescent="0.15">
      <c r="AD36" s="121"/>
      <c r="AE36" s="121"/>
      <c r="AF36" s="121"/>
      <c r="AG36" s="121"/>
      <c r="AH36" s="121"/>
      <c r="AI36" s="121"/>
      <c r="AJ36" s="121"/>
      <c r="AK36" s="121"/>
      <c r="AL36" s="121"/>
      <c r="AM36" s="121"/>
      <c r="AP36" s="121"/>
      <c r="AQ36" s="121"/>
      <c r="AR36" s="121"/>
      <c r="AS36" s="121"/>
    </row>
    <row r="37" spans="22:55" ht="21" customHeight="1" x14ac:dyDescent="0.15">
      <c r="AD37" s="121"/>
      <c r="AE37" s="121"/>
      <c r="AF37" s="121"/>
      <c r="AG37" s="121"/>
      <c r="AH37" s="121"/>
      <c r="AI37" s="121"/>
      <c r="AJ37" s="121"/>
      <c r="AK37" s="121"/>
      <c r="AL37" s="121"/>
      <c r="AM37" s="121"/>
      <c r="AP37" s="121"/>
      <c r="AQ37" s="121"/>
      <c r="AR37" s="121"/>
      <c r="AS37" s="121"/>
    </row>
    <row r="38" spans="22:55" ht="21" customHeight="1" x14ac:dyDescent="0.15">
      <c r="V38" s="121"/>
      <c r="AD38" s="121"/>
      <c r="AE38" s="121"/>
      <c r="AF38" s="121"/>
      <c r="AG38" s="121"/>
      <c r="AH38" s="121"/>
      <c r="AI38" s="121"/>
      <c r="AJ38" s="121"/>
      <c r="AK38" s="121"/>
      <c r="AL38" s="121"/>
      <c r="AM38" s="121"/>
      <c r="AP38" s="121"/>
      <c r="AQ38" s="121"/>
      <c r="AR38" s="121"/>
      <c r="AS38" s="121"/>
    </row>
    <row r="39" spans="22:55" ht="21" customHeight="1" x14ac:dyDescent="0.15">
      <c r="AD39" s="121"/>
      <c r="AE39" s="121"/>
      <c r="AF39" s="121"/>
      <c r="AG39" s="121"/>
      <c r="AH39" s="121"/>
      <c r="AI39" s="121"/>
      <c r="AJ39" s="121"/>
      <c r="AK39" s="121"/>
      <c r="AL39" s="121"/>
      <c r="AM39" s="121"/>
      <c r="AS39" s="121"/>
      <c r="AV39" s="121"/>
      <c r="AW39" s="121"/>
      <c r="AX39" s="121"/>
      <c r="AY39" s="121"/>
      <c r="AZ39" s="121"/>
      <c r="BA39" s="121"/>
      <c r="BB39" s="121"/>
      <c r="BC39" s="121"/>
    </row>
    <row r="40" spans="22:55" ht="21" customHeight="1" x14ac:dyDescent="0.15">
      <c r="AD40" s="121"/>
      <c r="AE40" s="121"/>
      <c r="AF40" s="121"/>
      <c r="AG40" s="121"/>
      <c r="AH40" s="121"/>
      <c r="AI40" s="121"/>
      <c r="AJ40" s="121"/>
      <c r="AK40" s="121"/>
      <c r="AL40" s="121"/>
      <c r="AM40" s="121"/>
      <c r="AS40" s="121"/>
    </row>
    <row r="41" spans="22:55" ht="21" customHeight="1" x14ac:dyDescent="0.15">
      <c r="AD41" s="121"/>
      <c r="AE41" s="121"/>
      <c r="AF41" s="121"/>
      <c r="AG41" s="121"/>
      <c r="AH41" s="121"/>
      <c r="AI41" s="121"/>
      <c r="AJ41" s="121"/>
      <c r="AK41" s="121"/>
      <c r="AL41" s="121"/>
      <c r="AM41" s="121"/>
      <c r="AS41" s="121"/>
    </row>
    <row r="42" spans="22:55" ht="21" customHeight="1" x14ac:dyDescent="0.15">
      <c r="AD42" s="121"/>
      <c r="AE42" s="121"/>
      <c r="AF42" s="121"/>
      <c r="AG42" s="121"/>
      <c r="AH42" s="121"/>
      <c r="AI42" s="121"/>
      <c r="AJ42" s="121"/>
      <c r="AK42" s="121"/>
      <c r="AL42" s="121"/>
      <c r="AM42" s="121"/>
      <c r="AR42" s="121"/>
      <c r="AS42" s="121"/>
    </row>
    <row r="43" spans="22:55" ht="21" customHeight="1" x14ac:dyDescent="0.15">
      <c r="AD43" s="121"/>
      <c r="AE43" s="121"/>
      <c r="AF43" s="121"/>
      <c r="AG43" s="121"/>
      <c r="AH43" s="121"/>
      <c r="AI43" s="121"/>
      <c r="AJ43" s="121"/>
      <c r="AK43" s="121"/>
      <c r="AL43" s="121"/>
      <c r="AM43" s="121"/>
      <c r="AR43" s="121"/>
      <c r="AS43" s="121"/>
    </row>
    <row r="44" spans="22:55" ht="21" customHeight="1" x14ac:dyDescent="0.15">
      <c r="AD44" s="121"/>
      <c r="AE44" s="121"/>
      <c r="AF44" s="121"/>
      <c r="AG44" s="121"/>
      <c r="AH44" s="121"/>
      <c r="AI44" s="121"/>
      <c r="AJ44" s="121"/>
      <c r="AK44" s="121"/>
      <c r="AL44" s="121"/>
      <c r="AM44" s="121"/>
      <c r="AR44" s="121"/>
      <c r="AS44" s="121"/>
    </row>
    <row r="45" spans="22:55" ht="21" customHeight="1" x14ac:dyDescent="0.15">
      <c r="AD45" s="121"/>
      <c r="AE45" s="121"/>
      <c r="AF45" s="121"/>
      <c r="AG45" s="121"/>
      <c r="AH45" s="121"/>
      <c r="AI45" s="121"/>
      <c r="AJ45" s="121"/>
      <c r="AK45" s="121"/>
      <c r="AL45" s="121"/>
      <c r="AM45" s="121"/>
      <c r="AR45" s="121"/>
      <c r="AS45" s="121"/>
    </row>
    <row r="46" spans="22:55" ht="21" customHeight="1" x14ac:dyDescent="0.15">
      <c r="AD46" s="121"/>
      <c r="AE46" s="121"/>
      <c r="AF46" s="121"/>
      <c r="AG46" s="121"/>
      <c r="AH46" s="121"/>
      <c r="AI46" s="121"/>
      <c r="AJ46" s="121"/>
      <c r="AK46" s="121"/>
      <c r="AL46" s="121"/>
      <c r="AM46" s="121"/>
      <c r="AR46" s="121"/>
      <c r="AS46" s="121"/>
    </row>
    <row r="47" spans="22:55" ht="21" customHeight="1" x14ac:dyDescent="0.15">
      <c r="AD47" s="121"/>
      <c r="AE47" s="121"/>
      <c r="AF47" s="121"/>
      <c r="AG47" s="121"/>
      <c r="AH47" s="121"/>
      <c r="AI47" s="121"/>
      <c r="AJ47" s="121"/>
      <c r="AK47" s="121"/>
      <c r="AL47" s="121"/>
      <c r="AM47" s="121"/>
      <c r="AR47" s="121"/>
      <c r="AS47" s="121"/>
    </row>
    <row r="48" spans="22:55" ht="21" customHeight="1" x14ac:dyDescent="0.15">
      <c r="AD48" s="121"/>
      <c r="AE48" s="121"/>
      <c r="AF48" s="121"/>
      <c r="AG48" s="121"/>
      <c r="AH48" s="121"/>
      <c r="AI48" s="121"/>
      <c r="AJ48" s="121"/>
      <c r="AK48" s="121"/>
      <c r="AL48" s="121"/>
      <c r="AM48" s="121"/>
      <c r="AR48" s="121"/>
      <c r="AS48" s="121"/>
    </row>
    <row r="49" spans="29:45" ht="21" customHeight="1" x14ac:dyDescent="0.15">
      <c r="AD49" s="121"/>
      <c r="AE49" s="121"/>
      <c r="AF49" s="121"/>
      <c r="AG49" s="121"/>
      <c r="AH49" s="121"/>
      <c r="AI49" s="121"/>
      <c r="AJ49" s="121"/>
      <c r="AK49" s="121"/>
      <c r="AL49" s="121"/>
      <c r="AM49" s="121"/>
      <c r="AQ49" s="121"/>
      <c r="AR49" s="121"/>
      <c r="AS49" s="121"/>
    </row>
    <row r="50" spans="29:45" ht="21" customHeight="1" x14ac:dyDescent="0.15">
      <c r="AC50" s="121"/>
      <c r="AD50" s="121"/>
      <c r="AE50" s="121"/>
      <c r="AF50" s="121"/>
      <c r="AG50" s="121"/>
      <c r="AH50" s="121"/>
      <c r="AI50" s="121"/>
      <c r="AJ50" s="121"/>
      <c r="AK50" s="121"/>
      <c r="AL50" s="121"/>
      <c r="AM50" s="121"/>
      <c r="AQ50" s="121"/>
      <c r="AR50" s="121"/>
      <c r="AS50" s="121"/>
    </row>
    <row r="51" spans="29:45" ht="21" customHeight="1" x14ac:dyDescent="0.15">
      <c r="AC51" s="121"/>
      <c r="AD51" s="121"/>
      <c r="AE51" s="121"/>
      <c r="AF51" s="121"/>
      <c r="AG51" s="121"/>
      <c r="AH51" s="121"/>
      <c r="AI51" s="121"/>
      <c r="AJ51" s="121"/>
      <c r="AK51" s="121"/>
      <c r="AL51" s="121"/>
      <c r="AM51" s="121"/>
      <c r="AQ51" s="121"/>
      <c r="AR51" s="121"/>
      <c r="AS51" s="121"/>
    </row>
    <row r="52" spans="29:45" ht="21" customHeight="1" x14ac:dyDescent="0.15">
      <c r="AC52" s="121"/>
      <c r="AD52" s="121"/>
      <c r="AE52" s="121"/>
      <c r="AF52" s="121"/>
      <c r="AG52" s="121"/>
      <c r="AH52" s="121"/>
      <c r="AI52" s="121"/>
      <c r="AJ52" s="121"/>
      <c r="AK52" s="121"/>
      <c r="AL52" s="121"/>
      <c r="AM52" s="121"/>
      <c r="AQ52" s="121"/>
      <c r="AR52" s="121"/>
      <c r="AS52" s="121"/>
    </row>
    <row r="53" spans="29:45" ht="21" customHeight="1" x14ac:dyDescent="0.15">
      <c r="AC53" s="121"/>
      <c r="AD53" s="121"/>
      <c r="AE53" s="121"/>
      <c r="AF53" s="121"/>
      <c r="AG53" s="121"/>
      <c r="AH53" s="121"/>
      <c r="AI53" s="121"/>
      <c r="AJ53" s="121"/>
      <c r="AK53" s="121"/>
      <c r="AL53" s="121"/>
      <c r="AM53" s="121"/>
      <c r="AQ53" s="121"/>
      <c r="AR53" s="121"/>
      <c r="AS53" s="121"/>
    </row>
    <row r="54" spans="29:45" ht="21" customHeight="1" x14ac:dyDescent="0.15">
      <c r="AD54" s="121"/>
      <c r="AE54" s="121"/>
      <c r="AF54" s="121"/>
      <c r="AG54" s="121"/>
      <c r="AH54" s="121"/>
      <c r="AI54" s="121"/>
      <c r="AJ54" s="121"/>
      <c r="AK54" s="121"/>
      <c r="AL54" s="121"/>
      <c r="AM54" s="121"/>
    </row>
    <row r="55" spans="29:45" ht="21" customHeight="1" x14ac:dyDescent="0.15">
      <c r="AD55" s="121"/>
      <c r="AE55" s="121"/>
      <c r="AF55" s="121"/>
      <c r="AG55" s="121"/>
      <c r="AH55" s="121"/>
      <c r="AI55" s="121"/>
      <c r="AJ55" s="121"/>
      <c r="AK55" s="121"/>
      <c r="AL55" s="121"/>
      <c r="AM55" s="121"/>
    </row>
    <row r="56" spans="29:45" ht="21" customHeight="1" x14ac:dyDescent="0.15">
      <c r="AD56" s="121"/>
      <c r="AE56" s="121"/>
      <c r="AF56" s="121"/>
      <c r="AG56" s="121"/>
      <c r="AH56" s="121"/>
      <c r="AI56" s="121"/>
      <c r="AJ56" s="121"/>
      <c r="AK56" s="121"/>
      <c r="AL56" s="121"/>
      <c r="AM56" s="121"/>
    </row>
    <row r="57" spans="29:45" ht="21" customHeight="1" x14ac:dyDescent="0.15">
      <c r="AD57" s="121"/>
      <c r="AE57" s="121"/>
      <c r="AF57" s="121"/>
      <c r="AG57" s="121"/>
      <c r="AH57" s="121"/>
      <c r="AI57" s="121"/>
      <c r="AJ57" s="121"/>
      <c r="AK57" s="121"/>
      <c r="AL57" s="121"/>
      <c r="AM57" s="121"/>
    </row>
    <row r="58" spans="29:45" ht="21" customHeight="1" x14ac:dyDescent="0.15">
      <c r="AD58" s="121"/>
      <c r="AE58" s="121"/>
      <c r="AF58" s="121"/>
      <c r="AG58" s="121"/>
      <c r="AH58" s="121"/>
      <c r="AI58" s="121"/>
      <c r="AJ58" s="121"/>
      <c r="AK58" s="121"/>
      <c r="AL58" s="121"/>
      <c r="AM58" s="121"/>
    </row>
    <row r="59" spans="29:45" ht="21" customHeight="1" x14ac:dyDescent="0.15">
      <c r="AD59" s="121"/>
      <c r="AE59" s="121"/>
      <c r="AF59" s="121"/>
      <c r="AG59" s="121"/>
      <c r="AH59" s="121"/>
      <c r="AI59" s="121"/>
      <c r="AJ59" s="121"/>
      <c r="AK59" s="121"/>
      <c r="AL59" s="121"/>
      <c r="AM59" s="121"/>
    </row>
    <row r="60" spans="29:45" ht="21" customHeight="1" x14ac:dyDescent="0.15">
      <c r="AD60" s="121"/>
      <c r="AE60" s="121"/>
      <c r="AF60" s="121"/>
      <c r="AG60" s="121"/>
      <c r="AH60" s="121"/>
      <c r="AI60" s="121"/>
      <c r="AJ60" s="121"/>
      <c r="AK60" s="121"/>
      <c r="AL60" s="121"/>
      <c r="AM60" s="121"/>
    </row>
    <row r="61" spans="29:45" ht="21" customHeight="1" x14ac:dyDescent="0.15">
      <c r="AD61" s="121"/>
      <c r="AE61" s="121"/>
      <c r="AF61" s="121"/>
      <c r="AG61" s="121"/>
      <c r="AH61" s="121"/>
      <c r="AI61" s="121"/>
      <c r="AJ61" s="121"/>
      <c r="AK61" s="121"/>
      <c r="AL61" s="121"/>
      <c r="AM61" s="121"/>
    </row>
    <row r="62" spans="29:45" ht="21" customHeight="1" x14ac:dyDescent="0.15">
      <c r="AD62" s="121"/>
      <c r="AE62" s="121"/>
      <c r="AF62" s="121"/>
      <c r="AG62" s="121"/>
      <c r="AH62" s="121"/>
      <c r="AI62" s="121"/>
      <c r="AJ62" s="121"/>
      <c r="AK62" s="121"/>
      <c r="AL62" s="121"/>
      <c r="AM62" s="121"/>
    </row>
    <row r="63" spans="29:45" ht="21" customHeight="1" x14ac:dyDescent="0.15">
      <c r="AD63" s="121"/>
      <c r="AE63" s="121"/>
      <c r="AF63" s="121"/>
      <c r="AG63" s="121"/>
      <c r="AH63" s="121"/>
      <c r="AI63" s="121"/>
      <c r="AJ63" s="121"/>
      <c r="AK63" s="121"/>
      <c r="AL63" s="121"/>
      <c r="AM63" s="121"/>
    </row>
    <row r="64" spans="29:45" ht="21" customHeight="1" x14ac:dyDescent="0.15">
      <c r="AD64" s="121"/>
      <c r="AE64" s="121"/>
      <c r="AF64" s="121"/>
      <c r="AG64" s="121"/>
      <c r="AH64" s="121"/>
      <c r="AI64" s="121"/>
      <c r="AJ64" s="121"/>
      <c r="AK64" s="121"/>
      <c r="AL64" s="121"/>
      <c r="AM64" s="121"/>
    </row>
    <row r="65" spans="30:39" ht="21" customHeight="1" x14ac:dyDescent="0.15">
      <c r="AD65" s="121"/>
      <c r="AE65" s="121"/>
      <c r="AF65" s="121"/>
      <c r="AG65" s="121"/>
      <c r="AH65" s="121"/>
      <c r="AI65" s="121"/>
      <c r="AJ65" s="121"/>
      <c r="AK65" s="121"/>
      <c r="AL65" s="121"/>
      <c r="AM65" s="121"/>
    </row>
    <row r="66" spans="30:39" ht="21" customHeight="1" x14ac:dyDescent="0.15">
      <c r="AD66" s="121"/>
      <c r="AE66" s="121"/>
      <c r="AF66" s="121"/>
      <c r="AG66" s="121"/>
      <c r="AH66" s="121"/>
      <c r="AI66" s="121"/>
      <c r="AJ66" s="121"/>
      <c r="AK66" s="121"/>
      <c r="AL66" s="121"/>
      <c r="AM66" s="121"/>
    </row>
    <row r="67" spans="30:39" ht="21" customHeight="1" x14ac:dyDescent="0.15">
      <c r="AD67" s="121"/>
      <c r="AE67" s="121"/>
      <c r="AF67" s="121"/>
      <c r="AG67" s="121"/>
      <c r="AH67" s="121"/>
      <c r="AI67" s="121"/>
      <c r="AJ67" s="121"/>
      <c r="AK67" s="121"/>
      <c r="AL67" s="121"/>
      <c r="AM67" s="121"/>
    </row>
    <row r="68" spans="30:39" ht="21" customHeight="1" x14ac:dyDescent="0.15">
      <c r="AD68" s="121"/>
      <c r="AE68" s="121"/>
      <c r="AF68" s="121"/>
      <c r="AG68" s="121"/>
      <c r="AH68" s="121"/>
      <c r="AI68" s="121"/>
      <c r="AJ68" s="121"/>
      <c r="AK68" s="121"/>
      <c r="AL68" s="121"/>
      <c r="AM68" s="121"/>
    </row>
    <row r="69" spans="30:39" ht="21" customHeight="1" x14ac:dyDescent="0.15">
      <c r="AD69" s="121"/>
      <c r="AE69" s="121"/>
      <c r="AF69" s="121"/>
      <c r="AG69" s="121"/>
      <c r="AH69" s="121"/>
      <c r="AI69" s="121"/>
      <c r="AJ69" s="121"/>
      <c r="AK69" s="121"/>
      <c r="AL69" s="121"/>
      <c r="AM69" s="121"/>
    </row>
    <row r="70" spans="30:39" ht="21" customHeight="1" x14ac:dyDescent="0.15">
      <c r="AD70" s="121"/>
      <c r="AE70" s="121"/>
      <c r="AF70" s="121"/>
      <c r="AG70" s="121"/>
      <c r="AH70" s="121"/>
      <c r="AI70" s="121"/>
      <c r="AJ70" s="121"/>
      <c r="AK70" s="121"/>
      <c r="AL70" s="121"/>
      <c r="AM70" s="121"/>
    </row>
    <row r="71" spans="30:39" ht="21" customHeight="1" x14ac:dyDescent="0.15">
      <c r="AD71" s="121"/>
      <c r="AE71" s="121"/>
      <c r="AF71" s="121"/>
      <c r="AG71" s="121"/>
      <c r="AH71" s="121"/>
      <c r="AI71" s="121"/>
      <c r="AJ71" s="121"/>
      <c r="AK71" s="121"/>
      <c r="AL71" s="121"/>
      <c r="AM71" s="121"/>
    </row>
  </sheetData>
  <mergeCells count="14">
    <mergeCell ref="AA1:AG1"/>
    <mergeCell ref="AA5:AG5"/>
    <mergeCell ref="AA11:AF11"/>
    <mergeCell ref="AJ8:AQ8"/>
    <mergeCell ref="AI5:AM5"/>
    <mergeCell ref="AI4:AP4"/>
    <mergeCell ref="AI2:AM2"/>
    <mergeCell ref="AI1:AM1"/>
    <mergeCell ref="G2:J5"/>
    <mergeCell ref="A1:J1"/>
    <mergeCell ref="A8:F8"/>
    <mergeCell ref="A16:G16"/>
    <mergeCell ref="L1:S1"/>
    <mergeCell ref="L10:X10"/>
  </mergeCells>
  <phoneticPr fontId="68"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4" tint="0.59999389629810485"/>
  </sheetPr>
  <dimension ref="B2:L28"/>
  <sheetViews>
    <sheetView workbookViewId="0">
      <selection activeCell="B8" sqref="B8:H13"/>
    </sheetView>
  </sheetViews>
  <sheetFormatPr defaultColWidth="8.875" defaultRowHeight="13.5" x14ac:dyDescent="0.15"/>
  <cols>
    <col min="1" max="16384" width="8.875" style="2"/>
  </cols>
  <sheetData>
    <row r="2" spans="2:12" x14ac:dyDescent="0.15">
      <c r="B2" s="1045" t="s">
        <v>2865</v>
      </c>
      <c r="C2" s="1045"/>
      <c r="D2" s="1045"/>
      <c r="E2" s="1045"/>
      <c r="F2" s="1045"/>
      <c r="G2" s="1045"/>
      <c r="H2" s="1045"/>
      <c r="I2" s="1050" t="s">
        <v>2866</v>
      </c>
      <c r="J2" s="1060" t="s">
        <v>2867</v>
      </c>
      <c r="K2" s="1060"/>
      <c r="L2" s="1060"/>
    </row>
    <row r="3" spans="2:12" ht="14.45" customHeight="1" x14ac:dyDescent="0.15">
      <c r="B3" s="1049" t="s">
        <v>10993</v>
      </c>
      <c r="C3" s="1049"/>
      <c r="D3" s="1049"/>
      <c r="E3" s="1049"/>
      <c r="F3" s="1049"/>
      <c r="G3" s="1049"/>
      <c r="H3" s="1049"/>
      <c r="I3" s="1050"/>
      <c r="J3" s="1060"/>
      <c r="K3" s="1060"/>
      <c r="L3" s="1060"/>
    </row>
    <row r="4" spans="2:12" ht="14.45" customHeight="1" x14ac:dyDescent="0.15">
      <c r="B4" s="1049"/>
      <c r="C4" s="1049"/>
      <c r="D4" s="1049"/>
      <c r="E4" s="1049"/>
      <c r="F4" s="1049"/>
      <c r="G4" s="1049"/>
      <c r="H4" s="1049"/>
      <c r="I4" s="1050"/>
      <c r="J4" s="1060"/>
      <c r="K4" s="1060"/>
      <c r="L4" s="1060"/>
    </row>
    <row r="5" spans="2:12" ht="14.45" customHeight="1" x14ac:dyDescent="0.15">
      <c r="B5" s="1049"/>
      <c r="C5" s="1049"/>
      <c r="D5" s="1049"/>
      <c r="E5" s="1049"/>
      <c r="F5" s="1049"/>
      <c r="G5" s="1049"/>
      <c r="H5" s="1049"/>
      <c r="I5" s="1050"/>
      <c r="J5" s="1060"/>
      <c r="K5" s="1060"/>
      <c r="L5" s="1060"/>
    </row>
    <row r="6" spans="2:12" ht="14.45" customHeight="1" x14ac:dyDescent="0.15">
      <c r="B6" s="1049"/>
      <c r="C6" s="1049"/>
      <c r="D6" s="1049"/>
      <c r="E6" s="1049"/>
      <c r="F6" s="1049"/>
      <c r="G6" s="1049"/>
      <c r="H6" s="1049"/>
      <c r="I6" s="1050"/>
      <c r="J6" s="1060"/>
      <c r="K6" s="1060"/>
      <c r="L6" s="1060"/>
    </row>
    <row r="7" spans="2:12" ht="14.45" customHeight="1" x14ac:dyDescent="0.15">
      <c r="B7" s="1049"/>
      <c r="C7" s="1049"/>
      <c r="D7" s="1049"/>
      <c r="E7" s="1049"/>
      <c r="F7" s="1049"/>
      <c r="G7" s="1049"/>
      <c r="H7" s="1049"/>
      <c r="I7" s="1050"/>
      <c r="J7" s="1060"/>
      <c r="K7" s="1060"/>
      <c r="L7" s="1060"/>
    </row>
    <row r="8" spans="2:12" x14ac:dyDescent="0.15">
      <c r="B8" s="1051" t="str">
        <f>主要!$AV$1</f>
        <v>.st 力量:10 敏捷:10 体质:10 智力:10 感知:10 魅力:10 hp:0 hpmax:0 先攻:0 ac:10 dc:10 pp:10 熟练:2 运动:0 特技:0 巧手:0 隐匿:0 调查:0 奥秘:0 历史:0 自然:0 宗教:0 察觉:0 洞悉:0 驯兽:0 医疗:0 求生:0 游说:0 欺瞒:0 威吓:0 表演:0</v>
      </c>
      <c r="C8" s="1052"/>
      <c r="D8" s="1052"/>
      <c r="E8" s="1052"/>
      <c r="F8" s="1052"/>
      <c r="G8" s="1052"/>
      <c r="H8" s="1053"/>
      <c r="J8" s="1060"/>
      <c r="K8" s="1060"/>
      <c r="L8" s="1060"/>
    </row>
    <row r="9" spans="2:12" x14ac:dyDescent="0.15">
      <c r="B9" s="1054"/>
      <c r="C9" s="1055"/>
      <c r="D9" s="1055"/>
      <c r="E9" s="1055"/>
      <c r="F9" s="1055"/>
      <c r="G9" s="1055"/>
      <c r="H9" s="1056"/>
      <c r="J9" s="1060"/>
      <c r="K9" s="1060"/>
      <c r="L9" s="1060"/>
    </row>
    <row r="10" spans="2:12" x14ac:dyDescent="0.15">
      <c r="B10" s="1054"/>
      <c r="C10" s="1055"/>
      <c r="D10" s="1055"/>
      <c r="E10" s="1055"/>
      <c r="F10" s="1055"/>
      <c r="G10" s="1055"/>
      <c r="H10" s="1056"/>
      <c r="J10" s="1060"/>
      <c r="K10" s="1060"/>
      <c r="L10" s="1060"/>
    </row>
    <row r="11" spans="2:12" x14ac:dyDescent="0.15">
      <c r="B11" s="1054"/>
      <c r="C11" s="1055"/>
      <c r="D11" s="1055"/>
      <c r="E11" s="1055"/>
      <c r="F11" s="1055"/>
      <c r="G11" s="1055"/>
      <c r="H11" s="1056"/>
      <c r="J11" s="1060"/>
      <c r="K11" s="1060"/>
      <c r="L11" s="1060"/>
    </row>
    <row r="12" spans="2:12" x14ac:dyDescent="0.15">
      <c r="B12" s="1054"/>
      <c r="C12" s="1055"/>
      <c r="D12" s="1055"/>
      <c r="E12" s="1055"/>
      <c r="F12" s="1055"/>
      <c r="G12" s="1055"/>
      <c r="H12" s="1056"/>
      <c r="J12" s="1060"/>
      <c r="K12" s="1060"/>
      <c r="L12" s="1060"/>
    </row>
    <row r="13" spans="2:12" x14ac:dyDescent="0.15">
      <c r="B13" s="1057"/>
      <c r="C13" s="1058"/>
      <c r="D13" s="1058"/>
      <c r="E13" s="1058"/>
      <c r="F13" s="1058"/>
      <c r="G13" s="1058"/>
      <c r="H13" s="1059"/>
      <c r="J13" s="1060"/>
      <c r="K13" s="1060"/>
      <c r="L13" s="1060"/>
    </row>
    <row r="15" spans="2:12" ht="16.5" x14ac:dyDescent="0.15">
      <c r="B15" s="1042" t="s">
        <v>10992</v>
      </c>
      <c r="C15" s="1042"/>
      <c r="D15" s="1042"/>
      <c r="E15" s="1042"/>
      <c r="F15" s="1042"/>
      <c r="G15" s="1042"/>
      <c r="H15" s="1042"/>
      <c r="I15" s="3"/>
      <c r="J15" s="1046" t="s">
        <v>2868</v>
      </c>
      <c r="K15" s="1047"/>
      <c r="L15" s="1048"/>
    </row>
    <row r="16" spans="2:12" ht="16.5" x14ac:dyDescent="0.15">
      <c r="B16" s="1043" t="s">
        <v>10991</v>
      </c>
      <c r="C16" s="1043"/>
      <c r="D16" s="1043"/>
      <c r="E16" s="1043"/>
      <c r="F16" s="1043"/>
      <c r="G16" s="1043"/>
      <c r="H16" s="1043"/>
      <c r="J16" s="1049" t="s">
        <v>2869</v>
      </c>
      <c r="K16" s="1049"/>
      <c r="L16" s="1049"/>
    </row>
    <row r="17" spans="2:12" x14ac:dyDescent="0.15">
      <c r="B17" s="1044" t="str" cm="1">
        <f t="array" ref="B17">_xlfn.LET(_xlpm.Q,CHAR(34),SUBSTITUTE(SUBSTITUTE(_xlfn.TEXTJOIN("",TRUE,"{",_xlpm.Q,"kind",_xlpm.Q,":",_xlpm.Q,"character",_xlpm.Q,",
",_xlpm.Q,"data",_xlpm.Q,":{",_xlpm.Q,"name",_xlpm.Q,":",_xlpm.Q,主要!E3,_xlpm.Q,",",_xlpm.Q,"playerName",_xlpm.Q,":",_xlpm.Q,主要!E4,_xlpm.Q,",",_xlpm.Q,"initiative",_xlpm.Q,":",主要!D22,",
",_xlpm.Q,"status",_xlpm.Q,":[
{",_xlpm.Q,"label",_xlpm.Q,":",_xlpm.Q,"HP",_xlpm.Q,",",_xlpm.Q,"value",_xlpm.Q,":",_xlpm.Q,主要!R22,_xlpm.Q,",",_xlpm.Q,"max",_xlpm.Q,":",_xlpm.Q,主要!V22,_xlpm.Q,"},
",IF(主要!F81="","",_xlfn.CONCAT("{",_xlpm.Q,"label",_xlpm.Q,":",_xlpm.Q,"MP",_xlpm.Q,",",_xlpm.Q,"value",_xlpm.Q,":",_xlpm.Q,主要!F81,_xlpm.Q,",",_xlpm.Q,"max",_xlpm.Q,":",_xlpm.Q,主要!J81,_xlpm.Q,"},")),"
","{"&amp;_xlpm.Q&amp;"label"&amp;_xlpm.Q&amp;":"&amp;_xlpm.Q&amp;主要!B23:B24&amp;_xlpm.Q&amp;","&amp;_xlpm.Q&amp;"value"&amp;_xlpm.Q&amp;":"&amp;_xlpm.Q&amp;主要!D23:D24&amp;_xlpm.Q&amp;","&amp;_xlpm.Q&amp;"max"&amp;_xlpm.Q&amp;":"&amp;_xlpm.Q&amp;0&amp;_xlpm.Q&amp;"},","
",IF(主要!E72:E80="","","{"&amp;_xlpm.Q&amp;"label"&amp;_xlpm.Q&amp;":"&amp;_xlpm.Q&amp;主要!B72:B80&amp;"环"&amp;_xlpm.Q&amp;","&amp;_xlpm.Q&amp;"value"&amp;_xlpm.Q&amp;":"&amp;_xlpm.Q&amp;主要!E72:E80&amp;_xlpm.Q&amp;","&amp;_xlpm.Q&amp;"max"&amp;_xlpm.Q&amp;":"&amp;_xlpm.Q&amp;主要!H72:H80&amp;_xlpm.Q&amp;"},"),"
",IF(主要!F26:F28="","","{"&amp;_xlpm.Q&amp;"label"&amp;_xlpm.Q&amp;":"&amp;_xlpm.Q&amp;主要!F26:F28&amp;_xlpm.Q&amp;","&amp;_xlpm.Q&amp;"value"&amp;_xlpm.Q&amp;":"&amp;_xlpm.Q&amp;主要!J26:J28&amp;_xlpm.Q&amp;","&amp;_xlpm.Q&amp;"max"&amp;_xlpm.Q&amp;":"&amp;_xlpm.Q&amp;主要!M26:M28&amp;_xlpm.Q&amp;"},"),"
",IF(主要!U26:U28="","","{"&amp;_xlpm.Q&amp;"label"&amp;_xlpm.Q&amp;":"&amp;_xlpm.Q&amp;主要!U26:U28&amp;_xlpm.Q&amp;","&amp;_xlpm.Q&amp;"value"&amp;_xlpm.Q&amp;":"&amp;_xlpm.Q&amp;主要!Y26:Y28&amp;_xlpm.Q&amp;","&amp;_xlpm.Q&amp;"max"&amp;_xlpm.Q&amp;":"&amp;_xlpm.Q&amp;主要!AB26:AB28&amp;_xlpm.Q&amp;"},"),"
",IF(主要!AJ26:AJ28="","","{"&amp;_xlpm.Q&amp;"label"&amp;_xlpm.Q&amp;":"&amp;_xlpm.Q&amp;主要!AJ26:AJ28&amp;_xlpm.Q&amp;","&amp;_xlpm.Q&amp;"value"&amp;_xlpm.Q&amp;":"&amp;_xlpm.Q&amp;主要!AN26:AN28&amp;_xlpm.Q&amp;","&amp;_xlpm.Q&amp;"max"&amp;_xlpm.Q&amp;":"&amp;_xlpm.Q&amp;主要!AQ26:AQ28&amp;_xlpm.Q&amp;"},"),"
],
",_xlpm.Q,"params",_xlpm.Q,":[
{",_xlpm.Q,"label",_xlpm.Q,":",_xlpm.Q,"熟练",_xlpm.Q,",",_xlpm.Q,"value",_xlpm.Q,":",_xlpm.Q,主要!S3,_xlpm.Q,"},
","{"&amp;_xlpm.Q&amp;"label"&amp;_xlpm.Q&amp;":"&amp;_xlpm.Q&amp;主要!C13:C18&amp;_xlpm.Q&amp;","&amp;_xlpm.Q&amp;"value"&amp;_xlpm.Q&amp;":"&amp;_xlpm.Q&amp;主要!R13:R18&amp;_xlpm.Q&amp;"},","
",IF(主要!C41:C62="","","{"&amp;_xlpm.Q&amp;"label"&amp;_xlpm.Q&amp;":"&amp;_xlpm.Q&amp;主要!C41:C62&amp;_xlpm.Q&amp;","&amp;_xlpm.Q&amp;"value"&amp;_xlpm.Q&amp;":"&amp;_xlpm.Q&amp;主要!I41:I62&amp;_xlpm.Q&amp;"},"),"
],
",_xlpm.Q,"faces",_xlpm.Q,":[],",_xlpm.Q,"x",_xlpm.Q,":0,",_xlpm.Q,"y",_xlpm.Q,":0,",_xlpm.Q,"z",_xlpm.Q,":0,",_xlpm.Q,"angle",_xlpm.Q,":0,",_xlpm.Q,"width",_xlpm.Q,":4,",_xlpm.Q,"height",_xlpm.Q,":4,","
",_xlpm.Q,"active",_xlpm.Q,":true,",_xlpm.Q,"secret",_xlpm.Q,":false,",_xlpm.Q,"invisible",_xlpm.Q,":false,",_xlpm.Q,"hideStatus",_xlpm.Q,":false,",_xlpm.Q,"color",_xlpm.Q,":",_xlpm.Q,_xlpm.Q,",",_xlpm.Q,"roomId",_xlpm.Q,":null,","
",_xlpm.Q,"commands",_xlpm.Q,":",_xlpm.Q,_xlpm.Q,",",_xlpm.Q,"speaking",_xlpm.Q,":true}}"),"
",""),",]","]"))</f>
        <v>{"kind":"character","data":{"name":"","playerName":"悲灵","initiative":0,"status":[{"label":"HP","value":"0","max":"0"},{"label":"AC","value":"10","max":"0"},{"label":"DC","value":"10","max":"0"}],"params":[{"label":"熟练","value":"2"},{"label":"力量","value":"0"},{"label":"敏捷","value":"0"},{"label":"体质","value":"0"},{"label":"智力","value":"0"},{"label":"感知","value":"0"},{"label":"魅力","value":"0"},{"label":"运动","value":"0"},{"label":"特技","value":"0"},{"label":"巧手","value":"0"},{"label":"隐匿","value":"0"},{"label":"调查","value":"0"},{"label":"奥秘","value":"0"},{"label":"历史","value":"0"},{"label":"自然","value":"0"},{"label":"宗教","value":"0"},{"label":"察觉","value":"0"},{"label":"洞悉","value":"0"},{"label":"驯兽","value":"0"},{"label":"医药","value":"0"},{"label":"求生","value":"0"},{"label":"游说","value":"0"},{"label":"欺瞒","value":"0"},{"label":"威吓","value":"0"},{"label":"表演","value":"0"}],"faces":[],"x":0,"y":0,"z":0,"angle":0,"width":4,"height":4,"active":true,"secret":false,"invisible":false,"hideStatus":false,"color":"","roomId":null,"commands":"","speaking":true}}</v>
      </c>
      <c r="C17" s="1044"/>
      <c r="D17" s="1044"/>
      <c r="E17" s="1044"/>
      <c r="F17" s="1044"/>
      <c r="G17" s="1044"/>
      <c r="H17" s="1044"/>
      <c r="J17" s="1061" t="str">
        <f>".nn"&amp;" "&amp;主要!$E$3</f>
        <v xml:space="preserve">.nn </v>
      </c>
      <c r="K17" s="1062"/>
      <c r="L17" s="1063"/>
    </row>
    <row r="18" spans="2:12" x14ac:dyDescent="0.15">
      <c r="B18" s="1044"/>
      <c r="C18" s="1044"/>
      <c r="D18" s="1044"/>
      <c r="E18" s="1044"/>
      <c r="F18" s="1044"/>
      <c r="G18" s="1044"/>
      <c r="H18" s="1044"/>
      <c r="J18" s="1064"/>
      <c r="K18" s="1065"/>
      <c r="L18" s="1066"/>
    </row>
    <row r="19" spans="2:12" x14ac:dyDescent="0.15">
      <c r="B19" s="1044"/>
      <c r="C19" s="1044"/>
      <c r="D19" s="1044"/>
      <c r="E19" s="1044"/>
      <c r="F19" s="1044"/>
      <c r="G19" s="1044"/>
      <c r="H19" s="1044"/>
      <c r="J19" s="3"/>
      <c r="K19" s="3"/>
      <c r="L19" s="3"/>
    </row>
    <row r="20" spans="2:12" x14ac:dyDescent="0.15">
      <c r="B20" s="1044"/>
      <c r="C20" s="1044"/>
      <c r="D20" s="1044"/>
      <c r="E20" s="1044"/>
      <c r="F20" s="1044"/>
      <c r="G20" s="1044"/>
      <c r="H20" s="1044"/>
      <c r="J20" s="3"/>
      <c r="K20" s="3"/>
      <c r="L20" s="3"/>
    </row>
    <row r="21" spans="2:12" x14ac:dyDescent="0.15">
      <c r="B21" s="1044"/>
      <c r="C21" s="1044"/>
      <c r="D21" s="1044"/>
      <c r="E21" s="1044"/>
      <c r="F21" s="1044"/>
      <c r="G21" s="1044"/>
      <c r="H21" s="1044"/>
      <c r="J21" s="3"/>
      <c r="K21" s="3"/>
      <c r="L21" s="3"/>
    </row>
    <row r="22" spans="2:12" x14ac:dyDescent="0.15">
      <c r="B22" s="1044"/>
      <c r="C22" s="1044"/>
      <c r="D22" s="1044"/>
      <c r="E22" s="1044"/>
      <c r="F22" s="1044"/>
      <c r="G22" s="1044"/>
      <c r="H22" s="1044"/>
      <c r="J22" s="3"/>
      <c r="K22" s="3"/>
      <c r="L22" s="3"/>
    </row>
    <row r="23" spans="2:12" x14ac:dyDescent="0.15">
      <c r="B23" s="1044"/>
      <c r="C23" s="1044"/>
      <c r="D23" s="1044"/>
      <c r="E23" s="1044"/>
      <c r="F23" s="1044"/>
      <c r="G23" s="1044"/>
      <c r="H23" s="1044"/>
      <c r="J23" s="3"/>
      <c r="K23" s="3"/>
      <c r="L23" s="3"/>
    </row>
    <row r="24" spans="2:12" x14ac:dyDescent="0.15">
      <c r="B24" s="1044"/>
      <c r="C24" s="1044"/>
      <c r="D24" s="1044"/>
      <c r="E24" s="1044"/>
      <c r="F24" s="1044"/>
      <c r="G24" s="1044"/>
      <c r="H24" s="1044"/>
      <c r="J24" s="3"/>
      <c r="K24" s="3"/>
      <c r="L24" s="3"/>
    </row>
    <row r="25" spans="2:12" x14ac:dyDescent="0.15">
      <c r="B25" s="1044"/>
      <c r="C25" s="1044"/>
      <c r="D25" s="1044"/>
      <c r="E25" s="1044"/>
      <c r="F25" s="1044"/>
      <c r="G25" s="1044"/>
      <c r="H25" s="1044"/>
      <c r="J25" s="3"/>
      <c r="K25" s="3"/>
      <c r="L25" s="3"/>
    </row>
    <row r="26" spans="2:12" x14ac:dyDescent="0.15">
      <c r="J26" s="3"/>
      <c r="K26" s="3"/>
      <c r="L26" s="3"/>
    </row>
    <row r="27" spans="2:12" x14ac:dyDescent="0.15">
      <c r="B27" s="3"/>
      <c r="C27" s="3"/>
      <c r="D27" s="3"/>
      <c r="E27" s="3"/>
      <c r="F27" s="3"/>
      <c r="G27" s="3"/>
      <c r="H27" s="3"/>
      <c r="I27" s="3"/>
      <c r="J27" s="3"/>
      <c r="K27" s="3"/>
      <c r="L27" s="3"/>
    </row>
    <row r="28" spans="2:12" x14ac:dyDescent="0.15">
      <c r="B28" s="3"/>
      <c r="C28" s="3"/>
      <c r="D28" s="3"/>
      <c r="E28" s="3"/>
      <c r="F28" s="3"/>
      <c r="G28" s="3"/>
      <c r="H28" s="3"/>
      <c r="I28" s="3"/>
      <c r="J28" s="3"/>
      <c r="K28" s="3"/>
      <c r="L28" s="3"/>
    </row>
  </sheetData>
  <sheetProtection sheet="1" scenarios="1"/>
  <mergeCells count="11">
    <mergeCell ref="B15:H15"/>
    <mergeCell ref="B16:H16"/>
    <mergeCell ref="B17:H25"/>
    <mergeCell ref="B2:H2"/>
    <mergeCell ref="J15:L15"/>
    <mergeCell ref="J16:L16"/>
    <mergeCell ref="I2:I7"/>
    <mergeCell ref="B8:H13"/>
    <mergeCell ref="B3:H7"/>
    <mergeCell ref="J2:L13"/>
    <mergeCell ref="J17:L18"/>
  </mergeCells>
  <phoneticPr fontId="68"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0" tint="-0.249977111117893"/>
  </sheetPr>
  <dimension ref="A1:AP52"/>
  <sheetViews>
    <sheetView zoomScale="70" zoomScaleNormal="70" workbookViewId="0">
      <selection activeCell="H3" sqref="H3"/>
    </sheetView>
  </sheetViews>
  <sheetFormatPr defaultColWidth="3.375" defaultRowHeight="18" customHeight="1" x14ac:dyDescent="0.15"/>
  <cols>
    <col min="1" max="1" width="3.75" style="213" customWidth="1"/>
    <col min="2" max="4" width="9.375" style="213" customWidth="1"/>
    <col min="5" max="5" width="3.375" style="213" bestFit="1"/>
    <col min="6" max="6" width="3" style="213" customWidth="1"/>
    <col min="7" max="7" width="4.75" style="213" customWidth="1"/>
    <col min="8" max="8" width="18.75" style="213" customWidth="1"/>
    <col min="9" max="9" width="15.75" style="213" customWidth="1"/>
    <col min="10" max="10" width="6.75" style="213" customWidth="1"/>
    <col min="11" max="11" width="10.75" style="213" customWidth="1"/>
    <col min="12" max="14" width="3.75" style="213" customWidth="1"/>
    <col min="15" max="15" width="20.75" style="213" customWidth="1"/>
    <col min="16" max="16" width="16.75" style="213" customWidth="1"/>
    <col min="17" max="17" width="32.125" style="213" customWidth="1"/>
    <col min="18" max="19" width="4.75" style="213" customWidth="1"/>
    <col min="20" max="20" width="3" style="213" customWidth="1"/>
    <col min="21" max="28" width="9.375" style="213" customWidth="1"/>
    <col min="29" max="29" width="3.375" style="213" customWidth="1"/>
    <col min="30" max="16384" width="3.375" style="213"/>
  </cols>
  <sheetData>
    <row r="1" spans="1:42" ht="18" customHeight="1" x14ac:dyDescent="0.15">
      <c r="B1" s="1067" t="s">
        <v>3002</v>
      </c>
      <c r="C1" s="1067"/>
      <c r="D1" s="1067"/>
      <c r="E1" s="1067"/>
      <c r="G1" s="1078" t="s">
        <v>10767</v>
      </c>
      <c r="H1" s="1079"/>
      <c r="I1" s="1079"/>
      <c r="J1" s="1079"/>
      <c r="K1" s="1079"/>
      <c r="L1" s="1079"/>
      <c r="M1" s="1079"/>
      <c r="N1" s="1079"/>
      <c r="O1" s="1079"/>
      <c r="P1" s="1079"/>
      <c r="Q1" s="1079"/>
      <c r="R1" s="1079"/>
      <c r="S1" s="1079"/>
      <c r="U1" s="1071" t="s">
        <v>6475</v>
      </c>
      <c r="V1" s="1071"/>
      <c r="W1" s="1071"/>
      <c r="X1" s="1071"/>
      <c r="Y1" s="1071"/>
      <c r="Z1" s="1071"/>
      <c r="AA1" s="1071"/>
      <c r="AB1" s="1071"/>
    </row>
    <row r="2" spans="1:42" ht="18" customHeight="1" x14ac:dyDescent="0.35">
      <c r="A2" s="214"/>
      <c r="B2" s="1069" t="s">
        <v>3004</v>
      </c>
      <c r="C2" s="1069"/>
      <c r="D2" s="1069"/>
      <c r="E2" s="437"/>
      <c r="G2" s="439" t="s">
        <v>10768</v>
      </c>
      <c r="H2" s="440" t="s">
        <v>10769</v>
      </c>
      <c r="I2" s="440" t="s">
        <v>10770</v>
      </c>
      <c r="J2" s="440" t="s">
        <v>10771</v>
      </c>
      <c r="K2" s="440" t="s">
        <v>10772</v>
      </c>
      <c r="L2" s="441" t="s">
        <v>970</v>
      </c>
      <c r="M2" s="441" t="s">
        <v>971</v>
      </c>
      <c r="N2" s="441" t="s">
        <v>989</v>
      </c>
      <c r="O2" s="441" t="s">
        <v>10773</v>
      </c>
      <c r="P2" s="440" t="s">
        <v>10774</v>
      </c>
      <c r="Q2" s="442" t="s">
        <v>10775</v>
      </c>
      <c r="R2" s="440" t="s">
        <v>10776</v>
      </c>
      <c r="S2" s="440" t="s">
        <v>10777</v>
      </c>
      <c r="U2" s="1081" t="s">
        <v>112</v>
      </c>
      <c r="V2" s="1081"/>
      <c r="W2" s="436" t="s">
        <v>2881</v>
      </c>
      <c r="X2" s="436" t="s">
        <v>114</v>
      </c>
      <c r="Y2" s="436" t="s">
        <v>550</v>
      </c>
      <c r="Z2" s="436" t="s">
        <v>113</v>
      </c>
      <c r="AA2" s="436" t="s">
        <v>107</v>
      </c>
      <c r="AB2" s="436" t="s">
        <v>2883</v>
      </c>
    </row>
    <row r="3" spans="1:42" ht="18" customHeight="1" x14ac:dyDescent="0.15">
      <c r="A3" s="215"/>
      <c r="B3" s="1075" t="s">
        <v>2457</v>
      </c>
      <c r="C3" s="1076"/>
      <c r="D3" s="1077"/>
      <c r="E3" s="137" t="s">
        <v>2873</v>
      </c>
      <c r="G3" s="216"/>
      <c r="H3" s="217"/>
      <c r="I3" s="218"/>
      <c r="J3" s="217"/>
      <c r="K3" s="218"/>
      <c r="L3" s="219"/>
      <c r="M3" s="219"/>
      <c r="N3" s="219"/>
      <c r="O3" s="218"/>
      <c r="P3" s="217"/>
      <c r="Q3" s="220"/>
      <c r="R3" s="217"/>
      <c r="S3" s="217"/>
      <c r="T3" s="221"/>
      <c r="U3" s="1080" t="s">
        <v>6479</v>
      </c>
      <c r="V3" s="1080"/>
      <c r="W3" s="219"/>
      <c r="X3" s="219"/>
      <c r="Y3" s="219"/>
      <c r="Z3" s="219"/>
      <c r="AA3" s="219"/>
      <c r="AB3" s="219" t="s">
        <v>74</v>
      </c>
    </row>
    <row r="4" spans="1:42" ht="18" customHeight="1" x14ac:dyDescent="0.15">
      <c r="B4" s="1072" t="s">
        <v>5799</v>
      </c>
      <c r="C4" s="1073"/>
      <c r="D4" s="1074"/>
      <c r="E4" s="138" t="s">
        <v>2873</v>
      </c>
      <c r="G4" s="222"/>
      <c r="H4" s="223"/>
      <c r="I4" s="224"/>
      <c r="J4" s="223"/>
      <c r="K4" s="224"/>
      <c r="L4" s="225"/>
      <c r="M4" s="225"/>
      <c r="N4" s="225"/>
      <c r="O4" s="224"/>
      <c r="P4" s="223"/>
      <c r="Q4" s="226"/>
      <c r="R4" s="223"/>
      <c r="S4" s="223"/>
      <c r="T4" s="221"/>
      <c r="U4" s="1080" t="s">
        <v>6480</v>
      </c>
      <c r="V4" s="1080"/>
      <c r="W4" s="219"/>
      <c r="X4" s="219"/>
      <c r="Y4" s="219"/>
      <c r="Z4" s="219"/>
      <c r="AA4" s="219"/>
      <c r="AB4" s="219" t="s">
        <v>74</v>
      </c>
    </row>
    <row r="5" spans="1:42" ht="18" customHeight="1" x14ac:dyDescent="0.15">
      <c r="B5" s="1075" t="s">
        <v>5801</v>
      </c>
      <c r="C5" s="1076"/>
      <c r="D5" s="1077"/>
      <c r="E5" s="137" t="s">
        <v>2873</v>
      </c>
      <c r="G5" s="216"/>
      <c r="H5" s="217"/>
      <c r="I5" s="218"/>
      <c r="J5" s="217"/>
      <c r="K5" s="218"/>
      <c r="L5" s="219"/>
      <c r="M5" s="219"/>
      <c r="N5" s="219"/>
      <c r="O5" s="218"/>
      <c r="P5" s="217"/>
      <c r="Q5" s="220"/>
      <c r="R5" s="217"/>
      <c r="S5" s="217"/>
      <c r="T5" s="221"/>
      <c r="U5" s="1080" t="s">
        <v>6481</v>
      </c>
      <c r="V5" s="1080"/>
      <c r="W5" s="219"/>
      <c r="X5" s="219"/>
      <c r="Y5" s="219"/>
      <c r="Z5" s="219"/>
      <c r="AA5" s="219"/>
      <c r="AB5" s="219" t="s">
        <v>74</v>
      </c>
    </row>
    <row r="6" spans="1:42" ht="18" customHeight="1" x14ac:dyDescent="0.15">
      <c r="B6" s="1072" t="s">
        <v>5803</v>
      </c>
      <c r="C6" s="1073"/>
      <c r="D6" s="1074"/>
      <c r="E6" s="138" t="s">
        <v>2873</v>
      </c>
      <c r="G6" s="222"/>
      <c r="H6" s="223"/>
      <c r="I6" s="224"/>
      <c r="J6" s="223"/>
      <c r="K6" s="224"/>
      <c r="L6" s="225"/>
      <c r="M6" s="225"/>
      <c r="N6" s="225"/>
      <c r="O6" s="224"/>
      <c r="P6" s="223"/>
      <c r="Q6" s="226"/>
      <c r="R6" s="223"/>
      <c r="S6" s="223"/>
      <c r="T6" s="221"/>
      <c r="U6" s="221"/>
      <c r="V6" s="221"/>
      <c r="W6" s="221"/>
      <c r="X6" s="221"/>
      <c r="Y6" s="221"/>
    </row>
    <row r="7" spans="1:42" ht="18" customHeight="1" x14ac:dyDescent="0.15">
      <c r="B7" s="1075" t="s">
        <v>5805</v>
      </c>
      <c r="C7" s="1076"/>
      <c r="D7" s="1077"/>
      <c r="E7" s="137" t="s">
        <v>2873</v>
      </c>
      <c r="G7" s="216"/>
      <c r="H7" s="217"/>
      <c r="I7" s="218"/>
      <c r="J7" s="217"/>
      <c r="K7" s="218"/>
      <c r="L7" s="219"/>
      <c r="M7" s="219"/>
      <c r="N7" s="219"/>
      <c r="O7" s="218"/>
      <c r="P7" s="217"/>
      <c r="Q7" s="220"/>
      <c r="R7" s="217"/>
      <c r="S7" s="217"/>
      <c r="T7" s="221"/>
      <c r="U7" s="1070" t="s">
        <v>7330</v>
      </c>
      <c r="V7" s="1071"/>
      <c r="X7" s="1071" t="s">
        <v>10159</v>
      </c>
      <c r="Y7" s="1071"/>
      <c r="Z7" s="1071"/>
      <c r="AA7" s="1071"/>
      <c r="AB7" s="1071"/>
    </row>
    <row r="8" spans="1:42" ht="18" customHeight="1" x14ac:dyDescent="0.35">
      <c r="B8" s="1072" t="s">
        <v>2832</v>
      </c>
      <c r="C8" s="1073"/>
      <c r="D8" s="1074"/>
      <c r="E8" s="138" t="s">
        <v>2873</v>
      </c>
      <c r="G8" s="222"/>
      <c r="H8" s="223"/>
      <c r="I8" s="224"/>
      <c r="J8" s="223"/>
      <c r="K8" s="224"/>
      <c r="L8" s="225"/>
      <c r="M8" s="225"/>
      <c r="N8" s="225"/>
      <c r="O8" s="224"/>
      <c r="P8" s="223"/>
      <c r="Q8" s="226"/>
      <c r="R8" s="223"/>
      <c r="S8" s="223"/>
      <c r="T8" s="221"/>
      <c r="U8" s="436" t="s">
        <v>6473</v>
      </c>
      <c r="V8" s="436" t="s">
        <v>6474</v>
      </c>
      <c r="X8" s="436" t="s">
        <v>8307</v>
      </c>
      <c r="Y8" s="436" t="s">
        <v>10160</v>
      </c>
      <c r="Z8" s="436" t="s">
        <v>10162</v>
      </c>
      <c r="AA8" s="436" t="s">
        <v>8307</v>
      </c>
      <c r="AB8" s="436" t="s">
        <v>10161</v>
      </c>
    </row>
    <row r="9" spans="1:42" ht="18" customHeight="1" x14ac:dyDescent="0.3">
      <c r="B9" s="1068" t="s">
        <v>3005</v>
      </c>
      <c r="C9" s="1068"/>
      <c r="D9" s="1068"/>
      <c r="E9" s="438"/>
      <c r="G9" s="216"/>
      <c r="H9" s="217"/>
      <c r="I9" s="218"/>
      <c r="J9" s="217"/>
      <c r="K9" s="218"/>
      <c r="L9" s="219"/>
      <c r="M9" s="219"/>
      <c r="N9" s="219"/>
      <c r="O9" s="218"/>
      <c r="P9" s="217"/>
      <c r="Q9" s="220"/>
      <c r="R9" s="217"/>
      <c r="S9" s="217"/>
      <c r="T9" s="221"/>
      <c r="U9" s="450" t="s">
        <v>10778</v>
      </c>
      <c r="V9" s="219" t="s">
        <v>2882</v>
      </c>
      <c r="X9" s="386" t="s">
        <v>74</v>
      </c>
      <c r="Y9" s="387">
        <v>8</v>
      </c>
      <c r="Z9" s="388">
        <f t="shared" ref="Z9:Z14" si="0">VLOOKUP(Y9,$AA$9:$AB$19,2,FALSE)</f>
        <v>0</v>
      </c>
      <c r="AA9" s="387">
        <v>8</v>
      </c>
      <c r="AB9" s="388">
        <v>0</v>
      </c>
    </row>
    <row r="10" spans="1:42" ht="18" customHeight="1" x14ac:dyDescent="0.15">
      <c r="B10" s="1075" t="s">
        <v>9835</v>
      </c>
      <c r="C10" s="1076"/>
      <c r="D10" s="1077"/>
      <c r="E10" s="137" t="s">
        <v>116</v>
      </c>
      <c r="G10" s="222"/>
      <c r="H10" s="223"/>
      <c r="I10" s="224"/>
      <c r="J10" s="223"/>
      <c r="K10" s="224"/>
      <c r="L10" s="225"/>
      <c r="M10" s="225"/>
      <c r="N10" s="225"/>
      <c r="O10" s="224"/>
      <c r="P10" s="223"/>
      <c r="Q10" s="226"/>
      <c r="R10" s="223"/>
      <c r="S10" s="223"/>
      <c r="T10" s="221"/>
      <c r="U10" s="450" t="s">
        <v>10779</v>
      </c>
      <c r="V10" s="219" t="s">
        <v>2882</v>
      </c>
      <c r="X10" s="386" t="s">
        <v>76</v>
      </c>
      <c r="Y10" s="387">
        <v>8</v>
      </c>
      <c r="Z10" s="388">
        <f t="shared" si="0"/>
        <v>0</v>
      </c>
      <c r="AA10" s="387">
        <v>9</v>
      </c>
      <c r="AB10" s="388">
        <v>1</v>
      </c>
    </row>
    <row r="11" spans="1:42" ht="18" customHeight="1" x14ac:dyDescent="0.15">
      <c r="B11" s="1072" t="s">
        <v>10126</v>
      </c>
      <c r="C11" s="1073"/>
      <c r="D11" s="1074"/>
      <c r="E11" s="138" t="s">
        <v>116</v>
      </c>
      <c r="G11" s="216"/>
      <c r="H11" s="217"/>
      <c r="I11" s="218"/>
      <c r="J11" s="217"/>
      <c r="K11" s="218"/>
      <c r="L11" s="219"/>
      <c r="M11" s="219"/>
      <c r="N11" s="219"/>
      <c r="O11" s="218"/>
      <c r="P11" s="217"/>
      <c r="Q11" s="220"/>
      <c r="R11" s="217"/>
      <c r="S11" s="217"/>
      <c r="T11" s="221"/>
      <c r="U11" s="450" t="s">
        <v>10780</v>
      </c>
      <c r="V11" s="219" t="s">
        <v>2882</v>
      </c>
      <c r="X11" s="386" t="s">
        <v>77</v>
      </c>
      <c r="Y11" s="387">
        <v>8</v>
      </c>
      <c r="Z11" s="388">
        <f t="shared" si="0"/>
        <v>0</v>
      </c>
      <c r="AA11" s="387">
        <v>10</v>
      </c>
      <c r="AB11" s="388">
        <v>2</v>
      </c>
    </row>
    <row r="12" spans="1:42" ht="18" customHeight="1" x14ac:dyDescent="0.15">
      <c r="B12" s="1075" t="s">
        <v>10186</v>
      </c>
      <c r="C12" s="1076"/>
      <c r="D12" s="1077"/>
      <c r="E12" s="137" t="s">
        <v>73</v>
      </c>
      <c r="G12" s="222"/>
      <c r="H12" s="223"/>
      <c r="I12" s="224"/>
      <c r="J12" s="223"/>
      <c r="K12" s="224"/>
      <c r="L12" s="225"/>
      <c r="M12" s="225"/>
      <c r="N12" s="225"/>
      <c r="O12" s="224"/>
      <c r="P12" s="223"/>
      <c r="Q12" s="226"/>
      <c r="R12" s="223"/>
      <c r="S12" s="223"/>
      <c r="T12" s="221"/>
      <c r="X12" s="386" t="s">
        <v>78</v>
      </c>
      <c r="Y12" s="387">
        <v>8</v>
      </c>
      <c r="Z12" s="388">
        <f t="shared" si="0"/>
        <v>0</v>
      </c>
      <c r="AA12" s="387">
        <v>11</v>
      </c>
      <c r="AB12" s="388">
        <v>3</v>
      </c>
    </row>
    <row r="13" spans="1:42" ht="18" customHeight="1" x14ac:dyDescent="0.15">
      <c r="B13" s="1072" t="s">
        <v>10185</v>
      </c>
      <c r="C13" s="1073"/>
      <c r="D13" s="1074"/>
      <c r="E13" s="138" t="s">
        <v>116</v>
      </c>
      <c r="G13" s="216"/>
      <c r="H13" s="217"/>
      <c r="I13" s="218"/>
      <c r="J13" s="217"/>
      <c r="K13" s="218"/>
      <c r="L13" s="219"/>
      <c r="M13" s="219"/>
      <c r="N13" s="219"/>
      <c r="O13" s="218"/>
      <c r="P13" s="217"/>
      <c r="Q13" s="220"/>
      <c r="R13" s="217"/>
      <c r="S13" s="217"/>
      <c r="T13" s="221"/>
      <c r="X13" s="386" t="s">
        <v>79</v>
      </c>
      <c r="Y13" s="387">
        <v>8</v>
      </c>
      <c r="Z13" s="388">
        <f t="shared" si="0"/>
        <v>0</v>
      </c>
      <c r="AA13" s="387">
        <v>12</v>
      </c>
      <c r="AB13" s="388">
        <v>4</v>
      </c>
    </row>
    <row r="14" spans="1:42" ht="18" customHeight="1" x14ac:dyDescent="0.3">
      <c r="B14" s="1075" t="s">
        <v>2441</v>
      </c>
      <c r="C14" s="1076"/>
      <c r="D14" s="1077"/>
      <c r="E14" s="137" t="s">
        <v>116</v>
      </c>
      <c r="G14" s="222"/>
      <c r="H14" s="223"/>
      <c r="I14" s="224"/>
      <c r="J14" s="223"/>
      <c r="K14" s="224"/>
      <c r="L14" s="225"/>
      <c r="M14" s="225"/>
      <c r="N14" s="225"/>
      <c r="O14" s="224"/>
      <c r="P14" s="223"/>
      <c r="Q14" s="226"/>
      <c r="R14" s="223"/>
      <c r="S14" s="223"/>
      <c r="T14" s="221"/>
      <c r="X14" s="386" t="s">
        <v>80</v>
      </c>
      <c r="Y14" s="387">
        <v>8</v>
      </c>
      <c r="Z14" s="388">
        <f t="shared" si="0"/>
        <v>0</v>
      </c>
      <c r="AA14" s="387">
        <v>13</v>
      </c>
      <c r="AB14" s="388">
        <v>5</v>
      </c>
      <c r="AP14" s="480"/>
    </row>
    <row r="15" spans="1:42" ht="18" customHeight="1" x14ac:dyDescent="0.15">
      <c r="B15" s="1072" t="s">
        <v>5809</v>
      </c>
      <c r="C15" s="1073"/>
      <c r="D15" s="1074"/>
      <c r="E15" s="138" t="s">
        <v>116</v>
      </c>
      <c r="G15" s="216"/>
      <c r="H15" s="217"/>
      <c r="I15" s="218"/>
      <c r="J15" s="217"/>
      <c r="K15" s="218"/>
      <c r="L15" s="219"/>
      <c r="M15" s="219"/>
      <c r="N15" s="219"/>
      <c r="O15" s="218"/>
      <c r="P15" s="217"/>
      <c r="Q15" s="220"/>
      <c r="R15" s="217"/>
      <c r="S15" s="217"/>
      <c r="T15" s="221"/>
      <c r="AA15" s="387">
        <v>14</v>
      </c>
      <c r="AB15" s="388">
        <v>7</v>
      </c>
      <c r="AP15" s="7"/>
    </row>
    <row r="16" spans="1:42" ht="18" customHeight="1" x14ac:dyDescent="0.35">
      <c r="B16" s="1075" t="s">
        <v>5810</v>
      </c>
      <c r="C16" s="1076"/>
      <c r="D16" s="1077"/>
      <c r="E16" s="137" t="s">
        <v>116</v>
      </c>
      <c r="G16" s="222"/>
      <c r="H16" s="223"/>
      <c r="I16" s="224"/>
      <c r="J16" s="223"/>
      <c r="K16" s="224"/>
      <c r="L16" s="225"/>
      <c r="M16" s="225"/>
      <c r="N16" s="225"/>
      <c r="O16" s="224"/>
      <c r="P16" s="223"/>
      <c r="Q16" s="226"/>
      <c r="R16" s="223"/>
      <c r="S16" s="223"/>
      <c r="T16" s="221"/>
      <c r="X16" s="436" t="s">
        <v>10163</v>
      </c>
      <c r="Y16" s="436" t="s">
        <v>10164</v>
      </c>
      <c r="AA16" s="387">
        <v>15</v>
      </c>
      <c r="AB16" s="388">
        <v>9</v>
      </c>
      <c r="AD16" s="499"/>
      <c r="AE16" s="499"/>
      <c r="AF16" s="499"/>
      <c r="AG16" s="499"/>
      <c r="AH16" s="499"/>
      <c r="AI16" s="499"/>
      <c r="AJ16" s="499"/>
      <c r="AK16" s="499"/>
      <c r="AL16" s="499"/>
      <c r="AM16" s="499"/>
      <c r="AN16" s="499"/>
      <c r="AO16" s="499"/>
      <c r="AP16" s="499"/>
    </row>
    <row r="17" spans="2:28" ht="18" customHeight="1" x14ac:dyDescent="0.15">
      <c r="B17" s="1072" t="s">
        <v>2742</v>
      </c>
      <c r="C17" s="1073"/>
      <c r="D17" s="1074"/>
      <c r="E17" s="138" t="s">
        <v>116</v>
      </c>
      <c r="G17" s="216"/>
      <c r="H17" s="217"/>
      <c r="I17" s="218"/>
      <c r="J17" s="217"/>
      <c r="K17" s="218"/>
      <c r="L17" s="219"/>
      <c r="M17" s="219"/>
      <c r="N17" s="219"/>
      <c r="O17" s="218"/>
      <c r="P17" s="217"/>
      <c r="Q17" s="220"/>
      <c r="R17" s="217"/>
      <c r="S17" s="217"/>
      <c r="T17" s="221"/>
      <c r="X17" s="387">
        <v>27</v>
      </c>
      <c r="Y17" s="387">
        <f>X17-SUM(Z9:Z14)</f>
        <v>27</v>
      </c>
      <c r="AA17" s="387">
        <v>16</v>
      </c>
      <c r="AB17" s="449" t="s">
        <v>2882</v>
      </c>
    </row>
    <row r="18" spans="2:28" ht="18" customHeight="1" x14ac:dyDescent="0.15">
      <c r="B18" s="1075" t="s">
        <v>5813</v>
      </c>
      <c r="C18" s="1076"/>
      <c r="D18" s="1077"/>
      <c r="E18" s="137" t="s">
        <v>116</v>
      </c>
      <c r="G18" s="222"/>
      <c r="H18" s="223"/>
      <c r="I18" s="224"/>
      <c r="J18" s="223"/>
      <c r="K18" s="224"/>
      <c r="L18" s="225"/>
      <c r="M18" s="225"/>
      <c r="N18" s="225"/>
      <c r="O18" s="224"/>
      <c r="P18" s="223"/>
      <c r="Q18" s="226"/>
      <c r="R18" s="223"/>
      <c r="S18" s="223"/>
      <c r="T18" s="221"/>
      <c r="AA18" s="387">
        <v>17</v>
      </c>
      <c r="AB18" s="449" t="s">
        <v>2882</v>
      </c>
    </row>
    <row r="19" spans="2:28" ht="18" customHeight="1" x14ac:dyDescent="0.15">
      <c r="B19" s="1072" t="s">
        <v>5815</v>
      </c>
      <c r="C19" s="1073"/>
      <c r="D19" s="1074"/>
      <c r="E19" s="138" t="s">
        <v>116</v>
      </c>
      <c r="G19" s="216"/>
      <c r="H19" s="217"/>
      <c r="I19" s="218"/>
      <c r="J19" s="217"/>
      <c r="K19" s="218"/>
      <c r="L19" s="219"/>
      <c r="M19" s="219"/>
      <c r="N19" s="219"/>
      <c r="O19" s="218"/>
      <c r="P19" s="217"/>
      <c r="Q19" s="220"/>
      <c r="R19" s="217"/>
      <c r="S19" s="217"/>
      <c r="T19" s="221"/>
      <c r="AA19" s="387">
        <v>18</v>
      </c>
      <c r="AB19" s="449" t="s">
        <v>2882</v>
      </c>
    </row>
    <row r="20" spans="2:28" ht="18" customHeight="1" x14ac:dyDescent="0.15">
      <c r="B20" s="1075" t="s">
        <v>5816</v>
      </c>
      <c r="C20" s="1076"/>
      <c r="D20" s="1077"/>
      <c r="E20" s="137" t="s">
        <v>116</v>
      </c>
      <c r="G20" s="222"/>
      <c r="H20" s="223"/>
      <c r="I20" s="224"/>
      <c r="J20" s="223"/>
      <c r="K20" s="224"/>
      <c r="L20" s="225"/>
      <c r="M20" s="225"/>
      <c r="N20" s="225"/>
      <c r="O20" s="224"/>
      <c r="P20" s="223"/>
      <c r="Q20" s="226"/>
      <c r="R20" s="223"/>
      <c r="S20" s="223"/>
      <c r="T20" s="221"/>
    </row>
    <row r="21" spans="2:28" ht="18" customHeight="1" x14ac:dyDescent="0.15">
      <c r="B21" s="1072" t="s">
        <v>5817</v>
      </c>
      <c r="C21" s="1073"/>
      <c r="D21" s="1074"/>
      <c r="E21" s="138" t="s">
        <v>116</v>
      </c>
      <c r="G21" s="216"/>
      <c r="H21" s="217"/>
      <c r="I21" s="218"/>
      <c r="J21" s="217"/>
      <c r="K21" s="218"/>
      <c r="L21" s="219"/>
      <c r="M21" s="219"/>
      <c r="N21" s="219"/>
      <c r="O21" s="218"/>
      <c r="P21" s="217"/>
      <c r="Q21" s="220"/>
      <c r="R21" s="217"/>
      <c r="S21" s="217"/>
      <c r="T21" s="221"/>
      <c r="U21" s="1094" t="s">
        <v>10948</v>
      </c>
      <c r="V21" s="1094"/>
      <c r="W21" s="1094"/>
      <c r="X21" s="1094"/>
      <c r="Y21" s="1094"/>
      <c r="Z21" s="1094"/>
      <c r="AA21" s="484" t="s">
        <v>10945</v>
      </c>
      <c r="AB21" s="483">
        <f>SUM(数据表!W34:Z34)</f>
        <v>0</v>
      </c>
    </row>
    <row r="22" spans="2:28" ht="18" customHeight="1" x14ac:dyDescent="0.35">
      <c r="B22" s="1075" t="s">
        <v>2853</v>
      </c>
      <c r="C22" s="1076"/>
      <c r="D22" s="1077"/>
      <c r="E22" s="137" t="s">
        <v>116</v>
      </c>
      <c r="G22" s="222"/>
      <c r="H22" s="223"/>
      <c r="I22" s="224"/>
      <c r="J22" s="223"/>
      <c r="K22" s="224"/>
      <c r="L22" s="225"/>
      <c r="M22" s="225"/>
      <c r="N22" s="225"/>
      <c r="O22" s="224"/>
      <c r="P22" s="223"/>
      <c r="Q22" s="226"/>
      <c r="R22" s="223"/>
      <c r="S22" s="223"/>
      <c r="T22" s="221"/>
      <c r="U22" s="436" t="s">
        <v>10947</v>
      </c>
      <c r="V22" s="436" t="s">
        <v>2999</v>
      </c>
      <c r="W22" s="436" t="s">
        <v>10947</v>
      </c>
      <c r="X22" s="436" t="s">
        <v>2999</v>
      </c>
      <c r="Y22" s="436" t="s">
        <v>10947</v>
      </c>
      <c r="Z22" s="436" t="s">
        <v>2999</v>
      </c>
      <c r="AA22" s="436" t="s">
        <v>10947</v>
      </c>
      <c r="AB22" s="436" t="s">
        <v>2999</v>
      </c>
    </row>
    <row r="23" spans="2:28" ht="18" customHeight="1" x14ac:dyDescent="0.15">
      <c r="B23" s="1072" t="s">
        <v>5800</v>
      </c>
      <c r="C23" s="1073"/>
      <c r="D23" s="1074"/>
      <c r="E23" s="138" t="s">
        <v>116</v>
      </c>
      <c r="G23" s="216"/>
      <c r="H23" s="217"/>
      <c r="I23" s="218"/>
      <c r="J23" s="217"/>
      <c r="K23" s="218"/>
      <c r="L23" s="219"/>
      <c r="M23" s="219"/>
      <c r="N23" s="219"/>
      <c r="O23" s="218"/>
      <c r="P23" s="217"/>
      <c r="Q23" s="220"/>
      <c r="R23" s="217"/>
      <c r="S23" s="217"/>
      <c r="T23" s="221"/>
      <c r="U23" s="481" t="s">
        <v>10153</v>
      </c>
      <c r="V23" s="479">
        <v>0</v>
      </c>
      <c r="W23" s="481" t="s">
        <v>10154</v>
      </c>
      <c r="X23" s="479">
        <v>0</v>
      </c>
      <c r="Y23" s="481" t="s">
        <v>10155</v>
      </c>
      <c r="Z23" s="479">
        <v>0</v>
      </c>
      <c r="AA23" s="481" t="s">
        <v>10156</v>
      </c>
      <c r="AB23" s="479">
        <v>0</v>
      </c>
    </row>
    <row r="24" spans="2:28" ht="18" customHeight="1" x14ac:dyDescent="0.3">
      <c r="B24" s="1068" t="s">
        <v>3006</v>
      </c>
      <c r="C24" s="1068"/>
      <c r="D24" s="1068"/>
      <c r="E24" s="437"/>
      <c r="G24" s="222"/>
      <c r="H24" s="223"/>
      <c r="I24" s="224"/>
      <c r="J24" s="223"/>
      <c r="K24" s="224"/>
      <c r="L24" s="225"/>
      <c r="M24" s="225"/>
      <c r="N24" s="225"/>
      <c r="O24" s="224"/>
      <c r="P24" s="223"/>
      <c r="Q24" s="226"/>
      <c r="R24" s="223"/>
      <c r="S24" s="223"/>
      <c r="T24" s="221"/>
    </row>
    <row r="25" spans="2:28" ht="18" customHeight="1" x14ac:dyDescent="0.15">
      <c r="B25" s="1075" t="s">
        <v>5798</v>
      </c>
      <c r="C25" s="1076"/>
      <c r="D25" s="1077"/>
      <c r="E25" s="137"/>
      <c r="G25" s="216"/>
      <c r="H25" s="217"/>
      <c r="I25" s="218"/>
      <c r="J25" s="217"/>
      <c r="K25" s="218"/>
      <c r="L25" s="219"/>
      <c r="M25" s="219"/>
      <c r="N25" s="219"/>
      <c r="O25" s="218"/>
      <c r="P25" s="217"/>
      <c r="Q25" s="220"/>
      <c r="R25" s="217"/>
      <c r="S25" s="217"/>
      <c r="T25" s="221"/>
      <c r="U25" s="1071" t="s">
        <v>6476</v>
      </c>
      <c r="V25" s="1071"/>
      <c r="W25" s="1071"/>
      <c r="X25" s="1071"/>
      <c r="Y25" s="1071"/>
      <c r="Z25" s="1071"/>
      <c r="AA25" s="1071"/>
      <c r="AB25" s="1071"/>
    </row>
    <row r="26" spans="2:28" ht="18" customHeight="1" x14ac:dyDescent="0.35">
      <c r="B26" s="1072" t="s">
        <v>5802</v>
      </c>
      <c r="C26" s="1073"/>
      <c r="D26" s="1074"/>
      <c r="E26" s="138"/>
      <c r="G26" s="222"/>
      <c r="H26" s="223"/>
      <c r="I26" s="224"/>
      <c r="J26" s="223"/>
      <c r="K26" s="224"/>
      <c r="L26" s="225"/>
      <c r="M26" s="225"/>
      <c r="N26" s="225"/>
      <c r="O26" s="224"/>
      <c r="P26" s="223"/>
      <c r="Q26" s="226"/>
      <c r="R26" s="223"/>
      <c r="S26" s="223"/>
      <c r="T26" s="221"/>
      <c r="U26" s="1081" t="s">
        <v>6473</v>
      </c>
      <c r="V26" s="1081"/>
      <c r="W26" s="1081" t="s">
        <v>6474</v>
      </c>
      <c r="X26" s="1081"/>
      <c r="Y26" s="1081"/>
      <c r="Z26" s="1081"/>
      <c r="AA26" s="1081"/>
      <c r="AB26" s="1081"/>
    </row>
    <row r="27" spans="2:28" ht="18" customHeight="1" x14ac:dyDescent="0.15">
      <c r="B27" s="1075" t="s">
        <v>5804</v>
      </c>
      <c r="C27" s="1076"/>
      <c r="D27" s="1077"/>
      <c r="E27" s="137"/>
      <c r="G27" s="216"/>
      <c r="H27" s="217"/>
      <c r="I27" s="218"/>
      <c r="J27" s="217"/>
      <c r="K27" s="218"/>
      <c r="L27" s="219"/>
      <c r="M27" s="219"/>
      <c r="N27" s="219"/>
      <c r="O27" s="218"/>
      <c r="P27" s="217"/>
      <c r="Q27" s="220"/>
      <c r="R27" s="217"/>
      <c r="S27" s="217"/>
      <c r="T27" s="221"/>
      <c r="U27" s="1080" t="s">
        <v>6482</v>
      </c>
      <c r="V27" s="1080"/>
      <c r="W27" s="1082" t="s">
        <v>2882</v>
      </c>
      <c r="X27" s="1083"/>
      <c r="Y27" s="1083"/>
      <c r="Z27" s="1083"/>
      <c r="AA27" s="1083"/>
      <c r="AB27" s="1084"/>
    </row>
    <row r="28" spans="2:28" ht="18" customHeight="1" x14ac:dyDescent="0.15">
      <c r="B28" s="1072" t="s">
        <v>5820</v>
      </c>
      <c r="C28" s="1073"/>
      <c r="D28" s="1074"/>
      <c r="E28" s="138"/>
      <c r="G28" s="222"/>
      <c r="H28" s="223"/>
      <c r="I28" s="224"/>
      <c r="J28" s="223"/>
      <c r="K28" s="224"/>
      <c r="L28" s="225"/>
      <c r="M28" s="225"/>
      <c r="N28" s="225"/>
      <c r="O28" s="224"/>
      <c r="P28" s="223"/>
      <c r="Q28" s="226"/>
      <c r="R28" s="223"/>
      <c r="S28" s="223"/>
      <c r="T28" s="221"/>
      <c r="U28" s="1080" t="s">
        <v>6483</v>
      </c>
      <c r="V28" s="1080"/>
      <c r="W28" s="1082" t="s">
        <v>2882</v>
      </c>
      <c r="X28" s="1083"/>
      <c r="Y28" s="1083"/>
      <c r="Z28" s="1083"/>
      <c r="AA28" s="1083"/>
      <c r="AB28" s="1084"/>
    </row>
    <row r="29" spans="2:28" ht="18" customHeight="1" x14ac:dyDescent="0.15">
      <c r="B29" s="1075" t="s">
        <v>5806</v>
      </c>
      <c r="C29" s="1076"/>
      <c r="D29" s="1077"/>
      <c r="E29" s="137"/>
      <c r="G29" s="216"/>
      <c r="H29" s="217"/>
      <c r="I29" s="218"/>
      <c r="J29" s="217"/>
      <c r="K29" s="218"/>
      <c r="L29" s="219"/>
      <c r="M29" s="219"/>
      <c r="N29" s="219"/>
      <c r="O29" s="218"/>
      <c r="P29" s="217"/>
      <c r="Q29" s="220"/>
      <c r="R29" s="217"/>
      <c r="S29" s="217"/>
      <c r="T29" s="221"/>
      <c r="U29" s="1080" t="s">
        <v>6484</v>
      </c>
      <c r="V29" s="1080"/>
      <c r="W29" s="1082" t="s">
        <v>2882</v>
      </c>
      <c r="X29" s="1083"/>
      <c r="Y29" s="1083"/>
      <c r="Z29" s="1083"/>
      <c r="AA29" s="1083"/>
      <c r="AB29" s="1084"/>
    </row>
    <row r="30" spans="2:28" ht="18" customHeight="1" x14ac:dyDescent="0.35">
      <c r="B30" s="1088" t="s">
        <v>5807</v>
      </c>
      <c r="C30" s="1089"/>
      <c r="D30" s="1090"/>
      <c r="E30" s="138"/>
      <c r="G30" s="222"/>
      <c r="H30" s="223"/>
      <c r="I30" s="224"/>
      <c r="J30" s="223"/>
      <c r="K30" s="224"/>
      <c r="L30" s="225"/>
      <c r="M30" s="225"/>
      <c r="N30" s="225"/>
      <c r="O30" s="224"/>
      <c r="P30" s="223"/>
      <c r="Q30" s="226"/>
      <c r="R30" s="223"/>
      <c r="S30" s="223"/>
      <c r="T30" s="221"/>
      <c r="U30" s="1081" t="s">
        <v>6473</v>
      </c>
      <c r="V30" s="1081"/>
      <c r="W30" s="1081" t="s">
        <v>6474</v>
      </c>
      <c r="X30" s="1081"/>
      <c r="Y30" s="1081"/>
      <c r="Z30" s="1081"/>
      <c r="AA30" s="1081"/>
      <c r="AB30" s="1081"/>
    </row>
    <row r="31" spans="2:28" ht="18" customHeight="1" x14ac:dyDescent="0.15">
      <c r="B31" s="1075" t="s">
        <v>5808</v>
      </c>
      <c r="C31" s="1076"/>
      <c r="D31" s="1077"/>
      <c r="E31" s="137"/>
      <c r="G31" s="216"/>
      <c r="H31" s="217"/>
      <c r="I31" s="218"/>
      <c r="J31" s="217"/>
      <c r="K31" s="218"/>
      <c r="L31" s="219"/>
      <c r="M31" s="219"/>
      <c r="N31" s="219"/>
      <c r="O31" s="218"/>
      <c r="P31" s="217"/>
      <c r="Q31" s="220"/>
      <c r="R31" s="217"/>
      <c r="S31" s="217"/>
      <c r="T31" s="221"/>
      <c r="U31" s="1080" t="s">
        <v>6485</v>
      </c>
      <c r="V31" s="1080"/>
      <c r="W31" s="1082" t="s">
        <v>2882</v>
      </c>
      <c r="X31" s="1083"/>
      <c r="Y31" s="1083"/>
      <c r="Z31" s="1083"/>
      <c r="AA31" s="1083"/>
      <c r="AB31" s="1084"/>
    </row>
    <row r="32" spans="2:28" ht="18" customHeight="1" x14ac:dyDescent="0.15">
      <c r="B32" s="1072" t="s">
        <v>9287</v>
      </c>
      <c r="C32" s="1073"/>
      <c r="D32" s="1074"/>
      <c r="E32" s="138"/>
      <c r="G32" s="222"/>
      <c r="H32" s="223"/>
      <c r="I32" s="224"/>
      <c r="J32" s="223"/>
      <c r="K32" s="224"/>
      <c r="L32" s="225"/>
      <c r="M32" s="225"/>
      <c r="N32" s="225"/>
      <c r="O32" s="224"/>
      <c r="P32" s="223"/>
      <c r="Q32" s="226"/>
      <c r="R32" s="223"/>
      <c r="S32" s="223"/>
      <c r="U32" s="1080" t="s">
        <v>6486</v>
      </c>
      <c r="V32" s="1080"/>
      <c r="W32" s="1082" t="s">
        <v>2882</v>
      </c>
      <c r="X32" s="1083"/>
      <c r="Y32" s="1083"/>
      <c r="Z32" s="1083"/>
      <c r="AA32" s="1083"/>
      <c r="AB32" s="1084"/>
    </row>
    <row r="33" spans="2:28" ht="18" customHeight="1" x14ac:dyDescent="0.15">
      <c r="B33" s="1075" t="s">
        <v>5811</v>
      </c>
      <c r="C33" s="1076"/>
      <c r="D33" s="1077"/>
      <c r="E33" s="137"/>
      <c r="G33" s="216"/>
      <c r="H33" s="217"/>
      <c r="I33" s="218"/>
      <c r="J33" s="217"/>
      <c r="K33" s="218"/>
      <c r="L33" s="219"/>
      <c r="M33" s="219"/>
      <c r="N33" s="219"/>
      <c r="O33" s="218"/>
      <c r="P33" s="217"/>
      <c r="Q33" s="220"/>
      <c r="R33" s="217"/>
      <c r="S33" s="217"/>
    </row>
    <row r="34" spans="2:28" ht="18" customHeight="1" x14ac:dyDescent="0.15">
      <c r="B34" s="1072" t="s">
        <v>5812</v>
      </c>
      <c r="C34" s="1073"/>
      <c r="D34" s="1074"/>
      <c r="E34" s="138"/>
      <c r="G34" s="222"/>
      <c r="H34" s="223"/>
      <c r="I34" s="224"/>
      <c r="J34" s="223"/>
      <c r="K34" s="224"/>
      <c r="L34" s="225"/>
      <c r="M34" s="225"/>
      <c r="N34" s="225"/>
      <c r="O34" s="224"/>
      <c r="P34" s="223"/>
      <c r="Q34" s="226"/>
      <c r="R34" s="223"/>
      <c r="S34" s="223"/>
      <c r="U34" s="1087" t="s">
        <v>6477</v>
      </c>
      <c r="V34" s="1087"/>
      <c r="W34" s="1087"/>
      <c r="X34" s="1087"/>
      <c r="Y34" s="1087"/>
      <c r="Z34" s="1087"/>
      <c r="AA34" s="1087"/>
      <c r="AB34" s="1087"/>
    </row>
    <row r="35" spans="2:28" ht="18" customHeight="1" x14ac:dyDescent="0.35">
      <c r="B35" s="1075" t="s">
        <v>5814</v>
      </c>
      <c r="C35" s="1076"/>
      <c r="D35" s="1077"/>
      <c r="E35" s="137"/>
      <c r="G35" s="216"/>
      <c r="H35" s="217"/>
      <c r="I35" s="218"/>
      <c r="J35" s="217"/>
      <c r="K35" s="218"/>
      <c r="L35" s="219"/>
      <c r="M35" s="219"/>
      <c r="N35" s="219"/>
      <c r="O35" s="218"/>
      <c r="P35" s="217"/>
      <c r="Q35" s="220"/>
      <c r="R35" s="217"/>
      <c r="S35" s="217"/>
      <c r="U35" s="1081" t="s">
        <v>6473</v>
      </c>
      <c r="V35" s="1081"/>
      <c r="W35" s="1081" t="s">
        <v>14</v>
      </c>
      <c r="X35" s="1081"/>
      <c r="Y35" s="1081" t="s">
        <v>16</v>
      </c>
      <c r="Z35" s="1081"/>
      <c r="AA35" s="1081" t="s">
        <v>18</v>
      </c>
      <c r="AB35" s="1081"/>
    </row>
    <row r="36" spans="2:28" ht="18" customHeight="1" x14ac:dyDescent="0.15">
      <c r="B36" s="1072" t="s">
        <v>3197</v>
      </c>
      <c r="C36" s="1073"/>
      <c r="D36" s="1074"/>
      <c r="E36" s="138"/>
      <c r="G36" s="222"/>
      <c r="H36" s="223"/>
      <c r="I36" s="224"/>
      <c r="J36" s="223"/>
      <c r="K36" s="224"/>
      <c r="L36" s="225"/>
      <c r="M36" s="225"/>
      <c r="N36" s="225"/>
      <c r="O36" s="224"/>
      <c r="P36" s="223"/>
      <c r="Q36" s="226"/>
      <c r="R36" s="223"/>
      <c r="S36" s="223"/>
      <c r="U36" s="1085" t="s">
        <v>6478</v>
      </c>
      <c r="V36" s="1086"/>
      <c r="W36" s="1085" t="s">
        <v>3024</v>
      </c>
      <c r="X36" s="1086"/>
      <c r="Y36" s="1085" t="s">
        <v>3022</v>
      </c>
      <c r="Z36" s="1086"/>
      <c r="AA36" s="1085" t="s">
        <v>3023</v>
      </c>
      <c r="AB36" s="1086"/>
    </row>
    <row r="37" spans="2:28" ht="18" customHeight="1" x14ac:dyDescent="0.15">
      <c r="B37" s="1075" t="s">
        <v>10187</v>
      </c>
      <c r="C37" s="1076"/>
      <c r="D37" s="1077"/>
      <c r="E37" s="137"/>
      <c r="G37" s="216"/>
      <c r="H37" s="217"/>
      <c r="I37" s="218"/>
      <c r="J37" s="217"/>
      <c r="K37" s="218"/>
      <c r="L37" s="219"/>
      <c r="M37" s="219"/>
      <c r="N37" s="219"/>
      <c r="O37" s="218"/>
      <c r="P37" s="217"/>
      <c r="Q37" s="220"/>
      <c r="R37" s="217"/>
      <c r="S37" s="217"/>
      <c r="U37" s="1086"/>
      <c r="V37" s="1086"/>
      <c r="W37" s="1086"/>
      <c r="X37" s="1086"/>
      <c r="Y37" s="1086"/>
      <c r="Z37" s="1086"/>
      <c r="AA37" s="1086"/>
      <c r="AB37" s="1086"/>
    </row>
    <row r="38" spans="2:28" ht="18" customHeight="1" x14ac:dyDescent="0.35">
      <c r="B38" s="1072" t="s">
        <v>10188</v>
      </c>
      <c r="C38" s="1073"/>
      <c r="D38" s="1074"/>
      <c r="E38" s="138"/>
      <c r="G38" s="222"/>
      <c r="H38" s="223"/>
      <c r="I38" s="224"/>
      <c r="J38" s="223"/>
      <c r="K38" s="224"/>
      <c r="L38" s="225"/>
      <c r="M38" s="225"/>
      <c r="N38" s="225"/>
      <c r="O38" s="224"/>
      <c r="P38" s="223"/>
      <c r="Q38" s="226"/>
      <c r="R38" s="223"/>
      <c r="S38" s="223"/>
      <c r="U38" s="1081" t="s">
        <v>20</v>
      </c>
      <c r="V38" s="1081"/>
      <c r="W38" s="1081" t="s">
        <v>101</v>
      </c>
      <c r="X38" s="1081"/>
      <c r="Y38" s="1081" t="s">
        <v>5</v>
      </c>
      <c r="Z38" s="1081"/>
      <c r="AA38" s="1081"/>
      <c r="AB38" s="1081"/>
    </row>
    <row r="39" spans="2:28" ht="18" customHeight="1" x14ac:dyDescent="0.15">
      <c r="B39" s="1075" t="s">
        <v>10619</v>
      </c>
      <c r="C39" s="1076"/>
      <c r="D39" s="1077"/>
      <c r="E39" s="137"/>
      <c r="G39" s="216"/>
      <c r="H39" s="217"/>
      <c r="I39" s="218"/>
      <c r="J39" s="217"/>
      <c r="K39" s="218"/>
      <c r="L39" s="219"/>
      <c r="M39" s="219"/>
      <c r="N39" s="219"/>
      <c r="O39" s="218"/>
      <c r="P39" s="217"/>
      <c r="Q39" s="220"/>
      <c r="R39" s="217"/>
      <c r="S39" s="217"/>
      <c r="U39" s="1085" t="s">
        <v>6487</v>
      </c>
      <c r="V39" s="1086"/>
      <c r="W39" s="1093" t="s">
        <v>6488</v>
      </c>
      <c r="X39" s="1092"/>
      <c r="Y39" s="1091" t="s">
        <v>3028</v>
      </c>
      <c r="Z39" s="1092"/>
      <c r="AA39" s="1092"/>
      <c r="AB39" s="1092"/>
    </row>
    <row r="40" spans="2:28" ht="18" customHeight="1" x14ac:dyDescent="0.15">
      <c r="B40" s="1072" t="s">
        <v>10618</v>
      </c>
      <c r="C40" s="1073"/>
      <c r="D40" s="1074"/>
      <c r="E40" s="138"/>
      <c r="G40" s="222"/>
      <c r="H40" s="223"/>
      <c r="I40" s="224"/>
      <c r="J40" s="223"/>
      <c r="K40" s="224"/>
      <c r="L40" s="225"/>
      <c r="M40" s="225"/>
      <c r="N40" s="225"/>
      <c r="O40" s="226"/>
      <c r="P40" s="223"/>
      <c r="Q40" s="226"/>
      <c r="R40" s="223"/>
      <c r="S40" s="223"/>
      <c r="U40" s="1085"/>
      <c r="V40" s="1086"/>
      <c r="W40" s="1093"/>
      <c r="X40" s="1092"/>
      <c r="Y40" s="1091"/>
      <c r="Z40" s="1092"/>
      <c r="AA40" s="1092"/>
      <c r="AB40" s="1092"/>
    </row>
    <row r="41" spans="2:28" ht="18" customHeight="1" x14ac:dyDescent="0.15">
      <c r="B41" s="1075" t="s">
        <v>10557</v>
      </c>
      <c r="C41" s="1076"/>
      <c r="D41" s="1077"/>
      <c r="E41" s="137"/>
      <c r="G41" s="216"/>
      <c r="H41" s="217"/>
      <c r="I41" s="218"/>
      <c r="J41" s="217"/>
      <c r="K41" s="218"/>
      <c r="L41" s="219"/>
      <c r="M41" s="219"/>
      <c r="N41" s="219"/>
      <c r="O41" s="220"/>
      <c r="P41" s="217"/>
      <c r="Q41" s="220"/>
      <c r="R41" s="217"/>
      <c r="S41" s="217"/>
      <c r="U41" s="1086"/>
      <c r="V41" s="1086"/>
      <c r="W41" s="1092"/>
      <c r="X41" s="1092"/>
      <c r="Y41" s="1092"/>
      <c r="Z41" s="1092"/>
      <c r="AA41" s="1092"/>
      <c r="AB41" s="1092"/>
    </row>
    <row r="42" spans="2:28" ht="18" customHeight="1" x14ac:dyDescent="0.35">
      <c r="G42" s="222"/>
      <c r="H42" s="223"/>
      <c r="I42" s="224"/>
      <c r="J42" s="223"/>
      <c r="K42" s="224"/>
      <c r="L42" s="225"/>
      <c r="M42" s="225"/>
      <c r="N42" s="225"/>
      <c r="O42" s="226"/>
      <c r="P42" s="223"/>
      <c r="Q42" s="226"/>
      <c r="R42" s="223"/>
      <c r="S42" s="223"/>
      <c r="U42" s="1081" t="s">
        <v>6473</v>
      </c>
      <c r="V42" s="1081"/>
      <c r="W42" s="1081" t="s">
        <v>14</v>
      </c>
      <c r="X42" s="1081"/>
      <c r="Y42" s="1081" t="s">
        <v>16</v>
      </c>
      <c r="Z42" s="1081"/>
      <c r="AA42" s="1081" t="s">
        <v>18</v>
      </c>
      <c r="AB42" s="1081"/>
    </row>
    <row r="43" spans="2:28" ht="18" customHeight="1" x14ac:dyDescent="0.15">
      <c r="G43" s="216"/>
      <c r="H43" s="217"/>
      <c r="I43" s="218"/>
      <c r="J43" s="217"/>
      <c r="K43" s="218"/>
      <c r="L43" s="219"/>
      <c r="M43" s="219"/>
      <c r="N43" s="219"/>
      <c r="O43" s="220"/>
      <c r="P43" s="217"/>
      <c r="Q43" s="220"/>
      <c r="R43" s="217"/>
      <c r="S43" s="217"/>
      <c r="U43" s="1085" t="s">
        <v>6489</v>
      </c>
      <c r="V43" s="1086"/>
      <c r="W43" s="1085" t="s">
        <v>3024</v>
      </c>
      <c r="X43" s="1086"/>
      <c r="Y43" s="1085" t="s">
        <v>3022</v>
      </c>
      <c r="Z43" s="1086"/>
      <c r="AA43" s="1085" t="s">
        <v>3023</v>
      </c>
      <c r="AB43" s="1086"/>
    </row>
    <row r="44" spans="2:28" ht="18" customHeight="1" x14ac:dyDescent="0.15">
      <c r="G44" s="222"/>
      <c r="H44" s="223"/>
      <c r="I44" s="224"/>
      <c r="J44" s="223"/>
      <c r="K44" s="224"/>
      <c r="L44" s="225"/>
      <c r="M44" s="225"/>
      <c r="N44" s="225"/>
      <c r="O44" s="226"/>
      <c r="P44" s="223"/>
      <c r="Q44" s="226"/>
      <c r="R44" s="223"/>
      <c r="S44" s="223"/>
      <c r="U44" s="1086"/>
      <c r="V44" s="1086"/>
      <c r="W44" s="1086"/>
      <c r="X44" s="1086"/>
      <c r="Y44" s="1086"/>
      <c r="Z44" s="1086"/>
      <c r="AA44" s="1086"/>
      <c r="AB44" s="1086"/>
    </row>
    <row r="45" spans="2:28" ht="18" customHeight="1" x14ac:dyDescent="0.35">
      <c r="G45" s="216"/>
      <c r="H45" s="217"/>
      <c r="I45" s="218"/>
      <c r="J45" s="217"/>
      <c r="K45" s="218"/>
      <c r="L45" s="219"/>
      <c r="M45" s="219"/>
      <c r="N45" s="219"/>
      <c r="O45" s="220"/>
      <c r="P45" s="217"/>
      <c r="Q45" s="220"/>
      <c r="R45" s="217"/>
      <c r="S45" s="217"/>
      <c r="U45" s="1081" t="s">
        <v>20</v>
      </c>
      <c r="V45" s="1081"/>
      <c r="W45" s="1081" t="s">
        <v>101</v>
      </c>
      <c r="X45" s="1081"/>
      <c r="Y45" s="1081" t="s">
        <v>5</v>
      </c>
      <c r="Z45" s="1081"/>
      <c r="AA45" s="1081"/>
      <c r="AB45" s="1081"/>
    </row>
    <row r="46" spans="2:28" ht="18" customHeight="1" x14ac:dyDescent="0.15">
      <c r="G46" s="222"/>
      <c r="H46" s="223"/>
      <c r="I46" s="224"/>
      <c r="J46" s="223"/>
      <c r="K46" s="224"/>
      <c r="L46" s="225"/>
      <c r="M46" s="225"/>
      <c r="N46" s="225"/>
      <c r="O46" s="226"/>
      <c r="P46" s="223"/>
      <c r="Q46" s="226"/>
      <c r="R46" s="223"/>
      <c r="S46" s="223"/>
      <c r="U46" s="1085" t="s">
        <v>6487</v>
      </c>
      <c r="V46" s="1086"/>
      <c r="W46" s="1093" t="s">
        <v>6488</v>
      </c>
      <c r="X46" s="1092"/>
      <c r="Y46" s="1091" t="s">
        <v>3028</v>
      </c>
      <c r="Z46" s="1092"/>
      <c r="AA46" s="1092"/>
      <c r="AB46" s="1092"/>
    </row>
    <row r="47" spans="2:28" ht="18" customHeight="1" x14ac:dyDescent="0.15">
      <c r="G47" s="216"/>
      <c r="H47" s="217"/>
      <c r="I47" s="218"/>
      <c r="J47" s="217"/>
      <c r="K47" s="218"/>
      <c r="L47" s="219"/>
      <c r="M47" s="219"/>
      <c r="N47" s="219"/>
      <c r="O47" s="220"/>
      <c r="P47" s="217"/>
      <c r="Q47" s="220"/>
      <c r="R47" s="217"/>
      <c r="S47" s="217"/>
      <c r="U47" s="1085"/>
      <c r="V47" s="1086"/>
      <c r="W47" s="1093"/>
      <c r="X47" s="1092"/>
      <c r="Y47" s="1091"/>
      <c r="Z47" s="1092"/>
      <c r="AA47" s="1092"/>
      <c r="AB47" s="1092"/>
    </row>
    <row r="48" spans="2:28" ht="18" customHeight="1" x14ac:dyDescent="0.15">
      <c r="G48" s="222"/>
      <c r="H48" s="223"/>
      <c r="I48" s="224"/>
      <c r="J48" s="223"/>
      <c r="K48" s="224"/>
      <c r="L48" s="225"/>
      <c r="M48" s="225"/>
      <c r="N48" s="225"/>
      <c r="O48" s="226"/>
      <c r="P48" s="223"/>
      <c r="Q48" s="226"/>
      <c r="R48" s="223"/>
      <c r="S48" s="223"/>
      <c r="U48" s="1086"/>
      <c r="V48" s="1086"/>
      <c r="W48" s="1092"/>
      <c r="X48" s="1092"/>
      <c r="Y48" s="1092"/>
      <c r="Z48" s="1092"/>
      <c r="AA48" s="1092"/>
      <c r="AB48" s="1092"/>
    </row>
    <row r="49" spans="7:19" ht="18" customHeight="1" x14ac:dyDescent="0.15">
      <c r="G49" s="216"/>
      <c r="H49" s="217"/>
      <c r="I49" s="218"/>
      <c r="J49" s="217"/>
      <c r="K49" s="218"/>
      <c r="L49" s="219"/>
      <c r="M49" s="219"/>
      <c r="N49" s="219"/>
      <c r="O49" s="220"/>
      <c r="P49" s="217"/>
      <c r="Q49" s="220"/>
      <c r="R49" s="217"/>
      <c r="S49" s="217"/>
    </row>
    <row r="50" spans="7:19" ht="18" customHeight="1" x14ac:dyDescent="0.15">
      <c r="G50" s="222"/>
      <c r="H50" s="223"/>
      <c r="I50" s="224"/>
      <c r="J50" s="223"/>
      <c r="K50" s="224"/>
      <c r="L50" s="225"/>
      <c r="M50" s="225"/>
      <c r="N50" s="225"/>
      <c r="O50" s="226"/>
      <c r="P50" s="223"/>
      <c r="Q50" s="226"/>
      <c r="R50" s="223"/>
      <c r="S50" s="223"/>
    </row>
    <row r="51" spans="7:19" ht="18" customHeight="1" x14ac:dyDescent="0.15">
      <c r="G51" s="216"/>
      <c r="H51" s="217"/>
      <c r="I51" s="218"/>
      <c r="J51" s="217"/>
      <c r="K51" s="218"/>
      <c r="L51" s="219"/>
      <c r="M51" s="219"/>
      <c r="N51" s="219"/>
      <c r="O51" s="220"/>
      <c r="P51" s="217"/>
      <c r="Q51" s="220"/>
      <c r="R51" s="217"/>
      <c r="S51" s="217"/>
    </row>
    <row r="52" spans="7:19" ht="18" customHeight="1" x14ac:dyDescent="0.15">
      <c r="G52" s="222"/>
      <c r="H52" s="223"/>
      <c r="I52" s="224"/>
      <c r="J52" s="223"/>
      <c r="K52" s="224"/>
      <c r="L52" s="225"/>
      <c r="M52" s="225"/>
      <c r="N52" s="225"/>
      <c r="O52" s="226"/>
      <c r="P52" s="223"/>
      <c r="Q52" s="226"/>
      <c r="R52" s="223"/>
      <c r="S52" s="223"/>
    </row>
  </sheetData>
  <sheetProtection sheet="1"/>
  <mergeCells count="95">
    <mergeCell ref="U43:V44"/>
    <mergeCell ref="W43:X44"/>
    <mergeCell ref="U21:Z21"/>
    <mergeCell ref="AD16:AP16"/>
    <mergeCell ref="U31:V31"/>
    <mergeCell ref="W31:AB31"/>
    <mergeCell ref="U32:V32"/>
    <mergeCell ref="W32:AB32"/>
    <mergeCell ref="U29:V29"/>
    <mergeCell ref="W29:AB29"/>
    <mergeCell ref="U30:V30"/>
    <mergeCell ref="W30:AB30"/>
    <mergeCell ref="U25:AB25"/>
    <mergeCell ref="U26:V26"/>
    <mergeCell ref="W26:AB26"/>
    <mergeCell ref="U27:V27"/>
    <mergeCell ref="U45:V45"/>
    <mergeCell ref="W45:X45"/>
    <mergeCell ref="Y45:AB45"/>
    <mergeCell ref="U46:V48"/>
    <mergeCell ref="W46:X48"/>
    <mergeCell ref="Y46:AB48"/>
    <mergeCell ref="Y43:Z44"/>
    <mergeCell ref="AA43:AB44"/>
    <mergeCell ref="AA36:AB37"/>
    <mergeCell ref="Y36:Z37"/>
    <mergeCell ref="W36:X37"/>
    <mergeCell ref="W38:X38"/>
    <mergeCell ref="Y38:AB38"/>
    <mergeCell ref="Y39:AB41"/>
    <mergeCell ref="W39:X41"/>
    <mergeCell ref="U39:V41"/>
    <mergeCell ref="AA42:AB42"/>
    <mergeCell ref="U42:V42"/>
    <mergeCell ref="W42:X42"/>
    <mergeCell ref="Y42:Z42"/>
    <mergeCell ref="B41:D41"/>
    <mergeCell ref="B39:D39"/>
    <mergeCell ref="B18:D18"/>
    <mergeCell ref="B40:D40"/>
    <mergeCell ref="B22:D22"/>
    <mergeCell ref="B19:D19"/>
    <mergeCell ref="B20:D20"/>
    <mergeCell ref="B26:D26"/>
    <mergeCell ref="B28:D28"/>
    <mergeCell ref="B29:D29"/>
    <mergeCell ref="B36:D36"/>
    <mergeCell ref="B35:D35"/>
    <mergeCell ref="B37:D37"/>
    <mergeCell ref="B30:D30"/>
    <mergeCell ref="B34:D34"/>
    <mergeCell ref="B33:D33"/>
    <mergeCell ref="B38:D38"/>
    <mergeCell ref="B16:D16"/>
    <mergeCell ref="W28:AB28"/>
    <mergeCell ref="U36:V37"/>
    <mergeCell ref="U34:AB34"/>
    <mergeCell ref="W35:X35"/>
    <mergeCell ref="Y35:Z35"/>
    <mergeCell ref="AA35:AB35"/>
    <mergeCell ref="U38:V38"/>
    <mergeCell ref="U35:V35"/>
    <mergeCell ref="W27:AB27"/>
    <mergeCell ref="U28:V28"/>
    <mergeCell ref="B23:D23"/>
    <mergeCell ref="B21:D21"/>
    <mergeCell ref="B32:D32"/>
    <mergeCell ref="B25:D25"/>
    <mergeCell ref="B27:D27"/>
    <mergeCell ref="B31:D31"/>
    <mergeCell ref="B6:D6"/>
    <mergeCell ref="B7:D7"/>
    <mergeCell ref="B15:D15"/>
    <mergeCell ref="B11:D11"/>
    <mergeCell ref="B10:D10"/>
    <mergeCell ref="B8:D8"/>
    <mergeCell ref="B12:D12"/>
    <mergeCell ref="B13:D13"/>
    <mergeCell ref="B14:D14"/>
    <mergeCell ref="B1:E1"/>
    <mergeCell ref="B24:D24"/>
    <mergeCell ref="B9:D9"/>
    <mergeCell ref="B2:D2"/>
    <mergeCell ref="U7:V7"/>
    <mergeCell ref="B17:D17"/>
    <mergeCell ref="B4:D4"/>
    <mergeCell ref="B5:D5"/>
    <mergeCell ref="B3:D3"/>
    <mergeCell ref="G1:S1"/>
    <mergeCell ref="U3:V3"/>
    <mergeCell ref="U5:V5"/>
    <mergeCell ref="U1:AB1"/>
    <mergeCell ref="U4:V4"/>
    <mergeCell ref="U2:V2"/>
    <mergeCell ref="X7:AB7"/>
  </mergeCells>
  <phoneticPr fontId="68" type="noConversion"/>
  <conditionalFormatting sqref="X9">
    <cfRule type="expression" dxfId="5" priority="6">
      <formula>$G$13="O"</formula>
    </cfRule>
  </conditionalFormatting>
  <conditionalFormatting sqref="X10">
    <cfRule type="expression" dxfId="4" priority="5">
      <formula>$G$14="O"</formula>
    </cfRule>
  </conditionalFormatting>
  <conditionalFormatting sqref="X11">
    <cfRule type="expression" dxfId="3" priority="4">
      <formula>$G$15="O"</formula>
    </cfRule>
  </conditionalFormatting>
  <conditionalFormatting sqref="X12">
    <cfRule type="expression" dxfId="2" priority="3">
      <formula>$G$16="O"</formula>
    </cfRule>
  </conditionalFormatting>
  <conditionalFormatting sqref="X13">
    <cfRule type="expression" dxfId="1" priority="2">
      <formula>$G$17="O"</formula>
    </cfRule>
  </conditionalFormatting>
  <conditionalFormatting sqref="X14">
    <cfRule type="expression" dxfId="0" priority="1">
      <formula>$G$18="O"</formula>
    </cfRule>
  </conditionalFormatting>
  <dataValidations count="39">
    <dataValidation type="list" allowBlank="1" showInputMessage="1" showErrorMessage="1" sqref="L3:L52" xr:uid="{00000000-0002-0000-0D00-000004000000}">
      <formula1>"V"</formula1>
    </dataValidation>
    <dataValidation type="list" allowBlank="1" showInputMessage="1" showErrorMessage="1" sqref="M3:M52" xr:uid="{00000000-0002-0000-0D00-000005000000}">
      <formula1>"S"</formula1>
    </dataValidation>
    <dataValidation type="list" allowBlank="1" showInputMessage="1" showErrorMessage="1" sqref="N3:N52" xr:uid="{00000000-0002-0000-0D00-000006000000}">
      <formula1>"M"</formula1>
    </dataValidation>
    <dataValidation type="list" allowBlank="1" showInputMessage="1" sqref="R3:S52" xr:uid="{00000000-0002-0000-0D00-000008000000}">
      <formula1>"√"</formula1>
    </dataValidation>
    <dataValidation allowBlank="1" showInputMessage="1" showErrorMessage="1" promptTitle="此扩展包括以下内容：" prompt="血猎手职业及其4项子职" sqref="B25:D25" xr:uid="{A1884BB3-FFB6-41D5-A632-33D69CEA32EA}"/>
    <dataValidation allowBlank="1" showInputMessage="1" showErrorMessage="1" promptTitle="此扩展包括以下内容：" prompt="5个背景_x000a_9个子职_x000a_7个专长_x000a_以及2道法术" sqref="B26:D26" xr:uid="{4A8F586E-B8D9-449C-AC79-14122D7D86F9}"/>
    <dataValidation allowBlank="1" showInputMessage="1" showErrorMessage="1" promptTitle="此扩展包括以下内容：" prompt="5个背景_x000a_（以下均未被不全书收录）_x000a_药剂师职业及其6个子职_x000a_15个子职_x000a_37道法术" sqref="B28:D28" xr:uid="{7E658511-F1C9-4113-A4E2-A30A1DCC4125}"/>
    <dataValidation allowBlank="1" showInputMessage="1" showErrorMessage="1" promptTitle="此扩展包括以下内容：" prompt="1个背景_x000a_2个工具_x000a_5个起源专长_x000a_12个子职_x000a_以及25道法术" sqref="B36:D36" xr:uid="{43B9EEFB-A1D5-4E55-ABA4-7C0ACE597F72}"/>
    <dataValidation allowBlank="1" showInputMessage="1" showErrorMessage="1" promptTitle="此扩展包括以下内容：" prompt="灵能使职业及其3项子职_x000a_灵能1期的10个专长" sqref="B41:D41" xr:uid="{B96EF3E2-5272-4278-AF34-C199637B1593}"/>
    <dataValidation allowBlank="1" showInputMessage="1" showErrorMessage="1" promptTitle="此扩展包括以下内容：" prompt="4个种族_x000a_11个子职_x000a_6个背景_x000a_新武器、工具、护甲_x000a_20个专长_x000a_以及50道法术" sqref="B33:D33" xr:uid="{5D46A1EA-9774-4207-A9A2-9FA2C7D6E6F7}"/>
    <dataValidation allowBlank="1" showInputMessage="1" showErrorMessage="1" promptTitle="此扩展包括以下内容：" prompt="铳士及其6个子职_x000a_6个新子职_x000a_2个种族_x000a_4个专长_x000a_以及23道法术" sqref="B34:D34" xr:uid="{C0419B31-01EE-4670-8F78-8DDC5F35B5A4}"/>
    <dataValidation allowBlank="1" showInputMessage="1" showErrorMessage="1" promptTitle="此扩展包括以下内容：" prompt="13个种族_x000a_15个子职_x000a_13个背景_x000a_12个起源专长_x000a_2个通用专长_x000a_以及40道法术" sqref="B35:D35" xr:uid="{E3195A42-581E-4026-9BA5-92690520B3B9}"/>
    <dataValidation allowBlank="1" showInputMessage="1" showErrorMessage="1" promptTitle="此扩展包括以下内容：" prompt="邪狱使职业及其5项子职_x000a_以及8道法术" sqref="B31:D31" xr:uid="{82BA523D-45A4-4367-9110-474897A5253C}"/>
    <dataValidation allowBlank="1" showInputMessage="1" showErrorMessage="1" promptTitle="此扩展包括以下内容：" prompt="2个种族_x000a_6个子职_x000a_以及10道法术" sqref="B27:D27" xr:uid="{4C9C7406-6868-4E4A-9AC8-76E32E745763}"/>
    <dataValidation allowBlank="1" showInputMessage="1" showErrorMessage="1" promptTitle="此扩展包括以下内容：" prompt="10个种族_x000a_4个职业_x000a_以及10道法术" sqref="B29:D29" xr:uid="{ED07FBEE-56E6-4AEE-A6A2-2321780F0831}"/>
    <dataValidation allowBlank="1" showInputMessage="1" showErrorMessage="1" promptTitle="此扩展包括以下内容：" prompt="2个种族_x000a_以及12个子职" sqref="B32:D32" xr:uid="{2196AAEE-2079-4C1E-A198-D3D0DA759F7A}"/>
    <dataValidation allowBlank="1" showInputMessage="1" showErrorMessage="1" promptTitle="此扩展包括以下内容：" prompt="14个种族_x000a_10个子职_x000a_以及52道法术" sqref="B30:D30" xr:uid="{3504EB22-A49F-4E5C-93FE-9721D16C7954}"/>
    <dataValidation allowBlank="1" showInputMessage="1" showErrorMessage="1" promptTitle="此扩展包括以下内容：" prompt="4个种族" sqref="B37:D37" xr:uid="{D6D286D4-8C46-41D7-B674-AD105B57AC5A}"/>
    <dataValidation allowBlank="1" showInputMessage="1" showErrorMessage="1" promptTitle="此扩展包括以下内容：" prompt="拳斗士职业及其6个子职_x000a_以及3个简易近战武器" sqref="B38:D38" xr:uid="{DD160670-5D74-41FD-B472-D165D6B9A37B}"/>
    <dataValidation allowBlank="1" showInputMessage="1" showErrorMessage="1" promptTitle="此扩展包括以下内容：" prompt="27个子职_x000a_15个种族专长_x000a_以及83道法术" sqref="B3:D3" xr:uid="{504507DB-5860-4D99-9294-D5E25C6F89B4}"/>
    <dataValidation allowBlank="1" showInputMessage="1" showErrorMessage="1" promptTitle="此扩展包括以下内容：" prompt="19个子职_x000a_5个专长_x000a_21道法术" sqref="B4:D4" xr:uid="{4B12E077-2A81-4E11-9A83-E0420C5E21FE}"/>
    <dataValidation allowBlank="1" showInputMessage="1" showErrorMessage="1" promptTitle="此扩展包括以下内容：" prompt="27个种族_x000a_注：部分种族被后续更新的扩展所覆盖" sqref="B5:D5" xr:uid="{FA3AB493-ECFD-4C97-A3CB-A995B2E84D70}"/>
    <dataValidation allowBlank="1" showInputMessage="1" showErrorMessage="1" promptTitle="此扩展包括以下内容：" prompt="2个子职_x000a_以及3个专长" sqref="B6:D6" xr:uid="{03E0085A-B602-47F6-B8D0-A7667A9EBEF9}"/>
    <dataValidation allowBlank="1" showInputMessage="1" showErrorMessage="1" promptTitle="此扩展包括以下内容：" prompt="1个子职_x000a_2个背景_x000a_8个专长" sqref="B7:D7" xr:uid="{9C87294E-D29A-4659-8390-96E87A9FE713}"/>
    <dataValidation allowBlank="1" showInputMessage="1" showErrorMessage="1" promptTitle="此扩展包括以下内容：" prompt="2个背景_x000a_1个专长_x000a_以及3道法术" sqref="B8:D8" xr:uid="{9F82AB59-4DE3-4015-80AB-8D3401FB3B8B}"/>
    <dataValidation allowBlank="1" showInputMessage="1" showErrorMessage="1" promptTitle="此扩展包括以下内容：" prompt="3个种族_x000a_以及10个背景" sqref="B15:D15" xr:uid="{E32A006C-5CE0-424E-873E-9CEEA49FBE56}"/>
    <dataValidation allowBlank="1" showInputMessage="1" showErrorMessage="1" promptTitle="此扩展包括以下内容：" prompt="5个背景_x000a_1个种族_x000a_以及7道法术" sqref="B17:D17" xr:uid="{3C12376E-C77D-4482-A28E-7400512B8102}"/>
    <dataValidation allowBlank="1" showInputMessage="1" showErrorMessage="1" promptTitle="此扩展包括以下内容：" prompt="1个背景_x000a_以及1个种族" sqref="B18:D18" xr:uid="{C65177C4-87B2-4949-96C7-153CF489BB9D}"/>
    <dataValidation allowBlank="1" showInputMessage="1" showErrorMessage="1" promptTitle="此扩展包括以下内容：" prompt="3个血统_x000a_2个背景_x000a_以及2个子职" sqref="B19:D19" xr:uid="{0C6954A8-B558-4A32-9984-2371EE11BBAD}"/>
    <dataValidation allowBlank="1" showInputMessage="1" showErrorMessage="1" promptTitle="此扩展包括以下内容：" prompt="1个种族_x000a_5个背景_x000a_2个专长_x000a_以及5道法术" sqref="B20:D20" xr:uid="{761CEC9F-294C-4FD3-8952-906597A16637}"/>
    <dataValidation allowBlank="1" showInputMessage="1" showErrorMessage="1" promptTitle="此扩展包括以下内容：" prompt="2个背景_x000a_以及6个种族" sqref="B21:D21" xr:uid="{ED8766B4-800C-4C37-97C1-67616F619DBA}"/>
    <dataValidation allowBlank="1" showInputMessage="1" showErrorMessage="1" promptTitle="此扩展包括以下内容：" prompt="2个背景_x000a_以及2道法术" sqref="B22:D22" xr:uid="{95E0C046-C2E2-4DE0-9B3E-81205F73DA2E}"/>
    <dataValidation allowBlank="1" showInputMessage="1" showErrorMessage="1" promptTitle="此扩展包括以下内容：" prompt="8个子职_x000a_18个新背景_x000a_8个起源专长，13个通用专长，13个传奇恩惠_x000a_以及19道法术" sqref="B10:D10" xr:uid="{47A177AC-1B74-4145-9CAE-A6C73DEE0C0D}"/>
    <dataValidation allowBlank="1" showInputMessage="1" showErrorMessage="1" promptTitle="此扩展包括以下内容：" prompt="3个子职_x000a_2个背景_x000a_以及15道法术" sqref="B23:D23" xr:uid="{3B41E021-8407-4C54-BFBC-F5FCFA47E378}"/>
    <dataValidation allowBlank="1" showInputMessage="1" showErrorMessage="1" promptTitle="此扩展包括以下内容：" prompt="2个背景_x000a_2个起源专长_x000a_5个种族，2个精灵亚种" sqref="B11:D11" xr:uid="{5710BE95-1B78-4E66-A898-650E0F0A5A44}"/>
    <dataValidation allowBlank="1" showInputMessage="1" showErrorMessage="1" promptTitle="此扩展包括以下内容：" prompt="奇械师职业及其5项子职_x000a_1道新法术_x000a_17个背景_x000a_13个起源专长_x000a_14个通用专长_x000a_以及1个传奇恩惠_x000a_注：此处的种族覆盖了MPMM的部分种族选项" sqref="B13:D13" xr:uid="{AD36A61A-D611-42DE-9050-C647C724DB46}"/>
    <dataValidation type="list" allowBlank="1" showInputMessage="1" sqref="E3:E8 E25:E41 E10:E23" xr:uid="{11A28393-B0E5-4A7A-9C76-6FF58E8A1246}">
      <formula1>"O,X"</formula1>
    </dataValidation>
    <dataValidation allowBlank="1" showInputMessage="1" showErrorMessage="1" promptTitle="此扩展包括以下内容：" sqref="B12:D12 B14:D14 B16:D16 B39:D40" xr:uid="{DA3B191F-AAE9-4E1F-B17E-080D53676DE6}"/>
    <dataValidation type="whole" allowBlank="1" showInputMessage="1" showErrorMessage="1" sqref="V23 X23 Z23 AB23" xr:uid="{05DEDB9C-2693-4C6D-A3D8-41A2A836DADC}">
      <formula1>0</formula1>
      <formula2>20</formula2>
    </dataValidation>
  </dataValidations>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xr:uid="{00000000-0002-0000-0D00-000000000000}">
          <x14:formula1>
            <xm:f>数据表!$P$34:$P$43</xm:f>
          </x14:formula1>
          <xm:sqref>G3:G52</xm:sqref>
        </x14:dataValidation>
        <x14:dataValidation type="list" allowBlank="1" showInputMessage="1" showErrorMessage="1" xr:uid="{00000000-0002-0000-0D00-000002000000}">
          <x14:formula1>
            <xm:f>数据表!$Q$34:$Q$41</xm:f>
          </x14:formula1>
          <xm:sqref>J3:J52</xm:sqref>
        </x14:dataValidation>
        <x14:dataValidation type="list" allowBlank="1" showInputMessage="1" xr:uid="{00000000-0002-0000-0D00-000003000000}">
          <x14:formula1>
            <xm:f>数据表!$R$34:$R$41</xm:f>
          </x14:formula1>
          <xm:sqref>K3:K52</xm:sqref>
        </x14:dataValidation>
        <x14:dataValidation type="list" allowBlank="1" showInputMessage="1" xr:uid="{00000000-0002-0000-0D00-000001000000}">
          <x14:formula1>
            <xm:f>数据表!$S$34:$S$50</xm:f>
          </x14:formula1>
          <xm:sqref>I3:I52</xm:sqref>
        </x14:dataValidation>
        <x14:dataValidation type="list" allowBlank="1" showInputMessage="1" xr:uid="{00000000-0002-0000-0D00-000007000000}">
          <x14:formula1>
            <xm:f>数据表!$T$34:$T$51</xm:f>
          </x14:formula1>
          <xm:sqref>P3:P52</xm:sqref>
        </x14:dataValidation>
        <x14:dataValidation type="list" allowBlank="1" showInputMessage="1" xr:uid="{AB4CF49B-CAAD-405D-8407-98599CFDB26F}">
          <x14:formula1>
            <xm:f>装备!$V$19:$V$31</xm:f>
          </x14:formula1>
          <xm:sqref>X3:X5</xm:sqref>
        </x14:dataValidation>
        <x14:dataValidation type="list" allowBlank="1" showInputMessage="1" xr:uid="{D55FBC41-6DB1-4FD3-85EA-57F66C7E79DA}">
          <x14:formula1>
            <xm:f>装备!$Z$2:$Z$16</xm:f>
          </x14:formula1>
          <xm:sqref>Z3:Z5</xm:sqref>
        </x14:dataValidation>
        <x14:dataValidation type="list" allowBlank="1" showInputMessage="1" xr:uid="{5DD6EC54-6CE7-41D4-9C40-457A2E1A3282}">
          <x14:formula1>
            <xm:f>装备!$W$19:$W$24</xm:f>
          </x14:formula1>
          <xm:sqref>AB3:AB5</xm:sqref>
        </x14:dataValidation>
        <x14:dataValidation type="list" allowBlank="1" showInputMessage="1" showErrorMessage="1" xr:uid="{F1A1644F-0A3F-44AA-A60C-CB52BEEDB741}">
          <x14:formula1>
            <xm:f>职业!$AQ$2:$AQ$5</xm:f>
          </x14:formula1>
          <xm:sqref>U23 W23 Y23 AA23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0" tint="-0.499984740745262"/>
  </sheetPr>
  <dimension ref="B1:BD156"/>
  <sheetViews>
    <sheetView showGridLines="0" zoomScale="85" zoomScaleNormal="85" workbookViewId="0">
      <selection activeCell="B3" sqref="B3:AB10"/>
    </sheetView>
  </sheetViews>
  <sheetFormatPr defaultColWidth="3.75" defaultRowHeight="15" x14ac:dyDescent="0.15"/>
  <cols>
    <col min="1" max="16384" width="3.75" style="1"/>
  </cols>
  <sheetData>
    <row r="1" spans="2:56" ht="14.45" customHeight="1" x14ac:dyDescent="0.15">
      <c r="B1" s="1104" t="s">
        <v>3036</v>
      </c>
      <c r="C1" s="1105"/>
      <c r="D1" s="1105"/>
      <c r="E1" s="1105"/>
      <c r="F1" s="1105"/>
      <c r="G1" s="1105"/>
      <c r="H1" s="1105"/>
      <c r="I1" s="1105"/>
      <c r="J1" s="1105"/>
      <c r="K1" s="1105"/>
      <c r="L1" s="1105"/>
      <c r="M1" s="1105"/>
      <c r="N1" s="1105"/>
      <c r="O1" s="1105"/>
      <c r="P1" s="1105"/>
      <c r="Q1" s="1105"/>
      <c r="R1" s="1105"/>
      <c r="S1" s="1105"/>
      <c r="T1" s="1105"/>
      <c r="U1" s="1105"/>
      <c r="V1" s="1105"/>
      <c r="W1" s="1105"/>
      <c r="X1" s="1105"/>
      <c r="Y1" s="1105"/>
      <c r="Z1" s="1105"/>
      <c r="AA1" s="1105"/>
      <c r="AB1" s="1106"/>
      <c r="AD1" s="1095" t="s">
        <v>10749</v>
      </c>
      <c r="AE1" s="1096"/>
      <c r="AF1" s="1096"/>
      <c r="AG1" s="1096"/>
      <c r="AH1" s="1096"/>
      <c r="AI1" s="1096"/>
      <c r="AJ1" s="1096"/>
      <c r="AK1" s="1096"/>
      <c r="AL1" s="1096"/>
      <c r="AM1" s="1096"/>
      <c r="AN1" s="1096"/>
      <c r="AO1" s="1096"/>
      <c r="AP1" s="1096"/>
      <c r="AQ1" s="1096"/>
      <c r="AR1" s="1096"/>
      <c r="AS1" s="1096"/>
      <c r="AT1" s="1096"/>
      <c r="AU1" s="1096"/>
      <c r="AV1" s="1096"/>
      <c r="AW1" s="1096"/>
      <c r="AX1" s="1096"/>
      <c r="AY1" s="1096"/>
      <c r="AZ1" s="1096"/>
      <c r="BA1" s="1096"/>
      <c r="BB1" s="1096"/>
      <c r="BC1" s="1096"/>
      <c r="BD1" s="1097"/>
    </row>
    <row r="2" spans="2:56" ht="15" customHeight="1" x14ac:dyDescent="0.15">
      <c r="B2" s="1104"/>
      <c r="C2" s="1105"/>
      <c r="D2" s="1105"/>
      <c r="E2" s="1105"/>
      <c r="F2" s="1105"/>
      <c r="G2" s="1105"/>
      <c r="H2" s="1105"/>
      <c r="I2" s="1105"/>
      <c r="J2" s="1105"/>
      <c r="K2" s="1105"/>
      <c r="L2" s="1105"/>
      <c r="M2" s="1105"/>
      <c r="N2" s="1105"/>
      <c r="O2" s="1105"/>
      <c r="P2" s="1105"/>
      <c r="Q2" s="1105"/>
      <c r="R2" s="1105"/>
      <c r="S2" s="1105"/>
      <c r="T2" s="1105"/>
      <c r="U2" s="1105"/>
      <c r="V2" s="1105"/>
      <c r="W2" s="1105"/>
      <c r="X2" s="1105"/>
      <c r="Y2" s="1105"/>
      <c r="Z2" s="1105"/>
      <c r="AA2" s="1105"/>
      <c r="AB2" s="1106"/>
      <c r="AD2" s="1095"/>
      <c r="AE2" s="1096"/>
      <c r="AF2" s="1096"/>
      <c r="AG2" s="1096"/>
      <c r="AH2" s="1096"/>
      <c r="AI2" s="1096"/>
      <c r="AJ2" s="1096"/>
      <c r="AK2" s="1096"/>
      <c r="AL2" s="1096"/>
      <c r="AM2" s="1096"/>
      <c r="AN2" s="1096"/>
      <c r="AO2" s="1096"/>
      <c r="AP2" s="1096"/>
      <c r="AQ2" s="1096"/>
      <c r="AR2" s="1096"/>
      <c r="AS2" s="1096"/>
      <c r="AT2" s="1096"/>
      <c r="AU2" s="1096"/>
      <c r="AV2" s="1096"/>
      <c r="AW2" s="1096"/>
      <c r="AX2" s="1096"/>
      <c r="AY2" s="1096"/>
      <c r="AZ2" s="1096"/>
      <c r="BA2" s="1096"/>
      <c r="BB2" s="1096"/>
      <c r="BC2" s="1096"/>
      <c r="BD2" s="1097"/>
    </row>
    <row r="3" spans="2:56" ht="14.45" customHeight="1" x14ac:dyDescent="0.15">
      <c r="B3" s="1116" t="s">
        <v>10994</v>
      </c>
      <c r="C3" s="1117"/>
      <c r="D3" s="1117"/>
      <c r="E3" s="1117"/>
      <c r="F3" s="1117"/>
      <c r="G3" s="1117"/>
      <c r="H3" s="1117"/>
      <c r="I3" s="1117"/>
      <c r="J3" s="1117"/>
      <c r="K3" s="1117"/>
      <c r="L3" s="1117"/>
      <c r="M3" s="1117"/>
      <c r="N3" s="1117"/>
      <c r="O3" s="1117"/>
      <c r="P3" s="1117"/>
      <c r="Q3" s="1117"/>
      <c r="R3" s="1117"/>
      <c r="S3" s="1117"/>
      <c r="T3" s="1117"/>
      <c r="U3" s="1117"/>
      <c r="V3" s="1117"/>
      <c r="W3" s="1117"/>
      <c r="X3" s="1117"/>
      <c r="Y3" s="1117"/>
      <c r="Z3" s="1117"/>
      <c r="AA3" s="1117"/>
      <c r="AB3" s="1118"/>
      <c r="AD3" s="1116" t="s">
        <v>10971</v>
      </c>
      <c r="AE3" s="1117"/>
      <c r="AF3" s="1117"/>
      <c r="AG3" s="1117"/>
      <c r="AH3" s="1117"/>
      <c r="AI3" s="1117"/>
      <c r="AJ3" s="1117"/>
      <c r="AK3" s="1117"/>
      <c r="AL3" s="1117"/>
      <c r="AM3" s="1117"/>
      <c r="AN3" s="1117"/>
      <c r="AO3" s="1117"/>
      <c r="AP3" s="1117"/>
      <c r="AQ3" s="1117"/>
      <c r="AR3" s="1117"/>
      <c r="AS3" s="1117"/>
      <c r="AT3" s="1117"/>
      <c r="AU3" s="1117"/>
      <c r="AV3" s="1117"/>
      <c r="AW3" s="1117"/>
      <c r="AX3" s="1117"/>
      <c r="AY3" s="1117"/>
      <c r="AZ3" s="1117"/>
      <c r="BA3" s="1117"/>
      <c r="BB3" s="1117"/>
      <c r="BC3" s="1117"/>
      <c r="BD3" s="1118"/>
    </row>
    <row r="4" spans="2:56" ht="14.45" customHeight="1" x14ac:dyDescent="0.15">
      <c r="B4" s="1119"/>
      <c r="C4" s="1120"/>
      <c r="D4" s="1120"/>
      <c r="E4" s="1120"/>
      <c r="F4" s="1120"/>
      <c r="G4" s="1120"/>
      <c r="H4" s="1120"/>
      <c r="I4" s="1120"/>
      <c r="J4" s="1120"/>
      <c r="K4" s="1120"/>
      <c r="L4" s="1120"/>
      <c r="M4" s="1120"/>
      <c r="N4" s="1120"/>
      <c r="O4" s="1120"/>
      <c r="P4" s="1120"/>
      <c r="Q4" s="1120"/>
      <c r="R4" s="1120"/>
      <c r="S4" s="1120"/>
      <c r="T4" s="1120"/>
      <c r="U4" s="1120"/>
      <c r="V4" s="1120"/>
      <c r="W4" s="1120"/>
      <c r="X4" s="1120"/>
      <c r="Y4" s="1120"/>
      <c r="Z4" s="1120"/>
      <c r="AA4" s="1120"/>
      <c r="AB4" s="1121"/>
      <c r="AD4" s="1119"/>
      <c r="AE4" s="1120"/>
      <c r="AF4" s="1120"/>
      <c r="AG4" s="1120"/>
      <c r="AH4" s="1120"/>
      <c r="AI4" s="1120"/>
      <c r="AJ4" s="1120"/>
      <c r="AK4" s="1120"/>
      <c r="AL4" s="1120"/>
      <c r="AM4" s="1120"/>
      <c r="AN4" s="1120"/>
      <c r="AO4" s="1120"/>
      <c r="AP4" s="1120"/>
      <c r="AQ4" s="1120"/>
      <c r="AR4" s="1120"/>
      <c r="AS4" s="1120"/>
      <c r="AT4" s="1120"/>
      <c r="AU4" s="1120"/>
      <c r="AV4" s="1120"/>
      <c r="AW4" s="1120"/>
      <c r="AX4" s="1120"/>
      <c r="AY4" s="1120"/>
      <c r="AZ4" s="1120"/>
      <c r="BA4" s="1120"/>
      <c r="BB4" s="1120"/>
      <c r="BC4" s="1120"/>
      <c r="BD4" s="1121"/>
    </row>
    <row r="5" spans="2:56" ht="13.9" customHeight="1" x14ac:dyDescent="0.15">
      <c r="B5" s="1119"/>
      <c r="C5" s="1120"/>
      <c r="D5" s="1120"/>
      <c r="E5" s="1120"/>
      <c r="F5" s="1120"/>
      <c r="G5" s="1120"/>
      <c r="H5" s="1120"/>
      <c r="I5" s="1120"/>
      <c r="J5" s="1120"/>
      <c r="K5" s="1120"/>
      <c r="L5" s="1120"/>
      <c r="M5" s="1120"/>
      <c r="N5" s="1120"/>
      <c r="O5" s="1120"/>
      <c r="P5" s="1120"/>
      <c r="Q5" s="1120"/>
      <c r="R5" s="1120"/>
      <c r="S5" s="1120"/>
      <c r="T5" s="1120"/>
      <c r="U5" s="1120"/>
      <c r="V5" s="1120"/>
      <c r="W5" s="1120"/>
      <c r="X5" s="1120"/>
      <c r="Y5" s="1120"/>
      <c r="Z5" s="1120"/>
      <c r="AA5" s="1120"/>
      <c r="AB5" s="1121"/>
      <c r="AD5" s="1119"/>
      <c r="AE5" s="1120"/>
      <c r="AF5" s="1120"/>
      <c r="AG5" s="1120"/>
      <c r="AH5" s="1120"/>
      <c r="AI5" s="1120"/>
      <c r="AJ5" s="1120"/>
      <c r="AK5" s="1120"/>
      <c r="AL5" s="1120"/>
      <c r="AM5" s="1120"/>
      <c r="AN5" s="1120"/>
      <c r="AO5" s="1120"/>
      <c r="AP5" s="1120"/>
      <c r="AQ5" s="1120"/>
      <c r="AR5" s="1120"/>
      <c r="AS5" s="1120"/>
      <c r="AT5" s="1120"/>
      <c r="AU5" s="1120"/>
      <c r="AV5" s="1120"/>
      <c r="AW5" s="1120"/>
      <c r="AX5" s="1120"/>
      <c r="AY5" s="1120"/>
      <c r="AZ5" s="1120"/>
      <c r="BA5" s="1120"/>
      <c r="BB5" s="1120"/>
      <c r="BC5" s="1120"/>
      <c r="BD5" s="1121"/>
    </row>
    <row r="6" spans="2:56" ht="13.9" customHeight="1" x14ac:dyDescent="0.15">
      <c r="B6" s="1119"/>
      <c r="C6" s="1120"/>
      <c r="D6" s="1120"/>
      <c r="E6" s="1120"/>
      <c r="F6" s="1120"/>
      <c r="G6" s="1120"/>
      <c r="H6" s="1120"/>
      <c r="I6" s="1120"/>
      <c r="J6" s="1120"/>
      <c r="K6" s="1120"/>
      <c r="L6" s="1120"/>
      <c r="M6" s="1120"/>
      <c r="N6" s="1120"/>
      <c r="O6" s="1120"/>
      <c r="P6" s="1120"/>
      <c r="Q6" s="1120"/>
      <c r="R6" s="1120"/>
      <c r="S6" s="1120"/>
      <c r="T6" s="1120"/>
      <c r="U6" s="1120"/>
      <c r="V6" s="1120"/>
      <c r="W6" s="1120"/>
      <c r="X6" s="1120"/>
      <c r="Y6" s="1120"/>
      <c r="Z6" s="1120"/>
      <c r="AA6" s="1120"/>
      <c r="AB6" s="1121"/>
      <c r="AD6" s="1119"/>
      <c r="AE6" s="1120"/>
      <c r="AF6" s="1120"/>
      <c r="AG6" s="1120"/>
      <c r="AH6" s="1120"/>
      <c r="AI6" s="1120"/>
      <c r="AJ6" s="1120"/>
      <c r="AK6" s="1120"/>
      <c r="AL6" s="1120"/>
      <c r="AM6" s="1120"/>
      <c r="AN6" s="1120"/>
      <c r="AO6" s="1120"/>
      <c r="AP6" s="1120"/>
      <c r="AQ6" s="1120"/>
      <c r="AR6" s="1120"/>
      <c r="AS6" s="1120"/>
      <c r="AT6" s="1120"/>
      <c r="AU6" s="1120"/>
      <c r="AV6" s="1120"/>
      <c r="AW6" s="1120"/>
      <c r="AX6" s="1120"/>
      <c r="AY6" s="1120"/>
      <c r="AZ6" s="1120"/>
      <c r="BA6" s="1120"/>
      <c r="BB6" s="1120"/>
      <c r="BC6" s="1120"/>
      <c r="BD6" s="1121"/>
    </row>
    <row r="7" spans="2:56" ht="13.9" customHeight="1" x14ac:dyDescent="0.15">
      <c r="B7" s="1119"/>
      <c r="C7" s="1120"/>
      <c r="D7" s="1120"/>
      <c r="E7" s="1120"/>
      <c r="F7" s="1120"/>
      <c r="G7" s="1120"/>
      <c r="H7" s="1120"/>
      <c r="I7" s="1120"/>
      <c r="J7" s="1120"/>
      <c r="K7" s="1120"/>
      <c r="L7" s="1120"/>
      <c r="M7" s="1120"/>
      <c r="N7" s="1120"/>
      <c r="O7" s="1120"/>
      <c r="P7" s="1120"/>
      <c r="Q7" s="1120"/>
      <c r="R7" s="1120"/>
      <c r="S7" s="1120"/>
      <c r="T7" s="1120"/>
      <c r="U7" s="1120"/>
      <c r="V7" s="1120"/>
      <c r="W7" s="1120"/>
      <c r="X7" s="1120"/>
      <c r="Y7" s="1120"/>
      <c r="Z7" s="1120"/>
      <c r="AA7" s="1120"/>
      <c r="AB7" s="1121"/>
      <c r="AD7" s="1119"/>
      <c r="AE7" s="1120"/>
      <c r="AF7" s="1120"/>
      <c r="AG7" s="1120"/>
      <c r="AH7" s="1120"/>
      <c r="AI7" s="1120"/>
      <c r="AJ7" s="1120"/>
      <c r="AK7" s="1120"/>
      <c r="AL7" s="1120"/>
      <c r="AM7" s="1120"/>
      <c r="AN7" s="1120"/>
      <c r="AO7" s="1120"/>
      <c r="AP7" s="1120"/>
      <c r="AQ7" s="1120"/>
      <c r="AR7" s="1120"/>
      <c r="AS7" s="1120"/>
      <c r="AT7" s="1120"/>
      <c r="AU7" s="1120"/>
      <c r="AV7" s="1120"/>
      <c r="AW7" s="1120"/>
      <c r="AX7" s="1120"/>
      <c r="AY7" s="1120"/>
      <c r="AZ7" s="1120"/>
      <c r="BA7" s="1120"/>
      <c r="BB7" s="1120"/>
      <c r="BC7" s="1120"/>
      <c r="BD7" s="1121"/>
    </row>
    <row r="8" spans="2:56" ht="13.9" customHeight="1" x14ac:dyDescent="0.15">
      <c r="B8" s="1119"/>
      <c r="C8" s="1120"/>
      <c r="D8" s="1120"/>
      <c r="E8" s="1120"/>
      <c r="F8" s="1120"/>
      <c r="G8" s="1120"/>
      <c r="H8" s="1120"/>
      <c r="I8" s="1120"/>
      <c r="J8" s="1120"/>
      <c r="K8" s="1120"/>
      <c r="L8" s="1120"/>
      <c r="M8" s="1120"/>
      <c r="N8" s="1120"/>
      <c r="O8" s="1120"/>
      <c r="P8" s="1120"/>
      <c r="Q8" s="1120"/>
      <c r="R8" s="1120"/>
      <c r="S8" s="1120"/>
      <c r="T8" s="1120"/>
      <c r="U8" s="1120"/>
      <c r="V8" s="1120"/>
      <c r="W8" s="1120"/>
      <c r="X8" s="1120"/>
      <c r="Y8" s="1120"/>
      <c r="Z8" s="1120"/>
      <c r="AA8" s="1120"/>
      <c r="AB8" s="1121"/>
      <c r="AD8" s="1119"/>
      <c r="AE8" s="1120"/>
      <c r="AF8" s="1120"/>
      <c r="AG8" s="1120"/>
      <c r="AH8" s="1120"/>
      <c r="AI8" s="1120"/>
      <c r="AJ8" s="1120"/>
      <c r="AK8" s="1120"/>
      <c r="AL8" s="1120"/>
      <c r="AM8" s="1120"/>
      <c r="AN8" s="1120"/>
      <c r="AO8" s="1120"/>
      <c r="AP8" s="1120"/>
      <c r="AQ8" s="1120"/>
      <c r="AR8" s="1120"/>
      <c r="AS8" s="1120"/>
      <c r="AT8" s="1120"/>
      <c r="AU8" s="1120"/>
      <c r="AV8" s="1120"/>
      <c r="AW8" s="1120"/>
      <c r="AX8" s="1120"/>
      <c r="AY8" s="1120"/>
      <c r="AZ8" s="1120"/>
      <c r="BA8" s="1120"/>
      <c r="BB8" s="1120"/>
      <c r="BC8" s="1120"/>
      <c r="BD8" s="1121"/>
    </row>
    <row r="9" spans="2:56" ht="14.45" customHeight="1" x14ac:dyDescent="0.15">
      <c r="B9" s="1119"/>
      <c r="C9" s="1120"/>
      <c r="D9" s="1120"/>
      <c r="E9" s="1120"/>
      <c r="F9" s="1120"/>
      <c r="G9" s="1120"/>
      <c r="H9" s="1120"/>
      <c r="I9" s="1120"/>
      <c r="J9" s="1120"/>
      <c r="K9" s="1120"/>
      <c r="L9" s="1120"/>
      <c r="M9" s="1120"/>
      <c r="N9" s="1120"/>
      <c r="O9" s="1120"/>
      <c r="P9" s="1120"/>
      <c r="Q9" s="1120"/>
      <c r="R9" s="1120"/>
      <c r="S9" s="1120"/>
      <c r="T9" s="1120"/>
      <c r="U9" s="1120"/>
      <c r="V9" s="1120"/>
      <c r="W9" s="1120"/>
      <c r="X9" s="1120"/>
      <c r="Y9" s="1120"/>
      <c r="Z9" s="1120"/>
      <c r="AA9" s="1120"/>
      <c r="AB9" s="1121"/>
      <c r="AD9" s="1119"/>
      <c r="AE9" s="1120"/>
      <c r="AF9" s="1120"/>
      <c r="AG9" s="1120"/>
      <c r="AH9" s="1120"/>
      <c r="AI9" s="1120"/>
      <c r="AJ9" s="1120"/>
      <c r="AK9" s="1120"/>
      <c r="AL9" s="1120"/>
      <c r="AM9" s="1120"/>
      <c r="AN9" s="1120"/>
      <c r="AO9" s="1120"/>
      <c r="AP9" s="1120"/>
      <c r="AQ9" s="1120"/>
      <c r="AR9" s="1120"/>
      <c r="AS9" s="1120"/>
      <c r="AT9" s="1120"/>
      <c r="AU9" s="1120"/>
      <c r="AV9" s="1120"/>
      <c r="AW9" s="1120"/>
      <c r="AX9" s="1120"/>
      <c r="AY9" s="1120"/>
      <c r="AZ9" s="1120"/>
      <c r="BA9" s="1120"/>
      <c r="BB9" s="1120"/>
      <c r="BC9" s="1120"/>
      <c r="BD9" s="1121"/>
    </row>
    <row r="10" spans="2:56" ht="13.9" customHeight="1" x14ac:dyDescent="0.15">
      <c r="B10" s="1122"/>
      <c r="C10" s="1123"/>
      <c r="D10" s="1123"/>
      <c r="E10" s="1123"/>
      <c r="F10" s="1123"/>
      <c r="G10" s="1123"/>
      <c r="H10" s="1123"/>
      <c r="I10" s="1123"/>
      <c r="J10" s="1123"/>
      <c r="K10" s="1123"/>
      <c r="L10" s="1123"/>
      <c r="M10" s="1123"/>
      <c r="N10" s="1123"/>
      <c r="O10" s="1123"/>
      <c r="P10" s="1123"/>
      <c r="Q10" s="1123"/>
      <c r="R10" s="1123"/>
      <c r="S10" s="1123"/>
      <c r="T10" s="1123"/>
      <c r="U10" s="1123"/>
      <c r="V10" s="1123"/>
      <c r="W10" s="1123"/>
      <c r="X10" s="1123"/>
      <c r="Y10" s="1123"/>
      <c r="Z10" s="1123"/>
      <c r="AA10" s="1123"/>
      <c r="AB10" s="1124"/>
      <c r="AD10" s="1119"/>
      <c r="AE10" s="1120"/>
      <c r="AF10" s="1120"/>
      <c r="AG10" s="1120"/>
      <c r="AH10" s="1120"/>
      <c r="AI10" s="1120"/>
      <c r="AJ10" s="1120"/>
      <c r="AK10" s="1120"/>
      <c r="AL10" s="1120"/>
      <c r="AM10" s="1120"/>
      <c r="AN10" s="1120"/>
      <c r="AO10" s="1120"/>
      <c r="AP10" s="1120"/>
      <c r="AQ10" s="1120"/>
      <c r="AR10" s="1120"/>
      <c r="AS10" s="1120"/>
      <c r="AT10" s="1120"/>
      <c r="AU10" s="1120"/>
      <c r="AV10" s="1120"/>
      <c r="AW10" s="1120"/>
      <c r="AX10" s="1120"/>
      <c r="AY10" s="1120"/>
      <c r="AZ10" s="1120"/>
      <c r="BA10" s="1120"/>
      <c r="BB10" s="1120"/>
      <c r="BC10" s="1120"/>
      <c r="BD10" s="1121"/>
    </row>
    <row r="11" spans="2:56" ht="15" customHeight="1" x14ac:dyDescent="0.15">
      <c r="AD11" s="1119"/>
      <c r="AE11" s="1120"/>
      <c r="AF11" s="1120"/>
      <c r="AG11" s="1120"/>
      <c r="AH11" s="1120"/>
      <c r="AI11" s="1120"/>
      <c r="AJ11" s="1120"/>
      <c r="AK11" s="1120"/>
      <c r="AL11" s="1120"/>
      <c r="AM11" s="1120"/>
      <c r="AN11" s="1120"/>
      <c r="AO11" s="1120"/>
      <c r="AP11" s="1120"/>
      <c r="AQ11" s="1120"/>
      <c r="AR11" s="1120"/>
      <c r="AS11" s="1120"/>
      <c r="AT11" s="1120"/>
      <c r="AU11" s="1120"/>
      <c r="AV11" s="1120"/>
      <c r="AW11" s="1120"/>
      <c r="AX11" s="1120"/>
      <c r="AY11" s="1120"/>
      <c r="AZ11" s="1120"/>
      <c r="BA11" s="1120"/>
      <c r="BB11" s="1120"/>
      <c r="BC11" s="1120"/>
      <c r="BD11" s="1121"/>
    </row>
    <row r="12" spans="2:56" ht="13.9" customHeight="1" x14ac:dyDescent="0.15">
      <c r="B12" s="1134" t="s">
        <v>6490</v>
      </c>
      <c r="C12" s="1135"/>
      <c r="D12" s="1135"/>
      <c r="E12" s="1135"/>
      <c r="F12" s="1135"/>
      <c r="G12" s="1135"/>
      <c r="H12" s="1135"/>
      <c r="I12" s="1135"/>
      <c r="J12" s="1135"/>
      <c r="K12" s="1135"/>
      <c r="L12" s="1135"/>
      <c r="M12" s="1135"/>
      <c r="N12" s="1136"/>
      <c r="P12" s="1144" t="s">
        <v>10157</v>
      </c>
      <c r="Q12" s="1145"/>
      <c r="R12" s="1145"/>
      <c r="S12" s="1145"/>
      <c r="T12" s="1145"/>
      <c r="U12" s="1145"/>
      <c r="V12" s="1145"/>
      <c r="W12" s="1145"/>
      <c r="X12" s="1145"/>
      <c r="Y12" s="1145"/>
      <c r="Z12" s="1145"/>
      <c r="AA12" s="1145"/>
      <c r="AB12" s="1146"/>
      <c r="AD12" s="1119"/>
      <c r="AE12" s="1120"/>
      <c r="AF12" s="1120"/>
      <c r="AG12" s="1120"/>
      <c r="AH12" s="1120"/>
      <c r="AI12" s="1120"/>
      <c r="AJ12" s="1120"/>
      <c r="AK12" s="1120"/>
      <c r="AL12" s="1120"/>
      <c r="AM12" s="1120"/>
      <c r="AN12" s="1120"/>
      <c r="AO12" s="1120"/>
      <c r="AP12" s="1120"/>
      <c r="AQ12" s="1120"/>
      <c r="AR12" s="1120"/>
      <c r="AS12" s="1120"/>
      <c r="AT12" s="1120"/>
      <c r="AU12" s="1120"/>
      <c r="AV12" s="1120"/>
      <c r="AW12" s="1120"/>
      <c r="AX12" s="1120"/>
      <c r="AY12" s="1120"/>
      <c r="AZ12" s="1120"/>
      <c r="BA12" s="1120"/>
      <c r="BB12" s="1120"/>
      <c r="BC12" s="1120"/>
      <c r="BD12" s="1121"/>
    </row>
    <row r="13" spans="2:56" ht="13.9" customHeight="1" x14ac:dyDescent="0.15">
      <c r="B13" s="1134"/>
      <c r="C13" s="1135"/>
      <c r="D13" s="1135"/>
      <c r="E13" s="1135"/>
      <c r="F13" s="1135"/>
      <c r="G13" s="1135"/>
      <c r="H13" s="1135"/>
      <c r="I13" s="1135"/>
      <c r="J13" s="1135"/>
      <c r="K13" s="1135"/>
      <c r="L13" s="1135"/>
      <c r="M13" s="1135"/>
      <c r="N13" s="1136"/>
      <c r="P13" s="1144"/>
      <c r="Q13" s="1145"/>
      <c r="R13" s="1145"/>
      <c r="S13" s="1145"/>
      <c r="T13" s="1145"/>
      <c r="U13" s="1145"/>
      <c r="V13" s="1145"/>
      <c r="W13" s="1145"/>
      <c r="X13" s="1145"/>
      <c r="Y13" s="1145"/>
      <c r="Z13" s="1145"/>
      <c r="AA13" s="1145"/>
      <c r="AB13" s="1146"/>
      <c r="AD13" s="1119"/>
      <c r="AE13" s="1120"/>
      <c r="AF13" s="1120"/>
      <c r="AG13" s="1120"/>
      <c r="AH13" s="1120"/>
      <c r="AI13" s="1120"/>
      <c r="AJ13" s="1120"/>
      <c r="AK13" s="1120"/>
      <c r="AL13" s="1120"/>
      <c r="AM13" s="1120"/>
      <c r="AN13" s="1120"/>
      <c r="AO13" s="1120"/>
      <c r="AP13" s="1120"/>
      <c r="AQ13" s="1120"/>
      <c r="AR13" s="1120"/>
      <c r="AS13" s="1120"/>
      <c r="AT13" s="1120"/>
      <c r="AU13" s="1120"/>
      <c r="AV13" s="1120"/>
      <c r="AW13" s="1120"/>
      <c r="AX13" s="1120"/>
      <c r="AY13" s="1120"/>
      <c r="AZ13" s="1120"/>
      <c r="BA13" s="1120"/>
      <c r="BB13" s="1120"/>
      <c r="BC13" s="1120"/>
      <c r="BD13" s="1121"/>
    </row>
    <row r="14" spans="2:56" ht="13.9" customHeight="1" x14ac:dyDescent="0.15">
      <c r="B14" s="1110" t="s">
        <v>6495</v>
      </c>
      <c r="C14" s="1111"/>
      <c r="D14" s="1111"/>
      <c r="E14" s="1111"/>
      <c r="F14" s="1111"/>
      <c r="G14" s="1111"/>
      <c r="H14" s="1111"/>
      <c r="I14" s="1111"/>
      <c r="J14" s="1111"/>
      <c r="K14" s="1111"/>
      <c r="L14" s="1111"/>
      <c r="M14" s="1111"/>
      <c r="N14" s="1112"/>
      <c r="P14" s="1137" t="s">
        <v>10158</v>
      </c>
      <c r="Q14" s="1138"/>
      <c r="R14" s="1138"/>
      <c r="S14" s="1138"/>
      <c r="T14" s="1138"/>
      <c r="U14" s="1138"/>
      <c r="V14" s="1138"/>
      <c r="W14" s="1138"/>
      <c r="X14" s="1138"/>
      <c r="Y14" s="1138"/>
      <c r="Z14" s="1138"/>
      <c r="AA14" s="1138"/>
      <c r="AB14" s="1139"/>
      <c r="AD14" s="1119"/>
      <c r="AE14" s="1120"/>
      <c r="AF14" s="1120"/>
      <c r="AG14" s="1120"/>
      <c r="AH14" s="1120"/>
      <c r="AI14" s="1120"/>
      <c r="AJ14" s="1120"/>
      <c r="AK14" s="1120"/>
      <c r="AL14" s="1120"/>
      <c r="AM14" s="1120"/>
      <c r="AN14" s="1120"/>
      <c r="AO14" s="1120"/>
      <c r="AP14" s="1120"/>
      <c r="AQ14" s="1120"/>
      <c r="AR14" s="1120"/>
      <c r="AS14" s="1120"/>
      <c r="AT14" s="1120"/>
      <c r="AU14" s="1120"/>
      <c r="AV14" s="1120"/>
      <c r="AW14" s="1120"/>
      <c r="AX14" s="1120"/>
      <c r="AY14" s="1120"/>
      <c r="AZ14" s="1120"/>
      <c r="BA14" s="1120"/>
      <c r="BB14" s="1120"/>
      <c r="BC14" s="1120"/>
      <c r="BD14" s="1121"/>
    </row>
    <row r="15" spans="2:56" ht="13.9" customHeight="1" x14ac:dyDescent="0.15">
      <c r="B15" s="1110"/>
      <c r="C15" s="1111"/>
      <c r="D15" s="1111"/>
      <c r="E15" s="1111"/>
      <c r="F15" s="1111"/>
      <c r="G15" s="1111"/>
      <c r="H15" s="1111"/>
      <c r="I15" s="1111"/>
      <c r="J15" s="1111"/>
      <c r="K15" s="1111"/>
      <c r="L15" s="1111"/>
      <c r="M15" s="1111"/>
      <c r="N15" s="1112"/>
      <c r="P15" s="1140"/>
      <c r="Q15" s="1138"/>
      <c r="R15" s="1138"/>
      <c r="S15" s="1138"/>
      <c r="T15" s="1138"/>
      <c r="U15" s="1138"/>
      <c r="V15" s="1138"/>
      <c r="W15" s="1138"/>
      <c r="X15" s="1138"/>
      <c r="Y15" s="1138"/>
      <c r="Z15" s="1138"/>
      <c r="AA15" s="1138"/>
      <c r="AB15" s="1139"/>
      <c r="AD15" s="1119"/>
      <c r="AE15" s="1120"/>
      <c r="AF15" s="1120"/>
      <c r="AG15" s="1120"/>
      <c r="AH15" s="1120"/>
      <c r="AI15" s="1120"/>
      <c r="AJ15" s="1120"/>
      <c r="AK15" s="1120"/>
      <c r="AL15" s="1120"/>
      <c r="AM15" s="1120"/>
      <c r="AN15" s="1120"/>
      <c r="AO15" s="1120"/>
      <c r="AP15" s="1120"/>
      <c r="AQ15" s="1120"/>
      <c r="AR15" s="1120"/>
      <c r="AS15" s="1120"/>
      <c r="AT15" s="1120"/>
      <c r="AU15" s="1120"/>
      <c r="AV15" s="1120"/>
      <c r="AW15" s="1120"/>
      <c r="AX15" s="1120"/>
      <c r="AY15" s="1120"/>
      <c r="AZ15" s="1120"/>
      <c r="BA15" s="1120"/>
      <c r="BB15" s="1120"/>
      <c r="BC15" s="1120"/>
      <c r="BD15" s="1121"/>
    </row>
    <row r="16" spans="2:56" ht="15" customHeight="1" x14ac:dyDescent="0.15">
      <c r="B16" s="1113" t="s">
        <v>6492</v>
      </c>
      <c r="C16" s="1114"/>
      <c r="D16" s="1114"/>
      <c r="E16" s="1114"/>
      <c r="F16" s="1114"/>
      <c r="G16" s="1114"/>
      <c r="H16" s="1114"/>
      <c r="I16" s="1114"/>
      <c r="J16" s="1114"/>
      <c r="K16" s="1114"/>
      <c r="L16" s="1114"/>
      <c r="M16" s="1114"/>
      <c r="N16" s="1115"/>
      <c r="P16" s="1140"/>
      <c r="Q16" s="1138"/>
      <c r="R16" s="1138"/>
      <c r="S16" s="1138"/>
      <c r="T16" s="1138"/>
      <c r="U16" s="1138"/>
      <c r="V16" s="1138"/>
      <c r="W16" s="1138"/>
      <c r="X16" s="1138"/>
      <c r="Y16" s="1138"/>
      <c r="Z16" s="1138"/>
      <c r="AA16" s="1138"/>
      <c r="AB16" s="1139"/>
      <c r="AD16" s="1119"/>
      <c r="AE16" s="1120"/>
      <c r="AF16" s="1120"/>
      <c r="AG16" s="1120"/>
      <c r="AH16" s="1120"/>
      <c r="AI16" s="1120"/>
      <c r="AJ16" s="1120"/>
      <c r="AK16" s="1120"/>
      <c r="AL16" s="1120"/>
      <c r="AM16" s="1120"/>
      <c r="AN16" s="1120"/>
      <c r="AO16" s="1120"/>
      <c r="AP16" s="1120"/>
      <c r="AQ16" s="1120"/>
      <c r="AR16" s="1120"/>
      <c r="AS16" s="1120"/>
      <c r="AT16" s="1120"/>
      <c r="AU16" s="1120"/>
      <c r="AV16" s="1120"/>
      <c r="AW16" s="1120"/>
      <c r="AX16" s="1120"/>
      <c r="AY16" s="1120"/>
      <c r="AZ16" s="1120"/>
      <c r="BA16" s="1120"/>
      <c r="BB16" s="1120"/>
      <c r="BC16" s="1120"/>
      <c r="BD16" s="1121"/>
    </row>
    <row r="17" spans="2:56" ht="13.9" customHeight="1" x14ac:dyDescent="0.15">
      <c r="B17" s="1113"/>
      <c r="C17" s="1114"/>
      <c r="D17" s="1114"/>
      <c r="E17" s="1114"/>
      <c r="F17" s="1114"/>
      <c r="G17" s="1114"/>
      <c r="H17" s="1114"/>
      <c r="I17" s="1114"/>
      <c r="J17" s="1114"/>
      <c r="K17" s="1114"/>
      <c r="L17" s="1114"/>
      <c r="M17" s="1114"/>
      <c r="N17" s="1115"/>
      <c r="P17" s="1140"/>
      <c r="Q17" s="1138"/>
      <c r="R17" s="1138"/>
      <c r="S17" s="1138"/>
      <c r="T17" s="1138"/>
      <c r="U17" s="1138"/>
      <c r="V17" s="1138"/>
      <c r="W17" s="1138"/>
      <c r="X17" s="1138"/>
      <c r="Y17" s="1138"/>
      <c r="Z17" s="1138"/>
      <c r="AA17" s="1138"/>
      <c r="AB17" s="1139"/>
      <c r="AD17" s="1119"/>
      <c r="AE17" s="1120"/>
      <c r="AF17" s="1120"/>
      <c r="AG17" s="1120"/>
      <c r="AH17" s="1120"/>
      <c r="AI17" s="1120"/>
      <c r="AJ17" s="1120"/>
      <c r="AK17" s="1120"/>
      <c r="AL17" s="1120"/>
      <c r="AM17" s="1120"/>
      <c r="AN17" s="1120"/>
      <c r="AO17" s="1120"/>
      <c r="AP17" s="1120"/>
      <c r="AQ17" s="1120"/>
      <c r="AR17" s="1120"/>
      <c r="AS17" s="1120"/>
      <c r="AT17" s="1120"/>
      <c r="AU17" s="1120"/>
      <c r="AV17" s="1120"/>
      <c r="AW17" s="1120"/>
      <c r="AX17" s="1120"/>
      <c r="AY17" s="1120"/>
      <c r="AZ17" s="1120"/>
      <c r="BA17" s="1120"/>
      <c r="BB17" s="1120"/>
      <c r="BC17" s="1120"/>
      <c r="BD17" s="1121"/>
    </row>
    <row r="18" spans="2:56" ht="13.9" customHeight="1" x14ac:dyDescent="0.15">
      <c r="B18" s="1113" t="s">
        <v>6493</v>
      </c>
      <c r="C18" s="1114"/>
      <c r="D18" s="1114"/>
      <c r="E18" s="1114"/>
      <c r="F18" s="1114"/>
      <c r="G18" s="1114"/>
      <c r="H18" s="1114"/>
      <c r="I18" s="1114"/>
      <c r="J18" s="1114"/>
      <c r="K18" s="1114"/>
      <c r="L18" s="1114"/>
      <c r="M18" s="1114"/>
      <c r="N18" s="1115"/>
      <c r="P18" s="1140"/>
      <c r="Q18" s="1138"/>
      <c r="R18" s="1138"/>
      <c r="S18" s="1138"/>
      <c r="T18" s="1138"/>
      <c r="U18" s="1138"/>
      <c r="V18" s="1138"/>
      <c r="W18" s="1138"/>
      <c r="X18" s="1138"/>
      <c r="Y18" s="1138"/>
      <c r="Z18" s="1138"/>
      <c r="AA18" s="1138"/>
      <c r="AB18" s="1139"/>
      <c r="AD18" s="1119"/>
      <c r="AE18" s="1120"/>
      <c r="AF18" s="1120"/>
      <c r="AG18" s="1120"/>
      <c r="AH18" s="1120"/>
      <c r="AI18" s="1120"/>
      <c r="AJ18" s="1120"/>
      <c r="AK18" s="1120"/>
      <c r="AL18" s="1120"/>
      <c r="AM18" s="1120"/>
      <c r="AN18" s="1120"/>
      <c r="AO18" s="1120"/>
      <c r="AP18" s="1120"/>
      <c r="AQ18" s="1120"/>
      <c r="AR18" s="1120"/>
      <c r="AS18" s="1120"/>
      <c r="AT18" s="1120"/>
      <c r="AU18" s="1120"/>
      <c r="AV18" s="1120"/>
      <c r="AW18" s="1120"/>
      <c r="AX18" s="1120"/>
      <c r="AY18" s="1120"/>
      <c r="AZ18" s="1120"/>
      <c r="BA18" s="1120"/>
      <c r="BB18" s="1120"/>
      <c r="BC18" s="1120"/>
      <c r="BD18" s="1121"/>
    </row>
    <row r="19" spans="2:56" ht="13.9" customHeight="1" x14ac:dyDescent="0.15">
      <c r="B19" s="1113"/>
      <c r="C19" s="1114"/>
      <c r="D19" s="1114"/>
      <c r="E19" s="1114"/>
      <c r="F19" s="1114"/>
      <c r="G19" s="1114"/>
      <c r="H19" s="1114"/>
      <c r="I19" s="1114"/>
      <c r="J19" s="1114"/>
      <c r="K19" s="1114"/>
      <c r="L19" s="1114"/>
      <c r="M19" s="1114"/>
      <c r="N19" s="1115"/>
      <c r="AD19" s="1119"/>
      <c r="AE19" s="1120"/>
      <c r="AF19" s="1120"/>
      <c r="AG19" s="1120"/>
      <c r="AH19" s="1120"/>
      <c r="AI19" s="1120"/>
      <c r="AJ19" s="1120"/>
      <c r="AK19" s="1120"/>
      <c r="AL19" s="1120"/>
      <c r="AM19" s="1120"/>
      <c r="AN19" s="1120"/>
      <c r="AO19" s="1120"/>
      <c r="AP19" s="1120"/>
      <c r="AQ19" s="1120"/>
      <c r="AR19" s="1120"/>
      <c r="AS19" s="1120"/>
      <c r="AT19" s="1120"/>
      <c r="AU19" s="1120"/>
      <c r="AV19" s="1120"/>
      <c r="AW19" s="1120"/>
      <c r="AX19" s="1120"/>
      <c r="AY19" s="1120"/>
      <c r="AZ19" s="1120"/>
      <c r="BA19" s="1120"/>
      <c r="BB19" s="1120"/>
      <c r="BC19" s="1120"/>
      <c r="BD19" s="1121"/>
    </row>
    <row r="20" spans="2:56" ht="13.9" customHeight="1" x14ac:dyDescent="0.15">
      <c r="B20" s="1107" t="s">
        <v>6494</v>
      </c>
      <c r="C20" s="1108"/>
      <c r="D20" s="1108"/>
      <c r="E20" s="1108"/>
      <c r="F20" s="1108"/>
      <c r="G20" s="1108"/>
      <c r="H20" s="1108"/>
      <c r="I20" s="1108"/>
      <c r="J20" s="1108"/>
      <c r="K20" s="1108"/>
      <c r="L20" s="1108"/>
      <c r="M20" s="1108"/>
      <c r="N20" s="1109"/>
      <c r="AD20" s="1119"/>
      <c r="AE20" s="1120"/>
      <c r="AF20" s="1120"/>
      <c r="AG20" s="1120"/>
      <c r="AH20" s="1120"/>
      <c r="AI20" s="1120"/>
      <c r="AJ20" s="1120"/>
      <c r="AK20" s="1120"/>
      <c r="AL20" s="1120"/>
      <c r="AM20" s="1120"/>
      <c r="AN20" s="1120"/>
      <c r="AO20" s="1120"/>
      <c r="AP20" s="1120"/>
      <c r="AQ20" s="1120"/>
      <c r="AR20" s="1120"/>
      <c r="AS20" s="1120"/>
      <c r="AT20" s="1120"/>
      <c r="AU20" s="1120"/>
      <c r="AV20" s="1120"/>
      <c r="AW20" s="1120"/>
      <c r="AX20" s="1120"/>
      <c r="AY20" s="1120"/>
      <c r="AZ20" s="1120"/>
      <c r="BA20" s="1120"/>
      <c r="BB20" s="1120"/>
      <c r="BC20" s="1120"/>
      <c r="BD20" s="1121"/>
    </row>
    <row r="21" spans="2:56" ht="13.9" customHeight="1" x14ac:dyDescent="0.15">
      <c r="B21" s="1107"/>
      <c r="C21" s="1108"/>
      <c r="D21" s="1108"/>
      <c r="E21" s="1108"/>
      <c r="F21" s="1108"/>
      <c r="G21" s="1108"/>
      <c r="H21" s="1108"/>
      <c r="I21" s="1108"/>
      <c r="J21" s="1108"/>
      <c r="K21" s="1108"/>
      <c r="L21" s="1108"/>
      <c r="M21" s="1108"/>
      <c r="N21" s="1109"/>
      <c r="AD21" s="1119"/>
      <c r="AE21" s="1120"/>
      <c r="AF21" s="1120"/>
      <c r="AG21" s="1120"/>
      <c r="AH21" s="1120"/>
      <c r="AI21" s="1120"/>
      <c r="AJ21" s="1120"/>
      <c r="AK21" s="1120"/>
      <c r="AL21" s="1120"/>
      <c r="AM21" s="1120"/>
      <c r="AN21" s="1120"/>
      <c r="AO21" s="1120"/>
      <c r="AP21" s="1120"/>
      <c r="AQ21" s="1120"/>
      <c r="AR21" s="1120"/>
      <c r="AS21" s="1120"/>
      <c r="AT21" s="1120"/>
      <c r="AU21" s="1120"/>
      <c r="AV21" s="1120"/>
      <c r="AW21" s="1120"/>
      <c r="AX21" s="1120"/>
      <c r="AY21" s="1120"/>
      <c r="AZ21" s="1120"/>
      <c r="BA21" s="1120"/>
      <c r="BB21" s="1120"/>
      <c r="BC21" s="1120"/>
      <c r="BD21" s="1121"/>
    </row>
    <row r="22" spans="2:56" ht="13.9" customHeight="1" x14ac:dyDescent="0.15">
      <c r="B22" s="1107" t="s">
        <v>2870</v>
      </c>
      <c r="C22" s="1108"/>
      <c r="D22" s="1108"/>
      <c r="E22" s="1108"/>
      <c r="F22" s="1108"/>
      <c r="G22" s="1108"/>
      <c r="H22" s="1108"/>
      <c r="I22" s="1108"/>
      <c r="J22" s="1108"/>
      <c r="K22" s="1108"/>
      <c r="L22" s="1108"/>
      <c r="M22" s="1108"/>
      <c r="N22" s="1109"/>
      <c r="AD22" s="1119"/>
      <c r="AE22" s="1120"/>
      <c r="AF22" s="1120"/>
      <c r="AG22" s="1120"/>
      <c r="AH22" s="1120"/>
      <c r="AI22" s="1120"/>
      <c r="AJ22" s="1120"/>
      <c r="AK22" s="1120"/>
      <c r="AL22" s="1120"/>
      <c r="AM22" s="1120"/>
      <c r="AN22" s="1120"/>
      <c r="AO22" s="1120"/>
      <c r="AP22" s="1120"/>
      <c r="AQ22" s="1120"/>
      <c r="AR22" s="1120"/>
      <c r="AS22" s="1120"/>
      <c r="AT22" s="1120"/>
      <c r="AU22" s="1120"/>
      <c r="AV22" s="1120"/>
      <c r="AW22" s="1120"/>
      <c r="AX22" s="1120"/>
      <c r="AY22" s="1120"/>
      <c r="AZ22" s="1120"/>
      <c r="BA22" s="1120"/>
      <c r="BB22" s="1120"/>
      <c r="BC22" s="1120"/>
      <c r="BD22" s="1121"/>
    </row>
    <row r="23" spans="2:56" ht="13.9" customHeight="1" x14ac:dyDescent="0.15">
      <c r="B23" s="1107"/>
      <c r="C23" s="1108"/>
      <c r="D23" s="1108"/>
      <c r="E23" s="1108"/>
      <c r="F23" s="1108"/>
      <c r="G23" s="1108"/>
      <c r="H23" s="1108"/>
      <c r="I23" s="1108"/>
      <c r="J23" s="1108"/>
      <c r="K23" s="1108"/>
      <c r="L23" s="1108"/>
      <c r="M23" s="1108"/>
      <c r="N23" s="1109"/>
      <c r="AD23" s="1119"/>
      <c r="AE23" s="1120"/>
      <c r="AF23" s="1120"/>
      <c r="AG23" s="1120"/>
      <c r="AH23" s="1120"/>
      <c r="AI23" s="1120"/>
      <c r="AJ23" s="1120"/>
      <c r="AK23" s="1120"/>
      <c r="AL23" s="1120"/>
      <c r="AM23" s="1120"/>
      <c r="AN23" s="1120"/>
      <c r="AO23" s="1120"/>
      <c r="AP23" s="1120"/>
      <c r="AQ23" s="1120"/>
      <c r="AR23" s="1120"/>
      <c r="AS23" s="1120"/>
      <c r="AT23" s="1120"/>
      <c r="AU23" s="1120"/>
      <c r="AV23" s="1120"/>
      <c r="AW23" s="1120"/>
      <c r="AX23" s="1120"/>
      <c r="AY23" s="1120"/>
      <c r="AZ23" s="1120"/>
      <c r="BA23" s="1120"/>
      <c r="BB23" s="1120"/>
      <c r="BC23" s="1120"/>
      <c r="BD23" s="1121"/>
    </row>
    <row r="24" spans="2:56" x14ac:dyDescent="0.15">
      <c r="AD24" s="1119"/>
      <c r="AE24" s="1120"/>
      <c r="AF24" s="1120"/>
      <c r="AG24" s="1120"/>
      <c r="AH24" s="1120"/>
      <c r="AI24" s="1120"/>
      <c r="AJ24" s="1120"/>
      <c r="AK24" s="1120"/>
      <c r="AL24" s="1120"/>
      <c r="AM24" s="1120"/>
      <c r="AN24" s="1120"/>
      <c r="AO24" s="1120"/>
      <c r="AP24" s="1120"/>
      <c r="AQ24" s="1120"/>
      <c r="AR24" s="1120"/>
      <c r="AS24" s="1120"/>
      <c r="AT24" s="1120"/>
      <c r="AU24" s="1120"/>
      <c r="AV24" s="1120"/>
      <c r="AW24" s="1120"/>
      <c r="AX24" s="1120"/>
      <c r="AY24" s="1120"/>
      <c r="AZ24" s="1120"/>
      <c r="BA24" s="1120"/>
      <c r="BB24" s="1120"/>
      <c r="BC24" s="1120"/>
      <c r="BD24" s="1121"/>
    </row>
    <row r="25" spans="2:56" x14ac:dyDescent="0.15">
      <c r="AD25" s="1119"/>
      <c r="AE25" s="1120"/>
      <c r="AF25" s="1120"/>
      <c r="AG25" s="1120"/>
      <c r="AH25" s="1120"/>
      <c r="AI25" s="1120"/>
      <c r="AJ25" s="1120"/>
      <c r="AK25" s="1120"/>
      <c r="AL25" s="1120"/>
      <c r="AM25" s="1120"/>
      <c r="AN25" s="1120"/>
      <c r="AO25" s="1120"/>
      <c r="AP25" s="1120"/>
      <c r="AQ25" s="1120"/>
      <c r="AR25" s="1120"/>
      <c r="AS25" s="1120"/>
      <c r="AT25" s="1120"/>
      <c r="AU25" s="1120"/>
      <c r="AV25" s="1120"/>
      <c r="AW25" s="1120"/>
      <c r="AX25" s="1120"/>
      <c r="AY25" s="1120"/>
      <c r="AZ25" s="1120"/>
      <c r="BA25" s="1120"/>
      <c r="BB25" s="1120"/>
      <c r="BC25" s="1120"/>
      <c r="BD25" s="1121"/>
    </row>
    <row r="26" spans="2:56" x14ac:dyDescent="0.15">
      <c r="AD26" s="1119"/>
      <c r="AE26" s="1120"/>
      <c r="AF26" s="1120"/>
      <c r="AG26" s="1120"/>
      <c r="AH26" s="1120"/>
      <c r="AI26" s="1120"/>
      <c r="AJ26" s="1120"/>
      <c r="AK26" s="1120"/>
      <c r="AL26" s="1120"/>
      <c r="AM26" s="1120"/>
      <c r="AN26" s="1120"/>
      <c r="AO26" s="1120"/>
      <c r="AP26" s="1120"/>
      <c r="AQ26" s="1120"/>
      <c r="AR26" s="1120"/>
      <c r="AS26" s="1120"/>
      <c r="AT26" s="1120"/>
      <c r="AU26" s="1120"/>
      <c r="AV26" s="1120"/>
      <c r="AW26" s="1120"/>
      <c r="AX26" s="1120"/>
      <c r="AY26" s="1120"/>
      <c r="AZ26" s="1120"/>
      <c r="BA26" s="1120"/>
      <c r="BB26" s="1120"/>
      <c r="BC26" s="1120"/>
      <c r="BD26" s="1121"/>
    </row>
    <row r="27" spans="2:56" x14ac:dyDescent="0.15">
      <c r="AD27" s="1119"/>
      <c r="AE27" s="1120"/>
      <c r="AF27" s="1120"/>
      <c r="AG27" s="1120"/>
      <c r="AH27" s="1120"/>
      <c r="AI27" s="1120"/>
      <c r="AJ27" s="1120"/>
      <c r="AK27" s="1120"/>
      <c r="AL27" s="1120"/>
      <c r="AM27" s="1120"/>
      <c r="AN27" s="1120"/>
      <c r="AO27" s="1120"/>
      <c r="AP27" s="1120"/>
      <c r="AQ27" s="1120"/>
      <c r="AR27" s="1120"/>
      <c r="AS27" s="1120"/>
      <c r="AT27" s="1120"/>
      <c r="AU27" s="1120"/>
      <c r="AV27" s="1120"/>
      <c r="AW27" s="1120"/>
      <c r="AX27" s="1120"/>
      <c r="AY27" s="1120"/>
      <c r="AZ27" s="1120"/>
      <c r="BA27" s="1120"/>
      <c r="BB27" s="1120"/>
      <c r="BC27" s="1120"/>
      <c r="BD27" s="1121"/>
    </row>
    <row r="28" spans="2:56" x14ac:dyDescent="0.15">
      <c r="AD28" s="1119"/>
      <c r="AE28" s="1120"/>
      <c r="AF28" s="1120"/>
      <c r="AG28" s="1120"/>
      <c r="AH28" s="1120"/>
      <c r="AI28" s="1120"/>
      <c r="AJ28" s="1120"/>
      <c r="AK28" s="1120"/>
      <c r="AL28" s="1120"/>
      <c r="AM28" s="1120"/>
      <c r="AN28" s="1120"/>
      <c r="AO28" s="1120"/>
      <c r="AP28" s="1120"/>
      <c r="AQ28" s="1120"/>
      <c r="AR28" s="1120"/>
      <c r="AS28" s="1120"/>
      <c r="AT28" s="1120"/>
      <c r="AU28" s="1120"/>
      <c r="AV28" s="1120"/>
      <c r="AW28" s="1120"/>
      <c r="AX28" s="1120"/>
      <c r="AY28" s="1120"/>
      <c r="AZ28" s="1120"/>
      <c r="BA28" s="1120"/>
      <c r="BB28" s="1120"/>
      <c r="BC28" s="1120"/>
      <c r="BD28" s="1121"/>
    </row>
    <row r="29" spans="2:56" x14ac:dyDescent="0.15">
      <c r="AD29" s="1122"/>
      <c r="AE29" s="1123"/>
      <c r="AF29" s="1123"/>
      <c r="AG29" s="1123"/>
      <c r="AH29" s="1123"/>
      <c r="AI29" s="1123"/>
      <c r="AJ29" s="1123"/>
      <c r="AK29" s="1123"/>
      <c r="AL29" s="1123"/>
      <c r="AM29" s="1123"/>
      <c r="AN29" s="1123"/>
      <c r="AO29" s="1123"/>
      <c r="AP29" s="1123"/>
      <c r="AQ29" s="1123"/>
      <c r="AR29" s="1123"/>
      <c r="AS29" s="1123"/>
      <c r="AT29" s="1123"/>
      <c r="AU29" s="1123"/>
      <c r="AV29" s="1123"/>
      <c r="AW29" s="1123"/>
      <c r="AX29" s="1123"/>
      <c r="AY29" s="1123"/>
      <c r="AZ29" s="1123"/>
      <c r="BA29" s="1123"/>
      <c r="BB29" s="1123"/>
      <c r="BC29" s="1123"/>
      <c r="BD29" s="1124"/>
    </row>
    <row r="30" spans="2:56" x14ac:dyDescent="0.15">
      <c r="AD30" s="1095" t="s">
        <v>10338</v>
      </c>
      <c r="AE30" s="1096"/>
      <c r="AF30" s="1096"/>
      <c r="AG30" s="1096"/>
      <c r="AH30" s="1096"/>
      <c r="AI30" s="1096"/>
      <c r="AJ30" s="1096"/>
      <c r="AK30" s="1096"/>
      <c r="AL30" s="1096"/>
      <c r="AM30" s="1096"/>
      <c r="AN30" s="1096"/>
      <c r="AO30" s="1096"/>
      <c r="AP30" s="1096"/>
      <c r="AQ30" s="1096"/>
      <c r="AR30" s="1096"/>
      <c r="AS30" s="1096"/>
      <c r="AT30" s="1096"/>
      <c r="AU30" s="1096"/>
      <c r="AV30" s="1096"/>
      <c r="AW30" s="1096"/>
      <c r="AX30" s="1096"/>
      <c r="AY30" s="1096"/>
      <c r="AZ30" s="1096"/>
      <c r="BA30" s="1096"/>
      <c r="BB30" s="1096"/>
      <c r="BC30" s="1096"/>
      <c r="BD30" s="1097"/>
    </row>
    <row r="31" spans="2:56" x14ac:dyDescent="0.15">
      <c r="AD31" s="1095"/>
      <c r="AE31" s="1096"/>
      <c r="AF31" s="1096"/>
      <c r="AG31" s="1096"/>
      <c r="AH31" s="1096"/>
      <c r="AI31" s="1096"/>
      <c r="AJ31" s="1096"/>
      <c r="AK31" s="1096"/>
      <c r="AL31" s="1096"/>
      <c r="AM31" s="1096"/>
      <c r="AN31" s="1096"/>
      <c r="AO31" s="1096"/>
      <c r="AP31" s="1096"/>
      <c r="AQ31" s="1096"/>
      <c r="AR31" s="1096"/>
      <c r="AS31" s="1096"/>
      <c r="AT31" s="1096"/>
      <c r="AU31" s="1096"/>
      <c r="AV31" s="1096"/>
      <c r="AW31" s="1096"/>
      <c r="AX31" s="1096"/>
      <c r="AY31" s="1096"/>
      <c r="AZ31" s="1096"/>
      <c r="BA31" s="1096"/>
      <c r="BB31" s="1096"/>
      <c r="BC31" s="1096"/>
      <c r="BD31" s="1097"/>
    </row>
    <row r="32" spans="2:56" x14ac:dyDescent="0.15">
      <c r="AD32" s="1125" t="s">
        <v>10335</v>
      </c>
      <c r="AE32" s="1126"/>
      <c r="AF32" s="1126"/>
      <c r="AG32" s="1126"/>
      <c r="AH32" s="1126"/>
      <c r="AI32" s="1126"/>
      <c r="AJ32" s="1126"/>
      <c r="AK32" s="1126"/>
      <c r="AL32" s="1126"/>
      <c r="AM32" s="1126"/>
      <c r="AN32" s="1126"/>
      <c r="AO32" s="1126"/>
      <c r="AP32" s="1126"/>
      <c r="AQ32" s="1126"/>
      <c r="AR32" s="1126"/>
      <c r="AS32" s="1126"/>
      <c r="AT32" s="1126"/>
      <c r="AU32" s="1126"/>
      <c r="AV32" s="1126"/>
      <c r="AW32" s="1126"/>
      <c r="AX32" s="1126"/>
      <c r="AY32" s="1126"/>
      <c r="AZ32" s="1126"/>
      <c r="BA32" s="1126"/>
      <c r="BB32" s="1126"/>
      <c r="BC32" s="1126"/>
      <c r="BD32" s="1127"/>
    </row>
    <row r="33" spans="30:56" x14ac:dyDescent="0.15">
      <c r="AD33" s="1128"/>
      <c r="AE33" s="1129"/>
      <c r="AF33" s="1129"/>
      <c r="AG33" s="1129"/>
      <c r="AH33" s="1129"/>
      <c r="AI33" s="1129"/>
      <c r="AJ33" s="1129"/>
      <c r="AK33" s="1129"/>
      <c r="AL33" s="1129"/>
      <c r="AM33" s="1129"/>
      <c r="AN33" s="1129"/>
      <c r="AO33" s="1129"/>
      <c r="AP33" s="1129"/>
      <c r="AQ33" s="1129"/>
      <c r="AR33" s="1129"/>
      <c r="AS33" s="1129"/>
      <c r="AT33" s="1129"/>
      <c r="AU33" s="1129"/>
      <c r="AV33" s="1129"/>
      <c r="AW33" s="1129"/>
      <c r="AX33" s="1129"/>
      <c r="AY33" s="1129"/>
      <c r="AZ33" s="1129"/>
      <c r="BA33" s="1129"/>
      <c r="BB33" s="1129"/>
      <c r="BC33" s="1129"/>
      <c r="BD33" s="1130"/>
    </row>
    <row r="34" spans="30:56" x14ac:dyDescent="0.15">
      <c r="AD34" s="1128"/>
      <c r="AE34" s="1129"/>
      <c r="AF34" s="1129"/>
      <c r="AG34" s="1129"/>
      <c r="AH34" s="1129"/>
      <c r="AI34" s="1129"/>
      <c r="AJ34" s="1129"/>
      <c r="AK34" s="1129"/>
      <c r="AL34" s="1129"/>
      <c r="AM34" s="1129"/>
      <c r="AN34" s="1129"/>
      <c r="AO34" s="1129"/>
      <c r="AP34" s="1129"/>
      <c r="AQ34" s="1129"/>
      <c r="AR34" s="1129"/>
      <c r="AS34" s="1129"/>
      <c r="AT34" s="1129"/>
      <c r="AU34" s="1129"/>
      <c r="AV34" s="1129"/>
      <c r="AW34" s="1129"/>
      <c r="AX34" s="1129"/>
      <c r="AY34" s="1129"/>
      <c r="AZ34" s="1129"/>
      <c r="BA34" s="1129"/>
      <c r="BB34" s="1129"/>
      <c r="BC34" s="1129"/>
      <c r="BD34" s="1130"/>
    </row>
    <row r="35" spans="30:56" x14ac:dyDescent="0.15">
      <c r="AD35" s="1128"/>
      <c r="AE35" s="1129"/>
      <c r="AF35" s="1129"/>
      <c r="AG35" s="1129"/>
      <c r="AH35" s="1129"/>
      <c r="AI35" s="1129"/>
      <c r="AJ35" s="1129"/>
      <c r="AK35" s="1129"/>
      <c r="AL35" s="1129"/>
      <c r="AM35" s="1129"/>
      <c r="AN35" s="1129"/>
      <c r="AO35" s="1129"/>
      <c r="AP35" s="1129"/>
      <c r="AQ35" s="1129"/>
      <c r="AR35" s="1129"/>
      <c r="AS35" s="1129"/>
      <c r="AT35" s="1129"/>
      <c r="AU35" s="1129"/>
      <c r="AV35" s="1129"/>
      <c r="AW35" s="1129"/>
      <c r="AX35" s="1129"/>
      <c r="AY35" s="1129"/>
      <c r="AZ35" s="1129"/>
      <c r="BA35" s="1129"/>
      <c r="BB35" s="1129"/>
      <c r="BC35" s="1129"/>
      <c r="BD35" s="1130"/>
    </row>
    <row r="36" spans="30:56" x14ac:dyDescent="0.15">
      <c r="AD36" s="1128"/>
      <c r="AE36" s="1129"/>
      <c r="AF36" s="1129"/>
      <c r="AG36" s="1129"/>
      <c r="AH36" s="1129"/>
      <c r="AI36" s="1129"/>
      <c r="AJ36" s="1129"/>
      <c r="AK36" s="1129"/>
      <c r="AL36" s="1129"/>
      <c r="AM36" s="1129"/>
      <c r="AN36" s="1129"/>
      <c r="AO36" s="1129"/>
      <c r="AP36" s="1129"/>
      <c r="AQ36" s="1129"/>
      <c r="AR36" s="1129"/>
      <c r="AS36" s="1129"/>
      <c r="AT36" s="1129"/>
      <c r="AU36" s="1129"/>
      <c r="AV36" s="1129"/>
      <c r="AW36" s="1129"/>
      <c r="AX36" s="1129"/>
      <c r="AY36" s="1129"/>
      <c r="AZ36" s="1129"/>
      <c r="BA36" s="1129"/>
      <c r="BB36" s="1129"/>
      <c r="BC36" s="1129"/>
      <c r="BD36" s="1130"/>
    </row>
    <row r="37" spans="30:56" x14ac:dyDescent="0.15">
      <c r="AD37" s="1128"/>
      <c r="AE37" s="1129"/>
      <c r="AF37" s="1129"/>
      <c r="AG37" s="1129"/>
      <c r="AH37" s="1129"/>
      <c r="AI37" s="1129"/>
      <c r="AJ37" s="1129"/>
      <c r="AK37" s="1129"/>
      <c r="AL37" s="1129"/>
      <c r="AM37" s="1129"/>
      <c r="AN37" s="1129"/>
      <c r="AO37" s="1129"/>
      <c r="AP37" s="1129"/>
      <c r="AQ37" s="1129"/>
      <c r="AR37" s="1129"/>
      <c r="AS37" s="1129"/>
      <c r="AT37" s="1129"/>
      <c r="AU37" s="1129"/>
      <c r="AV37" s="1129"/>
      <c r="AW37" s="1129"/>
      <c r="AX37" s="1129"/>
      <c r="AY37" s="1129"/>
      <c r="AZ37" s="1129"/>
      <c r="BA37" s="1129"/>
      <c r="BB37" s="1129"/>
      <c r="BC37" s="1129"/>
      <c r="BD37" s="1130"/>
    </row>
    <row r="38" spans="30:56" x14ac:dyDescent="0.15">
      <c r="AD38" s="1128"/>
      <c r="AE38" s="1129"/>
      <c r="AF38" s="1129"/>
      <c r="AG38" s="1129"/>
      <c r="AH38" s="1129"/>
      <c r="AI38" s="1129"/>
      <c r="AJ38" s="1129"/>
      <c r="AK38" s="1129"/>
      <c r="AL38" s="1129"/>
      <c r="AM38" s="1129"/>
      <c r="AN38" s="1129"/>
      <c r="AO38" s="1129"/>
      <c r="AP38" s="1129"/>
      <c r="AQ38" s="1129"/>
      <c r="AR38" s="1129"/>
      <c r="AS38" s="1129"/>
      <c r="AT38" s="1129"/>
      <c r="AU38" s="1129"/>
      <c r="AV38" s="1129"/>
      <c r="AW38" s="1129"/>
      <c r="AX38" s="1129"/>
      <c r="AY38" s="1129"/>
      <c r="AZ38" s="1129"/>
      <c r="BA38" s="1129"/>
      <c r="BB38" s="1129"/>
      <c r="BC38" s="1129"/>
      <c r="BD38" s="1130"/>
    </row>
    <row r="39" spans="30:56" x14ac:dyDescent="0.15">
      <c r="AD39" s="1128"/>
      <c r="AE39" s="1129"/>
      <c r="AF39" s="1129"/>
      <c r="AG39" s="1129"/>
      <c r="AH39" s="1129"/>
      <c r="AI39" s="1129"/>
      <c r="AJ39" s="1129"/>
      <c r="AK39" s="1129"/>
      <c r="AL39" s="1129"/>
      <c r="AM39" s="1129"/>
      <c r="AN39" s="1129"/>
      <c r="AO39" s="1129"/>
      <c r="AP39" s="1129"/>
      <c r="AQ39" s="1129"/>
      <c r="AR39" s="1129"/>
      <c r="AS39" s="1129"/>
      <c r="AT39" s="1129"/>
      <c r="AU39" s="1129"/>
      <c r="AV39" s="1129"/>
      <c r="AW39" s="1129"/>
      <c r="AX39" s="1129"/>
      <c r="AY39" s="1129"/>
      <c r="AZ39" s="1129"/>
      <c r="BA39" s="1129"/>
      <c r="BB39" s="1129"/>
      <c r="BC39" s="1129"/>
      <c r="BD39" s="1130"/>
    </row>
    <row r="40" spans="30:56" x14ac:dyDescent="0.15">
      <c r="AD40" s="1128"/>
      <c r="AE40" s="1129"/>
      <c r="AF40" s="1129"/>
      <c r="AG40" s="1129"/>
      <c r="AH40" s="1129"/>
      <c r="AI40" s="1129"/>
      <c r="AJ40" s="1129"/>
      <c r="AK40" s="1129"/>
      <c r="AL40" s="1129"/>
      <c r="AM40" s="1129"/>
      <c r="AN40" s="1129"/>
      <c r="AO40" s="1129"/>
      <c r="AP40" s="1129"/>
      <c r="AQ40" s="1129"/>
      <c r="AR40" s="1129"/>
      <c r="AS40" s="1129"/>
      <c r="AT40" s="1129"/>
      <c r="AU40" s="1129"/>
      <c r="AV40" s="1129"/>
      <c r="AW40" s="1129"/>
      <c r="AX40" s="1129"/>
      <c r="AY40" s="1129"/>
      <c r="AZ40" s="1129"/>
      <c r="BA40" s="1129"/>
      <c r="BB40" s="1129"/>
      <c r="BC40" s="1129"/>
      <c r="BD40" s="1130"/>
    </row>
    <row r="41" spans="30:56" x14ac:dyDescent="0.15">
      <c r="AD41" s="1128"/>
      <c r="AE41" s="1129"/>
      <c r="AF41" s="1129"/>
      <c r="AG41" s="1129"/>
      <c r="AH41" s="1129"/>
      <c r="AI41" s="1129"/>
      <c r="AJ41" s="1129"/>
      <c r="AK41" s="1129"/>
      <c r="AL41" s="1129"/>
      <c r="AM41" s="1129"/>
      <c r="AN41" s="1129"/>
      <c r="AO41" s="1129"/>
      <c r="AP41" s="1129"/>
      <c r="AQ41" s="1129"/>
      <c r="AR41" s="1129"/>
      <c r="AS41" s="1129"/>
      <c r="AT41" s="1129"/>
      <c r="AU41" s="1129"/>
      <c r="AV41" s="1129"/>
      <c r="AW41" s="1129"/>
      <c r="AX41" s="1129"/>
      <c r="AY41" s="1129"/>
      <c r="AZ41" s="1129"/>
      <c r="BA41" s="1129"/>
      <c r="BB41" s="1129"/>
      <c r="BC41" s="1129"/>
      <c r="BD41" s="1130"/>
    </row>
    <row r="42" spans="30:56" x14ac:dyDescent="0.15">
      <c r="AD42" s="1128"/>
      <c r="AE42" s="1129"/>
      <c r="AF42" s="1129"/>
      <c r="AG42" s="1129"/>
      <c r="AH42" s="1129"/>
      <c r="AI42" s="1129"/>
      <c r="AJ42" s="1129"/>
      <c r="AK42" s="1129"/>
      <c r="AL42" s="1129"/>
      <c r="AM42" s="1129"/>
      <c r="AN42" s="1129"/>
      <c r="AO42" s="1129"/>
      <c r="AP42" s="1129"/>
      <c r="AQ42" s="1129"/>
      <c r="AR42" s="1129"/>
      <c r="AS42" s="1129"/>
      <c r="AT42" s="1129"/>
      <c r="AU42" s="1129"/>
      <c r="AV42" s="1129"/>
      <c r="AW42" s="1129"/>
      <c r="AX42" s="1129"/>
      <c r="AY42" s="1129"/>
      <c r="AZ42" s="1129"/>
      <c r="BA42" s="1129"/>
      <c r="BB42" s="1129"/>
      <c r="BC42" s="1129"/>
      <c r="BD42" s="1130"/>
    </row>
    <row r="43" spans="30:56" x14ac:dyDescent="0.15">
      <c r="AD43" s="1128"/>
      <c r="AE43" s="1129"/>
      <c r="AF43" s="1129"/>
      <c r="AG43" s="1129"/>
      <c r="AH43" s="1129"/>
      <c r="AI43" s="1129"/>
      <c r="AJ43" s="1129"/>
      <c r="AK43" s="1129"/>
      <c r="AL43" s="1129"/>
      <c r="AM43" s="1129"/>
      <c r="AN43" s="1129"/>
      <c r="AO43" s="1129"/>
      <c r="AP43" s="1129"/>
      <c r="AQ43" s="1129"/>
      <c r="AR43" s="1129"/>
      <c r="AS43" s="1129"/>
      <c r="AT43" s="1129"/>
      <c r="AU43" s="1129"/>
      <c r="AV43" s="1129"/>
      <c r="AW43" s="1129"/>
      <c r="AX43" s="1129"/>
      <c r="AY43" s="1129"/>
      <c r="AZ43" s="1129"/>
      <c r="BA43" s="1129"/>
      <c r="BB43" s="1129"/>
      <c r="BC43" s="1129"/>
      <c r="BD43" s="1130"/>
    </row>
    <row r="44" spans="30:56" x14ac:dyDescent="0.15">
      <c r="AD44" s="1128"/>
      <c r="AE44" s="1129"/>
      <c r="AF44" s="1129"/>
      <c r="AG44" s="1129"/>
      <c r="AH44" s="1129"/>
      <c r="AI44" s="1129"/>
      <c r="AJ44" s="1129"/>
      <c r="AK44" s="1129"/>
      <c r="AL44" s="1129"/>
      <c r="AM44" s="1129"/>
      <c r="AN44" s="1129"/>
      <c r="AO44" s="1129"/>
      <c r="AP44" s="1129"/>
      <c r="AQ44" s="1129"/>
      <c r="AR44" s="1129"/>
      <c r="AS44" s="1129"/>
      <c r="AT44" s="1129"/>
      <c r="AU44" s="1129"/>
      <c r="AV44" s="1129"/>
      <c r="AW44" s="1129"/>
      <c r="AX44" s="1129"/>
      <c r="AY44" s="1129"/>
      <c r="AZ44" s="1129"/>
      <c r="BA44" s="1129"/>
      <c r="BB44" s="1129"/>
      <c r="BC44" s="1129"/>
      <c r="BD44" s="1130"/>
    </row>
    <row r="45" spans="30:56" x14ac:dyDescent="0.15">
      <c r="AD45" s="1128"/>
      <c r="AE45" s="1129"/>
      <c r="AF45" s="1129"/>
      <c r="AG45" s="1129"/>
      <c r="AH45" s="1129"/>
      <c r="AI45" s="1129"/>
      <c r="AJ45" s="1129"/>
      <c r="AK45" s="1129"/>
      <c r="AL45" s="1129"/>
      <c r="AM45" s="1129"/>
      <c r="AN45" s="1129"/>
      <c r="AO45" s="1129"/>
      <c r="AP45" s="1129"/>
      <c r="AQ45" s="1129"/>
      <c r="AR45" s="1129"/>
      <c r="AS45" s="1129"/>
      <c r="AT45" s="1129"/>
      <c r="AU45" s="1129"/>
      <c r="AV45" s="1129"/>
      <c r="AW45" s="1129"/>
      <c r="AX45" s="1129"/>
      <c r="AY45" s="1129"/>
      <c r="AZ45" s="1129"/>
      <c r="BA45" s="1129"/>
      <c r="BB45" s="1129"/>
      <c r="BC45" s="1129"/>
      <c r="BD45" s="1130"/>
    </row>
    <row r="46" spans="30:56" x14ac:dyDescent="0.15">
      <c r="AD46" s="1128"/>
      <c r="AE46" s="1129"/>
      <c r="AF46" s="1129"/>
      <c r="AG46" s="1129"/>
      <c r="AH46" s="1129"/>
      <c r="AI46" s="1129"/>
      <c r="AJ46" s="1129"/>
      <c r="AK46" s="1129"/>
      <c r="AL46" s="1129"/>
      <c r="AM46" s="1129"/>
      <c r="AN46" s="1129"/>
      <c r="AO46" s="1129"/>
      <c r="AP46" s="1129"/>
      <c r="AQ46" s="1129"/>
      <c r="AR46" s="1129"/>
      <c r="AS46" s="1129"/>
      <c r="AT46" s="1129"/>
      <c r="AU46" s="1129"/>
      <c r="AV46" s="1129"/>
      <c r="AW46" s="1129"/>
      <c r="AX46" s="1129"/>
      <c r="AY46" s="1129"/>
      <c r="AZ46" s="1129"/>
      <c r="BA46" s="1129"/>
      <c r="BB46" s="1129"/>
      <c r="BC46" s="1129"/>
      <c r="BD46" s="1130"/>
    </row>
    <row r="47" spans="30:56" x14ac:dyDescent="0.15">
      <c r="AD47" s="1128"/>
      <c r="AE47" s="1129"/>
      <c r="AF47" s="1129"/>
      <c r="AG47" s="1129"/>
      <c r="AH47" s="1129"/>
      <c r="AI47" s="1129"/>
      <c r="AJ47" s="1129"/>
      <c r="AK47" s="1129"/>
      <c r="AL47" s="1129"/>
      <c r="AM47" s="1129"/>
      <c r="AN47" s="1129"/>
      <c r="AO47" s="1129"/>
      <c r="AP47" s="1129"/>
      <c r="AQ47" s="1129"/>
      <c r="AR47" s="1129"/>
      <c r="AS47" s="1129"/>
      <c r="AT47" s="1129"/>
      <c r="AU47" s="1129"/>
      <c r="AV47" s="1129"/>
      <c r="AW47" s="1129"/>
      <c r="AX47" s="1129"/>
      <c r="AY47" s="1129"/>
      <c r="AZ47" s="1129"/>
      <c r="BA47" s="1129"/>
      <c r="BB47" s="1129"/>
      <c r="BC47" s="1129"/>
      <c r="BD47" s="1130"/>
    </row>
    <row r="48" spans="30:56" x14ac:dyDescent="0.15">
      <c r="AD48" s="1128"/>
      <c r="AE48" s="1129"/>
      <c r="AF48" s="1129"/>
      <c r="AG48" s="1129"/>
      <c r="AH48" s="1129"/>
      <c r="AI48" s="1129"/>
      <c r="AJ48" s="1129"/>
      <c r="AK48" s="1129"/>
      <c r="AL48" s="1129"/>
      <c r="AM48" s="1129"/>
      <c r="AN48" s="1129"/>
      <c r="AO48" s="1129"/>
      <c r="AP48" s="1129"/>
      <c r="AQ48" s="1129"/>
      <c r="AR48" s="1129"/>
      <c r="AS48" s="1129"/>
      <c r="AT48" s="1129"/>
      <c r="AU48" s="1129"/>
      <c r="AV48" s="1129"/>
      <c r="AW48" s="1129"/>
      <c r="AX48" s="1129"/>
      <c r="AY48" s="1129"/>
      <c r="AZ48" s="1129"/>
      <c r="BA48" s="1129"/>
      <c r="BB48" s="1129"/>
      <c r="BC48" s="1129"/>
      <c r="BD48" s="1130"/>
    </row>
    <row r="49" spans="30:56" x14ac:dyDescent="0.15">
      <c r="AD49" s="1128"/>
      <c r="AE49" s="1129"/>
      <c r="AF49" s="1129"/>
      <c r="AG49" s="1129"/>
      <c r="AH49" s="1129"/>
      <c r="AI49" s="1129"/>
      <c r="AJ49" s="1129"/>
      <c r="AK49" s="1129"/>
      <c r="AL49" s="1129"/>
      <c r="AM49" s="1129"/>
      <c r="AN49" s="1129"/>
      <c r="AO49" s="1129"/>
      <c r="AP49" s="1129"/>
      <c r="AQ49" s="1129"/>
      <c r="AR49" s="1129"/>
      <c r="AS49" s="1129"/>
      <c r="AT49" s="1129"/>
      <c r="AU49" s="1129"/>
      <c r="AV49" s="1129"/>
      <c r="AW49" s="1129"/>
      <c r="AX49" s="1129"/>
      <c r="AY49" s="1129"/>
      <c r="AZ49" s="1129"/>
      <c r="BA49" s="1129"/>
      <c r="BB49" s="1129"/>
      <c r="BC49" s="1129"/>
      <c r="BD49" s="1130"/>
    </row>
    <row r="50" spans="30:56" x14ac:dyDescent="0.15">
      <c r="AD50" s="1128"/>
      <c r="AE50" s="1129"/>
      <c r="AF50" s="1129"/>
      <c r="AG50" s="1129"/>
      <c r="AH50" s="1129"/>
      <c r="AI50" s="1129"/>
      <c r="AJ50" s="1129"/>
      <c r="AK50" s="1129"/>
      <c r="AL50" s="1129"/>
      <c r="AM50" s="1129"/>
      <c r="AN50" s="1129"/>
      <c r="AO50" s="1129"/>
      <c r="AP50" s="1129"/>
      <c r="AQ50" s="1129"/>
      <c r="AR50" s="1129"/>
      <c r="AS50" s="1129"/>
      <c r="AT50" s="1129"/>
      <c r="AU50" s="1129"/>
      <c r="AV50" s="1129"/>
      <c r="AW50" s="1129"/>
      <c r="AX50" s="1129"/>
      <c r="AY50" s="1129"/>
      <c r="AZ50" s="1129"/>
      <c r="BA50" s="1129"/>
      <c r="BB50" s="1129"/>
      <c r="BC50" s="1129"/>
      <c r="BD50" s="1130"/>
    </row>
    <row r="51" spans="30:56" x14ac:dyDescent="0.15">
      <c r="AD51" s="1128"/>
      <c r="AE51" s="1129"/>
      <c r="AF51" s="1129"/>
      <c r="AG51" s="1129"/>
      <c r="AH51" s="1129"/>
      <c r="AI51" s="1129"/>
      <c r="AJ51" s="1129"/>
      <c r="AK51" s="1129"/>
      <c r="AL51" s="1129"/>
      <c r="AM51" s="1129"/>
      <c r="AN51" s="1129"/>
      <c r="AO51" s="1129"/>
      <c r="AP51" s="1129"/>
      <c r="AQ51" s="1129"/>
      <c r="AR51" s="1129"/>
      <c r="AS51" s="1129"/>
      <c r="AT51" s="1129"/>
      <c r="AU51" s="1129"/>
      <c r="AV51" s="1129"/>
      <c r="AW51" s="1129"/>
      <c r="AX51" s="1129"/>
      <c r="AY51" s="1129"/>
      <c r="AZ51" s="1129"/>
      <c r="BA51" s="1129"/>
      <c r="BB51" s="1129"/>
      <c r="BC51" s="1129"/>
      <c r="BD51" s="1130"/>
    </row>
    <row r="52" spans="30:56" x14ac:dyDescent="0.15">
      <c r="AD52" s="1128"/>
      <c r="AE52" s="1129"/>
      <c r="AF52" s="1129"/>
      <c r="AG52" s="1129"/>
      <c r="AH52" s="1129"/>
      <c r="AI52" s="1129"/>
      <c r="AJ52" s="1129"/>
      <c r="AK52" s="1129"/>
      <c r="AL52" s="1129"/>
      <c r="AM52" s="1129"/>
      <c r="AN52" s="1129"/>
      <c r="AO52" s="1129"/>
      <c r="AP52" s="1129"/>
      <c r="AQ52" s="1129"/>
      <c r="AR52" s="1129"/>
      <c r="AS52" s="1129"/>
      <c r="AT52" s="1129"/>
      <c r="AU52" s="1129"/>
      <c r="AV52" s="1129"/>
      <c r="AW52" s="1129"/>
      <c r="AX52" s="1129"/>
      <c r="AY52" s="1129"/>
      <c r="AZ52" s="1129"/>
      <c r="BA52" s="1129"/>
      <c r="BB52" s="1129"/>
      <c r="BC52" s="1129"/>
      <c r="BD52" s="1130"/>
    </row>
    <row r="53" spans="30:56" x14ac:dyDescent="0.15">
      <c r="AD53" s="1128"/>
      <c r="AE53" s="1129"/>
      <c r="AF53" s="1129"/>
      <c r="AG53" s="1129"/>
      <c r="AH53" s="1129"/>
      <c r="AI53" s="1129"/>
      <c r="AJ53" s="1129"/>
      <c r="AK53" s="1129"/>
      <c r="AL53" s="1129"/>
      <c r="AM53" s="1129"/>
      <c r="AN53" s="1129"/>
      <c r="AO53" s="1129"/>
      <c r="AP53" s="1129"/>
      <c r="AQ53" s="1129"/>
      <c r="AR53" s="1129"/>
      <c r="AS53" s="1129"/>
      <c r="AT53" s="1129"/>
      <c r="AU53" s="1129"/>
      <c r="AV53" s="1129"/>
      <c r="AW53" s="1129"/>
      <c r="AX53" s="1129"/>
      <c r="AY53" s="1129"/>
      <c r="AZ53" s="1129"/>
      <c r="BA53" s="1129"/>
      <c r="BB53" s="1129"/>
      <c r="BC53" s="1129"/>
      <c r="BD53" s="1130"/>
    </row>
    <row r="54" spans="30:56" x14ac:dyDescent="0.15">
      <c r="AD54" s="1128"/>
      <c r="AE54" s="1129"/>
      <c r="AF54" s="1129"/>
      <c r="AG54" s="1129"/>
      <c r="AH54" s="1129"/>
      <c r="AI54" s="1129"/>
      <c r="AJ54" s="1129"/>
      <c r="AK54" s="1129"/>
      <c r="AL54" s="1129"/>
      <c r="AM54" s="1129"/>
      <c r="AN54" s="1129"/>
      <c r="AO54" s="1129"/>
      <c r="AP54" s="1129"/>
      <c r="AQ54" s="1129"/>
      <c r="AR54" s="1129"/>
      <c r="AS54" s="1129"/>
      <c r="AT54" s="1129"/>
      <c r="AU54" s="1129"/>
      <c r="AV54" s="1129"/>
      <c r="AW54" s="1129"/>
      <c r="AX54" s="1129"/>
      <c r="AY54" s="1129"/>
      <c r="AZ54" s="1129"/>
      <c r="BA54" s="1129"/>
      <c r="BB54" s="1129"/>
      <c r="BC54" s="1129"/>
      <c r="BD54" s="1130"/>
    </row>
    <row r="55" spans="30:56" x14ac:dyDescent="0.15">
      <c r="AD55" s="1128"/>
      <c r="AE55" s="1129"/>
      <c r="AF55" s="1129"/>
      <c r="AG55" s="1129"/>
      <c r="AH55" s="1129"/>
      <c r="AI55" s="1129"/>
      <c r="AJ55" s="1129"/>
      <c r="AK55" s="1129"/>
      <c r="AL55" s="1129"/>
      <c r="AM55" s="1129"/>
      <c r="AN55" s="1129"/>
      <c r="AO55" s="1129"/>
      <c r="AP55" s="1129"/>
      <c r="AQ55" s="1129"/>
      <c r="AR55" s="1129"/>
      <c r="AS55" s="1129"/>
      <c r="AT55" s="1129"/>
      <c r="AU55" s="1129"/>
      <c r="AV55" s="1129"/>
      <c r="AW55" s="1129"/>
      <c r="AX55" s="1129"/>
      <c r="AY55" s="1129"/>
      <c r="AZ55" s="1129"/>
      <c r="BA55" s="1129"/>
      <c r="BB55" s="1129"/>
      <c r="BC55" s="1129"/>
      <c r="BD55" s="1130"/>
    </row>
    <row r="56" spans="30:56" x14ac:dyDescent="0.15">
      <c r="AD56" s="1128"/>
      <c r="AE56" s="1129"/>
      <c r="AF56" s="1129"/>
      <c r="AG56" s="1129"/>
      <c r="AH56" s="1129"/>
      <c r="AI56" s="1129"/>
      <c r="AJ56" s="1129"/>
      <c r="AK56" s="1129"/>
      <c r="AL56" s="1129"/>
      <c r="AM56" s="1129"/>
      <c r="AN56" s="1129"/>
      <c r="AO56" s="1129"/>
      <c r="AP56" s="1129"/>
      <c r="AQ56" s="1129"/>
      <c r="AR56" s="1129"/>
      <c r="AS56" s="1129"/>
      <c r="AT56" s="1129"/>
      <c r="AU56" s="1129"/>
      <c r="AV56" s="1129"/>
      <c r="AW56" s="1129"/>
      <c r="AX56" s="1129"/>
      <c r="AY56" s="1129"/>
      <c r="AZ56" s="1129"/>
      <c r="BA56" s="1129"/>
      <c r="BB56" s="1129"/>
      <c r="BC56" s="1129"/>
      <c r="BD56" s="1130"/>
    </row>
    <row r="57" spans="30:56" x14ac:dyDescent="0.15">
      <c r="AD57" s="1128"/>
      <c r="AE57" s="1129"/>
      <c r="AF57" s="1129"/>
      <c r="AG57" s="1129"/>
      <c r="AH57" s="1129"/>
      <c r="AI57" s="1129"/>
      <c r="AJ57" s="1129"/>
      <c r="AK57" s="1129"/>
      <c r="AL57" s="1129"/>
      <c r="AM57" s="1129"/>
      <c r="AN57" s="1129"/>
      <c r="AO57" s="1129"/>
      <c r="AP57" s="1129"/>
      <c r="AQ57" s="1129"/>
      <c r="AR57" s="1129"/>
      <c r="AS57" s="1129"/>
      <c r="AT57" s="1129"/>
      <c r="AU57" s="1129"/>
      <c r="AV57" s="1129"/>
      <c r="AW57" s="1129"/>
      <c r="AX57" s="1129"/>
      <c r="AY57" s="1129"/>
      <c r="AZ57" s="1129"/>
      <c r="BA57" s="1129"/>
      <c r="BB57" s="1129"/>
      <c r="BC57" s="1129"/>
      <c r="BD57" s="1130"/>
    </row>
    <row r="58" spans="30:56" x14ac:dyDescent="0.15">
      <c r="AD58" s="1128"/>
      <c r="AE58" s="1129"/>
      <c r="AF58" s="1129"/>
      <c r="AG58" s="1129"/>
      <c r="AH58" s="1129"/>
      <c r="AI58" s="1129"/>
      <c r="AJ58" s="1129"/>
      <c r="AK58" s="1129"/>
      <c r="AL58" s="1129"/>
      <c r="AM58" s="1129"/>
      <c r="AN58" s="1129"/>
      <c r="AO58" s="1129"/>
      <c r="AP58" s="1129"/>
      <c r="AQ58" s="1129"/>
      <c r="AR58" s="1129"/>
      <c r="AS58" s="1129"/>
      <c r="AT58" s="1129"/>
      <c r="AU58" s="1129"/>
      <c r="AV58" s="1129"/>
      <c r="AW58" s="1129"/>
      <c r="AX58" s="1129"/>
      <c r="AY58" s="1129"/>
      <c r="AZ58" s="1129"/>
      <c r="BA58" s="1129"/>
      <c r="BB58" s="1129"/>
      <c r="BC58" s="1129"/>
      <c r="BD58" s="1130"/>
    </row>
    <row r="59" spans="30:56" x14ac:dyDescent="0.15">
      <c r="AD59" s="1128"/>
      <c r="AE59" s="1129"/>
      <c r="AF59" s="1129"/>
      <c r="AG59" s="1129"/>
      <c r="AH59" s="1129"/>
      <c r="AI59" s="1129"/>
      <c r="AJ59" s="1129"/>
      <c r="AK59" s="1129"/>
      <c r="AL59" s="1129"/>
      <c r="AM59" s="1129"/>
      <c r="AN59" s="1129"/>
      <c r="AO59" s="1129"/>
      <c r="AP59" s="1129"/>
      <c r="AQ59" s="1129"/>
      <c r="AR59" s="1129"/>
      <c r="AS59" s="1129"/>
      <c r="AT59" s="1129"/>
      <c r="AU59" s="1129"/>
      <c r="AV59" s="1129"/>
      <c r="AW59" s="1129"/>
      <c r="AX59" s="1129"/>
      <c r="AY59" s="1129"/>
      <c r="AZ59" s="1129"/>
      <c r="BA59" s="1129"/>
      <c r="BB59" s="1129"/>
      <c r="BC59" s="1129"/>
      <c r="BD59" s="1130"/>
    </row>
    <row r="60" spans="30:56" x14ac:dyDescent="0.15">
      <c r="AD60" s="1128"/>
      <c r="AE60" s="1129"/>
      <c r="AF60" s="1129"/>
      <c r="AG60" s="1129"/>
      <c r="AH60" s="1129"/>
      <c r="AI60" s="1129"/>
      <c r="AJ60" s="1129"/>
      <c r="AK60" s="1129"/>
      <c r="AL60" s="1129"/>
      <c r="AM60" s="1129"/>
      <c r="AN60" s="1129"/>
      <c r="AO60" s="1129"/>
      <c r="AP60" s="1129"/>
      <c r="AQ60" s="1129"/>
      <c r="AR60" s="1129"/>
      <c r="AS60" s="1129"/>
      <c r="AT60" s="1129"/>
      <c r="AU60" s="1129"/>
      <c r="AV60" s="1129"/>
      <c r="AW60" s="1129"/>
      <c r="AX60" s="1129"/>
      <c r="AY60" s="1129"/>
      <c r="AZ60" s="1129"/>
      <c r="BA60" s="1129"/>
      <c r="BB60" s="1129"/>
      <c r="BC60" s="1129"/>
      <c r="BD60" s="1130"/>
    </row>
    <row r="61" spans="30:56" x14ac:dyDescent="0.15">
      <c r="AD61" s="1128"/>
      <c r="AE61" s="1129"/>
      <c r="AF61" s="1129"/>
      <c r="AG61" s="1129"/>
      <c r="AH61" s="1129"/>
      <c r="AI61" s="1129"/>
      <c r="AJ61" s="1129"/>
      <c r="AK61" s="1129"/>
      <c r="AL61" s="1129"/>
      <c r="AM61" s="1129"/>
      <c r="AN61" s="1129"/>
      <c r="AO61" s="1129"/>
      <c r="AP61" s="1129"/>
      <c r="AQ61" s="1129"/>
      <c r="AR61" s="1129"/>
      <c r="AS61" s="1129"/>
      <c r="AT61" s="1129"/>
      <c r="AU61" s="1129"/>
      <c r="AV61" s="1129"/>
      <c r="AW61" s="1129"/>
      <c r="AX61" s="1129"/>
      <c r="AY61" s="1129"/>
      <c r="AZ61" s="1129"/>
      <c r="BA61" s="1129"/>
      <c r="BB61" s="1129"/>
      <c r="BC61" s="1129"/>
      <c r="BD61" s="1130"/>
    </row>
    <row r="62" spans="30:56" x14ac:dyDescent="0.15">
      <c r="AD62" s="1128"/>
      <c r="AE62" s="1129"/>
      <c r="AF62" s="1129"/>
      <c r="AG62" s="1129"/>
      <c r="AH62" s="1129"/>
      <c r="AI62" s="1129"/>
      <c r="AJ62" s="1129"/>
      <c r="AK62" s="1129"/>
      <c r="AL62" s="1129"/>
      <c r="AM62" s="1129"/>
      <c r="AN62" s="1129"/>
      <c r="AO62" s="1129"/>
      <c r="AP62" s="1129"/>
      <c r="AQ62" s="1129"/>
      <c r="AR62" s="1129"/>
      <c r="AS62" s="1129"/>
      <c r="AT62" s="1129"/>
      <c r="AU62" s="1129"/>
      <c r="AV62" s="1129"/>
      <c r="AW62" s="1129"/>
      <c r="AX62" s="1129"/>
      <c r="AY62" s="1129"/>
      <c r="AZ62" s="1129"/>
      <c r="BA62" s="1129"/>
      <c r="BB62" s="1129"/>
      <c r="BC62" s="1129"/>
      <c r="BD62" s="1130"/>
    </row>
    <row r="63" spans="30:56" x14ac:dyDescent="0.15">
      <c r="AD63" s="1128"/>
      <c r="AE63" s="1129"/>
      <c r="AF63" s="1129"/>
      <c r="AG63" s="1129"/>
      <c r="AH63" s="1129"/>
      <c r="AI63" s="1129"/>
      <c r="AJ63" s="1129"/>
      <c r="AK63" s="1129"/>
      <c r="AL63" s="1129"/>
      <c r="AM63" s="1129"/>
      <c r="AN63" s="1129"/>
      <c r="AO63" s="1129"/>
      <c r="AP63" s="1129"/>
      <c r="AQ63" s="1129"/>
      <c r="AR63" s="1129"/>
      <c r="AS63" s="1129"/>
      <c r="AT63" s="1129"/>
      <c r="AU63" s="1129"/>
      <c r="AV63" s="1129"/>
      <c r="AW63" s="1129"/>
      <c r="AX63" s="1129"/>
      <c r="AY63" s="1129"/>
      <c r="AZ63" s="1129"/>
      <c r="BA63" s="1129"/>
      <c r="BB63" s="1129"/>
      <c r="BC63" s="1129"/>
      <c r="BD63" s="1130"/>
    </row>
    <row r="64" spans="30:56" x14ac:dyDescent="0.15">
      <c r="AD64" s="1128"/>
      <c r="AE64" s="1129"/>
      <c r="AF64" s="1129"/>
      <c r="AG64" s="1129"/>
      <c r="AH64" s="1129"/>
      <c r="AI64" s="1129"/>
      <c r="AJ64" s="1129"/>
      <c r="AK64" s="1129"/>
      <c r="AL64" s="1129"/>
      <c r="AM64" s="1129"/>
      <c r="AN64" s="1129"/>
      <c r="AO64" s="1129"/>
      <c r="AP64" s="1129"/>
      <c r="AQ64" s="1129"/>
      <c r="AR64" s="1129"/>
      <c r="AS64" s="1129"/>
      <c r="AT64" s="1129"/>
      <c r="AU64" s="1129"/>
      <c r="AV64" s="1129"/>
      <c r="AW64" s="1129"/>
      <c r="AX64" s="1129"/>
      <c r="AY64" s="1129"/>
      <c r="AZ64" s="1129"/>
      <c r="BA64" s="1129"/>
      <c r="BB64" s="1129"/>
      <c r="BC64" s="1129"/>
      <c r="BD64" s="1130"/>
    </row>
    <row r="65" spans="30:56" x14ac:dyDescent="0.15">
      <c r="AD65" s="1128"/>
      <c r="AE65" s="1129"/>
      <c r="AF65" s="1129"/>
      <c r="AG65" s="1129"/>
      <c r="AH65" s="1129"/>
      <c r="AI65" s="1129"/>
      <c r="AJ65" s="1129"/>
      <c r="AK65" s="1129"/>
      <c r="AL65" s="1129"/>
      <c r="AM65" s="1129"/>
      <c r="AN65" s="1129"/>
      <c r="AO65" s="1129"/>
      <c r="AP65" s="1129"/>
      <c r="AQ65" s="1129"/>
      <c r="AR65" s="1129"/>
      <c r="AS65" s="1129"/>
      <c r="AT65" s="1129"/>
      <c r="AU65" s="1129"/>
      <c r="AV65" s="1129"/>
      <c r="AW65" s="1129"/>
      <c r="AX65" s="1129"/>
      <c r="AY65" s="1129"/>
      <c r="AZ65" s="1129"/>
      <c r="BA65" s="1129"/>
      <c r="BB65" s="1129"/>
      <c r="BC65" s="1129"/>
      <c r="BD65" s="1130"/>
    </row>
    <row r="66" spans="30:56" x14ac:dyDescent="0.15">
      <c r="AD66" s="1128"/>
      <c r="AE66" s="1129"/>
      <c r="AF66" s="1129"/>
      <c r="AG66" s="1129"/>
      <c r="AH66" s="1129"/>
      <c r="AI66" s="1129"/>
      <c r="AJ66" s="1129"/>
      <c r="AK66" s="1129"/>
      <c r="AL66" s="1129"/>
      <c r="AM66" s="1129"/>
      <c r="AN66" s="1129"/>
      <c r="AO66" s="1129"/>
      <c r="AP66" s="1129"/>
      <c r="AQ66" s="1129"/>
      <c r="AR66" s="1129"/>
      <c r="AS66" s="1129"/>
      <c r="AT66" s="1129"/>
      <c r="AU66" s="1129"/>
      <c r="AV66" s="1129"/>
      <c r="AW66" s="1129"/>
      <c r="AX66" s="1129"/>
      <c r="AY66" s="1129"/>
      <c r="AZ66" s="1129"/>
      <c r="BA66" s="1129"/>
      <c r="BB66" s="1129"/>
      <c r="BC66" s="1129"/>
      <c r="BD66" s="1130"/>
    </row>
    <row r="67" spans="30:56" x14ac:dyDescent="0.15">
      <c r="AD67" s="1128"/>
      <c r="AE67" s="1129"/>
      <c r="AF67" s="1129"/>
      <c r="AG67" s="1129"/>
      <c r="AH67" s="1129"/>
      <c r="AI67" s="1129"/>
      <c r="AJ67" s="1129"/>
      <c r="AK67" s="1129"/>
      <c r="AL67" s="1129"/>
      <c r="AM67" s="1129"/>
      <c r="AN67" s="1129"/>
      <c r="AO67" s="1129"/>
      <c r="AP67" s="1129"/>
      <c r="AQ67" s="1129"/>
      <c r="AR67" s="1129"/>
      <c r="AS67" s="1129"/>
      <c r="AT67" s="1129"/>
      <c r="AU67" s="1129"/>
      <c r="AV67" s="1129"/>
      <c r="AW67" s="1129"/>
      <c r="AX67" s="1129"/>
      <c r="AY67" s="1129"/>
      <c r="AZ67" s="1129"/>
      <c r="BA67" s="1129"/>
      <c r="BB67" s="1129"/>
      <c r="BC67" s="1129"/>
      <c r="BD67" s="1130"/>
    </row>
    <row r="68" spans="30:56" x14ac:dyDescent="0.15">
      <c r="AD68" s="1128"/>
      <c r="AE68" s="1129"/>
      <c r="AF68" s="1129"/>
      <c r="AG68" s="1129"/>
      <c r="AH68" s="1129"/>
      <c r="AI68" s="1129"/>
      <c r="AJ68" s="1129"/>
      <c r="AK68" s="1129"/>
      <c r="AL68" s="1129"/>
      <c r="AM68" s="1129"/>
      <c r="AN68" s="1129"/>
      <c r="AO68" s="1129"/>
      <c r="AP68" s="1129"/>
      <c r="AQ68" s="1129"/>
      <c r="AR68" s="1129"/>
      <c r="AS68" s="1129"/>
      <c r="AT68" s="1129"/>
      <c r="AU68" s="1129"/>
      <c r="AV68" s="1129"/>
      <c r="AW68" s="1129"/>
      <c r="AX68" s="1129"/>
      <c r="AY68" s="1129"/>
      <c r="AZ68" s="1129"/>
      <c r="BA68" s="1129"/>
      <c r="BB68" s="1129"/>
      <c r="BC68" s="1129"/>
      <c r="BD68" s="1130"/>
    </row>
    <row r="69" spans="30:56" x14ac:dyDescent="0.15">
      <c r="AD69" s="1128"/>
      <c r="AE69" s="1129"/>
      <c r="AF69" s="1129"/>
      <c r="AG69" s="1129"/>
      <c r="AH69" s="1129"/>
      <c r="AI69" s="1129"/>
      <c r="AJ69" s="1129"/>
      <c r="AK69" s="1129"/>
      <c r="AL69" s="1129"/>
      <c r="AM69" s="1129"/>
      <c r="AN69" s="1129"/>
      <c r="AO69" s="1129"/>
      <c r="AP69" s="1129"/>
      <c r="AQ69" s="1129"/>
      <c r="AR69" s="1129"/>
      <c r="AS69" s="1129"/>
      <c r="AT69" s="1129"/>
      <c r="AU69" s="1129"/>
      <c r="AV69" s="1129"/>
      <c r="AW69" s="1129"/>
      <c r="AX69" s="1129"/>
      <c r="AY69" s="1129"/>
      <c r="AZ69" s="1129"/>
      <c r="BA69" s="1129"/>
      <c r="BB69" s="1129"/>
      <c r="BC69" s="1129"/>
      <c r="BD69" s="1130"/>
    </row>
    <row r="70" spans="30:56" x14ac:dyDescent="0.15">
      <c r="AD70" s="1128"/>
      <c r="AE70" s="1129"/>
      <c r="AF70" s="1129"/>
      <c r="AG70" s="1129"/>
      <c r="AH70" s="1129"/>
      <c r="AI70" s="1129"/>
      <c r="AJ70" s="1129"/>
      <c r="AK70" s="1129"/>
      <c r="AL70" s="1129"/>
      <c r="AM70" s="1129"/>
      <c r="AN70" s="1129"/>
      <c r="AO70" s="1129"/>
      <c r="AP70" s="1129"/>
      <c r="AQ70" s="1129"/>
      <c r="AR70" s="1129"/>
      <c r="AS70" s="1129"/>
      <c r="AT70" s="1129"/>
      <c r="AU70" s="1129"/>
      <c r="AV70" s="1129"/>
      <c r="AW70" s="1129"/>
      <c r="AX70" s="1129"/>
      <c r="AY70" s="1129"/>
      <c r="AZ70" s="1129"/>
      <c r="BA70" s="1129"/>
      <c r="BB70" s="1129"/>
      <c r="BC70" s="1129"/>
      <c r="BD70" s="1130"/>
    </row>
    <row r="71" spans="30:56" x14ac:dyDescent="0.15">
      <c r="AD71" s="1128"/>
      <c r="AE71" s="1129"/>
      <c r="AF71" s="1129"/>
      <c r="AG71" s="1129"/>
      <c r="AH71" s="1129"/>
      <c r="AI71" s="1129"/>
      <c r="AJ71" s="1129"/>
      <c r="AK71" s="1129"/>
      <c r="AL71" s="1129"/>
      <c r="AM71" s="1129"/>
      <c r="AN71" s="1129"/>
      <c r="AO71" s="1129"/>
      <c r="AP71" s="1129"/>
      <c r="AQ71" s="1129"/>
      <c r="AR71" s="1129"/>
      <c r="AS71" s="1129"/>
      <c r="AT71" s="1129"/>
      <c r="AU71" s="1129"/>
      <c r="AV71" s="1129"/>
      <c r="AW71" s="1129"/>
      <c r="AX71" s="1129"/>
      <c r="AY71" s="1129"/>
      <c r="AZ71" s="1129"/>
      <c r="BA71" s="1129"/>
      <c r="BB71" s="1129"/>
      <c r="BC71" s="1129"/>
      <c r="BD71" s="1130"/>
    </row>
    <row r="72" spans="30:56" x14ac:dyDescent="0.15">
      <c r="AD72" s="1128"/>
      <c r="AE72" s="1129"/>
      <c r="AF72" s="1129"/>
      <c r="AG72" s="1129"/>
      <c r="AH72" s="1129"/>
      <c r="AI72" s="1129"/>
      <c r="AJ72" s="1129"/>
      <c r="AK72" s="1129"/>
      <c r="AL72" s="1129"/>
      <c r="AM72" s="1129"/>
      <c r="AN72" s="1129"/>
      <c r="AO72" s="1129"/>
      <c r="AP72" s="1129"/>
      <c r="AQ72" s="1129"/>
      <c r="AR72" s="1129"/>
      <c r="AS72" s="1129"/>
      <c r="AT72" s="1129"/>
      <c r="AU72" s="1129"/>
      <c r="AV72" s="1129"/>
      <c r="AW72" s="1129"/>
      <c r="AX72" s="1129"/>
      <c r="AY72" s="1129"/>
      <c r="AZ72" s="1129"/>
      <c r="BA72" s="1129"/>
      <c r="BB72" s="1129"/>
      <c r="BC72" s="1129"/>
      <c r="BD72" s="1130"/>
    </row>
    <row r="73" spans="30:56" x14ac:dyDescent="0.15">
      <c r="AD73" s="1128"/>
      <c r="AE73" s="1129"/>
      <c r="AF73" s="1129"/>
      <c r="AG73" s="1129"/>
      <c r="AH73" s="1129"/>
      <c r="AI73" s="1129"/>
      <c r="AJ73" s="1129"/>
      <c r="AK73" s="1129"/>
      <c r="AL73" s="1129"/>
      <c r="AM73" s="1129"/>
      <c r="AN73" s="1129"/>
      <c r="AO73" s="1129"/>
      <c r="AP73" s="1129"/>
      <c r="AQ73" s="1129"/>
      <c r="AR73" s="1129"/>
      <c r="AS73" s="1129"/>
      <c r="AT73" s="1129"/>
      <c r="AU73" s="1129"/>
      <c r="AV73" s="1129"/>
      <c r="AW73" s="1129"/>
      <c r="AX73" s="1129"/>
      <c r="AY73" s="1129"/>
      <c r="AZ73" s="1129"/>
      <c r="BA73" s="1129"/>
      <c r="BB73" s="1129"/>
      <c r="BC73" s="1129"/>
      <c r="BD73" s="1130"/>
    </row>
    <row r="74" spans="30:56" x14ac:dyDescent="0.15">
      <c r="AD74" s="1128"/>
      <c r="AE74" s="1129"/>
      <c r="AF74" s="1129"/>
      <c r="AG74" s="1129"/>
      <c r="AH74" s="1129"/>
      <c r="AI74" s="1129"/>
      <c r="AJ74" s="1129"/>
      <c r="AK74" s="1129"/>
      <c r="AL74" s="1129"/>
      <c r="AM74" s="1129"/>
      <c r="AN74" s="1129"/>
      <c r="AO74" s="1129"/>
      <c r="AP74" s="1129"/>
      <c r="AQ74" s="1129"/>
      <c r="AR74" s="1129"/>
      <c r="AS74" s="1129"/>
      <c r="AT74" s="1129"/>
      <c r="AU74" s="1129"/>
      <c r="AV74" s="1129"/>
      <c r="AW74" s="1129"/>
      <c r="AX74" s="1129"/>
      <c r="AY74" s="1129"/>
      <c r="AZ74" s="1129"/>
      <c r="BA74" s="1129"/>
      <c r="BB74" s="1129"/>
      <c r="BC74" s="1129"/>
      <c r="BD74" s="1130"/>
    </row>
    <row r="75" spans="30:56" x14ac:dyDescent="0.15">
      <c r="AD75" s="1131"/>
      <c r="AE75" s="1132"/>
      <c r="AF75" s="1132"/>
      <c r="AG75" s="1132"/>
      <c r="AH75" s="1132"/>
      <c r="AI75" s="1132"/>
      <c r="AJ75" s="1132"/>
      <c r="AK75" s="1132"/>
      <c r="AL75" s="1132"/>
      <c r="AM75" s="1132"/>
      <c r="AN75" s="1132"/>
      <c r="AO75" s="1132"/>
      <c r="AP75" s="1132"/>
      <c r="AQ75" s="1132"/>
      <c r="AR75" s="1132"/>
      <c r="AS75" s="1132"/>
      <c r="AT75" s="1132"/>
      <c r="AU75" s="1132"/>
      <c r="AV75" s="1132"/>
      <c r="AW75" s="1132"/>
      <c r="AX75" s="1132"/>
      <c r="AY75" s="1132"/>
      <c r="AZ75" s="1132"/>
      <c r="BA75" s="1132"/>
      <c r="BB75" s="1132"/>
      <c r="BC75" s="1132"/>
      <c r="BD75" s="1133"/>
    </row>
    <row r="76" spans="30:56" x14ac:dyDescent="0.15">
      <c r="AD76" s="1125" t="s">
        <v>10336</v>
      </c>
      <c r="AE76" s="1126"/>
      <c r="AF76" s="1126"/>
      <c r="AG76" s="1126"/>
      <c r="AH76" s="1126"/>
      <c r="AI76" s="1126"/>
      <c r="AJ76" s="1126"/>
      <c r="AK76" s="1126"/>
      <c r="AL76" s="1126"/>
      <c r="AM76" s="1126"/>
      <c r="AN76" s="1126"/>
      <c r="AO76" s="1126"/>
      <c r="AP76" s="1126"/>
      <c r="AQ76" s="1126"/>
      <c r="AR76" s="1126"/>
      <c r="AS76" s="1126"/>
      <c r="AT76" s="1126"/>
      <c r="AU76" s="1126"/>
      <c r="AV76" s="1126"/>
      <c r="AW76" s="1126"/>
      <c r="AX76" s="1126"/>
      <c r="AY76" s="1126"/>
      <c r="AZ76" s="1126"/>
      <c r="BA76" s="1126"/>
      <c r="BB76" s="1126"/>
      <c r="BC76" s="1126"/>
      <c r="BD76" s="1127"/>
    </row>
    <row r="77" spans="30:56" x14ac:dyDescent="0.15">
      <c r="AD77" s="1128"/>
      <c r="AE77" s="1129"/>
      <c r="AF77" s="1129"/>
      <c r="AG77" s="1129"/>
      <c r="AH77" s="1129"/>
      <c r="AI77" s="1129"/>
      <c r="AJ77" s="1129"/>
      <c r="AK77" s="1129"/>
      <c r="AL77" s="1129"/>
      <c r="AM77" s="1129"/>
      <c r="AN77" s="1129"/>
      <c r="AO77" s="1129"/>
      <c r="AP77" s="1129"/>
      <c r="AQ77" s="1129"/>
      <c r="AR77" s="1129"/>
      <c r="AS77" s="1129"/>
      <c r="AT77" s="1129"/>
      <c r="AU77" s="1129"/>
      <c r="AV77" s="1129"/>
      <c r="AW77" s="1129"/>
      <c r="AX77" s="1129"/>
      <c r="AY77" s="1129"/>
      <c r="AZ77" s="1129"/>
      <c r="BA77" s="1129"/>
      <c r="BB77" s="1129"/>
      <c r="BC77" s="1129"/>
      <c r="BD77" s="1130"/>
    </row>
    <row r="78" spans="30:56" x14ac:dyDescent="0.15">
      <c r="AD78" s="1128"/>
      <c r="AE78" s="1129"/>
      <c r="AF78" s="1129"/>
      <c r="AG78" s="1129"/>
      <c r="AH78" s="1129"/>
      <c r="AI78" s="1129"/>
      <c r="AJ78" s="1129"/>
      <c r="AK78" s="1129"/>
      <c r="AL78" s="1129"/>
      <c r="AM78" s="1129"/>
      <c r="AN78" s="1129"/>
      <c r="AO78" s="1129"/>
      <c r="AP78" s="1129"/>
      <c r="AQ78" s="1129"/>
      <c r="AR78" s="1129"/>
      <c r="AS78" s="1129"/>
      <c r="AT78" s="1129"/>
      <c r="AU78" s="1129"/>
      <c r="AV78" s="1129"/>
      <c r="AW78" s="1129"/>
      <c r="AX78" s="1129"/>
      <c r="AY78" s="1129"/>
      <c r="AZ78" s="1129"/>
      <c r="BA78" s="1129"/>
      <c r="BB78" s="1129"/>
      <c r="BC78" s="1129"/>
      <c r="BD78" s="1130"/>
    </row>
    <row r="79" spans="30:56" x14ac:dyDescent="0.15">
      <c r="AD79" s="1128"/>
      <c r="AE79" s="1129"/>
      <c r="AF79" s="1129"/>
      <c r="AG79" s="1129"/>
      <c r="AH79" s="1129"/>
      <c r="AI79" s="1129"/>
      <c r="AJ79" s="1129"/>
      <c r="AK79" s="1129"/>
      <c r="AL79" s="1129"/>
      <c r="AM79" s="1129"/>
      <c r="AN79" s="1129"/>
      <c r="AO79" s="1129"/>
      <c r="AP79" s="1129"/>
      <c r="AQ79" s="1129"/>
      <c r="AR79" s="1129"/>
      <c r="AS79" s="1129"/>
      <c r="AT79" s="1129"/>
      <c r="AU79" s="1129"/>
      <c r="AV79" s="1129"/>
      <c r="AW79" s="1129"/>
      <c r="AX79" s="1129"/>
      <c r="AY79" s="1129"/>
      <c r="AZ79" s="1129"/>
      <c r="BA79" s="1129"/>
      <c r="BB79" s="1129"/>
      <c r="BC79" s="1129"/>
      <c r="BD79" s="1130"/>
    </row>
    <row r="80" spans="30:56" x14ac:dyDescent="0.15">
      <c r="AD80" s="1128"/>
      <c r="AE80" s="1129"/>
      <c r="AF80" s="1129"/>
      <c r="AG80" s="1129"/>
      <c r="AH80" s="1129"/>
      <c r="AI80" s="1129"/>
      <c r="AJ80" s="1129"/>
      <c r="AK80" s="1129"/>
      <c r="AL80" s="1129"/>
      <c r="AM80" s="1129"/>
      <c r="AN80" s="1129"/>
      <c r="AO80" s="1129"/>
      <c r="AP80" s="1129"/>
      <c r="AQ80" s="1129"/>
      <c r="AR80" s="1129"/>
      <c r="AS80" s="1129"/>
      <c r="AT80" s="1129"/>
      <c r="AU80" s="1129"/>
      <c r="AV80" s="1129"/>
      <c r="AW80" s="1129"/>
      <c r="AX80" s="1129"/>
      <c r="AY80" s="1129"/>
      <c r="AZ80" s="1129"/>
      <c r="BA80" s="1129"/>
      <c r="BB80" s="1129"/>
      <c r="BC80" s="1129"/>
      <c r="BD80" s="1130"/>
    </row>
    <row r="81" spans="30:56" x14ac:dyDescent="0.15">
      <c r="AD81" s="1128"/>
      <c r="AE81" s="1129"/>
      <c r="AF81" s="1129"/>
      <c r="AG81" s="1129"/>
      <c r="AH81" s="1129"/>
      <c r="AI81" s="1129"/>
      <c r="AJ81" s="1129"/>
      <c r="AK81" s="1129"/>
      <c r="AL81" s="1129"/>
      <c r="AM81" s="1129"/>
      <c r="AN81" s="1129"/>
      <c r="AO81" s="1129"/>
      <c r="AP81" s="1129"/>
      <c r="AQ81" s="1129"/>
      <c r="AR81" s="1129"/>
      <c r="AS81" s="1129"/>
      <c r="AT81" s="1129"/>
      <c r="AU81" s="1129"/>
      <c r="AV81" s="1129"/>
      <c r="AW81" s="1129"/>
      <c r="AX81" s="1129"/>
      <c r="AY81" s="1129"/>
      <c r="AZ81" s="1129"/>
      <c r="BA81" s="1129"/>
      <c r="BB81" s="1129"/>
      <c r="BC81" s="1129"/>
      <c r="BD81" s="1130"/>
    </row>
    <row r="82" spans="30:56" x14ac:dyDescent="0.15">
      <c r="AD82" s="1128"/>
      <c r="AE82" s="1129"/>
      <c r="AF82" s="1129"/>
      <c r="AG82" s="1129"/>
      <c r="AH82" s="1129"/>
      <c r="AI82" s="1129"/>
      <c r="AJ82" s="1129"/>
      <c r="AK82" s="1129"/>
      <c r="AL82" s="1129"/>
      <c r="AM82" s="1129"/>
      <c r="AN82" s="1129"/>
      <c r="AO82" s="1129"/>
      <c r="AP82" s="1129"/>
      <c r="AQ82" s="1129"/>
      <c r="AR82" s="1129"/>
      <c r="AS82" s="1129"/>
      <c r="AT82" s="1129"/>
      <c r="AU82" s="1129"/>
      <c r="AV82" s="1129"/>
      <c r="AW82" s="1129"/>
      <c r="AX82" s="1129"/>
      <c r="AY82" s="1129"/>
      <c r="AZ82" s="1129"/>
      <c r="BA82" s="1129"/>
      <c r="BB82" s="1129"/>
      <c r="BC82" s="1129"/>
      <c r="BD82" s="1130"/>
    </row>
    <row r="83" spans="30:56" ht="13.9" customHeight="1" x14ac:dyDescent="0.15">
      <c r="AD83" s="1128"/>
      <c r="AE83" s="1129"/>
      <c r="AF83" s="1129"/>
      <c r="AG83" s="1129"/>
      <c r="AH83" s="1129"/>
      <c r="AI83" s="1129"/>
      <c r="AJ83" s="1129"/>
      <c r="AK83" s="1129"/>
      <c r="AL83" s="1129"/>
      <c r="AM83" s="1129"/>
      <c r="AN83" s="1129"/>
      <c r="AO83" s="1129"/>
      <c r="AP83" s="1129"/>
      <c r="AQ83" s="1129"/>
      <c r="AR83" s="1129"/>
      <c r="AS83" s="1129"/>
      <c r="AT83" s="1129"/>
      <c r="AU83" s="1129"/>
      <c r="AV83" s="1129"/>
      <c r="AW83" s="1129"/>
      <c r="AX83" s="1129"/>
      <c r="AY83" s="1129"/>
      <c r="AZ83" s="1129"/>
      <c r="BA83" s="1129"/>
      <c r="BB83" s="1129"/>
      <c r="BC83" s="1129"/>
      <c r="BD83" s="1130"/>
    </row>
    <row r="84" spans="30:56" x14ac:dyDescent="0.15">
      <c r="AD84" s="1128"/>
      <c r="AE84" s="1129"/>
      <c r="AF84" s="1129"/>
      <c r="AG84" s="1129"/>
      <c r="AH84" s="1129"/>
      <c r="AI84" s="1129"/>
      <c r="AJ84" s="1129"/>
      <c r="AK84" s="1129"/>
      <c r="AL84" s="1129"/>
      <c r="AM84" s="1129"/>
      <c r="AN84" s="1129"/>
      <c r="AO84" s="1129"/>
      <c r="AP84" s="1129"/>
      <c r="AQ84" s="1129"/>
      <c r="AR84" s="1129"/>
      <c r="AS84" s="1129"/>
      <c r="AT84" s="1129"/>
      <c r="AU84" s="1129"/>
      <c r="AV84" s="1129"/>
      <c r="AW84" s="1129"/>
      <c r="AX84" s="1129"/>
      <c r="AY84" s="1129"/>
      <c r="AZ84" s="1129"/>
      <c r="BA84" s="1129"/>
      <c r="BB84" s="1129"/>
      <c r="BC84" s="1129"/>
      <c r="BD84" s="1130"/>
    </row>
    <row r="85" spans="30:56" x14ac:dyDescent="0.15">
      <c r="AD85" s="1128"/>
      <c r="AE85" s="1129"/>
      <c r="AF85" s="1129"/>
      <c r="AG85" s="1129"/>
      <c r="AH85" s="1129"/>
      <c r="AI85" s="1129"/>
      <c r="AJ85" s="1129"/>
      <c r="AK85" s="1129"/>
      <c r="AL85" s="1129"/>
      <c r="AM85" s="1129"/>
      <c r="AN85" s="1129"/>
      <c r="AO85" s="1129"/>
      <c r="AP85" s="1129"/>
      <c r="AQ85" s="1129"/>
      <c r="AR85" s="1129"/>
      <c r="AS85" s="1129"/>
      <c r="AT85" s="1129"/>
      <c r="AU85" s="1129"/>
      <c r="AV85" s="1129"/>
      <c r="AW85" s="1129"/>
      <c r="AX85" s="1129"/>
      <c r="AY85" s="1129"/>
      <c r="AZ85" s="1129"/>
      <c r="BA85" s="1129"/>
      <c r="BB85" s="1129"/>
      <c r="BC85" s="1129"/>
      <c r="BD85" s="1130"/>
    </row>
    <row r="86" spans="30:56" x14ac:dyDescent="0.15">
      <c r="AD86" s="1128"/>
      <c r="AE86" s="1129"/>
      <c r="AF86" s="1129"/>
      <c r="AG86" s="1129"/>
      <c r="AH86" s="1129"/>
      <c r="AI86" s="1129"/>
      <c r="AJ86" s="1129"/>
      <c r="AK86" s="1129"/>
      <c r="AL86" s="1129"/>
      <c r="AM86" s="1129"/>
      <c r="AN86" s="1129"/>
      <c r="AO86" s="1129"/>
      <c r="AP86" s="1129"/>
      <c r="AQ86" s="1129"/>
      <c r="AR86" s="1129"/>
      <c r="AS86" s="1129"/>
      <c r="AT86" s="1129"/>
      <c r="AU86" s="1129"/>
      <c r="AV86" s="1129"/>
      <c r="AW86" s="1129"/>
      <c r="AX86" s="1129"/>
      <c r="AY86" s="1129"/>
      <c r="AZ86" s="1129"/>
      <c r="BA86" s="1129"/>
      <c r="BB86" s="1129"/>
      <c r="BC86" s="1129"/>
      <c r="BD86" s="1130"/>
    </row>
    <row r="87" spans="30:56" x14ac:dyDescent="0.15">
      <c r="AD87" s="1128"/>
      <c r="AE87" s="1129"/>
      <c r="AF87" s="1129"/>
      <c r="AG87" s="1129"/>
      <c r="AH87" s="1129"/>
      <c r="AI87" s="1129"/>
      <c r="AJ87" s="1129"/>
      <c r="AK87" s="1129"/>
      <c r="AL87" s="1129"/>
      <c r="AM87" s="1129"/>
      <c r="AN87" s="1129"/>
      <c r="AO87" s="1129"/>
      <c r="AP87" s="1129"/>
      <c r="AQ87" s="1129"/>
      <c r="AR87" s="1129"/>
      <c r="AS87" s="1129"/>
      <c r="AT87" s="1129"/>
      <c r="AU87" s="1129"/>
      <c r="AV87" s="1129"/>
      <c r="AW87" s="1129"/>
      <c r="AX87" s="1129"/>
      <c r="AY87" s="1129"/>
      <c r="AZ87" s="1129"/>
      <c r="BA87" s="1129"/>
      <c r="BB87" s="1129"/>
      <c r="BC87" s="1129"/>
      <c r="BD87" s="1130"/>
    </row>
    <row r="88" spans="30:56" x14ac:dyDescent="0.15">
      <c r="AD88" s="1128"/>
      <c r="AE88" s="1129"/>
      <c r="AF88" s="1129"/>
      <c r="AG88" s="1129"/>
      <c r="AH88" s="1129"/>
      <c r="AI88" s="1129"/>
      <c r="AJ88" s="1129"/>
      <c r="AK88" s="1129"/>
      <c r="AL88" s="1129"/>
      <c r="AM88" s="1129"/>
      <c r="AN88" s="1129"/>
      <c r="AO88" s="1129"/>
      <c r="AP88" s="1129"/>
      <c r="AQ88" s="1129"/>
      <c r="AR88" s="1129"/>
      <c r="AS88" s="1129"/>
      <c r="AT88" s="1129"/>
      <c r="AU88" s="1129"/>
      <c r="AV88" s="1129"/>
      <c r="AW88" s="1129"/>
      <c r="AX88" s="1129"/>
      <c r="AY88" s="1129"/>
      <c r="AZ88" s="1129"/>
      <c r="BA88" s="1129"/>
      <c r="BB88" s="1129"/>
      <c r="BC88" s="1129"/>
      <c r="BD88" s="1130"/>
    </row>
    <row r="89" spans="30:56" x14ac:dyDescent="0.15">
      <c r="AD89" s="1128"/>
      <c r="AE89" s="1129"/>
      <c r="AF89" s="1129"/>
      <c r="AG89" s="1129"/>
      <c r="AH89" s="1129"/>
      <c r="AI89" s="1129"/>
      <c r="AJ89" s="1129"/>
      <c r="AK89" s="1129"/>
      <c r="AL89" s="1129"/>
      <c r="AM89" s="1129"/>
      <c r="AN89" s="1129"/>
      <c r="AO89" s="1129"/>
      <c r="AP89" s="1129"/>
      <c r="AQ89" s="1129"/>
      <c r="AR89" s="1129"/>
      <c r="AS89" s="1129"/>
      <c r="AT89" s="1129"/>
      <c r="AU89" s="1129"/>
      <c r="AV89" s="1129"/>
      <c r="AW89" s="1129"/>
      <c r="AX89" s="1129"/>
      <c r="AY89" s="1129"/>
      <c r="AZ89" s="1129"/>
      <c r="BA89" s="1129"/>
      <c r="BB89" s="1129"/>
      <c r="BC89" s="1129"/>
      <c r="BD89" s="1130"/>
    </row>
    <row r="90" spans="30:56" x14ac:dyDescent="0.15">
      <c r="AD90" s="1128"/>
      <c r="AE90" s="1129"/>
      <c r="AF90" s="1129"/>
      <c r="AG90" s="1129"/>
      <c r="AH90" s="1129"/>
      <c r="AI90" s="1129"/>
      <c r="AJ90" s="1129"/>
      <c r="AK90" s="1129"/>
      <c r="AL90" s="1129"/>
      <c r="AM90" s="1129"/>
      <c r="AN90" s="1129"/>
      <c r="AO90" s="1129"/>
      <c r="AP90" s="1129"/>
      <c r="AQ90" s="1129"/>
      <c r="AR90" s="1129"/>
      <c r="AS90" s="1129"/>
      <c r="AT90" s="1129"/>
      <c r="AU90" s="1129"/>
      <c r="AV90" s="1129"/>
      <c r="AW90" s="1129"/>
      <c r="AX90" s="1129"/>
      <c r="AY90" s="1129"/>
      <c r="AZ90" s="1129"/>
      <c r="BA90" s="1129"/>
      <c r="BB90" s="1129"/>
      <c r="BC90" s="1129"/>
      <c r="BD90" s="1130"/>
    </row>
    <row r="91" spans="30:56" x14ac:dyDescent="0.15">
      <c r="AD91" s="1128"/>
      <c r="AE91" s="1129"/>
      <c r="AF91" s="1129"/>
      <c r="AG91" s="1129"/>
      <c r="AH91" s="1129"/>
      <c r="AI91" s="1129"/>
      <c r="AJ91" s="1129"/>
      <c r="AK91" s="1129"/>
      <c r="AL91" s="1129"/>
      <c r="AM91" s="1129"/>
      <c r="AN91" s="1129"/>
      <c r="AO91" s="1129"/>
      <c r="AP91" s="1129"/>
      <c r="AQ91" s="1129"/>
      <c r="AR91" s="1129"/>
      <c r="AS91" s="1129"/>
      <c r="AT91" s="1129"/>
      <c r="AU91" s="1129"/>
      <c r="AV91" s="1129"/>
      <c r="AW91" s="1129"/>
      <c r="AX91" s="1129"/>
      <c r="AY91" s="1129"/>
      <c r="AZ91" s="1129"/>
      <c r="BA91" s="1129"/>
      <c r="BB91" s="1129"/>
      <c r="BC91" s="1129"/>
      <c r="BD91" s="1130"/>
    </row>
    <row r="92" spans="30:56" x14ac:dyDescent="0.15">
      <c r="AD92" s="1128"/>
      <c r="AE92" s="1129"/>
      <c r="AF92" s="1129"/>
      <c r="AG92" s="1129"/>
      <c r="AH92" s="1129"/>
      <c r="AI92" s="1129"/>
      <c r="AJ92" s="1129"/>
      <c r="AK92" s="1129"/>
      <c r="AL92" s="1129"/>
      <c r="AM92" s="1129"/>
      <c r="AN92" s="1129"/>
      <c r="AO92" s="1129"/>
      <c r="AP92" s="1129"/>
      <c r="AQ92" s="1129"/>
      <c r="AR92" s="1129"/>
      <c r="AS92" s="1129"/>
      <c r="AT92" s="1129"/>
      <c r="AU92" s="1129"/>
      <c r="AV92" s="1129"/>
      <c r="AW92" s="1129"/>
      <c r="AX92" s="1129"/>
      <c r="AY92" s="1129"/>
      <c r="AZ92" s="1129"/>
      <c r="BA92" s="1129"/>
      <c r="BB92" s="1129"/>
      <c r="BC92" s="1129"/>
      <c r="BD92" s="1130"/>
    </row>
    <row r="93" spans="30:56" x14ac:dyDescent="0.15">
      <c r="AD93" s="1128"/>
      <c r="AE93" s="1129"/>
      <c r="AF93" s="1129"/>
      <c r="AG93" s="1129"/>
      <c r="AH93" s="1129"/>
      <c r="AI93" s="1129"/>
      <c r="AJ93" s="1129"/>
      <c r="AK93" s="1129"/>
      <c r="AL93" s="1129"/>
      <c r="AM93" s="1129"/>
      <c r="AN93" s="1129"/>
      <c r="AO93" s="1129"/>
      <c r="AP93" s="1129"/>
      <c r="AQ93" s="1129"/>
      <c r="AR93" s="1129"/>
      <c r="AS93" s="1129"/>
      <c r="AT93" s="1129"/>
      <c r="AU93" s="1129"/>
      <c r="AV93" s="1129"/>
      <c r="AW93" s="1129"/>
      <c r="AX93" s="1129"/>
      <c r="AY93" s="1129"/>
      <c r="AZ93" s="1129"/>
      <c r="BA93" s="1129"/>
      <c r="BB93" s="1129"/>
      <c r="BC93" s="1129"/>
      <c r="BD93" s="1130"/>
    </row>
    <row r="94" spans="30:56" x14ac:dyDescent="0.15">
      <c r="AD94" s="1128"/>
      <c r="AE94" s="1129"/>
      <c r="AF94" s="1129"/>
      <c r="AG94" s="1129"/>
      <c r="AH94" s="1129"/>
      <c r="AI94" s="1129"/>
      <c r="AJ94" s="1129"/>
      <c r="AK94" s="1129"/>
      <c r="AL94" s="1129"/>
      <c r="AM94" s="1129"/>
      <c r="AN94" s="1129"/>
      <c r="AO94" s="1129"/>
      <c r="AP94" s="1129"/>
      <c r="AQ94" s="1129"/>
      <c r="AR94" s="1129"/>
      <c r="AS94" s="1129"/>
      <c r="AT94" s="1129"/>
      <c r="AU94" s="1129"/>
      <c r="AV94" s="1129"/>
      <c r="AW94" s="1129"/>
      <c r="AX94" s="1129"/>
      <c r="AY94" s="1129"/>
      <c r="AZ94" s="1129"/>
      <c r="BA94" s="1129"/>
      <c r="BB94" s="1129"/>
      <c r="BC94" s="1129"/>
      <c r="BD94" s="1130"/>
    </row>
    <row r="95" spans="30:56" x14ac:dyDescent="0.15">
      <c r="AD95" s="1128"/>
      <c r="AE95" s="1129"/>
      <c r="AF95" s="1129"/>
      <c r="AG95" s="1129"/>
      <c r="AH95" s="1129"/>
      <c r="AI95" s="1129"/>
      <c r="AJ95" s="1129"/>
      <c r="AK95" s="1129"/>
      <c r="AL95" s="1129"/>
      <c r="AM95" s="1129"/>
      <c r="AN95" s="1129"/>
      <c r="AO95" s="1129"/>
      <c r="AP95" s="1129"/>
      <c r="AQ95" s="1129"/>
      <c r="AR95" s="1129"/>
      <c r="AS95" s="1129"/>
      <c r="AT95" s="1129"/>
      <c r="AU95" s="1129"/>
      <c r="AV95" s="1129"/>
      <c r="AW95" s="1129"/>
      <c r="AX95" s="1129"/>
      <c r="AY95" s="1129"/>
      <c r="AZ95" s="1129"/>
      <c r="BA95" s="1129"/>
      <c r="BB95" s="1129"/>
      <c r="BC95" s="1129"/>
      <c r="BD95" s="1130"/>
    </row>
    <row r="96" spans="30:56" x14ac:dyDescent="0.15">
      <c r="AD96" s="1128"/>
      <c r="AE96" s="1129"/>
      <c r="AF96" s="1129"/>
      <c r="AG96" s="1129"/>
      <c r="AH96" s="1129"/>
      <c r="AI96" s="1129"/>
      <c r="AJ96" s="1129"/>
      <c r="AK96" s="1129"/>
      <c r="AL96" s="1129"/>
      <c r="AM96" s="1129"/>
      <c r="AN96" s="1129"/>
      <c r="AO96" s="1129"/>
      <c r="AP96" s="1129"/>
      <c r="AQ96" s="1129"/>
      <c r="AR96" s="1129"/>
      <c r="AS96" s="1129"/>
      <c r="AT96" s="1129"/>
      <c r="AU96" s="1129"/>
      <c r="AV96" s="1129"/>
      <c r="AW96" s="1129"/>
      <c r="AX96" s="1129"/>
      <c r="AY96" s="1129"/>
      <c r="AZ96" s="1129"/>
      <c r="BA96" s="1129"/>
      <c r="BB96" s="1129"/>
      <c r="BC96" s="1129"/>
      <c r="BD96" s="1130"/>
    </row>
    <row r="97" spans="30:56" x14ac:dyDescent="0.15">
      <c r="AD97" s="1128"/>
      <c r="AE97" s="1129"/>
      <c r="AF97" s="1129"/>
      <c r="AG97" s="1129"/>
      <c r="AH97" s="1129"/>
      <c r="AI97" s="1129"/>
      <c r="AJ97" s="1129"/>
      <c r="AK97" s="1129"/>
      <c r="AL97" s="1129"/>
      <c r="AM97" s="1129"/>
      <c r="AN97" s="1129"/>
      <c r="AO97" s="1129"/>
      <c r="AP97" s="1129"/>
      <c r="AQ97" s="1129"/>
      <c r="AR97" s="1129"/>
      <c r="AS97" s="1129"/>
      <c r="AT97" s="1129"/>
      <c r="AU97" s="1129"/>
      <c r="AV97" s="1129"/>
      <c r="AW97" s="1129"/>
      <c r="AX97" s="1129"/>
      <c r="AY97" s="1129"/>
      <c r="AZ97" s="1129"/>
      <c r="BA97" s="1129"/>
      <c r="BB97" s="1129"/>
      <c r="BC97" s="1129"/>
      <c r="BD97" s="1130"/>
    </row>
    <row r="98" spans="30:56" x14ac:dyDescent="0.15">
      <c r="AD98" s="1128"/>
      <c r="AE98" s="1129"/>
      <c r="AF98" s="1129"/>
      <c r="AG98" s="1129"/>
      <c r="AH98" s="1129"/>
      <c r="AI98" s="1129"/>
      <c r="AJ98" s="1129"/>
      <c r="AK98" s="1129"/>
      <c r="AL98" s="1129"/>
      <c r="AM98" s="1129"/>
      <c r="AN98" s="1129"/>
      <c r="AO98" s="1129"/>
      <c r="AP98" s="1129"/>
      <c r="AQ98" s="1129"/>
      <c r="AR98" s="1129"/>
      <c r="AS98" s="1129"/>
      <c r="AT98" s="1129"/>
      <c r="AU98" s="1129"/>
      <c r="AV98" s="1129"/>
      <c r="AW98" s="1129"/>
      <c r="AX98" s="1129"/>
      <c r="AY98" s="1129"/>
      <c r="AZ98" s="1129"/>
      <c r="BA98" s="1129"/>
      <c r="BB98" s="1129"/>
      <c r="BC98" s="1129"/>
      <c r="BD98" s="1130"/>
    </row>
    <row r="99" spans="30:56" x14ac:dyDescent="0.15">
      <c r="AD99" s="1128"/>
      <c r="AE99" s="1129"/>
      <c r="AF99" s="1129"/>
      <c r="AG99" s="1129"/>
      <c r="AH99" s="1129"/>
      <c r="AI99" s="1129"/>
      <c r="AJ99" s="1129"/>
      <c r="AK99" s="1129"/>
      <c r="AL99" s="1129"/>
      <c r="AM99" s="1129"/>
      <c r="AN99" s="1129"/>
      <c r="AO99" s="1129"/>
      <c r="AP99" s="1129"/>
      <c r="AQ99" s="1129"/>
      <c r="AR99" s="1129"/>
      <c r="AS99" s="1129"/>
      <c r="AT99" s="1129"/>
      <c r="AU99" s="1129"/>
      <c r="AV99" s="1129"/>
      <c r="AW99" s="1129"/>
      <c r="AX99" s="1129"/>
      <c r="AY99" s="1129"/>
      <c r="AZ99" s="1129"/>
      <c r="BA99" s="1129"/>
      <c r="BB99" s="1129"/>
      <c r="BC99" s="1129"/>
      <c r="BD99" s="1130"/>
    </row>
    <row r="100" spans="30:56" x14ac:dyDescent="0.15">
      <c r="AD100" s="1128"/>
      <c r="AE100" s="1129"/>
      <c r="AF100" s="1129"/>
      <c r="AG100" s="1129"/>
      <c r="AH100" s="1129"/>
      <c r="AI100" s="1129"/>
      <c r="AJ100" s="1129"/>
      <c r="AK100" s="1129"/>
      <c r="AL100" s="1129"/>
      <c r="AM100" s="1129"/>
      <c r="AN100" s="1129"/>
      <c r="AO100" s="1129"/>
      <c r="AP100" s="1129"/>
      <c r="AQ100" s="1129"/>
      <c r="AR100" s="1129"/>
      <c r="AS100" s="1129"/>
      <c r="AT100" s="1129"/>
      <c r="AU100" s="1129"/>
      <c r="AV100" s="1129"/>
      <c r="AW100" s="1129"/>
      <c r="AX100" s="1129"/>
      <c r="AY100" s="1129"/>
      <c r="AZ100" s="1129"/>
      <c r="BA100" s="1129"/>
      <c r="BB100" s="1129"/>
      <c r="BC100" s="1129"/>
      <c r="BD100" s="1130"/>
    </row>
    <row r="101" spans="30:56" x14ac:dyDescent="0.15">
      <c r="AD101" s="1128"/>
      <c r="AE101" s="1129"/>
      <c r="AF101" s="1129"/>
      <c r="AG101" s="1129"/>
      <c r="AH101" s="1129"/>
      <c r="AI101" s="1129"/>
      <c r="AJ101" s="1129"/>
      <c r="AK101" s="1129"/>
      <c r="AL101" s="1129"/>
      <c r="AM101" s="1129"/>
      <c r="AN101" s="1129"/>
      <c r="AO101" s="1129"/>
      <c r="AP101" s="1129"/>
      <c r="AQ101" s="1129"/>
      <c r="AR101" s="1129"/>
      <c r="AS101" s="1129"/>
      <c r="AT101" s="1129"/>
      <c r="AU101" s="1129"/>
      <c r="AV101" s="1129"/>
      <c r="AW101" s="1129"/>
      <c r="AX101" s="1129"/>
      <c r="AY101" s="1129"/>
      <c r="AZ101" s="1129"/>
      <c r="BA101" s="1129"/>
      <c r="BB101" s="1129"/>
      <c r="BC101" s="1129"/>
      <c r="BD101" s="1130"/>
    </row>
    <row r="102" spans="30:56" x14ac:dyDescent="0.15">
      <c r="AD102" s="1128"/>
      <c r="AE102" s="1129"/>
      <c r="AF102" s="1129"/>
      <c r="AG102" s="1129"/>
      <c r="AH102" s="1129"/>
      <c r="AI102" s="1129"/>
      <c r="AJ102" s="1129"/>
      <c r="AK102" s="1129"/>
      <c r="AL102" s="1129"/>
      <c r="AM102" s="1129"/>
      <c r="AN102" s="1129"/>
      <c r="AO102" s="1129"/>
      <c r="AP102" s="1129"/>
      <c r="AQ102" s="1129"/>
      <c r="AR102" s="1129"/>
      <c r="AS102" s="1129"/>
      <c r="AT102" s="1129"/>
      <c r="AU102" s="1129"/>
      <c r="AV102" s="1129"/>
      <c r="AW102" s="1129"/>
      <c r="AX102" s="1129"/>
      <c r="AY102" s="1129"/>
      <c r="AZ102" s="1129"/>
      <c r="BA102" s="1129"/>
      <c r="BB102" s="1129"/>
      <c r="BC102" s="1129"/>
      <c r="BD102" s="1130"/>
    </row>
    <row r="103" spans="30:56" x14ac:dyDescent="0.15">
      <c r="AD103" s="1128"/>
      <c r="AE103" s="1129"/>
      <c r="AF103" s="1129"/>
      <c r="AG103" s="1129"/>
      <c r="AH103" s="1129"/>
      <c r="AI103" s="1129"/>
      <c r="AJ103" s="1129"/>
      <c r="AK103" s="1129"/>
      <c r="AL103" s="1129"/>
      <c r="AM103" s="1129"/>
      <c r="AN103" s="1129"/>
      <c r="AO103" s="1129"/>
      <c r="AP103" s="1129"/>
      <c r="AQ103" s="1129"/>
      <c r="AR103" s="1129"/>
      <c r="AS103" s="1129"/>
      <c r="AT103" s="1129"/>
      <c r="AU103" s="1129"/>
      <c r="AV103" s="1129"/>
      <c r="AW103" s="1129"/>
      <c r="AX103" s="1129"/>
      <c r="AY103" s="1129"/>
      <c r="AZ103" s="1129"/>
      <c r="BA103" s="1129"/>
      <c r="BB103" s="1129"/>
      <c r="BC103" s="1129"/>
      <c r="BD103" s="1130"/>
    </row>
    <row r="104" spans="30:56" x14ac:dyDescent="0.15">
      <c r="AD104" s="1128"/>
      <c r="AE104" s="1129"/>
      <c r="AF104" s="1129"/>
      <c r="AG104" s="1129"/>
      <c r="AH104" s="1129"/>
      <c r="AI104" s="1129"/>
      <c r="AJ104" s="1129"/>
      <c r="AK104" s="1129"/>
      <c r="AL104" s="1129"/>
      <c r="AM104" s="1129"/>
      <c r="AN104" s="1129"/>
      <c r="AO104" s="1129"/>
      <c r="AP104" s="1129"/>
      <c r="AQ104" s="1129"/>
      <c r="AR104" s="1129"/>
      <c r="AS104" s="1129"/>
      <c r="AT104" s="1129"/>
      <c r="AU104" s="1129"/>
      <c r="AV104" s="1129"/>
      <c r="AW104" s="1129"/>
      <c r="AX104" s="1129"/>
      <c r="AY104" s="1129"/>
      <c r="AZ104" s="1129"/>
      <c r="BA104" s="1129"/>
      <c r="BB104" s="1129"/>
      <c r="BC104" s="1129"/>
      <c r="BD104" s="1130"/>
    </row>
    <row r="105" spans="30:56" x14ac:dyDescent="0.15">
      <c r="AD105" s="1128"/>
      <c r="AE105" s="1129"/>
      <c r="AF105" s="1129"/>
      <c r="AG105" s="1129"/>
      <c r="AH105" s="1129"/>
      <c r="AI105" s="1129"/>
      <c r="AJ105" s="1129"/>
      <c r="AK105" s="1129"/>
      <c r="AL105" s="1129"/>
      <c r="AM105" s="1129"/>
      <c r="AN105" s="1129"/>
      <c r="AO105" s="1129"/>
      <c r="AP105" s="1129"/>
      <c r="AQ105" s="1129"/>
      <c r="AR105" s="1129"/>
      <c r="AS105" s="1129"/>
      <c r="AT105" s="1129"/>
      <c r="AU105" s="1129"/>
      <c r="AV105" s="1129"/>
      <c r="AW105" s="1129"/>
      <c r="AX105" s="1129"/>
      <c r="AY105" s="1129"/>
      <c r="AZ105" s="1129"/>
      <c r="BA105" s="1129"/>
      <c r="BB105" s="1129"/>
      <c r="BC105" s="1129"/>
      <c r="BD105" s="1130"/>
    </row>
    <row r="106" spans="30:56" x14ac:dyDescent="0.15">
      <c r="AD106" s="1128"/>
      <c r="AE106" s="1129"/>
      <c r="AF106" s="1129"/>
      <c r="AG106" s="1129"/>
      <c r="AH106" s="1129"/>
      <c r="AI106" s="1129"/>
      <c r="AJ106" s="1129"/>
      <c r="AK106" s="1129"/>
      <c r="AL106" s="1129"/>
      <c r="AM106" s="1129"/>
      <c r="AN106" s="1129"/>
      <c r="AO106" s="1129"/>
      <c r="AP106" s="1129"/>
      <c r="AQ106" s="1129"/>
      <c r="AR106" s="1129"/>
      <c r="AS106" s="1129"/>
      <c r="AT106" s="1129"/>
      <c r="AU106" s="1129"/>
      <c r="AV106" s="1129"/>
      <c r="AW106" s="1129"/>
      <c r="AX106" s="1129"/>
      <c r="AY106" s="1129"/>
      <c r="AZ106" s="1129"/>
      <c r="BA106" s="1129"/>
      <c r="BB106" s="1129"/>
      <c r="BC106" s="1129"/>
      <c r="BD106" s="1130"/>
    </row>
    <row r="107" spans="30:56" x14ac:dyDescent="0.15">
      <c r="AD107" s="1131"/>
      <c r="AE107" s="1132"/>
      <c r="AF107" s="1132"/>
      <c r="AG107" s="1132"/>
      <c r="AH107" s="1132"/>
      <c r="AI107" s="1132"/>
      <c r="AJ107" s="1132"/>
      <c r="AK107" s="1132"/>
      <c r="AL107" s="1132"/>
      <c r="AM107" s="1132"/>
      <c r="AN107" s="1132"/>
      <c r="AO107" s="1132"/>
      <c r="AP107" s="1132"/>
      <c r="AQ107" s="1132"/>
      <c r="AR107" s="1132"/>
      <c r="AS107" s="1132"/>
      <c r="AT107" s="1132"/>
      <c r="AU107" s="1132"/>
      <c r="AV107" s="1132"/>
      <c r="AW107" s="1132"/>
      <c r="AX107" s="1132"/>
      <c r="AY107" s="1132"/>
      <c r="AZ107" s="1132"/>
      <c r="BA107" s="1132"/>
      <c r="BB107" s="1132"/>
      <c r="BC107" s="1132"/>
      <c r="BD107" s="1133"/>
    </row>
    <row r="108" spans="30:56" x14ac:dyDescent="0.15">
      <c r="AD108" s="1098" t="s">
        <v>6491</v>
      </c>
      <c r="AE108" s="1099"/>
      <c r="AF108" s="1099"/>
      <c r="AG108" s="1099"/>
      <c r="AH108" s="1099"/>
      <c r="AI108" s="1099"/>
      <c r="AJ108" s="1099"/>
      <c r="AK108" s="1099"/>
      <c r="AL108" s="1099"/>
      <c r="AM108" s="1099"/>
      <c r="AN108" s="1099"/>
      <c r="AO108" s="1099"/>
      <c r="AP108" s="1099"/>
      <c r="AQ108" s="1099"/>
      <c r="AR108" s="1099"/>
      <c r="AS108" s="1099"/>
      <c r="AT108" s="1099"/>
      <c r="AU108" s="1099"/>
      <c r="AV108" s="1099"/>
      <c r="AW108" s="1099"/>
      <c r="AX108" s="1099"/>
      <c r="AY108" s="1099"/>
      <c r="AZ108" s="1099"/>
      <c r="BA108" s="1099"/>
      <c r="BB108" s="1099"/>
      <c r="BC108" s="1099"/>
      <c r="BD108" s="1100"/>
    </row>
    <row r="109" spans="30:56" x14ac:dyDescent="0.15">
      <c r="AD109" s="1101"/>
      <c r="AE109" s="1102"/>
      <c r="AF109" s="1102"/>
      <c r="AG109" s="1102"/>
      <c r="AH109" s="1102"/>
      <c r="AI109" s="1102"/>
      <c r="AJ109" s="1102"/>
      <c r="AK109" s="1102"/>
      <c r="AL109" s="1102"/>
      <c r="AM109" s="1102"/>
      <c r="AN109" s="1102"/>
      <c r="AO109" s="1102"/>
      <c r="AP109" s="1102"/>
      <c r="AQ109" s="1102"/>
      <c r="AR109" s="1102"/>
      <c r="AS109" s="1102"/>
      <c r="AT109" s="1102"/>
      <c r="AU109" s="1102"/>
      <c r="AV109" s="1102"/>
      <c r="AW109" s="1102"/>
      <c r="AX109" s="1102"/>
      <c r="AY109" s="1102"/>
      <c r="AZ109" s="1102"/>
      <c r="BA109" s="1102"/>
      <c r="BB109" s="1102"/>
      <c r="BC109" s="1102"/>
      <c r="BD109" s="1103"/>
    </row>
    <row r="110" spans="30:56" x14ac:dyDescent="0.15">
      <c r="AD110" s="1141" t="s">
        <v>10337</v>
      </c>
      <c r="AE110" s="1142"/>
      <c r="AF110" s="1142"/>
      <c r="AG110" s="1142"/>
      <c r="AH110" s="1142"/>
      <c r="AI110" s="1142"/>
      <c r="AJ110" s="1142"/>
      <c r="AK110" s="1142"/>
      <c r="AL110" s="1142"/>
      <c r="AM110" s="1142"/>
      <c r="AN110" s="1142"/>
      <c r="AO110" s="1142"/>
      <c r="AP110" s="1142"/>
      <c r="AQ110" s="1142"/>
      <c r="AR110" s="1142"/>
      <c r="AS110" s="1142"/>
      <c r="AT110" s="1142"/>
      <c r="AU110" s="1142"/>
      <c r="AV110" s="1142"/>
      <c r="AW110" s="1142"/>
      <c r="AX110" s="1142"/>
      <c r="AY110" s="1142"/>
      <c r="AZ110" s="1142"/>
      <c r="BA110" s="1142"/>
      <c r="BB110" s="1142"/>
      <c r="BC110" s="1142"/>
      <c r="BD110" s="1143"/>
    </row>
    <row r="111" spans="30:56" x14ac:dyDescent="0.15">
      <c r="AD111" s="1141"/>
      <c r="AE111" s="1142"/>
      <c r="AF111" s="1142"/>
      <c r="AG111" s="1142"/>
      <c r="AH111" s="1142"/>
      <c r="AI111" s="1142"/>
      <c r="AJ111" s="1142"/>
      <c r="AK111" s="1142"/>
      <c r="AL111" s="1142"/>
      <c r="AM111" s="1142"/>
      <c r="AN111" s="1142"/>
      <c r="AO111" s="1142"/>
      <c r="AP111" s="1142"/>
      <c r="AQ111" s="1142"/>
      <c r="AR111" s="1142"/>
      <c r="AS111" s="1142"/>
      <c r="AT111" s="1142"/>
      <c r="AU111" s="1142"/>
      <c r="AV111" s="1142"/>
      <c r="AW111" s="1142"/>
      <c r="AX111" s="1142"/>
      <c r="AY111" s="1142"/>
      <c r="AZ111" s="1142"/>
      <c r="BA111" s="1142"/>
      <c r="BB111" s="1142"/>
      <c r="BC111" s="1142"/>
      <c r="BD111" s="1143"/>
    </row>
    <row r="112" spans="30:56" x14ac:dyDescent="0.15">
      <c r="AD112" s="1141"/>
      <c r="AE112" s="1142"/>
      <c r="AF112" s="1142"/>
      <c r="AG112" s="1142"/>
      <c r="AH112" s="1142"/>
      <c r="AI112" s="1142"/>
      <c r="AJ112" s="1142"/>
      <c r="AK112" s="1142"/>
      <c r="AL112" s="1142"/>
      <c r="AM112" s="1142"/>
      <c r="AN112" s="1142"/>
      <c r="AO112" s="1142"/>
      <c r="AP112" s="1142"/>
      <c r="AQ112" s="1142"/>
      <c r="AR112" s="1142"/>
      <c r="AS112" s="1142"/>
      <c r="AT112" s="1142"/>
      <c r="AU112" s="1142"/>
      <c r="AV112" s="1142"/>
      <c r="AW112" s="1142"/>
      <c r="AX112" s="1142"/>
      <c r="AY112" s="1142"/>
      <c r="AZ112" s="1142"/>
      <c r="BA112" s="1142"/>
      <c r="BB112" s="1142"/>
      <c r="BC112" s="1142"/>
      <c r="BD112" s="1143"/>
    </row>
    <row r="113" spans="30:56" x14ac:dyDescent="0.15">
      <c r="AD113" s="1141"/>
      <c r="AE113" s="1142"/>
      <c r="AF113" s="1142"/>
      <c r="AG113" s="1142"/>
      <c r="AH113" s="1142"/>
      <c r="AI113" s="1142"/>
      <c r="AJ113" s="1142"/>
      <c r="AK113" s="1142"/>
      <c r="AL113" s="1142"/>
      <c r="AM113" s="1142"/>
      <c r="AN113" s="1142"/>
      <c r="AO113" s="1142"/>
      <c r="AP113" s="1142"/>
      <c r="AQ113" s="1142"/>
      <c r="AR113" s="1142"/>
      <c r="AS113" s="1142"/>
      <c r="AT113" s="1142"/>
      <c r="AU113" s="1142"/>
      <c r="AV113" s="1142"/>
      <c r="AW113" s="1142"/>
      <c r="AX113" s="1142"/>
      <c r="AY113" s="1142"/>
      <c r="AZ113" s="1142"/>
      <c r="BA113" s="1142"/>
      <c r="BB113" s="1142"/>
      <c r="BC113" s="1142"/>
      <c r="BD113" s="1143"/>
    </row>
    <row r="114" spans="30:56" x14ac:dyDescent="0.15">
      <c r="AD114" s="1141"/>
      <c r="AE114" s="1142"/>
      <c r="AF114" s="1142"/>
      <c r="AG114" s="1142"/>
      <c r="AH114" s="1142"/>
      <c r="AI114" s="1142"/>
      <c r="AJ114" s="1142"/>
      <c r="AK114" s="1142"/>
      <c r="AL114" s="1142"/>
      <c r="AM114" s="1142"/>
      <c r="AN114" s="1142"/>
      <c r="AO114" s="1142"/>
      <c r="AP114" s="1142"/>
      <c r="AQ114" s="1142"/>
      <c r="AR114" s="1142"/>
      <c r="AS114" s="1142"/>
      <c r="AT114" s="1142"/>
      <c r="AU114" s="1142"/>
      <c r="AV114" s="1142"/>
      <c r="AW114" s="1142"/>
      <c r="AX114" s="1142"/>
      <c r="AY114" s="1142"/>
      <c r="AZ114" s="1142"/>
      <c r="BA114" s="1142"/>
      <c r="BB114" s="1142"/>
      <c r="BC114" s="1142"/>
      <c r="BD114" s="1143"/>
    </row>
    <row r="115" spans="30:56" x14ac:dyDescent="0.15">
      <c r="AD115" s="1141"/>
      <c r="AE115" s="1142"/>
      <c r="AF115" s="1142"/>
      <c r="AG115" s="1142"/>
      <c r="AH115" s="1142"/>
      <c r="AI115" s="1142"/>
      <c r="AJ115" s="1142"/>
      <c r="AK115" s="1142"/>
      <c r="AL115" s="1142"/>
      <c r="AM115" s="1142"/>
      <c r="AN115" s="1142"/>
      <c r="AO115" s="1142"/>
      <c r="AP115" s="1142"/>
      <c r="AQ115" s="1142"/>
      <c r="AR115" s="1142"/>
      <c r="AS115" s="1142"/>
      <c r="AT115" s="1142"/>
      <c r="AU115" s="1142"/>
      <c r="AV115" s="1142"/>
      <c r="AW115" s="1142"/>
      <c r="AX115" s="1142"/>
      <c r="AY115" s="1142"/>
      <c r="AZ115" s="1142"/>
      <c r="BA115" s="1142"/>
      <c r="BB115" s="1142"/>
      <c r="BC115" s="1142"/>
      <c r="BD115" s="1143"/>
    </row>
    <row r="116" spans="30:56" x14ac:dyDescent="0.15">
      <c r="AD116" s="1141"/>
      <c r="AE116" s="1142"/>
      <c r="AF116" s="1142"/>
      <c r="AG116" s="1142"/>
      <c r="AH116" s="1142"/>
      <c r="AI116" s="1142"/>
      <c r="AJ116" s="1142"/>
      <c r="AK116" s="1142"/>
      <c r="AL116" s="1142"/>
      <c r="AM116" s="1142"/>
      <c r="AN116" s="1142"/>
      <c r="AO116" s="1142"/>
      <c r="AP116" s="1142"/>
      <c r="AQ116" s="1142"/>
      <c r="AR116" s="1142"/>
      <c r="AS116" s="1142"/>
      <c r="AT116" s="1142"/>
      <c r="AU116" s="1142"/>
      <c r="AV116" s="1142"/>
      <c r="AW116" s="1142"/>
      <c r="AX116" s="1142"/>
      <c r="AY116" s="1142"/>
      <c r="AZ116" s="1142"/>
      <c r="BA116" s="1142"/>
      <c r="BB116" s="1142"/>
      <c r="BC116" s="1142"/>
      <c r="BD116" s="1143"/>
    </row>
    <row r="117" spans="30:56" x14ac:dyDescent="0.15">
      <c r="AD117" s="1141"/>
      <c r="AE117" s="1142"/>
      <c r="AF117" s="1142"/>
      <c r="AG117" s="1142"/>
      <c r="AH117" s="1142"/>
      <c r="AI117" s="1142"/>
      <c r="AJ117" s="1142"/>
      <c r="AK117" s="1142"/>
      <c r="AL117" s="1142"/>
      <c r="AM117" s="1142"/>
      <c r="AN117" s="1142"/>
      <c r="AO117" s="1142"/>
      <c r="AP117" s="1142"/>
      <c r="AQ117" s="1142"/>
      <c r="AR117" s="1142"/>
      <c r="AS117" s="1142"/>
      <c r="AT117" s="1142"/>
      <c r="AU117" s="1142"/>
      <c r="AV117" s="1142"/>
      <c r="AW117" s="1142"/>
      <c r="AX117" s="1142"/>
      <c r="AY117" s="1142"/>
      <c r="AZ117" s="1142"/>
      <c r="BA117" s="1142"/>
      <c r="BB117" s="1142"/>
      <c r="BC117" s="1142"/>
      <c r="BD117" s="1143"/>
    </row>
    <row r="118" spans="30:56" x14ac:dyDescent="0.15">
      <c r="AD118" s="1141"/>
      <c r="AE118" s="1142"/>
      <c r="AF118" s="1142"/>
      <c r="AG118" s="1142"/>
      <c r="AH118" s="1142"/>
      <c r="AI118" s="1142"/>
      <c r="AJ118" s="1142"/>
      <c r="AK118" s="1142"/>
      <c r="AL118" s="1142"/>
      <c r="AM118" s="1142"/>
      <c r="AN118" s="1142"/>
      <c r="AO118" s="1142"/>
      <c r="AP118" s="1142"/>
      <c r="AQ118" s="1142"/>
      <c r="AR118" s="1142"/>
      <c r="AS118" s="1142"/>
      <c r="AT118" s="1142"/>
      <c r="AU118" s="1142"/>
      <c r="AV118" s="1142"/>
      <c r="AW118" s="1142"/>
      <c r="AX118" s="1142"/>
      <c r="AY118" s="1142"/>
      <c r="AZ118" s="1142"/>
      <c r="BA118" s="1142"/>
      <c r="BB118" s="1142"/>
      <c r="BC118" s="1142"/>
      <c r="BD118" s="1143"/>
    </row>
    <row r="119" spans="30:56" x14ac:dyDescent="0.15">
      <c r="AD119" s="1141"/>
      <c r="AE119" s="1142"/>
      <c r="AF119" s="1142"/>
      <c r="AG119" s="1142"/>
      <c r="AH119" s="1142"/>
      <c r="AI119" s="1142"/>
      <c r="AJ119" s="1142"/>
      <c r="AK119" s="1142"/>
      <c r="AL119" s="1142"/>
      <c r="AM119" s="1142"/>
      <c r="AN119" s="1142"/>
      <c r="AO119" s="1142"/>
      <c r="AP119" s="1142"/>
      <c r="AQ119" s="1142"/>
      <c r="AR119" s="1142"/>
      <c r="AS119" s="1142"/>
      <c r="AT119" s="1142"/>
      <c r="AU119" s="1142"/>
      <c r="AV119" s="1142"/>
      <c r="AW119" s="1142"/>
      <c r="AX119" s="1142"/>
      <c r="AY119" s="1142"/>
      <c r="AZ119" s="1142"/>
      <c r="BA119" s="1142"/>
      <c r="BB119" s="1142"/>
      <c r="BC119" s="1142"/>
      <c r="BD119" s="1143"/>
    </row>
    <row r="120" spans="30:56" x14ac:dyDescent="0.15">
      <c r="AD120" s="1141"/>
      <c r="AE120" s="1142"/>
      <c r="AF120" s="1142"/>
      <c r="AG120" s="1142"/>
      <c r="AH120" s="1142"/>
      <c r="AI120" s="1142"/>
      <c r="AJ120" s="1142"/>
      <c r="AK120" s="1142"/>
      <c r="AL120" s="1142"/>
      <c r="AM120" s="1142"/>
      <c r="AN120" s="1142"/>
      <c r="AO120" s="1142"/>
      <c r="AP120" s="1142"/>
      <c r="AQ120" s="1142"/>
      <c r="AR120" s="1142"/>
      <c r="AS120" s="1142"/>
      <c r="AT120" s="1142"/>
      <c r="AU120" s="1142"/>
      <c r="AV120" s="1142"/>
      <c r="AW120" s="1142"/>
      <c r="AX120" s="1142"/>
      <c r="AY120" s="1142"/>
      <c r="AZ120" s="1142"/>
      <c r="BA120" s="1142"/>
      <c r="BB120" s="1142"/>
      <c r="BC120" s="1142"/>
      <c r="BD120" s="1143"/>
    </row>
    <row r="121" spans="30:56" x14ac:dyDescent="0.15">
      <c r="AD121" s="1141"/>
      <c r="AE121" s="1142"/>
      <c r="AF121" s="1142"/>
      <c r="AG121" s="1142"/>
      <c r="AH121" s="1142"/>
      <c r="AI121" s="1142"/>
      <c r="AJ121" s="1142"/>
      <c r="AK121" s="1142"/>
      <c r="AL121" s="1142"/>
      <c r="AM121" s="1142"/>
      <c r="AN121" s="1142"/>
      <c r="AO121" s="1142"/>
      <c r="AP121" s="1142"/>
      <c r="AQ121" s="1142"/>
      <c r="AR121" s="1142"/>
      <c r="AS121" s="1142"/>
      <c r="AT121" s="1142"/>
      <c r="AU121" s="1142"/>
      <c r="AV121" s="1142"/>
      <c r="AW121" s="1142"/>
      <c r="AX121" s="1142"/>
      <c r="AY121" s="1142"/>
      <c r="AZ121" s="1142"/>
      <c r="BA121" s="1142"/>
      <c r="BB121" s="1142"/>
      <c r="BC121" s="1142"/>
      <c r="BD121" s="1143"/>
    </row>
    <row r="122" spans="30:56" x14ac:dyDescent="0.15">
      <c r="AD122" s="1141"/>
      <c r="AE122" s="1142"/>
      <c r="AF122" s="1142"/>
      <c r="AG122" s="1142"/>
      <c r="AH122" s="1142"/>
      <c r="AI122" s="1142"/>
      <c r="AJ122" s="1142"/>
      <c r="AK122" s="1142"/>
      <c r="AL122" s="1142"/>
      <c r="AM122" s="1142"/>
      <c r="AN122" s="1142"/>
      <c r="AO122" s="1142"/>
      <c r="AP122" s="1142"/>
      <c r="AQ122" s="1142"/>
      <c r="AR122" s="1142"/>
      <c r="AS122" s="1142"/>
      <c r="AT122" s="1142"/>
      <c r="AU122" s="1142"/>
      <c r="AV122" s="1142"/>
      <c r="AW122" s="1142"/>
      <c r="AX122" s="1142"/>
      <c r="AY122" s="1142"/>
      <c r="AZ122" s="1142"/>
      <c r="BA122" s="1142"/>
      <c r="BB122" s="1142"/>
      <c r="BC122" s="1142"/>
      <c r="BD122" s="1143"/>
    </row>
    <row r="123" spans="30:56" x14ac:dyDescent="0.15">
      <c r="AD123" s="1141"/>
      <c r="AE123" s="1142"/>
      <c r="AF123" s="1142"/>
      <c r="AG123" s="1142"/>
      <c r="AH123" s="1142"/>
      <c r="AI123" s="1142"/>
      <c r="AJ123" s="1142"/>
      <c r="AK123" s="1142"/>
      <c r="AL123" s="1142"/>
      <c r="AM123" s="1142"/>
      <c r="AN123" s="1142"/>
      <c r="AO123" s="1142"/>
      <c r="AP123" s="1142"/>
      <c r="AQ123" s="1142"/>
      <c r="AR123" s="1142"/>
      <c r="AS123" s="1142"/>
      <c r="AT123" s="1142"/>
      <c r="AU123" s="1142"/>
      <c r="AV123" s="1142"/>
      <c r="AW123" s="1142"/>
      <c r="AX123" s="1142"/>
      <c r="AY123" s="1142"/>
      <c r="AZ123" s="1142"/>
      <c r="BA123" s="1142"/>
      <c r="BB123" s="1142"/>
      <c r="BC123" s="1142"/>
      <c r="BD123" s="1143"/>
    </row>
    <row r="124" spans="30:56" x14ac:dyDescent="0.15">
      <c r="AD124" s="1141"/>
      <c r="AE124" s="1142"/>
      <c r="AF124" s="1142"/>
      <c r="AG124" s="1142"/>
      <c r="AH124" s="1142"/>
      <c r="AI124" s="1142"/>
      <c r="AJ124" s="1142"/>
      <c r="AK124" s="1142"/>
      <c r="AL124" s="1142"/>
      <c r="AM124" s="1142"/>
      <c r="AN124" s="1142"/>
      <c r="AO124" s="1142"/>
      <c r="AP124" s="1142"/>
      <c r="AQ124" s="1142"/>
      <c r="AR124" s="1142"/>
      <c r="AS124" s="1142"/>
      <c r="AT124" s="1142"/>
      <c r="AU124" s="1142"/>
      <c r="AV124" s="1142"/>
      <c r="AW124" s="1142"/>
      <c r="AX124" s="1142"/>
      <c r="AY124" s="1142"/>
      <c r="AZ124" s="1142"/>
      <c r="BA124" s="1142"/>
      <c r="BB124" s="1142"/>
      <c r="BC124" s="1142"/>
      <c r="BD124" s="1143"/>
    </row>
    <row r="125" spans="30:56" x14ac:dyDescent="0.15">
      <c r="AD125" s="1141"/>
      <c r="AE125" s="1142"/>
      <c r="AF125" s="1142"/>
      <c r="AG125" s="1142"/>
      <c r="AH125" s="1142"/>
      <c r="AI125" s="1142"/>
      <c r="AJ125" s="1142"/>
      <c r="AK125" s="1142"/>
      <c r="AL125" s="1142"/>
      <c r="AM125" s="1142"/>
      <c r="AN125" s="1142"/>
      <c r="AO125" s="1142"/>
      <c r="AP125" s="1142"/>
      <c r="AQ125" s="1142"/>
      <c r="AR125" s="1142"/>
      <c r="AS125" s="1142"/>
      <c r="AT125" s="1142"/>
      <c r="AU125" s="1142"/>
      <c r="AV125" s="1142"/>
      <c r="AW125" s="1142"/>
      <c r="AX125" s="1142"/>
      <c r="AY125" s="1142"/>
      <c r="AZ125" s="1142"/>
      <c r="BA125" s="1142"/>
      <c r="BB125" s="1142"/>
      <c r="BC125" s="1142"/>
      <c r="BD125" s="1143"/>
    </row>
    <row r="126" spans="30:56" x14ac:dyDescent="0.15">
      <c r="AD126" s="1141"/>
      <c r="AE126" s="1142"/>
      <c r="AF126" s="1142"/>
      <c r="AG126" s="1142"/>
      <c r="AH126" s="1142"/>
      <c r="AI126" s="1142"/>
      <c r="AJ126" s="1142"/>
      <c r="AK126" s="1142"/>
      <c r="AL126" s="1142"/>
      <c r="AM126" s="1142"/>
      <c r="AN126" s="1142"/>
      <c r="AO126" s="1142"/>
      <c r="AP126" s="1142"/>
      <c r="AQ126" s="1142"/>
      <c r="AR126" s="1142"/>
      <c r="AS126" s="1142"/>
      <c r="AT126" s="1142"/>
      <c r="AU126" s="1142"/>
      <c r="AV126" s="1142"/>
      <c r="AW126" s="1142"/>
      <c r="AX126" s="1142"/>
      <c r="AY126" s="1142"/>
      <c r="AZ126" s="1142"/>
      <c r="BA126" s="1142"/>
      <c r="BB126" s="1142"/>
      <c r="BC126" s="1142"/>
      <c r="BD126" s="1143"/>
    </row>
    <row r="127" spans="30:56" x14ac:dyDescent="0.15">
      <c r="AD127" s="1141"/>
      <c r="AE127" s="1142"/>
      <c r="AF127" s="1142"/>
      <c r="AG127" s="1142"/>
      <c r="AH127" s="1142"/>
      <c r="AI127" s="1142"/>
      <c r="AJ127" s="1142"/>
      <c r="AK127" s="1142"/>
      <c r="AL127" s="1142"/>
      <c r="AM127" s="1142"/>
      <c r="AN127" s="1142"/>
      <c r="AO127" s="1142"/>
      <c r="AP127" s="1142"/>
      <c r="AQ127" s="1142"/>
      <c r="AR127" s="1142"/>
      <c r="AS127" s="1142"/>
      <c r="AT127" s="1142"/>
      <c r="AU127" s="1142"/>
      <c r="AV127" s="1142"/>
      <c r="AW127" s="1142"/>
      <c r="AX127" s="1142"/>
      <c r="AY127" s="1142"/>
      <c r="AZ127" s="1142"/>
      <c r="BA127" s="1142"/>
      <c r="BB127" s="1142"/>
      <c r="BC127" s="1142"/>
      <c r="BD127" s="1143"/>
    </row>
    <row r="128" spans="30:56" x14ac:dyDescent="0.15">
      <c r="AD128" s="1141"/>
      <c r="AE128" s="1142"/>
      <c r="AF128" s="1142"/>
      <c r="AG128" s="1142"/>
      <c r="AH128" s="1142"/>
      <c r="AI128" s="1142"/>
      <c r="AJ128" s="1142"/>
      <c r="AK128" s="1142"/>
      <c r="AL128" s="1142"/>
      <c r="AM128" s="1142"/>
      <c r="AN128" s="1142"/>
      <c r="AO128" s="1142"/>
      <c r="AP128" s="1142"/>
      <c r="AQ128" s="1142"/>
      <c r="AR128" s="1142"/>
      <c r="AS128" s="1142"/>
      <c r="AT128" s="1142"/>
      <c r="AU128" s="1142"/>
      <c r="AV128" s="1142"/>
      <c r="AW128" s="1142"/>
      <c r="AX128" s="1142"/>
      <c r="AY128" s="1142"/>
      <c r="AZ128" s="1142"/>
      <c r="BA128" s="1142"/>
      <c r="BB128" s="1142"/>
      <c r="BC128" s="1142"/>
      <c r="BD128" s="1143"/>
    </row>
    <row r="129" spans="30:56" x14ac:dyDescent="0.15">
      <c r="AD129" s="1141"/>
      <c r="AE129" s="1142"/>
      <c r="AF129" s="1142"/>
      <c r="AG129" s="1142"/>
      <c r="AH129" s="1142"/>
      <c r="AI129" s="1142"/>
      <c r="AJ129" s="1142"/>
      <c r="AK129" s="1142"/>
      <c r="AL129" s="1142"/>
      <c r="AM129" s="1142"/>
      <c r="AN129" s="1142"/>
      <c r="AO129" s="1142"/>
      <c r="AP129" s="1142"/>
      <c r="AQ129" s="1142"/>
      <c r="AR129" s="1142"/>
      <c r="AS129" s="1142"/>
      <c r="AT129" s="1142"/>
      <c r="AU129" s="1142"/>
      <c r="AV129" s="1142"/>
      <c r="AW129" s="1142"/>
      <c r="AX129" s="1142"/>
      <c r="AY129" s="1142"/>
      <c r="AZ129" s="1142"/>
      <c r="BA129" s="1142"/>
      <c r="BB129" s="1142"/>
      <c r="BC129" s="1142"/>
      <c r="BD129" s="1143"/>
    </row>
    <row r="130" spans="30:56" x14ac:dyDescent="0.15">
      <c r="AD130" s="1141"/>
      <c r="AE130" s="1142"/>
      <c r="AF130" s="1142"/>
      <c r="AG130" s="1142"/>
      <c r="AH130" s="1142"/>
      <c r="AI130" s="1142"/>
      <c r="AJ130" s="1142"/>
      <c r="AK130" s="1142"/>
      <c r="AL130" s="1142"/>
      <c r="AM130" s="1142"/>
      <c r="AN130" s="1142"/>
      <c r="AO130" s="1142"/>
      <c r="AP130" s="1142"/>
      <c r="AQ130" s="1142"/>
      <c r="AR130" s="1142"/>
      <c r="AS130" s="1142"/>
      <c r="AT130" s="1142"/>
      <c r="AU130" s="1142"/>
      <c r="AV130" s="1142"/>
      <c r="AW130" s="1142"/>
      <c r="AX130" s="1142"/>
      <c r="AY130" s="1142"/>
      <c r="AZ130" s="1142"/>
      <c r="BA130" s="1142"/>
      <c r="BB130" s="1142"/>
      <c r="BC130" s="1142"/>
      <c r="BD130" s="1143"/>
    </row>
    <row r="131" spans="30:56" x14ac:dyDescent="0.15">
      <c r="AD131" s="1141"/>
      <c r="AE131" s="1142"/>
      <c r="AF131" s="1142"/>
      <c r="AG131" s="1142"/>
      <c r="AH131" s="1142"/>
      <c r="AI131" s="1142"/>
      <c r="AJ131" s="1142"/>
      <c r="AK131" s="1142"/>
      <c r="AL131" s="1142"/>
      <c r="AM131" s="1142"/>
      <c r="AN131" s="1142"/>
      <c r="AO131" s="1142"/>
      <c r="AP131" s="1142"/>
      <c r="AQ131" s="1142"/>
      <c r="AR131" s="1142"/>
      <c r="AS131" s="1142"/>
      <c r="AT131" s="1142"/>
      <c r="AU131" s="1142"/>
      <c r="AV131" s="1142"/>
      <c r="AW131" s="1142"/>
      <c r="AX131" s="1142"/>
      <c r="AY131" s="1142"/>
      <c r="AZ131" s="1142"/>
      <c r="BA131" s="1142"/>
      <c r="BB131" s="1142"/>
      <c r="BC131" s="1142"/>
      <c r="BD131" s="1143"/>
    </row>
    <row r="132" spans="30:56" x14ac:dyDescent="0.15">
      <c r="AD132" s="1141"/>
      <c r="AE132" s="1142"/>
      <c r="AF132" s="1142"/>
      <c r="AG132" s="1142"/>
      <c r="AH132" s="1142"/>
      <c r="AI132" s="1142"/>
      <c r="AJ132" s="1142"/>
      <c r="AK132" s="1142"/>
      <c r="AL132" s="1142"/>
      <c r="AM132" s="1142"/>
      <c r="AN132" s="1142"/>
      <c r="AO132" s="1142"/>
      <c r="AP132" s="1142"/>
      <c r="AQ132" s="1142"/>
      <c r="AR132" s="1142"/>
      <c r="AS132" s="1142"/>
      <c r="AT132" s="1142"/>
      <c r="AU132" s="1142"/>
      <c r="AV132" s="1142"/>
      <c r="AW132" s="1142"/>
      <c r="AX132" s="1142"/>
      <c r="AY132" s="1142"/>
      <c r="AZ132" s="1142"/>
      <c r="BA132" s="1142"/>
      <c r="BB132" s="1142"/>
      <c r="BC132" s="1142"/>
      <c r="BD132" s="1143"/>
    </row>
    <row r="133" spans="30:56" x14ac:dyDescent="0.15">
      <c r="AD133" s="1141"/>
      <c r="AE133" s="1142"/>
      <c r="AF133" s="1142"/>
      <c r="AG133" s="1142"/>
      <c r="AH133" s="1142"/>
      <c r="AI133" s="1142"/>
      <c r="AJ133" s="1142"/>
      <c r="AK133" s="1142"/>
      <c r="AL133" s="1142"/>
      <c r="AM133" s="1142"/>
      <c r="AN133" s="1142"/>
      <c r="AO133" s="1142"/>
      <c r="AP133" s="1142"/>
      <c r="AQ133" s="1142"/>
      <c r="AR133" s="1142"/>
      <c r="AS133" s="1142"/>
      <c r="AT133" s="1142"/>
      <c r="AU133" s="1142"/>
      <c r="AV133" s="1142"/>
      <c r="AW133" s="1142"/>
      <c r="AX133" s="1142"/>
      <c r="AY133" s="1142"/>
      <c r="AZ133" s="1142"/>
      <c r="BA133" s="1142"/>
      <c r="BB133" s="1142"/>
      <c r="BC133" s="1142"/>
      <c r="BD133" s="1143"/>
    </row>
    <row r="134" spans="30:56" x14ac:dyDescent="0.15">
      <c r="AD134" s="1141"/>
      <c r="AE134" s="1142"/>
      <c r="AF134" s="1142"/>
      <c r="AG134" s="1142"/>
      <c r="AH134" s="1142"/>
      <c r="AI134" s="1142"/>
      <c r="AJ134" s="1142"/>
      <c r="AK134" s="1142"/>
      <c r="AL134" s="1142"/>
      <c r="AM134" s="1142"/>
      <c r="AN134" s="1142"/>
      <c r="AO134" s="1142"/>
      <c r="AP134" s="1142"/>
      <c r="AQ134" s="1142"/>
      <c r="AR134" s="1142"/>
      <c r="AS134" s="1142"/>
      <c r="AT134" s="1142"/>
      <c r="AU134" s="1142"/>
      <c r="AV134" s="1142"/>
      <c r="AW134" s="1142"/>
      <c r="AX134" s="1142"/>
      <c r="AY134" s="1142"/>
      <c r="AZ134" s="1142"/>
      <c r="BA134" s="1142"/>
      <c r="BB134" s="1142"/>
      <c r="BC134" s="1142"/>
      <c r="BD134" s="1143"/>
    </row>
    <row r="135" spans="30:56" x14ac:dyDescent="0.15">
      <c r="AD135" s="1141"/>
      <c r="AE135" s="1142"/>
      <c r="AF135" s="1142"/>
      <c r="AG135" s="1142"/>
      <c r="AH135" s="1142"/>
      <c r="AI135" s="1142"/>
      <c r="AJ135" s="1142"/>
      <c r="AK135" s="1142"/>
      <c r="AL135" s="1142"/>
      <c r="AM135" s="1142"/>
      <c r="AN135" s="1142"/>
      <c r="AO135" s="1142"/>
      <c r="AP135" s="1142"/>
      <c r="AQ135" s="1142"/>
      <c r="AR135" s="1142"/>
      <c r="AS135" s="1142"/>
      <c r="AT135" s="1142"/>
      <c r="AU135" s="1142"/>
      <c r="AV135" s="1142"/>
      <c r="AW135" s="1142"/>
      <c r="AX135" s="1142"/>
      <c r="AY135" s="1142"/>
      <c r="AZ135" s="1142"/>
      <c r="BA135" s="1142"/>
      <c r="BB135" s="1142"/>
      <c r="BC135" s="1142"/>
      <c r="BD135" s="1143"/>
    </row>
    <row r="136" spans="30:56" x14ac:dyDescent="0.15">
      <c r="AD136" s="1141"/>
      <c r="AE136" s="1142"/>
      <c r="AF136" s="1142"/>
      <c r="AG136" s="1142"/>
      <c r="AH136" s="1142"/>
      <c r="AI136" s="1142"/>
      <c r="AJ136" s="1142"/>
      <c r="AK136" s="1142"/>
      <c r="AL136" s="1142"/>
      <c r="AM136" s="1142"/>
      <c r="AN136" s="1142"/>
      <c r="AO136" s="1142"/>
      <c r="AP136" s="1142"/>
      <c r="AQ136" s="1142"/>
      <c r="AR136" s="1142"/>
      <c r="AS136" s="1142"/>
      <c r="AT136" s="1142"/>
      <c r="AU136" s="1142"/>
      <c r="AV136" s="1142"/>
      <c r="AW136" s="1142"/>
      <c r="AX136" s="1142"/>
      <c r="AY136" s="1142"/>
      <c r="AZ136" s="1142"/>
      <c r="BA136" s="1142"/>
      <c r="BB136" s="1142"/>
      <c r="BC136" s="1142"/>
      <c r="BD136" s="1143"/>
    </row>
    <row r="137" spans="30:56" x14ac:dyDescent="0.15">
      <c r="AD137" s="1141"/>
      <c r="AE137" s="1142"/>
      <c r="AF137" s="1142"/>
      <c r="AG137" s="1142"/>
      <c r="AH137" s="1142"/>
      <c r="AI137" s="1142"/>
      <c r="AJ137" s="1142"/>
      <c r="AK137" s="1142"/>
      <c r="AL137" s="1142"/>
      <c r="AM137" s="1142"/>
      <c r="AN137" s="1142"/>
      <c r="AO137" s="1142"/>
      <c r="AP137" s="1142"/>
      <c r="AQ137" s="1142"/>
      <c r="AR137" s="1142"/>
      <c r="AS137" s="1142"/>
      <c r="AT137" s="1142"/>
      <c r="AU137" s="1142"/>
      <c r="AV137" s="1142"/>
      <c r="AW137" s="1142"/>
      <c r="AX137" s="1142"/>
      <c r="AY137" s="1142"/>
      <c r="AZ137" s="1142"/>
      <c r="BA137" s="1142"/>
      <c r="BB137" s="1142"/>
      <c r="BC137" s="1142"/>
      <c r="BD137" s="1143"/>
    </row>
    <row r="138" spans="30:56" x14ac:dyDescent="0.15">
      <c r="AD138" s="1141"/>
      <c r="AE138" s="1142"/>
      <c r="AF138" s="1142"/>
      <c r="AG138" s="1142"/>
      <c r="AH138" s="1142"/>
      <c r="AI138" s="1142"/>
      <c r="AJ138" s="1142"/>
      <c r="AK138" s="1142"/>
      <c r="AL138" s="1142"/>
      <c r="AM138" s="1142"/>
      <c r="AN138" s="1142"/>
      <c r="AO138" s="1142"/>
      <c r="AP138" s="1142"/>
      <c r="AQ138" s="1142"/>
      <c r="AR138" s="1142"/>
      <c r="AS138" s="1142"/>
      <c r="AT138" s="1142"/>
      <c r="AU138" s="1142"/>
      <c r="AV138" s="1142"/>
      <c r="AW138" s="1142"/>
      <c r="AX138" s="1142"/>
      <c r="AY138" s="1142"/>
      <c r="AZ138" s="1142"/>
      <c r="BA138" s="1142"/>
      <c r="BB138" s="1142"/>
      <c r="BC138" s="1142"/>
      <c r="BD138" s="1143"/>
    </row>
    <row r="139" spans="30:56" x14ac:dyDescent="0.15">
      <c r="AD139" s="1141"/>
      <c r="AE139" s="1142"/>
      <c r="AF139" s="1142"/>
      <c r="AG139" s="1142"/>
      <c r="AH139" s="1142"/>
      <c r="AI139" s="1142"/>
      <c r="AJ139" s="1142"/>
      <c r="AK139" s="1142"/>
      <c r="AL139" s="1142"/>
      <c r="AM139" s="1142"/>
      <c r="AN139" s="1142"/>
      <c r="AO139" s="1142"/>
      <c r="AP139" s="1142"/>
      <c r="AQ139" s="1142"/>
      <c r="AR139" s="1142"/>
      <c r="AS139" s="1142"/>
      <c r="AT139" s="1142"/>
      <c r="AU139" s="1142"/>
      <c r="AV139" s="1142"/>
      <c r="AW139" s="1142"/>
      <c r="AX139" s="1142"/>
      <c r="AY139" s="1142"/>
      <c r="AZ139" s="1142"/>
      <c r="BA139" s="1142"/>
      <c r="BB139" s="1142"/>
      <c r="BC139" s="1142"/>
      <c r="BD139" s="1143"/>
    </row>
    <row r="140" spans="30:56" x14ac:dyDescent="0.15">
      <c r="AD140" s="1141"/>
      <c r="AE140" s="1142"/>
      <c r="AF140" s="1142"/>
      <c r="AG140" s="1142"/>
      <c r="AH140" s="1142"/>
      <c r="AI140" s="1142"/>
      <c r="AJ140" s="1142"/>
      <c r="AK140" s="1142"/>
      <c r="AL140" s="1142"/>
      <c r="AM140" s="1142"/>
      <c r="AN140" s="1142"/>
      <c r="AO140" s="1142"/>
      <c r="AP140" s="1142"/>
      <c r="AQ140" s="1142"/>
      <c r="AR140" s="1142"/>
      <c r="AS140" s="1142"/>
      <c r="AT140" s="1142"/>
      <c r="AU140" s="1142"/>
      <c r="AV140" s="1142"/>
      <c r="AW140" s="1142"/>
      <c r="AX140" s="1142"/>
      <c r="AY140" s="1142"/>
      <c r="AZ140" s="1142"/>
      <c r="BA140" s="1142"/>
      <c r="BB140" s="1142"/>
      <c r="BC140" s="1142"/>
      <c r="BD140" s="1143"/>
    </row>
    <row r="141" spans="30:56" x14ac:dyDescent="0.15">
      <c r="AD141" s="1141"/>
      <c r="AE141" s="1142"/>
      <c r="AF141" s="1142"/>
      <c r="AG141" s="1142"/>
      <c r="AH141" s="1142"/>
      <c r="AI141" s="1142"/>
      <c r="AJ141" s="1142"/>
      <c r="AK141" s="1142"/>
      <c r="AL141" s="1142"/>
      <c r="AM141" s="1142"/>
      <c r="AN141" s="1142"/>
      <c r="AO141" s="1142"/>
      <c r="AP141" s="1142"/>
      <c r="AQ141" s="1142"/>
      <c r="AR141" s="1142"/>
      <c r="AS141" s="1142"/>
      <c r="AT141" s="1142"/>
      <c r="AU141" s="1142"/>
      <c r="AV141" s="1142"/>
      <c r="AW141" s="1142"/>
      <c r="AX141" s="1142"/>
      <c r="AY141" s="1142"/>
      <c r="AZ141" s="1142"/>
      <c r="BA141" s="1142"/>
      <c r="BB141" s="1142"/>
      <c r="BC141" s="1142"/>
      <c r="BD141" s="1143"/>
    </row>
    <row r="142" spans="30:56" x14ac:dyDescent="0.15">
      <c r="AD142" s="1141"/>
      <c r="AE142" s="1142"/>
      <c r="AF142" s="1142"/>
      <c r="AG142" s="1142"/>
      <c r="AH142" s="1142"/>
      <c r="AI142" s="1142"/>
      <c r="AJ142" s="1142"/>
      <c r="AK142" s="1142"/>
      <c r="AL142" s="1142"/>
      <c r="AM142" s="1142"/>
      <c r="AN142" s="1142"/>
      <c r="AO142" s="1142"/>
      <c r="AP142" s="1142"/>
      <c r="AQ142" s="1142"/>
      <c r="AR142" s="1142"/>
      <c r="AS142" s="1142"/>
      <c r="AT142" s="1142"/>
      <c r="AU142" s="1142"/>
      <c r="AV142" s="1142"/>
      <c r="AW142" s="1142"/>
      <c r="AX142" s="1142"/>
      <c r="AY142" s="1142"/>
      <c r="AZ142" s="1142"/>
      <c r="BA142" s="1142"/>
      <c r="BB142" s="1142"/>
      <c r="BC142" s="1142"/>
      <c r="BD142" s="1143"/>
    </row>
    <row r="143" spans="30:56" x14ac:dyDescent="0.15">
      <c r="AD143" s="1141"/>
      <c r="AE143" s="1142"/>
      <c r="AF143" s="1142"/>
      <c r="AG143" s="1142"/>
      <c r="AH143" s="1142"/>
      <c r="AI143" s="1142"/>
      <c r="AJ143" s="1142"/>
      <c r="AK143" s="1142"/>
      <c r="AL143" s="1142"/>
      <c r="AM143" s="1142"/>
      <c r="AN143" s="1142"/>
      <c r="AO143" s="1142"/>
      <c r="AP143" s="1142"/>
      <c r="AQ143" s="1142"/>
      <c r="AR143" s="1142"/>
      <c r="AS143" s="1142"/>
      <c r="AT143" s="1142"/>
      <c r="AU143" s="1142"/>
      <c r="AV143" s="1142"/>
      <c r="AW143" s="1142"/>
      <c r="AX143" s="1142"/>
      <c r="AY143" s="1142"/>
      <c r="AZ143" s="1142"/>
      <c r="BA143" s="1142"/>
      <c r="BB143" s="1142"/>
      <c r="BC143" s="1142"/>
      <c r="BD143" s="1143"/>
    </row>
    <row r="144" spans="30:56" x14ac:dyDescent="0.15">
      <c r="AD144" s="1141"/>
      <c r="AE144" s="1142"/>
      <c r="AF144" s="1142"/>
      <c r="AG144" s="1142"/>
      <c r="AH144" s="1142"/>
      <c r="AI144" s="1142"/>
      <c r="AJ144" s="1142"/>
      <c r="AK144" s="1142"/>
      <c r="AL144" s="1142"/>
      <c r="AM144" s="1142"/>
      <c r="AN144" s="1142"/>
      <c r="AO144" s="1142"/>
      <c r="AP144" s="1142"/>
      <c r="AQ144" s="1142"/>
      <c r="AR144" s="1142"/>
      <c r="AS144" s="1142"/>
      <c r="AT144" s="1142"/>
      <c r="AU144" s="1142"/>
      <c r="AV144" s="1142"/>
      <c r="AW144" s="1142"/>
      <c r="AX144" s="1142"/>
      <c r="AY144" s="1142"/>
      <c r="AZ144" s="1142"/>
      <c r="BA144" s="1142"/>
      <c r="BB144" s="1142"/>
      <c r="BC144" s="1142"/>
      <c r="BD144" s="1143"/>
    </row>
    <row r="145" spans="30:56" x14ac:dyDescent="0.15">
      <c r="AD145" s="1141"/>
      <c r="AE145" s="1142"/>
      <c r="AF145" s="1142"/>
      <c r="AG145" s="1142"/>
      <c r="AH145" s="1142"/>
      <c r="AI145" s="1142"/>
      <c r="AJ145" s="1142"/>
      <c r="AK145" s="1142"/>
      <c r="AL145" s="1142"/>
      <c r="AM145" s="1142"/>
      <c r="AN145" s="1142"/>
      <c r="AO145" s="1142"/>
      <c r="AP145" s="1142"/>
      <c r="AQ145" s="1142"/>
      <c r="AR145" s="1142"/>
      <c r="AS145" s="1142"/>
      <c r="AT145" s="1142"/>
      <c r="AU145" s="1142"/>
      <c r="AV145" s="1142"/>
      <c r="AW145" s="1142"/>
      <c r="AX145" s="1142"/>
      <c r="AY145" s="1142"/>
      <c r="AZ145" s="1142"/>
      <c r="BA145" s="1142"/>
      <c r="BB145" s="1142"/>
      <c r="BC145" s="1142"/>
      <c r="BD145" s="1143"/>
    </row>
    <row r="146" spans="30:56" x14ac:dyDescent="0.15">
      <c r="AD146" s="1141"/>
      <c r="AE146" s="1142"/>
      <c r="AF146" s="1142"/>
      <c r="AG146" s="1142"/>
      <c r="AH146" s="1142"/>
      <c r="AI146" s="1142"/>
      <c r="AJ146" s="1142"/>
      <c r="AK146" s="1142"/>
      <c r="AL146" s="1142"/>
      <c r="AM146" s="1142"/>
      <c r="AN146" s="1142"/>
      <c r="AO146" s="1142"/>
      <c r="AP146" s="1142"/>
      <c r="AQ146" s="1142"/>
      <c r="AR146" s="1142"/>
      <c r="AS146" s="1142"/>
      <c r="AT146" s="1142"/>
      <c r="AU146" s="1142"/>
      <c r="AV146" s="1142"/>
      <c r="AW146" s="1142"/>
      <c r="AX146" s="1142"/>
      <c r="AY146" s="1142"/>
      <c r="AZ146" s="1142"/>
      <c r="BA146" s="1142"/>
      <c r="BB146" s="1142"/>
      <c r="BC146" s="1142"/>
      <c r="BD146" s="1143"/>
    </row>
    <row r="147" spans="30:56" x14ac:dyDescent="0.15">
      <c r="AD147" s="1141"/>
      <c r="AE147" s="1142"/>
      <c r="AF147" s="1142"/>
      <c r="AG147" s="1142"/>
      <c r="AH147" s="1142"/>
      <c r="AI147" s="1142"/>
      <c r="AJ147" s="1142"/>
      <c r="AK147" s="1142"/>
      <c r="AL147" s="1142"/>
      <c r="AM147" s="1142"/>
      <c r="AN147" s="1142"/>
      <c r="AO147" s="1142"/>
      <c r="AP147" s="1142"/>
      <c r="AQ147" s="1142"/>
      <c r="AR147" s="1142"/>
      <c r="AS147" s="1142"/>
      <c r="AT147" s="1142"/>
      <c r="AU147" s="1142"/>
      <c r="AV147" s="1142"/>
      <c r="AW147" s="1142"/>
      <c r="AX147" s="1142"/>
      <c r="AY147" s="1142"/>
      <c r="AZ147" s="1142"/>
      <c r="BA147" s="1142"/>
      <c r="BB147" s="1142"/>
      <c r="BC147" s="1142"/>
      <c r="BD147" s="1143"/>
    </row>
    <row r="148" spans="30:56" x14ac:dyDescent="0.15">
      <c r="AD148" s="1141"/>
      <c r="AE148" s="1142"/>
      <c r="AF148" s="1142"/>
      <c r="AG148" s="1142"/>
      <c r="AH148" s="1142"/>
      <c r="AI148" s="1142"/>
      <c r="AJ148" s="1142"/>
      <c r="AK148" s="1142"/>
      <c r="AL148" s="1142"/>
      <c r="AM148" s="1142"/>
      <c r="AN148" s="1142"/>
      <c r="AO148" s="1142"/>
      <c r="AP148" s="1142"/>
      <c r="AQ148" s="1142"/>
      <c r="AR148" s="1142"/>
      <c r="AS148" s="1142"/>
      <c r="AT148" s="1142"/>
      <c r="AU148" s="1142"/>
      <c r="AV148" s="1142"/>
      <c r="AW148" s="1142"/>
      <c r="AX148" s="1142"/>
      <c r="AY148" s="1142"/>
      <c r="AZ148" s="1142"/>
      <c r="BA148" s="1142"/>
      <c r="BB148" s="1142"/>
      <c r="BC148" s="1142"/>
      <c r="BD148" s="1143"/>
    </row>
    <row r="149" spans="30:56" x14ac:dyDescent="0.15">
      <c r="AD149" s="1141"/>
      <c r="AE149" s="1142"/>
      <c r="AF149" s="1142"/>
      <c r="AG149" s="1142"/>
      <c r="AH149" s="1142"/>
      <c r="AI149" s="1142"/>
      <c r="AJ149" s="1142"/>
      <c r="AK149" s="1142"/>
      <c r="AL149" s="1142"/>
      <c r="AM149" s="1142"/>
      <c r="AN149" s="1142"/>
      <c r="AO149" s="1142"/>
      <c r="AP149" s="1142"/>
      <c r="AQ149" s="1142"/>
      <c r="AR149" s="1142"/>
      <c r="AS149" s="1142"/>
      <c r="AT149" s="1142"/>
      <c r="AU149" s="1142"/>
      <c r="AV149" s="1142"/>
      <c r="AW149" s="1142"/>
      <c r="AX149" s="1142"/>
      <c r="AY149" s="1142"/>
      <c r="AZ149" s="1142"/>
      <c r="BA149" s="1142"/>
      <c r="BB149" s="1142"/>
      <c r="BC149" s="1142"/>
      <c r="BD149" s="1143"/>
    </row>
    <row r="150" spans="30:56" x14ac:dyDescent="0.15">
      <c r="AD150" s="1141"/>
      <c r="AE150" s="1142"/>
      <c r="AF150" s="1142"/>
      <c r="AG150" s="1142"/>
      <c r="AH150" s="1142"/>
      <c r="AI150" s="1142"/>
      <c r="AJ150" s="1142"/>
      <c r="AK150" s="1142"/>
      <c r="AL150" s="1142"/>
      <c r="AM150" s="1142"/>
      <c r="AN150" s="1142"/>
      <c r="AO150" s="1142"/>
      <c r="AP150" s="1142"/>
      <c r="AQ150" s="1142"/>
      <c r="AR150" s="1142"/>
      <c r="AS150" s="1142"/>
      <c r="AT150" s="1142"/>
      <c r="AU150" s="1142"/>
      <c r="AV150" s="1142"/>
      <c r="AW150" s="1142"/>
      <c r="AX150" s="1142"/>
      <c r="AY150" s="1142"/>
      <c r="AZ150" s="1142"/>
      <c r="BA150" s="1142"/>
      <c r="BB150" s="1142"/>
      <c r="BC150" s="1142"/>
      <c r="BD150" s="1143"/>
    </row>
    <row r="151" spans="30:56" x14ac:dyDescent="0.15">
      <c r="AD151" s="1141"/>
      <c r="AE151" s="1142"/>
      <c r="AF151" s="1142"/>
      <c r="AG151" s="1142"/>
      <c r="AH151" s="1142"/>
      <c r="AI151" s="1142"/>
      <c r="AJ151" s="1142"/>
      <c r="AK151" s="1142"/>
      <c r="AL151" s="1142"/>
      <c r="AM151" s="1142"/>
      <c r="AN151" s="1142"/>
      <c r="AO151" s="1142"/>
      <c r="AP151" s="1142"/>
      <c r="AQ151" s="1142"/>
      <c r="AR151" s="1142"/>
      <c r="AS151" s="1142"/>
      <c r="AT151" s="1142"/>
      <c r="AU151" s="1142"/>
      <c r="AV151" s="1142"/>
      <c r="AW151" s="1142"/>
      <c r="AX151" s="1142"/>
      <c r="AY151" s="1142"/>
      <c r="AZ151" s="1142"/>
      <c r="BA151" s="1142"/>
      <c r="BB151" s="1142"/>
      <c r="BC151" s="1142"/>
      <c r="BD151" s="1143"/>
    </row>
    <row r="152" spans="30:56" x14ac:dyDescent="0.15">
      <c r="AD152" s="1141"/>
      <c r="AE152" s="1142"/>
      <c r="AF152" s="1142"/>
      <c r="AG152" s="1142"/>
      <c r="AH152" s="1142"/>
      <c r="AI152" s="1142"/>
      <c r="AJ152" s="1142"/>
      <c r="AK152" s="1142"/>
      <c r="AL152" s="1142"/>
      <c r="AM152" s="1142"/>
      <c r="AN152" s="1142"/>
      <c r="AO152" s="1142"/>
      <c r="AP152" s="1142"/>
      <c r="AQ152" s="1142"/>
      <c r="AR152" s="1142"/>
      <c r="AS152" s="1142"/>
      <c r="AT152" s="1142"/>
      <c r="AU152" s="1142"/>
      <c r="AV152" s="1142"/>
      <c r="AW152" s="1142"/>
      <c r="AX152" s="1142"/>
      <c r="AY152" s="1142"/>
      <c r="AZ152" s="1142"/>
      <c r="BA152" s="1142"/>
      <c r="BB152" s="1142"/>
      <c r="BC152" s="1142"/>
      <c r="BD152" s="1143"/>
    </row>
    <row r="153" spans="30:56" x14ac:dyDescent="0.15">
      <c r="AD153" s="1141"/>
      <c r="AE153" s="1142"/>
      <c r="AF153" s="1142"/>
      <c r="AG153" s="1142"/>
      <c r="AH153" s="1142"/>
      <c r="AI153" s="1142"/>
      <c r="AJ153" s="1142"/>
      <c r="AK153" s="1142"/>
      <c r="AL153" s="1142"/>
      <c r="AM153" s="1142"/>
      <c r="AN153" s="1142"/>
      <c r="AO153" s="1142"/>
      <c r="AP153" s="1142"/>
      <c r="AQ153" s="1142"/>
      <c r="AR153" s="1142"/>
      <c r="AS153" s="1142"/>
      <c r="AT153" s="1142"/>
      <c r="AU153" s="1142"/>
      <c r="AV153" s="1142"/>
      <c r="AW153" s="1142"/>
      <c r="AX153" s="1142"/>
      <c r="AY153" s="1142"/>
      <c r="AZ153" s="1142"/>
      <c r="BA153" s="1142"/>
      <c r="BB153" s="1142"/>
      <c r="BC153" s="1142"/>
      <c r="BD153" s="1143"/>
    </row>
    <row r="154" spans="30:56" x14ac:dyDescent="0.15">
      <c r="AD154" s="1141"/>
      <c r="AE154" s="1142"/>
      <c r="AF154" s="1142"/>
      <c r="AG154" s="1142"/>
      <c r="AH154" s="1142"/>
      <c r="AI154" s="1142"/>
      <c r="AJ154" s="1142"/>
      <c r="AK154" s="1142"/>
      <c r="AL154" s="1142"/>
      <c r="AM154" s="1142"/>
      <c r="AN154" s="1142"/>
      <c r="AO154" s="1142"/>
      <c r="AP154" s="1142"/>
      <c r="AQ154" s="1142"/>
      <c r="AR154" s="1142"/>
      <c r="AS154" s="1142"/>
      <c r="AT154" s="1142"/>
      <c r="AU154" s="1142"/>
      <c r="AV154" s="1142"/>
      <c r="AW154" s="1142"/>
      <c r="AX154" s="1142"/>
      <c r="AY154" s="1142"/>
      <c r="AZ154" s="1142"/>
      <c r="BA154" s="1142"/>
      <c r="BB154" s="1142"/>
      <c r="BC154" s="1142"/>
      <c r="BD154" s="1143"/>
    </row>
    <row r="155" spans="30:56" x14ac:dyDescent="0.15">
      <c r="AD155" s="1141"/>
      <c r="AE155" s="1142"/>
      <c r="AF155" s="1142"/>
      <c r="AG155" s="1142"/>
      <c r="AH155" s="1142"/>
      <c r="AI155" s="1142"/>
      <c r="AJ155" s="1142"/>
      <c r="AK155" s="1142"/>
      <c r="AL155" s="1142"/>
      <c r="AM155" s="1142"/>
      <c r="AN155" s="1142"/>
      <c r="AO155" s="1142"/>
      <c r="AP155" s="1142"/>
      <c r="AQ155" s="1142"/>
      <c r="AR155" s="1142"/>
      <c r="AS155" s="1142"/>
      <c r="AT155" s="1142"/>
      <c r="AU155" s="1142"/>
      <c r="AV155" s="1142"/>
      <c r="AW155" s="1142"/>
      <c r="AX155" s="1142"/>
      <c r="AY155" s="1142"/>
      <c r="AZ155" s="1142"/>
      <c r="BA155" s="1142"/>
      <c r="BB155" s="1142"/>
      <c r="BC155" s="1142"/>
      <c r="BD155" s="1143"/>
    </row>
    <row r="156" spans="30:56" x14ac:dyDescent="0.15">
      <c r="AD156" s="1141"/>
      <c r="AE156" s="1142"/>
      <c r="AF156" s="1142"/>
      <c r="AG156" s="1142"/>
      <c r="AH156" s="1142"/>
      <c r="AI156" s="1142"/>
      <c r="AJ156" s="1142"/>
      <c r="AK156" s="1142"/>
      <c r="AL156" s="1142"/>
      <c r="AM156" s="1142"/>
      <c r="AN156" s="1142"/>
      <c r="AO156" s="1142"/>
      <c r="AP156" s="1142"/>
      <c r="AQ156" s="1142"/>
      <c r="AR156" s="1142"/>
      <c r="AS156" s="1142"/>
      <c r="AT156" s="1142"/>
      <c r="AU156" s="1142"/>
      <c r="AV156" s="1142"/>
      <c r="AW156" s="1142"/>
      <c r="AX156" s="1142"/>
      <c r="AY156" s="1142"/>
      <c r="AZ156" s="1142"/>
      <c r="BA156" s="1142"/>
      <c r="BB156" s="1142"/>
      <c r="BC156" s="1142"/>
      <c r="BD156" s="1143"/>
    </row>
  </sheetData>
  <sheetProtection algorithmName="SHA-512" hashValue="yu0ucqLwpE8dSIZ2DIeCX6yBeUKSZKg5+EAZtT0QhO5yGpOOOsZr5g7eL3ec9yUO96tEvkabxsDQQwGyun3ZIQ==" saltValue="JtoRlFwA+m7KetwvHjJbkg==" spinCount="100000" sheet="1" objects="1" scenarios="1"/>
  <mergeCells count="17">
    <mergeCell ref="AD110:BD156"/>
    <mergeCell ref="B22:N23"/>
    <mergeCell ref="B16:N17"/>
    <mergeCell ref="P12:AB13"/>
    <mergeCell ref="AD1:BD2"/>
    <mergeCell ref="AD108:BD109"/>
    <mergeCell ref="AD30:BD31"/>
    <mergeCell ref="B1:AB2"/>
    <mergeCell ref="B20:N21"/>
    <mergeCell ref="B14:N15"/>
    <mergeCell ref="B18:N19"/>
    <mergeCell ref="B3:AB10"/>
    <mergeCell ref="AD76:BD107"/>
    <mergeCell ref="AD32:BD75"/>
    <mergeCell ref="B12:N13"/>
    <mergeCell ref="P14:AB18"/>
    <mergeCell ref="AD3:BD29"/>
  </mergeCells>
  <phoneticPr fontId="68"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29"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起源</vt:lpstr>
      <vt:lpstr>主要</vt:lpstr>
      <vt:lpstr>数据表</vt:lpstr>
      <vt:lpstr>职业</vt:lpstr>
      <vt:lpstr>装备</vt:lpstr>
      <vt:lpstr>种族</vt:lpstr>
      <vt:lpstr>专长与据点</vt:lpstr>
      <vt:lpstr>魔宠</vt:lpstr>
      <vt:lpstr>背景</vt:lpstr>
      <vt:lpstr>背包</vt:lpstr>
      <vt:lpstr>盟友与魔宠</vt:lpstr>
      <vt:lpstr>据点</vt:lpstr>
      <vt:lpstr>法术书</vt:lpstr>
      <vt:lpstr>法术大全</vt:lpstr>
      <vt:lpstr>圆形效应范围</vt:lpstr>
      <vt:lpstr>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XII Clear</cp:lastModifiedBy>
  <dcterms:created xsi:type="dcterms:W3CDTF">2018-02-27T11:14:00Z</dcterms:created>
  <dcterms:modified xsi:type="dcterms:W3CDTF">2026-05-16T03:03:38Z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eadingLayout">
    <vt:bool>true</vt:bool>
  </property>
  <property fmtid="{D5CDD505-2E9C-101B-9397-08002B2CF9AE}" pid="4" name="ICV">
    <vt:lpwstr>C99BAA4A22D444D8B9F59635C5EFF59F_12</vt:lpwstr>
  </property>
</Properties>
</file>